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19\Testimony\Peters\"/>
    </mc:Choice>
  </mc:AlternateContent>
  <bookViews>
    <workbookView xWindow="480" yWindow="135" windowWidth="18195" windowHeight="6675" firstSheet="7" activeTab="8"/>
  </bookViews>
  <sheets>
    <sheet name="Cover Page MCP-2" sheetId="51" r:id="rId1"/>
    <sheet name="Exh MCP-2 - ROO Summary Sheet" sheetId="1" r:id="rId2"/>
    <sheet name="Cover Page MCP-3" sheetId="53" r:id="rId3"/>
    <sheet name="Exh MCP-3 - Rev Req Calc" sheetId="26" r:id="rId4"/>
    <sheet name="Cover Page MCP-4" sheetId="54" r:id="rId5"/>
    <sheet name="Exh MCP-4 - Conversion Factor" sheetId="2" r:id="rId6"/>
    <sheet name="Cover Page MCP-5" sheetId="55" r:id="rId7"/>
    <sheet name="Exh MCP-5 - Summary of Adj" sheetId="4" r:id="rId8"/>
    <sheet name="Cover Page MCP-6" sheetId="56" r:id="rId9"/>
    <sheet name="MCP-6 -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 Working Capital (AMA)" sheetId="62" r:id="rId31"/>
    <sheet name="Working Capital (EOP)" sheetId="68" r:id="rId32"/>
  </sheets>
  <externalReferences>
    <externalReference r:id="rId33"/>
  </externalReferences>
  <definedNames>
    <definedName name="first_day">'[1]Historic Data'!$K$3</definedName>
    <definedName name="_xlnm.Print_Area" localSheetId="17">'Capital Structure Calculation'!$A$1:$J$17</definedName>
    <definedName name="_xlnm.Print_Area" localSheetId="1">'Exh MCP-2 - ROO Summary Sheet'!$B$1:$Q$42</definedName>
    <definedName name="_xlnm.Print_Area" localSheetId="7">'Exh MCP-5 - Summary of Adj'!$A$1:$S$45</definedName>
    <definedName name="_xlnm.Print_Area" localSheetId="12">Index!$A$1:$F$37</definedName>
    <definedName name="_xlnm.Print_Area" localSheetId="13">'Operating Report'!$A$1:$H$187,'Operating Report'!$I$1:$V$158</definedName>
    <definedName name="_xlnm.Print_Area" localSheetId="28">'Pro Forma Plant Additions'!$A$1:$F$30</definedName>
    <definedName name="_xlnm.Print_Area" localSheetId="25">'Restate &amp; Pro Forma Wage Adjust'!$A$1:$Q$102</definedName>
    <definedName name="_xlnm.Print_Area" localSheetId="18">'State Allocation Formulas'!$A$1:$T$80</definedName>
    <definedName name="_xlnm.Print_Area" localSheetId="31">'Working Capital (EOP)'!$A$1:$AE$642</definedName>
    <definedName name="_xlnm.Print_Area" localSheetId="11">'Workpaper - Support Documents &gt;'!$A$1:$I$31</definedName>
    <definedName name="_xlnm.Print_Titles" localSheetId="30">' Working Capital (AMA)'!$1:$10</definedName>
    <definedName name="_xlnm.Print_Titles" localSheetId="16">'Adv for Const. &amp; Def Tax'!$A:$A,'Adv for Const. &amp; Def Tax'!$1:$8</definedName>
    <definedName name="_xlnm.Print_Titles" localSheetId="21">'Advertising Adj'!$1:$5</definedName>
    <definedName name="_xlnm.Print_Titles" localSheetId="9">'MCP-6 - Plant Additions'!$A:$A,'MCP-6 -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 name="_xlnm.Print_Titles" localSheetId="31">'Working Capital (EOP)'!$1:$10</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543" i="68" l="1"/>
  <c r="Z540" i="68"/>
  <c r="Z538" i="68"/>
  <c r="Z533" i="68"/>
  <c r="Y543" i="68"/>
  <c r="Y535" i="68"/>
  <c r="Y533" i="68"/>
  <c r="Z508" i="68"/>
  <c r="Z507" i="68"/>
  <c r="Z504" i="68"/>
  <c r="Y508" i="68"/>
  <c r="Y507" i="68"/>
  <c r="Y504" i="68"/>
  <c r="Y30" i="68"/>
  <c r="Y15" i="68"/>
  <c r="D11" i="73" l="1"/>
  <c r="U98" i="31" l="1"/>
  <c r="L15" i="31" l="1"/>
  <c r="J16" i="4" s="1"/>
  <c r="J19" i="4" s="1"/>
  <c r="I15" i="31"/>
  <c r="G16" i="4" s="1"/>
  <c r="H16" i="70" l="1"/>
  <c r="H21" i="70" s="1"/>
  <c r="H25" i="70" s="1"/>
  <c r="K15" i="31" s="1"/>
  <c r="I16" i="4" s="1"/>
  <c r="R16" i="4" s="1"/>
  <c r="I118" i="49" l="1"/>
  <c r="I90" i="49"/>
  <c r="I80" i="49"/>
  <c r="I78" i="49"/>
  <c r="I72" i="49"/>
  <c r="I60" i="49"/>
  <c r="I59" i="49"/>
  <c r="I55" i="49"/>
  <c r="I34" i="49"/>
  <c r="I18" i="49"/>
  <c r="AB248" i="68" l="1"/>
  <c r="X248" i="68"/>
  <c r="S631" i="68" l="1"/>
  <c r="S630" i="68"/>
  <c r="S629" i="68"/>
  <c r="AC629" i="68" s="1"/>
  <c r="S628" i="68"/>
  <c r="W628" i="68" s="1"/>
  <c r="S627" i="68"/>
  <c r="S626" i="68"/>
  <c r="S625" i="68"/>
  <c r="W625" i="68" s="1"/>
  <c r="S624" i="68"/>
  <c r="AC624" i="68" s="1"/>
  <c r="S623" i="68"/>
  <c r="S622" i="68"/>
  <c r="S621" i="68"/>
  <c r="W621" i="68" s="1"/>
  <c r="S618" i="68"/>
  <c r="S617" i="68"/>
  <c r="S616" i="68"/>
  <c r="W616" i="68" s="1"/>
  <c r="S615" i="68"/>
  <c r="AC615" i="68" s="1"/>
  <c r="S614" i="68"/>
  <c r="AC614" i="68" s="1"/>
  <c r="S613" i="68"/>
  <c r="S612" i="68"/>
  <c r="S611" i="68"/>
  <c r="AC611" i="68" s="1"/>
  <c r="S610" i="68"/>
  <c r="AC610" i="68" s="1"/>
  <c r="S609" i="68"/>
  <c r="S608" i="68"/>
  <c r="S607" i="68"/>
  <c r="AC607" i="68" s="1"/>
  <c r="S606" i="68"/>
  <c r="W606" i="68" s="1"/>
  <c r="S605" i="68"/>
  <c r="S604" i="68"/>
  <c r="S603" i="68"/>
  <c r="AC603" i="68" s="1"/>
  <c r="S602" i="68"/>
  <c r="AC602" i="68" s="1"/>
  <c r="S601" i="68"/>
  <c r="S600" i="68"/>
  <c r="S599" i="68"/>
  <c r="W599" i="68" s="1"/>
  <c r="S598" i="68"/>
  <c r="AC598" i="68" s="1"/>
  <c r="S597" i="68"/>
  <c r="S596" i="68"/>
  <c r="S595" i="68"/>
  <c r="W595" i="68" s="1"/>
  <c r="S594" i="68"/>
  <c r="AC594" i="68" s="1"/>
  <c r="S593" i="68"/>
  <c r="S592" i="68"/>
  <c r="S591" i="68"/>
  <c r="AC591" i="68" s="1"/>
  <c r="S590" i="68"/>
  <c r="AC590" i="68" s="1"/>
  <c r="S589" i="68"/>
  <c r="S588" i="68"/>
  <c r="S587" i="68"/>
  <c r="AC587" i="68" s="1"/>
  <c r="S586" i="68"/>
  <c r="AC586" i="68" s="1"/>
  <c r="S585" i="68"/>
  <c r="S584" i="68"/>
  <c r="S583" i="68"/>
  <c r="W583" i="68" s="1"/>
  <c r="S582" i="68"/>
  <c r="AC582" i="68" s="1"/>
  <c r="S581" i="68"/>
  <c r="S580" i="68"/>
  <c r="S579" i="68"/>
  <c r="W579" i="68" s="1"/>
  <c r="S578" i="68"/>
  <c r="AC578" i="68" s="1"/>
  <c r="S577" i="68"/>
  <c r="S576" i="68"/>
  <c r="S575" i="68"/>
  <c r="W575" i="68" s="1"/>
  <c r="S574" i="68"/>
  <c r="AC574" i="68" s="1"/>
  <c r="S573" i="68"/>
  <c r="W573" i="68" s="1"/>
  <c r="S572" i="68"/>
  <c r="S571" i="68"/>
  <c r="AC571" i="68" s="1"/>
  <c r="S570" i="68"/>
  <c r="AC570" i="68" s="1"/>
  <c r="S569" i="68"/>
  <c r="S568" i="68"/>
  <c r="S567" i="68"/>
  <c r="AC567" i="68" s="1"/>
  <c r="S566" i="68"/>
  <c r="W566" i="68" s="1"/>
  <c r="S565" i="68"/>
  <c r="S564" i="68"/>
  <c r="S563" i="68"/>
  <c r="AC563" i="68" s="1"/>
  <c r="S562" i="68"/>
  <c r="AC562" i="68" s="1"/>
  <c r="S561" i="68"/>
  <c r="S560" i="68"/>
  <c r="S559" i="68"/>
  <c r="W559" i="68" s="1"/>
  <c r="S558" i="68"/>
  <c r="AC558" i="68" s="1"/>
  <c r="S557" i="68"/>
  <c r="S556" i="68"/>
  <c r="S555" i="68"/>
  <c r="AC555" i="68" s="1"/>
  <c r="S554" i="68"/>
  <c r="AC554" i="68" s="1"/>
  <c r="S553" i="68"/>
  <c r="S550" i="68"/>
  <c r="S549" i="68"/>
  <c r="V549" i="68" s="1"/>
  <c r="S548" i="68"/>
  <c r="V548" i="68" s="1"/>
  <c r="S547" i="68"/>
  <c r="V547" i="68" s="1"/>
  <c r="S546" i="68"/>
  <c r="V546" i="68" s="1"/>
  <c r="AD546" i="68" s="1"/>
  <c r="S545" i="68"/>
  <c r="S544" i="68"/>
  <c r="V544" i="68" s="1"/>
  <c r="S543" i="68"/>
  <c r="X543" i="68" s="1"/>
  <c r="AA543" i="68" s="1"/>
  <c r="S542" i="68"/>
  <c r="X542" i="68" s="1"/>
  <c r="S541" i="68"/>
  <c r="X541" i="68" s="1"/>
  <c r="S540" i="68"/>
  <c r="X540" i="68" s="1"/>
  <c r="S539" i="68"/>
  <c r="S538" i="68"/>
  <c r="S537" i="68"/>
  <c r="S536" i="68"/>
  <c r="X536" i="68" s="1"/>
  <c r="Z536" i="68" s="1"/>
  <c r="S535" i="68"/>
  <c r="X535" i="68" s="1"/>
  <c r="S534" i="68"/>
  <c r="X534" i="68" s="1"/>
  <c r="S533" i="68"/>
  <c r="S532" i="68"/>
  <c r="X532" i="68" s="1"/>
  <c r="S531" i="68"/>
  <c r="S530" i="68"/>
  <c r="S527" i="68"/>
  <c r="S526" i="68"/>
  <c r="V526" i="68" s="1"/>
  <c r="AD526" i="68" s="1"/>
  <c r="S525" i="68"/>
  <c r="S524" i="68"/>
  <c r="X524" i="68" s="1"/>
  <c r="S523" i="68"/>
  <c r="S522" i="68"/>
  <c r="AB522" i="68" s="1"/>
  <c r="S521" i="68"/>
  <c r="S520" i="68"/>
  <c r="AB520" i="68" s="1"/>
  <c r="S519" i="68"/>
  <c r="X519" i="68" s="1"/>
  <c r="S518" i="68"/>
  <c r="X518" i="68" s="1"/>
  <c r="S517" i="68"/>
  <c r="S516" i="68"/>
  <c r="AB516" i="68" s="1"/>
  <c r="S515" i="68"/>
  <c r="S514" i="68"/>
  <c r="S513" i="68"/>
  <c r="S512" i="68"/>
  <c r="V512" i="68" s="1"/>
  <c r="S511" i="68"/>
  <c r="V511" i="68" s="1"/>
  <c r="AD511" i="68" s="1"/>
  <c r="AF511" i="68" s="1"/>
  <c r="S510" i="68"/>
  <c r="V510" i="68" s="1"/>
  <c r="AD510" i="68" s="1"/>
  <c r="S509" i="68"/>
  <c r="S508" i="68"/>
  <c r="X508" i="68" s="1"/>
  <c r="S507" i="68"/>
  <c r="S506" i="68"/>
  <c r="X506" i="68" s="1"/>
  <c r="S505" i="68"/>
  <c r="S504" i="68"/>
  <c r="X504" i="68" s="1"/>
  <c r="S503" i="68"/>
  <c r="S502" i="68"/>
  <c r="AA502" i="68" s="1"/>
  <c r="S501" i="68"/>
  <c r="S500" i="68"/>
  <c r="V500" i="68" s="1"/>
  <c r="AD500" i="68" s="1"/>
  <c r="S499" i="68"/>
  <c r="V499" i="68" s="1"/>
  <c r="AD499" i="68" s="1"/>
  <c r="AF499" i="68" s="1"/>
  <c r="S498" i="68"/>
  <c r="V498" i="68" s="1"/>
  <c r="AD498" i="68" s="1"/>
  <c r="S497" i="68"/>
  <c r="S496" i="68"/>
  <c r="S493" i="68"/>
  <c r="X493" i="68" s="1"/>
  <c r="S492" i="68"/>
  <c r="X492" i="68" s="1"/>
  <c r="S491" i="68"/>
  <c r="X491" i="68" s="1"/>
  <c r="S490" i="68"/>
  <c r="X490" i="68" s="1"/>
  <c r="AB490" i="68" s="1"/>
  <c r="S489" i="68"/>
  <c r="X489" i="68" s="1"/>
  <c r="AB489" i="68" s="1"/>
  <c r="S488" i="68"/>
  <c r="X488" i="68" s="1"/>
  <c r="AB488" i="68" s="1"/>
  <c r="S487" i="68"/>
  <c r="S486" i="68"/>
  <c r="X486" i="68" s="1"/>
  <c r="AB486" i="68" s="1"/>
  <c r="S485" i="68"/>
  <c r="S484" i="68"/>
  <c r="X484" i="68" s="1"/>
  <c r="AB484" i="68" s="1"/>
  <c r="S483" i="68"/>
  <c r="S482" i="68"/>
  <c r="X482" i="68" s="1"/>
  <c r="AB482" i="68" s="1"/>
  <c r="S481" i="68"/>
  <c r="X481" i="68" s="1"/>
  <c r="AB481" i="68" s="1"/>
  <c r="S480" i="68"/>
  <c r="X480" i="68" s="1"/>
  <c r="AB480" i="68" s="1"/>
  <c r="S479" i="68"/>
  <c r="X479" i="68" s="1"/>
  <c r="AB479" i="68" s="1"/>
  <c r="S478" i="68"/>
  <c r="V478" i="68" s="1"/>
  <c r="AD478" i="68" s="1"/>
  <c r="S477" i="68"/>
  <c r="S476" i="68"/>
  <c r="V476" i="68" s="1"/>
  <c r="S475" i="68"/>
  <c r="V475" i="68" s="1"/>
  <c r="AD475" i="68" s="1"/>
  <c r="AF475" i="68" s="1"/>
  <c r="S474" i="68"/>
  <c r="V474" i="68" s="1"/>
  <c r="S473" i="68"/>
  <c r="S472" i="68"/>
  <c r="V472" i="68" s="1"/>
  <c r="S471" i="68"/>
  <c r="V471" i="68" s="1"/>
  <c r="AD471" i="68" s="1"/>
  <c r="AF471" i="68" s="1"/>
  <c r="S470" i="68"/>
  <c r="V470" i="68" s="1"/>
  <c r="AD470" i="68" s="1"/>
  <c r="S469" i="68"/>
  <c r="V469" i="68" s="1"/>
  <c r="S468" i="68"/>
  <c r="V468" i="68" s="1"/>
  <c r="AD468" i="68" s="1"/>
  <c r="S467" i="68"/>
  <c r="S466" i="68"/>
  <c r="S465" i="68"/>
  <c r="V465" i="68" s="1"/>
  <c r="S464" i="68"/>
  <c r="V464" i="68" s="1"/>
  <c r="S463" i="68"/>
  <c r="S462" i="68"/>
  <c r="V462" i="68" s="1"/>
  <c r="AD462" i="68" s="1"/>
  <c r="S461" i="68"/>
  <c r="S460" i="68"/>
  <c r="V460" i="68" s="1"/>
  <c r="S459" i="68"/>
  <c r="V459" i="68" s="1"/>
  <c r="AD459" i="68" s="1"/>
  <c r="S458" i="68"/>
  <c r="V458" i="68" s="1"/>
  <c r="S457" i="68"/>
  <c r="V457" i="68" s="1"/>
  <c r="AD457" i="68" s="1"/>
  <c r="AF457" i="68" s="1"/>
  <c r="S456" i="68"/>
  <c r="V456" i="68" s="1"/>
  <c r="AD456" i="68" s="1"/>
  <c r="S455" i="68"/>
  <c r="S454" i="68"/>
  <c r="V454" i="68" s="1"/>
  <c r="S453" i="68"/>
  <c r="V453" i="68" s="1"/>
  <c r="S452" i="68"/>
  <c r="V452" i="68" s="1"/>
  <c r="AD452" i="68" s="1"/>
  <c r="S451" i="68"/>
  <c r="S450" i="68"/>
  <c r="V450" i="68" s="1"/>
  <c r="S449" i="68"/>
  <c r="V449" i="68" s="1"/>
  <c r="AD449" i="68" s="1"/>
  <c r="AF449" i="68" s="1"/>
  <c r="S448" i="68"/>
  <c r="V448" i="68" s="1"/>
  <c r="AD448" i="68" s="1"/>
  <c r="S447" i="68"/>
  <c r="V447" i="68" s="1"/>
  <c r="AD447" i="68" s="1"/>
  <c r="S446" i="68"/>
  <c r="V446" i="68" s="1"/>
  <c r="AD446" i="68" s="1"/>
  <c r="S445" i="68"/>
  <c r="S444" i="68"/>
  <c r="V444" i="68" s="1"/>
  <c r="S443" i="68"/>
  <c r="S442" i="68"/>
  <c r="X442" i="68" s="1"/>
  <c r="AB442" i="68" s="1"/>
  <c r="S441" i="68"/>
  <c r="X441" i="68" s="1"/>
  <c r="AB441" i="68" s="1"/>
  <c r="S440" i="68"/>
  <c r="W440" i="68" s="1"/>
  <c r="AC440" i="68" s="1"/>
  <c r="S439" i="68"/>
  <c r="S438" i="68"/>
  <c r="S437" i="68"/>
  <c r="S436" i="68"/>
  <c r="V436" i="68" s="1"/>
  <c r="S435" i="68"/>
  <c r="V435" i="68" s="1"/>
  <c r="S434" i="68"/>
  <c r="V434" i="68" s="1"/>
  <c r="S433" i="68"/>
  <c r="V433" i="68" s="1"/>
  <c r="AD433" i="68" s="1"/>
  <c r="S432" i="68"/>
  <c r="V432" i="68" s="1"/>
  <c r="S431" i="68"/>
  <c r="S430" i="68"/>
  <c r="V430" i="68" s="1"/>
  <c r="S429" i="68"/>
  <c r="S428" i="68"/>
  <c r="V428" i="68" s="1"/>
  <c r="S427" i="68"/>
  <c r="S426" i="68"/>
  <c r="V426" i="68" s="1"/>
  <c r="AD426" i="68" s="1"/>
  <c r="S425" i="68"/>
  <c r="S424" i="68"/>
  <c r="V424" i="68" s="1"/>
  <c r="S423" i="68"/>
  <c r="V423" i="68" s="1"/>
  <c r="S422" i="68"/>
  <c r="V422" i="68" s="1"/>
  <c r="S421" i="68"/>
  <c r="V421" i="68" s="1"/>
  <c r="S420" i="68"/>
  <c r="V420" i="68" s="1"/>
  <c r="AD420" i="68" s="1"/>
  <c r="AF420" i="68" s="1"/>
  <c r="S419" i="68"/>
  <c r="S418" i="68"/>
  <c r="V418" i="68" s="1"/>
  <c r="S413" i="68"/>
  <c r="S412" i="68"/>
  <c r="S411" i="68"/>
  <c r="S410" i="68"/>
  <c r="S407" i="68"/>
  <c r="S406" i="68"/>
  <c r="S405" i="68"/>
  <c r="S404" i="68"/>
  <c r="X404" i="68" s="1"/>
  <c r="S403" i="68"/>
  <c r="X403" i="68" s="1"/>
  <c r="S402" i="68"/>
  <c r="AB402" i="68" s="1"/>
  <c r="S401" i="68"/>
  <c r="S400" i="68"/>
  <c r="S399" i="68"/>
  <c r="S398" i="68"/>
  <c r="V398" i="68" s="1"/>
  <c r="AD398" i="68" s="1"/>
  <c r="S397" i="68"/>
  <c r="S396" i="68"/>
  <c r="V396" i="68" s="1"/>
  <c r="S395" i="68"/>
  <c r="S394" i="68"/>
  <c r="V394" i="68" s="1"/>
  <c r="S393" i="68"/>
  <c r="S392" i="68"/>
  <c r="V392" i="68" s="1"/>
  <c r="S391" i="68"/>
  <c r="S390" i="68"/>
  <c r="V390" i="68" s="1"/>
  <c r="S389" i="68"/>
  <c r="S388" i="68"/>
  <c r="V388" i="68" s="1"/>
  <c r="S387" i="68"/>
  <c r="V387" i="68" s="1"/>
  <c r="S386" i="68"/>
  <c r="V386" i="68" s="1"/>
  <c r="S385" i="68"/>
  <c r="S384" i="68"/>
  <c r="S383" i="68"/>
  <c r="S380" i="68"/>
  <c r="W380" i="68" s="1"/>
  <c r="S379" i="68"/>
  <c r="S378" i="68"/>
  <c r="W378" i="68" s="1"/>
  <c r="S377" i="68"/>
  <c r="AC377" i="68" s="1"/>
  <c r="S376" i="68"/>
  <c r="AC376" i="68" s="1"/>
  <c r="S375" i="68"/>
  <c r="S374" i="68"/>
  <c r="W374" i="68" s="1"/>
  <c r="S373" i="68"/>
  <c r="W373" i="68" s="1"/>
  <c r="S372" i="68"/>
  <c r="S371" i="68"/>
  <c r="S370" i="68"/>
  <c r="S369" i="68"/>
  <c r="AC369" i="68" s="1"/>
  <c r="S368" i="68"/>
  <c r="S365" i="68"/>
  <c r="S364" i="68"/>
  <c r="S363" i="68"/>
  <c r="S362" i="68"/>
  <c r="AC362" i="68" s="1"/>
  <c r="S361" i="68"/>
  <c r="S360" i="68"/>
  <c r="W360" i="68" s="1"/>
  <c r="S359" i="68"/>
  <c r="W359" i="68" s="1"/>
  <c r="S358" i="68"/>
  <c r="W358" i="68" s="1"/>
  <c r="AC358" i="68" s="1"/>
  <c r="S357" i="68"/>
  <c r="S351" i="68"/>
  <c r="S352" i="68" s="1"/>
  <c r="S348" i="68"/>
  <c r="W348" i="68" s="1"/>
  <c r="S347" i="68"/>
  <c r="AC347" i="68" s="1"/>
  <c r="S346" i="68"/>
  <c r="AC346" i="68" s="1"/>
  <c r="S345" i="68"/>
  <c r="S344" i="68"/>
  <c r="S343" i="68"/>
  <c r="AC343" i="68" s="1"/>
  <c r="S342" i="68"/>
  <c r="S341" i="68"/>
  <c r="AC341" i="68" s="1"/>
  <c r="S340" i="68"/>
  <c r="S339" i="68"/>
  <c r="S335" i="68"/>
  <c r="S334" i="68"/>
  <c r="AC334" i="68" s="1"/>
  <c r="S333" i="68"/>
  <c r="S332" i="68"/>
  <c r="W332" i="68" s="1"/>
  <c r="S331" i="68"/>
  <c r="S330" i="68"/>
  <c r="AC330" i="68" s="1"/>
  <c r="S329" i="68"/>
  <c r="S328" i="68"/>
  <c r="AC328" i="68" s="1"/>
  <c r="S327" i="68"/>
  <c r="S326" i="68"/>
  <c r="AC326" i="68" s="1"/>
  <c r="S325" i="68"/>
  <c r="W325" i="68" s="1"/>
  <c r="S324" i="68"/>
  <c r="AC324" i="68" s="1"/>
  <c r="S323" i="68"/>
  <c r="S322" i="68"/>
  <c r="W322" i="68" s="1"/>
  <c r="S321" i="68"/>
  <c r="S320" i="68"/>
  <c r="S319" i="68"/>
  <c r="S318" i="68"/>
  <c r="AC318" i="68" s="1"/>
  <c r="S317" i="68"/>
  <c r="W317" i="68" s="1"/>
  <c r="S316" i="68"/>
  <c r="S315" i="68"/>
  <c r="S312" i="68"/>
  <c r="AC312" i="68" s="1"/>
  <c r="S311" i="68"/>
  <c r="S310" i="68"/>
  <c r="W310" i="68" s="1"/>
  <c r="S309" i="68"/>
  <c r="S308" i="68"/>
  <c r="S307" i="68"/>
  <c r="S306" i="68"/>
  <c r="AC306" i="68" s="1"/>
  <c r="S305" i="68"/>
  <c r="AC305" i="68" s="1"/>
  <c r="S304" i="68"/>
  <c r="W304" i="68" s="1"/>
  <c r="S303" i="68"/>
  <c r="S302" i="68"/>
  <c r="W302" i="68" s="1"/>
  <c r="S301" i="68"/>
  <c r="S298" i="68"/>
  <c r="W298" i="68" s="1"/>
  <c r="S297" i="68"/>
  <c r="AC297" i="68" s="1"/>
  <c r="S296" i="68"/>
  <c r="AC296" i="68" s="1"/>
  <c r="S293" i="68"/>
  <c r="S292" i="68"/>
  <c r="W292" i="68" s="1"/>
  <c r="S291" i="68"/>
  <c r="W291" i="68" s="1"/>
  <c r="S290" i="68"/>
  <c r="AC290" i="68" s="1"/>
  <c r="S289" i="68"/>
  <c r="S288" i="68"/>
  <c r="AC288" i="68" s="1"/>
  <c r="S287" i="68"/>
  <c r="S286" i="68"/>
  <c r="AC286" i="68" s="1"/>
  <c r="S285" i="68"/>
  <c r="S284" i="68"/>
  <c r="AC284" i="68" s="1"/>
  <c r="S283" i="68"/>
  <c r="S282" i="68"/>
  <c r="AC282" i="68" s="1"/>
  <c r="S281" i="68"/>
  <c r="S280" i="68"/>
  <c r="AC280" i="68" s="1"/>
  <c r="S279" i="68"/>
  <c r="S278" i="68"/>
  <c r="AC278" i="68" s="1"/>
  <c r="S277" i="68"/>
  <c r="S276" i="68"/>
  <c r="S273" i="68"/>
  <c r="W273" i="68" s="1"/>
  <c r="S272" i="68"/>
  <c r="AC272" i="68" s="1"/>
  <c r="S271" i="68"/>
  <c r="W271" i="68" s="1"/>
  <c r="S270" i="68"/>
  <c r="S267" i="68"/>
  <c r="S266" i="68"/>
  <c r="X266" i="68" s="1"/>
  <c r="S265" i="68"/>
  <c r="AB265" i="68" s="1"/>
  <c r="S264" i="68"/>
  <c r="X264" i="68" s="1"/>
  <c r="AB264" i="68" s="1"/>
  <c r="S263" i="68"/>
  <c r="X263" i="68" s="1"/>
  <c r="AB263" i="68" s="1"/>
  <c r="S262" i="68"/>
  <c r="X262" i="68" s="1"/>
  <c r="AB262" i="68" s="1"/>
  <c r="S261" i="68"/>
  <c r="X261" i="68" s="1"/>
  <c r="AB261" i="68" s="1"/>
  <c r="S260" i="68"/>
  <c r="X260" i="68" s="1"/>
  <c r="AB260" i="68" s="1"/>
  <c r="S259" i="68"/>
  <c r="X259" i="68" s="1"/>
  <c r="AB259" i="68" s="1"/>
  <c r="S258" i="68"/>
  <c r="X258" i="68" s="1"/>
  <c r="AB258" i="68" s="1"/>
  <c r="S257" i="68"/>
  <c r="S256" i="68"/>
  <c r="X256" i="68" s="1"/>
  <c r="AB256" i="68" s="1"/>
  <c r="S255" i="68"/>
  <c r="S254" i="68"/>
  <c r="X254" i="68" s="1"/>
  <c r="AB254" i="68" s="1"/>
  <c r="S253" i="68"/>
  <c r="AD253" i="68" s="1"/>
  <c r="S252" i="68"/>
  <c r="U252" i="68" s="1"/>
  <c r="S251" i="68"/>
  <c r="S250" i="68"/>
  <c r="AD250" i="68" s="1"/>
  <c r="S249" i="68"/>
  <c r="S248" i="68"/>
  <c r="S247" i="68"/>
  <c r="S246" i="68"/>
  <c r="AB246" i="68" s="1"/>
  <c r="S245" i="68"/>
  <c r="S244" i="68"/>
  <c r="U244" i="68" s="1"/>
  <c r="S243" i="68"/>
  <c r="U243" i="68" s="1"/>
  <c r="S242" i="68"/>
  <c r="U242" i="68" s="1"/>
  <c r="S241" i="68"/>
  <c r="S240" i="68"/>
  <c r="U240" i="68" s="1"/>
  <c r="S239" i="68"/>
  <c r="S238" i="68"/>
  <c r="U238" i="68" s="1"/>
  <c r="S237" i="68"/>
  <c r="S236" i="68"/>
  <c r="U236" i="68" s="1"/>
  <c r="S235" i="68"/>
  <c r="S234" i="68"/>
  <c r="U234" i="68" s="1"/>
  <c r="S233" i="68"/>
  <c r="S232" i="68"/>
  <c r="U232" i="68" s="1"/>
  <c r="S231" i="68"/>
  <c r="U231" i="68" s="1"/>
  <c r="AD231" i="68" s="1"/>
  <c r="AF231" i="68" s="1"/>
  <c r="S230" i="68"/>
  <c r="U230" i="68" s="1"/>
  <c r="S229" i="68"/>
  <c r="U229" i="68" s="1"/>
  <c r="S228" i="68"/>
  <c r="U228" i="68" s="1"/>
  <c r="S227" i="68"/>
  <c r="U227" i="68" s="1"/>
  <c r="AD227" i="68" s="1"/>
  <c r="AF227" i="68" s="1"/>
  <c r="S226" i="68"/>
  <c r="U226" i="68" s="1"/>
  <c r="S225" i="68"/>
  <c r="S224" i="68"/>
  <c r="U224" i="68" s="1"/>
  <c r="S223" i="68"/>
  <c r="S222" i="68"/>
  <c r="U222" i="68" s="1"/>
  <c r="S221" i="68"/>
  <c r="U221" i="68" s="1"/>
  <c r="S220" i="68"/>
  <c r="U220" i="68" s="1"/>
  <c r="S219" i="68"/>
  <c r="U219" i="68" s="1"/>
  <c r="AD219" i="68" s="1"/>
  <c r="AF219" i="68" s="1"/>
  <c r="S218" i="68"/>
  <c r="U218" i="68" s="1"/>
  <c r="S217" i="68"/>
  <c r="S216" i="68"/>
  <c r="S215" i="68"/>
  <c r="S214" i="68"/>
  <c r="S213" i="68"/>
  <c r="S212" i="68"/>
  <c r="S211" i="68"/>
  <c r="S208" i="68"/>
  <c r="AC208" i="68" s="1"/>
  <c r="S205" i="68"/>
  <c r="S204" i="68"/>
  <c r="AC204" i="68" s="1"/>
  <c r="S203" i="68"/>
  <c r="S202" i="68"/>
  <c r="S201" i="68"/>
  <c r="S200" i="68"/>
  <c r="AC200" i="68" s="1"/>
  <c r="S199" i="68"/>
  <c r="S198" i="68"/>
  <c r="S197" i="68"/>
  <c r="S196" i="68"/>
  <c r="S195" i="68"/>
  <c r="W195" i="68" s="1"/>
  <c r="S194" i="68"/>
  <c r="AC194" i="68" s="1"/>
  <c r="S193" i="68"/>
  <c r="S192" i="68"/>
  <c r="S191" i="68"/>
  <c r="S190" i="68"/>
  <c r="S189" i="68"/>
  <c r="S188" i="68"/>
  <c r="S187" i="68"/>
  <c r="S186" i="68"/>
  <c r="U186" i="68" s="1"/>
  <c r="AD186" i="68" s="1"/>
  <c r="S185" i="68"/>
  <c r="S184" i="68"/>
  <c r="S183" i="68"/>
  <c r="S182" i="68"/>
  <c r="S181" i="68"/>
  <c r="S180" i="68"/>
  <c r="S179" i="68"/>
  <c r="U179" i="68" s="1"/>
  <c r="AD179" i="68" s="1"/>
  <c r="AF179" i="68" s="1"/>
  <c r="S178" i="68"/>
  <c r="U178" i="68" s="1"/>
  <c r="AD178" i="68" s="1"/>
  <c r="AF178" i="68" s="1"/>
  <c r="S177" i="68"/>
  <c r="S176" i="68"/>
  <c r="S175" i="68"/>
  <c r="AB175" i="68" s="1"/>
  <c r="S174" i="68"/>
  <c r="AB174" i="68" s="1"/>
  <c r="S171" i="68"/>
  <c r="S170" i="68"/>
  <c r="U170" i="68" s="1"/>
  <c r="S169" i="68"/>
  <c r="U169" i="68" s="1"/>
  <c r="S168" i="68"/>
  <c r="U168" i="68" s="1"/>
  <c r="S167" i="68"/>
  <c r="S166" i="68"/>
  <c r="S165" i="68"/>
  <c r="S164" i="68"/>
  <c r="U164" i="68" s="1"/>
  <c r="S163" i="68"/>
  <c r="S162" i="68"/>
  <c r="U162" i="68" s="1"/>
  <c r="S159" i="68"/>
  <c r="S158" i="68"/>
  <c r="S157" i="68"/>
  <c r="S156" i="68"/>
  <c r="U156" i="68" s="1"/>
  <c r="S155" i="68"/>
  <c r="S154" i="68"/>
  <c r="U154" i="68" s="1"/>
  <c r="S153" i="68"/>
  <c r="S152" i="68"/>
  <c r="U152" i="68" s="1"/>
  <c r="S151" i="68"/>
  <c r="U151" i="68" s="1"/>
  <c r="S150" i="68"/>
  <c r="U150" i="68" s="1"/>
  <c r="S149" i="68"/>
  <c r="S148" i="68"/>
  <c r="U148" i="68" s="1"/>
  <c r="S147" i="68"/>
  <c r="U147" i="68" s="1"/>
  <c r="S146" i="68"/>
  <c r="U146" i="68" s="1"/>
  <c r="AD146" i="68" s="1"/>
  <c r="S145" i="68"/>
  <c r="S144" i="68"/>
  <c r="U144" i="68" s="1"/>
  <c r="S141" i="68"/>
  <c r="S140" i="68"/>
  <c r="U140" i="68" s="1"/>
  <c r="S139" i="68"/>
  <c r="S138" i="68"/>
  <c r="U138" i="68" s="1"/>
  <c r="AD138" i="68" s="1"/>
  <c r="S137" i="68"/>
  <c r="U137" i="68" s="1"/>
  <c r="S136" i="68"/>
  <c r="U136" i="68" s="1"/>
  <c r="S135" i="68"/>
  <c r="S134" i="68"/>
  <c r="S133" i="68"/>
  <c r="S132" i="68"/>
  <c r="U132" i="68" s="1"/>
  <c r="S131" i="68"/>
  <c r="S130" i="68"/>
  <c r="U130" i="68" s="1"/>
  <c r="AD130" i="68" s="1"/>
  <c r="AF130" i="68" s="1"/>
  <c r="S129" i="68"/>
  <c r="U129" i="68" s="1"/>
  <c r="AD129" i="68" s="1"/>
  <c r="S128" i="68"/>
  <c r="U128" i="68" s="1"/>
  <c r="S127" i="68"/>
  <c r="S126" i="68"/>
  <c r="U126" i="68" s="1"/>
  <c r="AD126" i="68" s="1"/>
  <c r="AF126" i="68" s="1"/>
  <c r="S125" i="68"/>
  <c r="U125" i="68" s="1"/>
  <c r="AD125" i="68" s="1"/>
  <c r="S124" i="68"/>
  <c r="U124" i="68" s="1"/>
  <c r="S123" i="68"/>
  <c r="S122" i="68"/>
  <c r="U122" i="68" s="1"/>
  <c r="AD122" i="68" s="1"/>
  <c r="AF122" i="68" s="1"/>
  <c r="S121" i="68"/>
  <c r="S120" i="68"/>
  <c r="U120" i="68" s="1"/>
  <c r="S119" i="68"/>
  <c r="S118" i="68"/>
  <c r="S113" i="68"/>
  <c r="S112" i="68"/>
  <c r="U112" i="68" s="1"/>
  <c r="S111" i="68"/>
  <c r="S110" i="68"/>
  <c r="U110" i="68" s="1"/>
  <c r="S109" i="68"/>
  <c r="S108" i="68"/>
  <c r="U108" i="68" s="1"/>
  <c r="S107" i="68"/>
  <c r="S106" i="68"/>
  <c r="S105" i="68"/>
  <c r="U105" i="68" s="1"/>
  <c r="S104" i="68"/>
  <c r="U104" i="68" s="1"/>
  <c r="S103" i="68"/>
  <c r="U103" i="68" s="1"/>
  <c r="AD103" i="68" s="1"/>
  <c r="AF103" i="68" s="1"/>
  <c r="S102" i="68"/>
  <c r="U102" i="68" s="1"/>
  <c r="S101" i="68"/>
  <c r="S100" i="68"/>
  <c r="U100" i="68" s="1"/>
  <c r="S99" i="68"/>
  <c r="U99" i="68" s="1"/>
  <c r="AD99" i="68" s="1"/>
  <c r="AF99" i="68" s="1"/>
  <c r="S98" i="68"/>
  <c r="U98" i="68" s="1"/>
  <c r="S97" i="68"/>
  <c r="U97" i="68" s="1"/>
  <c r="S96" i="68"/>
  <c r="S95" i="68"/>
  <c r="S94" i="68"/>
  <c r="S91" i="68"/>
  <c r="S88" i="68"/>
  <c r="AB88" i="68" s="1"/>
  <c r="S87" i="68"/>
  <c r="S86" i="68"/>
  <c r="X86" i="68" s="1"/>
  <c r="S85" i="68"/>
  <c r="AB85" i="68" s="1"/>
  <c r="S84" i="68"/>
  <c r="X84" i="68" s="1"/>
  <c r="S83" i="68"/>
  <c r="S82" i="68"/>
  <c r="X82" i="68" s="1"/>
  <c r="S81" i="68"/>
  <c r="S80" i="68"/>
  <c r="S79" i="68"/>
  <c r="S78" i="68"/>
  <c r="X78" i="68" s="1"/>
  <c r="S77" i="68"/>
  <c r="U77" i="68" s="1"/>
  <c r="AF77" i="68" s="1"/>
  <c r="S76" i="68"/>
  <c r="S73" i="68"/>
  <c r="S72" i="68"/>
  <c r="U72" i="68" s="1"/>
  <c r="S71" i="68"/>
  <c r="S70" i="68"/>
  <c r="U70" i="68" s="1"/>
  <c r="AD70" i="68" s="1"/>
  <c r="S69" i="68"/>
  <c r="S68" i="68"/>
  <c r="U68" i="68" s="1"/>
  <c r="S67" i="68"/>
  <c r="S66" i="68"/>
  <c r="U66" i="68" s="1"/>
  <c r="S65" i="68"/>
  <c r="S64" i="68"/>
  <c r="U64" i="68" s="1"/>
  <c r="S63" i="68"/>
  <c r="S62" i="68"/>
  <c r="S59" i="68"/>
  <c r="S56" i="68"/>
  <c r="U56" i="68" s="1"/>
  <c r="S55" i="68"/>
  <c r="S54" i="68"/>
  <c r="U54" i="68" s="1"/>
  <c r="AD54" i="68" s="1"/>
  <c r="S53" i="68"/>
  <c r="U53" i="68" s="1"/>
  <c r="S52" i="68"/>
  <c r="U52" i="68" s="1"/>
  <c r="AD52" i="68" s="1"/>
  <c r="S51" i="68"/>
  <c r="U51" i="68" s="1"/>
  <c r="AD51" i="68" s="1"/>
  <c r="S50" i="68"/>
  <c r="U50" i="68" s="1"/>
  <c r="AD50" i="68" s="1"/>
  <c r="S49" i="68"/>
  <c r="U49" i="68" s="1"/>
  <c r="S48" i="68"/>
  <c r="S47" i="68"/>
  <c r="S46" i="68"/>
  <c r="U46" i="68" s="1"/>
  <c r="S45" i="68"/>
  <c r="S44" i="68"/>
  <c r="S41" i="68"/>
  <c r="S40" i="68"/>
  <c r="X40" i="68" s="1"/>
  <c r="S39" i="68"/>
  <c r="S38" i="68"/>
  <c r="AB38" i="68" s="1"/>
  <c r="S37" i="68"/>
  <c r="S36" i="68"/>
  <c r="S35" i="68"/>
  <c r="S34" i="68"/>
  <c r="U34" i="68" s="1"/>
  <c r="S27" i="68"/>
  <c r="S26" i="68"/>
  <c r="S28" i="68" s="1"/>
  <c r="S23" i="68"/>
  <c r="S22" i="68"/>
  <c r="S21" i="68"/>
  <c r="S20" i="68"/>
  <c r="S17" i="68"/>
  <c r="S16" i="68"/>
  <c r="X16" i="68" s="1"/>
  <c r="U47" i="68"/>
  <c r="S60" i="68"/>
  <c r="U69" i="68"/>
  <c r="U73" i="68"/>
  <c r="AF73" i="68" s="1"/>
  <c r="X83" i="68"/>
  <c r="X87" i="68"/>
  <c r="U109" i="68"/>
  <c r="U113" i="68"/>
  <c r="U119" i="68"/>
  <c r="AD119" i="68" s="1"/>
  <c r="U123" i="68"/>
  <c r="AD123" i="68" s="1"/>
  <c r="U127" i="68"/>
  <c r="AD127" i="68" s="1"/>
  <c r="U131" i="68"/>
  <c r="AD131" i="68" s="1"/>
  <c r="U135" i="68"/>
  <c r="AD135" i="68" s="1"/>
  <c r="U139" i="68"/>
  <c r="U165" i="68"/>
  <c r="AD182" i="68"/>
  <c r="AF182" i="68" s="1"/>
  <c r="AB191" i="68"/>
  <c r="AC276" i="68"/>
  <c r="AC285" i="68"/>
  <c r="AC289" i="68"/>
  <c r="AC293" i="68"/>
  <c r="AC303" i="68"/>
  <c r="AC311" i="68"/>
  <c r="W346" i="68"/>
  <c r="AC375" i="68"/>
  <c r="AC379" i="68"/>
  <c r="V389" i="68"/>
  <c r="AD389" i="68" s="1"/>
  <c r="V393" i="68"/>
  <c r="V397" i="68"/>
  <c r="X407" i="68"/>
  <c r="V466" i="68"/>
  <c r="AD466" i="68" s="1"/>
  <c r="W557" i="68"/>
  <c r="W565" i="68"/>
  <c r="AC569" i="68"/>
  <c r="AC577" i="68"/>
  <c r="AC581" i="68"/>
  <c r="AC585" i="68"/>
  <c r="W589" i="68"/>
  <c r="W593" i="68"/>
  <c r="W597" i="68"/>
  <c r="AC601" i="68"/>
  <c r="W605" i="68"/>
  <c r="AC609" i="68"/>
  <c r="AC613" i="68"/>
  <c r="AC617" i="68"/>
  <c r="AC631" i="68"/>
  <c r="AC627" i="68"/>
  <c r="AC623" i="68"/>
  <c r="W581" i="68"/>
  <c r="AC575" i="68"/>
  <c r="W561" i="68"/>
  <c r="X539" i="68"/>
  <c r="Z539" i="68" s="1"/>
  <c r="X507" i="68"/>
  <c r="X483" i="68"/>
  <c r="AB483" i="68" s="1"/>
  <c r="V477" i="68"/>
  <c r="V467" i="68"/>
  <c r="AD467" i="68" s="1"/>
  <c r="AF467" i="68" s="1"/>
  <c r="V463" i="68"/>
  <c r="AD463" i="68" s="1"/>
  <c r="V451" i="68"/>
  <c r="V445" i="68"/>
  <c r="AD445" i="68" s="1"/>
  <c r="AF445" i="68" s="1"/>
  <c r="V443" i="68"/>
  <c r="AD443" i="68" s="1"/>
  <c r="V439" i="68"/>
  <c r="V437" i="68"/>
  <c r="V427" i="68"/>
  <c r="V411" i="68"/>
  <c r="AC373" i="68"/>
  <c r="AC363" i="68"/>
  <c r="W361" i="68"/>
  <c r="AC359" i="68"/>
  <c r="W341" i="68"/>
  <c r="AC335" i="68"/>
  <c r="AC331" i="68"/>
  <c r="AC327" i="68"/>
  <c r="AC319" i="68"/>
  <c r="W315" i="68"/>
  <c r="AC307" i="68"/>
  <c r="W287" i="68"/>
  <c r="W283" i="68"/>
  <c r="X257" i="68"/>
  <c r="AB257" i="68" s="1"/>
  <c r="X255" i="68"/>
  <c r="AB255" i="68" s="1"/>
  <c r="X251" i="68"/>
  <c r="AD249" i="68"/>
  <c r="U239" i="68"/>
  <c r="AD239" i="68" s="1"/>
  <c r="AF239" i="68" s="1"/>
  <c r="U225" i="68"/>
  <c r="U215" i="68"/>
  <c r="AD215" i="68" s="1"/>
  <c r="AF215" i="68" s="1"/>
  <c r="W203" i="68"/>
  <c r="AD175" i="68"/>
  <c r="AF175" i="68" s="1"/>
  <c r="U159" i="68"/>
  <c r="U155" i="68"/>
  <c r="U111" i="68"/>
  <c r="U107" i="68"/>
  <c r="AD107" i="68" s="1"/>
  <c r="AF107" i="68" s="1"/>
  <c r="U95" i="68"/>
  <c r="U71" i="68"/>
  <c r="AD71" i="68" s="1"/>
  <c r="AF71" i="68" s="1"/>
  <c r="S15" i="68"/>
  <c r="R632" i="68"/>
  <c r="Q632" i="68"/>
  <c r="P632" i="68"/>
  <c r="O632" i="68"/>
  <c r="N632" i="68"/>
  <c r="M632" i="68"/>
  <c r="L632" i="68"/>
  <c r="K632" i="68"/>
  <c r="J632" i="68"/>
  <c r="I632" i="68"/>
  <c r="H632" i="68"/>
  <c r="G632" i="68"/>
  <c r="F632" i="68"/>
  <c r="AF631" i="68"/>
  <c r="AF630" i="68"/>
  <c r="AF629" i="68"/>
  <c r="AF628" i="68"/>
  <c r="AF627" i="68"/>
  <c r="AF626" i="68"/>
  <c r="AF625" i="68"/>
  <c r="AF624" i="68"/>
  <c r="AF623" i="68"/>
  <c r="W623" i="68"/>
  <c r="AF622" i="68"/>
  <c r="AF621" i="68"/>
  <c r="AF620" i="68"/>
  <c r="AF619" i="68"/>
  <c r="R619" i="68"/>
  <c r="Q619" i="68"/>
  <c r="P619" i="68"/>
  <c r="O619" i="68"/>
  <c r="N619" i="68"/>
  <c r="M619" i="68"/>
  <c r="L619" i="68"/>
  <c r="K619" i="68"/>
  <c r="J619" i="68"/>
  <c r="I619" i="68"/>
  <c r="H619" i="68"/>
  <c r="G619" i="68"/>
  <c r="F619" i="68"/>
  <c r="AF618" i="68"/>
  <c r="AF617" i="68"/>
  <c r="W617" i="68"/>
  <c r="AF616" i="68"/>
  <c r="AC616" i="68"/>
  <c r="AF615" i="68"/>
  <c r="AF614" i="68"/>
  <c r="AF613" i="68"/>
  <c r="AF612" i="68"/>
  <c r="AF611" i="68"/>
  <c r="AF610" i="68"/>
  <c r="AF609" i="68"/>
  <c r="AF608" i="68"/>
  <c r="AF607" i="68"/>
  <c r="AF606" i="68"/>
  <c r="AF605" i="68"/>
  <c r="AF604" i="68"/>
  <c r="AF603" i="68"/>
  <c r="AF602" i="68"/>
  <c r="AF601" i="68"/>
  <c r="AF600" i="68"/>
  <c r="AF599" i="68"/>
  <c r="AF598" i="68"/>
  <c r="AF597" i="68"/>
  <c r="AF596" i="68"/>
  <c r="AF595" i="68"/>
  <c r="AF594" i="68"/>
  <c r="AF593" i="68"/>
  <c r="AF592" i="68"/>
  <c r="AF591" i="68"/>
  <c r="AF590" i="68"/>
  <c r="AF589" i="68"/>
  <c r="AF588" i="68"/>
  <c r="AF587" i="68"/>
  <c r="AF586" i="68"/>
  <c r="W586" i="68"/>
  <c r="AF585" i="68"/>
  <c r="AF584" i="68"/>
  <c r="AF583" i="68"/>
  <c r="AF582" i="68"/>
  <c r="AF581" i="68"/>
  <c r="AF580" i="68"/>
  <c r="AF579" i="68"/>
  <c r="AF578" i="68"/>
  <c r="AF577" i="68"/>
  <c r="W577" i="68"/>
  <c r="AF576" i="68"/>
  <c r="AF575" i="68"/>
  <c r="AF574" i="68"/>
  <c r="AF573" i="68"/>
  <c r="AC573" i="68"/>
  <c r="AF572" i="68"/>
  <c r="AF571" i="68"/>
  <c r="AF570" i="68"/>
  <c r="AF569" i="68"/>
  <c r="W569" i="68"/>
  <c r="AF568" i="68"/>
  <c r="AF567" i="68"/>
  <c r="AF566" i="68"/>
  <c r="AF565" i="68"/>
  <c r="AC565" i="68"/>
  <c r="AF564" i="68"/>
  <c r="AF563" i="68"/>
  <c r="AF562" i="68"/>
  <c r="AF561" i="68"/>
  <c r="AC561" i="68"/>
  <c r="AF560" i="68"/>
  <c r="AF559" i="68"/>
  <c r="AF558" i="68"/>
  <c r="AF557" i="68"/>
  <c r="AC557" i="68"/>
  <c r="AF556" i="68"/>
  <c r="AF555" i="68"/>
  <c r="AF554" i="68"/>
  <c r="AF553" i="68"/>
  <c r="W553" i="68"/>
  <c r="AF552" i="68"/>
  <c r="AF551" i="68"/>
  <c r="R551" i="68"/>
  <c r="Q551" i="68"/>
  <c r="P551" i="68"/>
  <c r="O551" i="68"/>
  <c r="N551" i="68"/>
  <c r="M551" i="68"/>
  <c r="L551" i="68"/>
  <c r="K551" i="68"/>
  <c r="J551" i="68"/>
  <c r="I551" i="68"/>
  <c r="H551" i="68"/>
  <c r="G551" i="68"/>
  <c r="F551" i="68"/>
  <c r="V550" i="68"/>
  <c r="AB548" i="68"/>
  <c r="V545" i="68"/>
  <c r="AF543" i="68"/>
  <c r="AF542" i="68"/>
  <c r="AF541" i="68"/>
  <c r="AF540" i="68"/>
  <c r="AF539" i="68"/>
  <c r="AF538" i="68"/>
  <c r="X538" i="68"/>
  <c r="AF537" i="68"/>
  <c r="X537" i="68"/>
  <c r="Z537" i="68" s="1"/>
  <c r="AF536" i="68"/>
  <c r="AF535" i="68"/>
  <c r="AF534" i="68"/>
  <c r="AF533" i="68"/>
  <c r="X533" i="68"/>
  <c r="AF532" i="68"/>
  <c r="AF531" i="68"/>
  <c r="AF530" i="68"/>
  <c r="AF529" i="68"/>
  <c r="AF528" i="68"/>
  <c r="R528" i="68"/>
  <c r="Q528" i="68"/>
  <c r="P528" i="68"/>
  <c r="O528" i="68"/>
  <c r="N528" i="68"/>
  <c r="M528" i="68"/>
  <c r="L528" i="68"/>
  <c r="K528" i="68"/>
  <c r="J528" i="68"/>
  <c r="I528" i="68"/>
  <c r="H528" i="68"/>
  <c r="G528" i="68"/>
  <c r="F528" i="68"/>
  <c r="AF527" i="68"/>
  <c r="V525" i="68"/>
  <c r="AF524" i="68"/>
  <c r="AF523" i="68"/>
  <c r="AB523" i="68"/>
  <c r="AF522" i="68"/>
  <c r="AF521" i="68"/>
  <c r="AB521" i="68"/>
  <c r="X521" i="68"/>
  <c r="AF520" i="68"/>
  <c r="AF519" i="68"/>
  <c r="AF518" i="68"/>
  <c r="AD517" i="68"/>
  <c r="AF517" i="68" s="1"/>
  <c r="AD516" i="68"/>
  <c r="AF516" i="68" s="1"/>
  <c r="AD515" i="68"/>
  <c r="AF515" i="68" s="1"/>
  <c r="X515" i="68"/>
  <c r="AD514" i="68"/>
  <c r="AF514" i="68" s="1"/>
  <c r="V513" i="68"/>
  <c r="V509" i="68"/>
  <c r="AF508" i="68"/>
  <c r="AF507" i="68"/>
  <c r="AF506" i="68"/>
  <c r="AF505" i="68"/>
  <c r="X505" i="68"/>
  <c r="AF504" i="68"/>
  <c r="AF503" i="68"/>
  <c r="AF502" i="68"/>
  <c r="V501" i="68"/>
  <c r="AF495" i="68"/>
  <c r="AF494" i="68"/>
  <c r="R494" i="68"/>
  <c r="Q494" i="68"/>
  <c r="P494" i="68"/>
  <c r="O494" i="68"/>
  <c r="N494" i="68"/>
  <c r="M494" i="68"/>
  <c r="L494" i="68"/>
  <c r="K494" i="68"/>
  <c r="J494" i="68"/>
  <c r="I494" i="68"/>
  <c r="H494" i="68"/>
  <c r="G494" i="68"/>
  <c r="F494" i="68"/>
  <c r="AD493" i="68"/>
  <c r="AF493" i="68" s="1"/>
  <c r="AD492" i="68"/>
  <c r="AF492" i="68" s="1"/>
  <c r="AD491" i="68"/>
  <c r="AF491" i="68" s="1"/>
  <c r="AD490" i="68"/>
  <c r="AF490" i="68" s="1"/>
  <c r="AD489" i="68"/>
  <c r="AF489" i="68" s="1"/>
  <c r="AD488" i="68"/>
  <c r="AF488" i="68" s="1"/>
  <c r="AD487" i="68"/>
  <c r="AF487" i="68" s="1"/>
  <c r="X487" i="68"/>
  <c r="AB487" i="68" s="1"/>
  <c r="AD486" i="68"/>
  <c r="AF486" i="68" s="1"/>
  <c r="AD485" i="68"/>
  <c r="AF485" i="68" s="1"/>
  <c r="X485" i="68"/>
  <c r="AB485" i="68" s="1"/>
  <c r="AD484" i="68"/>
  <c r="AF484" i="68" s="1"/>
  <c r="AD483" i="68"/>
  <c r="AF483" i="68" s="1"/>
  <c r="AD482" i="68"/>
  <c r="AF482" i="68" s="1"/>
  <c r="AD481" i="68"/>
  <c r="AF481" i="68" s="1"/>
  <c r="AD480" i="68"/>
  <c r="AF480" i="68" s="1"/>
  <c r="AF479" i="68"/>
  <c r="V473" i="68"/>
  <c r="AD473" i="68" s="1"/>
  <c r="V461" i="68"/>
  <c r="AD461" i="68" s="1"/>
  <c r="AF461" i="68" s="1"/>
  <c r="V455" i="68"/>
  <c r="AF442" i="68"/>
  <c r="AF441" i="68"/>
  <c r="AF440" i="68"/>
  <c r="AD437" i="68"/>
  <c r="V431" i="68"/>
  <c r="V429" i="68"/>
  <c r="V425" i="68"/>
  <c r="AF417" i="68"/>
  <c r="AF416" i="68"/>
  <c r="AF415" i="68"/>
  <c r="AF414" i="68"/>
  <c r="R414" i="68"/>
  <c r="Q414" i="68"/>
  <c r="P414" i="68"/>
  <c r="O414" i="68"/>
  <c r="N414" i="68"/>
  <c r="M414" i="68"/>
  <c r="L414" i="68"/>
  <c r="K414" i="68"/>
  <c r="J414" i="68"/>
  <c r="I414" i="68"/>
  <c r="H414" i="68"/>
  <c r="G414" i="68"/>
  <c r="F414" i="68"/>
  <c r="V413" i="68"/>
  <c r="AF409" i="68"/>
  <c r="AF408" i="68"/>
  <c r="R408" i="68"/>
  <c r="R416" i="68" s="1"/>
  <c r="Q408" i="68"/>
  <c r="Q416" i="68" s="1"/>
  <c r="P408" i="68"/>
  <c r="P416" i="68" s="1"/>
  <c r="O408" i="68"/>
  <c r="O416" i="68" s="1"/>
  <c r="N408" i="68"/>
  <c r="N416" i="68" s="1"/>
  <c r="M408" i="68"/>
  <c r="M416" i="68" s="1"/>
  <c r="L408" i="68"/>
  <c r="L416" i="68" s="1"/>
  <c r="K408" i="68"/>
  <c r="K416" i="68" s="1"/>
  <c r="J408" i="68"/>
  <c r="J416" i="68" s="1"/>
  <c r="I408" i="68"/>
  <c r="I416" i="68" s="1"/>
  <c r="H408" i="68"/>
  <c r="G408" i="68"/>
  <c r="G416" i="68" s="1"/>
  <c r="F408" i="68"/>
  <c r="F416" i="68" s="1"/>
  <c r="AF407" i="68"/>
  <c r="AF406" i="68"/>
  <c r="AF405" i="68"/>
  <c r="AB405" i="68"/>
  <c r="X405" i="68"/>
  <c r="AF404" i="68"/>
  <c r="AF403" i="68"/>
  <c r="AF402" i="68"/>
  <c r="AF401" i="68"/>
  <c r="AF400" i="68"/>
  <c r="AD399" i="68"/>
  <c r="AF399" i="68" s="1"/>
  <c r="V395" i="68"/>
  <c r="V391" i="68"/>
  <c r="AF385" i="68"/>
  <c r="AF384" i="68"/>
  <c r="AF383" i="68"/>
  <c r="AF382" i="68"/>
  <c r="AF381" i="68"/>
  <c r="R381" i="68"/>
  <c r="Q381" i="68"/>
  <c r="P381" i="68"/>
  <c r="O381" i="68"/>
  <c r="N381" i="68"/>
  <c r="M381" i="68"/>
  <c r="L381" i="68"/>
  <c r="K381" i="68"/>
  <c r="J381" i="68"/>
  <c r="I381" i="68"/>
  <c r="H381" i="68"/>
  <c r="G381" i="68"/>
  <c r="F381" i="68"/>
  <c r="AF380" i="68"/>
  <c r="AF379" i="68"/>
  <c r="AF378" i="68"/>
  <c r="AC378" i="68"/>
  <c r="AF377" i="68"/>
  <c r="AF376" i="68"/>
  <c r="AF375" i="68"/>
  <c r="AF374" i="68"/>
  <c r="AF373" i="68"/>
  <c r="AF372" i="68"/>
  <c r="AF371" i="68"/>
  <c r="AF370" i="68"/>
  <c r="AF369" i="68"/>
  <c r="AF368" i="68"/>
  <c r="AF367" i="68"/>
  <c r="AF366" i="68"/>
  <c r="R366" i="68"/>
  <c r="Q366" i="68"/>
  <c r="P366" i="68"/>
  <c r="O366" i="68"/>
  <c r="N366" i="68"/>
  <c r="M366" i="68"/>
  <c r="L366" i="68"/>
  <c r="K366" i="68"/>
  <c r="J366" i="68"/>
  <c r="I366" i="68"/>
  <c r="H366" i="68"/>
  <c r="G366" i="68"/>
  <c r="F366" i="68"/>
  <c r="AF365" i="68"/>
  <c r="AC365" i="68"/>
  <c r="W365" i="68"/>
  <c r="AF364" i="68"/>
  <c r="AF363" i="68"/>
  <c r="AF362" i="68"/>
  <c r="AF361" i="68"/>
  <c r="AC361" i="68"/>
  <c r="AF360" i="68"/>
  <c r="AF359" i="68"/>
  <c r="AF358" i="68"/>
  <c r="AF357" i="68"/>
  <c r="AC357" i="68"/>
  <c r="W357" i="68"/>
  <c r="AF356" i="68"/>
  <c r="AF355" i="68"/>
  <c r="AF354" i="68"/>
  <c r="AF353" i="68"/>
  <c r="AF352" i="68"/>
  <c r="R352" i="68"/>
  <c r="Q352" i="68"/>
  <c r="P352" i="68"/>
  <c r="O352" i="68"/>
  <c r="N352" i="68"/>
  <c r="M352" i="68"/>
  <c r="L352" i="68"/>
  <c r="K352" i="68"/>
  <c r="J352" i="68"/>
  <c r="I352" i="68"/>
  <c r="H352" i="68"/>
  <c r="G352" i="68"/>
  <c r="F352" i="68"/>
  <c r="AF351" i="68"/>
  <c r="AF350" i="68"/>
  <c r="AF349" i="68"/>
  <c r="R349" i="68"/>
  <c r="Q349" i="68"/>
  <c r="P349" i="68"/>
  <c r="O349" i="68"/>
  <c r="N349" i="68"/>
  <c r="M349" i="68"/>
  <c r="L349" i="68"/>
  <c r="K349" i="68"/>
  <c r="J349" i="68"/>
  <c r="I349" i="68"/>
  <c r="H349" i="68"/>
  <c r="G349" i="68"/>
  <c r="F349" i="68"/>
  <c r="AF348" i="68"/>
  <c r="AF347" i="68"/>
  <c r="AF346" i="68"/>
  <c r="AF345" i="68"/>
  <c r="AF344" i="68"/>
  <c r="AF343" i="68"/>
  <c r="AF342" i="68"/>
  <c r="AF341" i="68"/>
  <c r="AF340" i="68"/>
  <c r="AF339" i="68"/>
  <c r="AF338" i="68"/>
  <c r="AF337" i="68"/>
  <c r="AF336" i="68"/>
  <c r="R336" i="68"/>
  <c r="Q336" i="68"/>
  <c r="P336" i="68"/>
  <c r="O336" i="68"/>
  <c r="N336" i="68"/>
  <c r="M336" i="68"/>
  <c r="L336" i="68"/>
  <c r="K336" i="68"/>
  <c r="J336" i="68"/>
  <c r="I336" i="68"/>
  <c r="H336" i="68"/>
  <c r="G336" i="68"/>
  <c r="F336" i="68"/>
  <c r="AF335" i="68"/>
  <c r="W335" i="68"/>
  <c r="AF334" i="68"/>
  <c r="W334" i="68"/>
  <c r="AF333" i="68"/>
  <c r="AC333" i="68"/>
  <c r="W333" i="68"/>
  <c r="AF332" i="68"/>
  <c r="AF331" i="68"/>
  <c r="AF330" i="68"/>
  <c r="W330" i="68"/>
  <c r="AF329" i="68"/>
  <c r="W329" i="68"/>
  <c r="AF328" i="68"/>
  <c r="AF327" i="68"/>
  <c r="AF326" i="68"/>
  <c r="AF325" i="68"/>
  <c r="AF324" i="68"/>
  <c r="AF323" i="68"/>
  <c r="AF322" i="68"/>
  <c r="AC322" i="68"/>
  <c r="AF321" i="68"/>
  <c r="AF320" i="68"/>
  <c r="AF319" i="68"/>
  <c r="AF318" i="68"/>
  <c r="AF317" i="68"/>
  <c r="AC317" i="68"/>
  <c r="AF316" i="68"/>
  <c r="AF315" i="68"/>
  <c r="AC315" i="68"/>
  <c r="AF314" i="68"/>
  <c r="AF313" i="68"/>
  <c r="R313" i="68"/>
  <c r="Q313" i="68"/>
  <c r="P313" i="68"/>
  <c r="O313" i="68"/>
  <c r="N313" i="68"/>
  <c r="M313" i="68"/>
  <c r="L313" i="68"/>
  <c r="K313" i="68"/>
  <c r="J313" i="68"/>
  <c r="I313" i="68"/>
  <c r="H313" i="68"/>
  <c r="G313" i="68"/>
  <c r="F313" i="68"/>
  <c r="AF312" i="68"/>
  <c r="AF311" i="68"/>
  <c r="AF310" i="68"/>
  <c r="AF309" i="68"/>
  <c r="AF308" i="68"/>
  <c r="AF307" i="68"/>
  <c r="AF306" i="68"/>
  <c r="AF305" i="68"/>
  <c r="AF304" i="68"/>
  <c r="AF303" i="68"/>
  <c r="AF302" i="68"/>
  <c r="AF301" i="68"/>
  <c r="AF300" i="68"/>
  <c r="AF299" i="68"/>
  <c r="R299" i="68"/>
  <c r="Q299" i="68"/>
  <c r="P299" i="68"/>
  <c r="O299" i="68"/>
  <c r="N299" i="68"/>
  <c r="M299" i="68"/>
  <c r="L299" i="68"/>
  <c r="K299" i="68"/>
  <c r="J299" i="68"/>
  <c r="I299" i="68"/>
  <c r="H299" i="68"/>
  <c r="G299" i="68"/>
  <c r="F299" i="68"/>
  <c r="AF298" i="68"/>
  <c r="AF297" i="68"/>
  <c r="W297" i="68"/>
  <c r="AF296" i="68"/>
  <c r="AF295" i="68"/>
  <c r="AF294" i="68"/>
  <c r="R294" i="68"/>
  <c r="Q294" i="68"/>
  <c r="P294" i="68"/>
  <c r="O294" i="68"/>
  <c r="N294" i="68"/>
  <c r="M294" i="68"/>
  <c r="L294" i="68"/>
  <c r="K294" i="68"/>
  <c r="J294" i="68"/>
  <c r="I294" i="68"/>
  <c r="H294" i="68"/>
  <c r="G294" i="68"/>
  <c r="F294" i="68"/>
  <c r="AF293" i="68"/>
  <c r="W293" i="68"/>
  <c r="AF292" i="68"/>
  <c r="AC292" i="68"/>
  <c r="AF291" i="68"/>
  <c r="AF290" i="68"/>
  <c r="AF289" i="68"/>
  <c r="AF288" i="68"/>
  <c r="AF287" i="68"/>
  <c r="AF286" i="68"/>
  <c r="AF285" i="68"/>
  <c r="AF284" i="68"/>
  <c r="W284" i="68"/>
  <c r="AF283" i="68"/>
  <c r="AF282" i="68"/>
  <c r="AF281" i="68"/>
  <c r="AF280" i="68"/>
  <c r="AF279" i="68"/>
  <c r="AF278" i="68"/>
  <c r="AF277" i="68"/>
  <c r="AF276" i="68"/>
  <c r="AF275" i="68"/>
  <c r="AF274" i="68"/>
  <c r="R274" i="68"/>
  <c r="Q274" i="68"/>
  <c r="P274" i="68"/>
  <c r="O274" i="68"/>
  <c r="N274" i="68"/>
  <c r="M274" i="68"/>
  <c r="L274" i="68"/>
  <c r="K274" i="68"/>
  <c r="J274" i="68"/>
  <c r="I274" i="68"/>
  <c r="H274" i="68"/>
  <c r="G274" i="68"/>
  <c r="F274" i="68"/>
  <c r="AF273" i="68"/>
  <c r="AC273" i="68"/>
  <c r="AF272" i="68"/>
  <c r="AF271" i="68"/>
  <c r="AF270" i="68"/>
  <c r="AF269" i="68"/>
  <c r="AF268" i="68"/>
  <c r="R268" i="68"/>
  <c r="Q268" i="68"/>
  <c r="P268" i="68"/>
  <c r="O268" i="68"/>
  <c r="N268" i="68"/>
  <c r="M268" i="68"/>
  <c r="L268" i="68"/>
  <c r="K268" i="68"/>
  <c r="J268" i="68"/>
  <c r="I268" i="68"/>
  <c r="H268" i="68"/>
  <c r="G268" i="68"/>
  <c r="F268" i="68"/>
  <c r="AF267" i="68"/>
  <c r="AB267" i="68"/>
  <c r="X267" i="68"/>
  <c r="AF266" i="68"/>
  <c r="AF265" i="68"/>
  <c r="AF264" i="68"/>
  <c r="AF263" i="68"/>
  <c r="AF262" i="68"/>
  <c r="AF261" i="68"/>
  <c r="AF260" i="68"/>
  <c r="AF259" i="68"/>
  <c r="AF258" i="68"/>
  <c r="AF257" i="68"/>
  <c r="AF256" i="68"/>
  <c r="AF255" i="68"/>
  <c r="AF254" i="68"/>
  <c r="AB253" i="68"/>
  <c r="AF251" i="68"/>
  <c r="AF247" i="68"/>
  <c r="X247" i="68"/>
  <c r="AF246" i="68"/>
  <c r="AF245" i="68"/>
  <c r="U241" i="68"/>
  <c r="U237" i="68"/>
  <c r="U235" i="68"/>
  <c r="AD235" i="68" s="1"/>
  <c r="AF235" i="68" s="1"/>
  <c r="U233" i="68"/>
  <c r="U223" i="68"/>
  <c r="AD223" i="68" s="1"/>
  <c r="AF223" i="68" s="1"/>
  <c r="U217" i="68"/>
  <c r="U216" i="68"/>
  <c r="U213" i="68"/>
  <c r="U211" i="68"/>
  <c r="AD211" i="68" s="1"/>
  <c r="AF210" i="68"/>
  <c r="AF209" i="68"/>
  <c r="R209" i="68"/>
  <c r="Q209" i="68"/>
  <c r="P209" i="68"/>
  <c r="O209" i="68"/>
  <c r="N209" i="68"/>
  <c r="M209" i="68"/>
  <c r="L209" i="68"/>
  <c r="K209" i="68"/>
  <c r="J209" i="68"/>
  <c r="I209" i="68"/>
  <c r="H209" i="68"/>
  <c r="G209" i="68"/>
  <c r="F209" i="68"/>
  <c r="AF208" i="68"/>
  <c r="AF207" i="68"/>
  <c r="AF206" i="68"/>
  <c r="R206" i="68"/>
  <c r="Q206" i="68"/>
  <c r="P206" i="68"/>
  <c r="O206" i="68"/>
  <c r="N206" i="68"/>
  <c r="M206" i="68"/>
  <c r="L206" i="68"/>
  <c r="K206" i="68"/>
  <c r="J206" i="68"/>
  <c r="I206" i="68"/>
  <c r="H206" i="68"/>
  <c r="G206" i="68"/>
  <c r="F206" i="68"/>
  <c r="AF205" i="68"/>
  <c r="AC205" i="68"/>
  <c r="AF204" i="68"/>
  <c r="AF203" i="68"/>
  <c r="AF202" i="68"/>
  <c r="AF201" i="68"/>
  <c r="AF200" i="68"/>
  <c r="AF199" i="68"/>
  <c r="AF198" i="68"/>
  <c r="AF197" i="68"/>
  <c r="AC197" i="68"/>
  <c r="W197" i="68"/>
  <c r="AF196" i="68"/>
  <c r="AF195" i="68"/>
  <c r="AF194" i="68"/>
  <c r="AF193" i="68"/>
  <c r="AC193" i="68"/>
  <c r="AF192" i="68"/>
  <c r="AF191" i="68"/>
  <c r="AF190" i="68"/>
  <c r="U189" i="68"/>
  <c r="AF189" i="68" s="1"/>
  <c r="AD187" i="68"/>
  <c r="AF187" i="68" s="1"/>
  <c r="U185" i="68"/>
  <c r="AD185" i="68" s="1"/>
  <c r="AD183" i="68"/>
  <c r="AF183" i="68" s="1"/>
  <c r="AD181" i="68"/>
  <c r="AD177" i="68"/>
  <c r="AD174" i="68"/>
  <c r="AF174" i="68" s="1"/>
  <c r="AF173" i="68"/>
  <c r="AF172" i="68"/>
  <c r="R172" i="68"/>
  <c r="Q172" i="68"/>
  <c r="P172" i="68"/>
  <c r="O172" i="68"/>
  <c r="N172" i="68"/>
  <c r="M172" i="68"/>
  <c r="L172" i="68"/>
  <c r="K172" i="68"/>
  <c r="J172" i="68"/>
  <c r="I172" i="68"/>
  <c r="H172" i="68"/>
  <c r="G172" i="68"/>
  <c r="F172" i="68"/>
  <c r="U171" i="68"/>
  <c r="AD171" i="68" s="1"/>
  <c r="U167" i="68"/>
  <c r="AD167" i="68" s="1"/>
  <c r="AF167" i="68" s="1"/>
  <c r="U166" i="68"/>
  <c r="U163" i="68"/>
  <c r="AD163" i="68" s="1"/>
  <c r="AF163" i="68" s="1"/>
  <c r="AF161" i="68"/>
  <c r="AF160" i="68"/>
  <c r="R160" i="68"/>
  <c r="Q160" i="68"/>
  <c r="P160" i="68"/>
  <c r="O160" i="68"/>
  <c r="N160" i="68"/>
  <c r="M160" i="68"/>
  <c r="L160" i="68"/>
  <c r="K160" i="68"/>
  <c r="J160" i="68"/>
  <c r="I160" i="68"/>
  <c r="H160" i="68"/>
  <c r="G160" i="68"/>
  <c r="F160" i="68"/>
  <c r="U158" i="68"/>
  <c r="U157" i="68"/>
  <c r="U153" i="68"/>
  <c r="U149" i="68"/>
  <c r="U145" i="68"/>
  <c r="AF143" i="68"/>
  <c r="AF142" i="68"/>
  <c r="R142" i="68"/>
  <c r="Q142" i="68"/>
  <c r="P142" i="68"/>
  <c r="O142" i="68"/>
  <c r="N142" i="68"/>
  <c r="M142" i="68"/>
  <c r="L142" i="68"/>
  <c r="K142" i="68"/>
  <c r="J142" i="68"/>
  <c r="I142" i="68"/>
  <c r="H142" i="68"/>
  <c r="G142" i="68"/>
  <c r="F142" i="68"/>
  <c r="U141" i="68"/>
  <c r="U134" i="68"/>
  <c r="AD134" i="68" s="1"/>
  <c r="AF134" i="68" s="1"/>
  <c r="U133" i="68"/>
  <c r="AD133" i="68" s="1"/>
  <c r="U121" i="68"/>
  <c r="AD121" i="68" s="1"/>
  <c r="AF117" i="68"/>
  <c r="AF116" i="68"/>
  <c r="AF115" i="68"/>
  <c r="AF114" i="68"/>
  <c r="R114" i="68"/>
  <c r="Q114" i="68"/>
  <c r="P114" i="68"/>
  <c r="O114" i="68"/>
  <c r="N114" i="68"/>
  <c r="M114" i="68"/>
  <c r="L114" i="68"/>
  <c r="K114" i="68"/>
  <c r="J114" i="68"/>
  <c r="I114" i="68"/>
  <c r="H114" i="68"/>
  <c r="G114" i="68"/>
  <c r="F114" i="68"/>
  <c r="U106" i="68"/>
  <c r="U101" i="68"/>
  <c r="AF94" i="68"/>
  <c r="AF93" i="68"/>
  <c r="AF92" i="68"/>
  <c r="AF91" i="68"/>
  <c r="AF90" i="68"/>
  <c r="AF89" i="68"/>
  <c r="R89" i="68"/>
  <c r="Q89" i="68"/>
  <c r="P89" i="68"/>
  <c r="O89" i="68"/>
  <c r="N89" i="68"/>
  <c r="M89" i="68"/>
  <c r="L89" i="68"/>
  <c r="K89" i="68"/>
  <c r="J89" i="68"/>
  <c r="I89" i="68"/>
  <c r="H89" i="68"/>
  <c r="G89" i="68"/>
  <c r="F89" i="68"/>
  <c r="AF88" i="68"/>
  <c r="AF87" i="68"/>
  <c r="AF86" i="68"/>
  <c r="AB86" i="68"/>
  <c r="AF85" i="68"/>
  <c r="AF84" i="68"/>
  <c r="AF83" i="68"/>
  <c r="AF82" i="68"/>
  <c r="AF81" i="68"/>
  <c r="AB81" i="68"/>
  <c r="AF80" i="68"/>
  <c r="AF79" i="68"/>
  <c r="AF78" i="68"/>
  <c r="AF75" i="68"/>
  <c r="AF74" i="68"/>
  <c r="R74" i="68"/>
  <c r="Q74" i="68"/>
  <c r="P74" i="68"/>
  <c r="P93" i="68" s="1"/>
  <c r="O74" i="68"/>
  <c r="N74" i="68"/>
  <c r="M74" i="68"/>
  <c r="L74" i="68"/>
  <c r="L93" i="68" s="1"/>
  <c r="K74" i="68"/>
  <c r="J74" i="68"/>
  <c r="I74" i="68"/>
  <c r="H74" i="68"/>
  <c r="G74" i="68"/>
  <c r="F74" i="68"/>
  <c r="U67" i="68"/>
  <c r="AD67" i="68" s="1"/>
  <c r="AF67" i="68" s="1"/>
  <c r="U65" i="68"/>
  <c r="U63" i="68"/>
  <c r="AD63" i="68" s="1"/>
  <c r="AF63" i="68" s="1"/>
  <c r="AF61" i="68"/>
  <c r="AF60" i="68"/>
  <c r="R60" i="68"/>
  <c r="Q60" i="68"/>
  <c r="P60" i="68"/>
  <c r="O60" i="68"/>
  <c r="N60" i="68"/>
  <c r="M60" i="68"/>
  <c r="L60" i="68"/>
  <c r="K60" i="68"/>
  <c r="J60" i="68"/>
  <c r="I60" i="68"/>
  <c r="H60" i="68"/>
  <c r="G60" i="68"/>
  <c r="F60" i="68"/>
  <c r="U59" i="68"/>
  <c r="AD59" i="68" s="1"/>
  <c r="AF59" i="68" s="1"/>
  <c r="AF58" i="68"/>
  <c r="AF57" i="68"/>
  <c r="R57" i="68"/>
  <c r="Q57" i="68"/>
  <c r="P57" i="68"/>
  <c r="O57" i="68"/>
  <c r="N57" i="68"/>
  <c r="M57" i="68"/>
  <c r="L57" i="68"/>
  <c r="K57" i="68"/>
  <c r="J57" i="68"/>
  <c r="I57" i="68"/>
  <c r="H57" i="68"/>
  <c r="G57" i="68"/>
  <c r="F57" i="68"/>
  <c r="U55" i="68"/>
  <c r="AD55" i="68" s="1"/>
  <c r="U45" i="68"/>
  <c r="AD45" i="68" s="1"/>
  <c r="AF45" i="68" s="1"/>
  <c r="AF43" i="68"/>
  <c r="AF42" i="68"/>
  <c r="R42" i="68"/>
  <c r="Q42" i="68"/>
  <c r="P42" i="68"/>
  <c r="O42" i="68"/>
  <c r="N42" i="68"/>
  <c r="M42" i="68"/>
  <c r="L42" i="68"/>
  <c r="K42" i="68"/>
  <c r="J42" i="68"/>
  <c r="I42" i="68"/>
  <c r="H42" i="68"/>
  <c r="G42" i="68"/>
  <c r="F42" i="68"/>
  <c r="AB41" i="68"/>
  <c r="U41" i="68"/>
  <c r="AF41" i="68" s="1"/>
  <c r="AF40" i="68"/>
  <c r="AF39" i="68"/>
  <c r="AB39" i="68"/>
  <c r="X39" i="68"/>
  <c r="AF38" i="68"/>
  <c r="AF37" i="68"/>
  <c r="AB37" i="68"/>
  <c r="X37" i="68"/>
  <c r="AF36" i="68"/>
  <c r="AF35" i="68"/>
  <c r="F35" i="68"/>
  <c r="AF33" i="68"/>
  <c r="AF32" i="68"/>
  <c r="AF31" i="68"/>
  <c r="AF30" i="68"/>
  <c r="AF29" i="68"/>
  <c r="AF28" i="68"/>
  <c r="R28" i="68"/>
  <c r="Q28" i="68"/>
  <c r="P28" i="68"/>
  <c r="O28" i="68"/>
  <c r="N28" i="68"/>
  <c r="M28" i="68"/>
  <c r="L28" i="68"/>
  <c r="K28" i="68"/>
  <c r="J28" i="68"/>
  <c r="I28" i="68"/>
  <c r="H28" i="68"/>
  <c r="G28" i="68"/>
  <c r="F28" i="68"/>
  <c r="AF27" i="68"/>
  <c r="AF26" i="68"/>
  <c r="AF25" i="68"/>
  <c r="AF24" i="68"/>
  <c r="R24" i="68"/>
  <c r="Q24" i="68"/>
  <c r="P24" i="68"/>
  <c r="O24" i="68"/>
  <c r="N24" i="68"/>
  <c r="M24" i="68"/>
  <c r="L24" i="68"/>
  <c r="K24" i="68"/>
  <c r="J24" i="68"/>
  <c r="I24" i="68"/>
  <c r="H24" i="68"/>
  <c r="G24" i="68"/>
  <c r="F24" i="68"/>
  <c r="AF23" i="68"/>
  <c r="AF22" i="68"/>
  <c r="AF21" i="68"/>
  <c r="AF20" i="68"/>
  <c r="AF19" i="68"/>
  <c r="AF18" i="68"/>
  <c r="R18" i="68"/>
  <c r="Q18" i="68"/>
  <c r="P18" i="68"/>
  <c r="O18" i="68"/>
  <c r="N18" i="68"/>
  <c r="M18" i="68"/>
  <c r="L18" i="68"/>
  <c r="K18" i="68"/>
  <c r="J18" i="68"/>
  <c r="I18" i="68"/>
  <c r="H18" i="68"/>
  <c r="G18" i="68"/>
  <c r="F18" i="68"/>
  <c r="AF17" i="68"/>
  <c r="AB17" i="68"/>
  <c r="X17" i="68"/>
  <c r="AF16" i="68"/>
  <c r="A16" i="68"/>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A144" i="68" s="1"/>
  <c r="A145" i="68" s="1"/>
  <c r="A146" i="68" s="1"/>
  <c r="A147" i="68" s="1"/>
  <c r="A148" i="68" s="1"/>
  <c r="A149" i="68" s="1"/>
  <c r="A150" i="68" s="1"/>
  <c r="A151" i="68" s="1"/>
  <c r="A152" i="68" s="1"/>
  <c r="A153" i="68" s="1"/>
  <c r="A154" i="68" s="1"/>
  <c r="A155" i="68" s="1"/>
  <c r="A156" i="68" s="1"/>
  <c r="A157" i="68" s="1"/>
  <c r="A158" i="68" s="1"/>
  <c r="A159" i="68" s="1"/>
  <c r="A160" i="68" s="1"/>
  <c r="A161" i="68" s="1"/>
  <c r="A162" i="68" s="1"/>
  <c r="A163" i="68" s="1"/>
  <c r="A164" i="68" s="1"/>
  <c r="A165" i="68" s="1"/>
  <c r="A166" i="68" s="1"/>
  <c r="A167" i="68" s="1"/>
  <c r="A168" i="68" s="1"/>
  <c r="A169" i="68" s="1"/>
  <c r="A170" i="68" s="1"/>
  <c r="A171" i="68" s="1"/>
  <c r="A172" i="68" s="1"/>
  <c r="A173" i="68" s="1"/>
  <c r="A174" i="68" s="1"/>
  <c r="A175" i="68" s="1"/>
  <c r="A176" i="68" s="1"/>
  <c r="A177" i="68" s="1"/>
  <c r="A178" i="68" s="1"/>
  <c r="A179" i="68" s="1"/>
  <c r="A180" i="68" s="1"/>
  <c r="A181" i="68" s="1"/>
  <c r="A182" i="68" s="1"/>
  <c r="A183" i="68" s="1"/>
  <c r="A184" i="68" s="1"/>
  <c r="A185" i="68" s="1"/>
  <c r="A186" i="68" s="1"/>
  <c r="A187" i="68" s="1"/>
  <c r="A188" i="68" s="1"/>
  <c r="A189" i="68" s="1"/>
  <c r="A190" i="68" s="1"/>
  <c r="A191" i="68" s="1"/>
  <c r="A192" i="68" s="1"/>
  <c r="A193" i="68" s="1"/>
  <c r="A194" i="68" s="1"/>
  <c r="A195" i="68" s="1"/>
  <c r="A196" i="68" s="1"/>
  <c r="A197" i="68" s="1"/>
  <c r="A198" i="68" s="1"/>
  <c r="A199" i="68" s="1"/>
  <c r="A200" i="68" s="1"/>
  <c r="A201" i="68" s="1"/>
  <c r="A202" i="68" s="1"/>
  <c r="A203" i="68" s="1"/>
  <c r="A204" i="68" s="1"/>
  <c r="A205" i="68" s="1"/>
  <c r="A206" i="68" s="1"/>
  <c r="A207" i="68" s="1"/>
  <c r="A208" i="68" s="1"/>
  <c r="A209" i="68" s="1"/>
  <c r="A210" i="68" s="1"/>
  <c r="A211" i="68" s="1"/>
  <c r="A212" i="68" s="1"/>
  <c r="A213" i="68" s="1"/>
  <c r="A214" i="68" s="1"/>
  <c r="A215" i="68" s="1"/>
  <c r="A216" i="68" s="1"/>
  <c r="A217" i="68" s="1"/>
  <c r="A218" i="68" s="1"/>
  <c r="A219" i="68" s="1"/>
  <c r="A220" i="68" s="1"/>
  <c r="A221" i="68" s="1"/>
  <c r="A222" i="68" s="1"/>
  <c r="A223" i="68" s="1"/>
  <c r="A224" i="68" s="1"/>
  <c r="A225" i="68" s="1"/>
  <c r="A226" i="68" s="1"/>
  <c r="A227" i="68" s="1"/>
  <c r="A228" i="68" s="1"/>
  <c r="A229" i="68" s="1"/>
  <c r="A230" i="68" s="1"/>
  <c r="A231" i="68" s="1"/>
  <c r="A232" i="68" s="1"/>
  <c r="A233" i="68" s="1"/>
  <c r="A234" i="68" s="1"/>
  <c r="A235" i="68" s="1"/>
  <c r="A236" i="68" s="1"/>
  <c r="A237" i="68" s="1"/>
  <c r="A238" i="68" s="1"/>
  <c r="A239" i="68" s="1"/>
  <c r="A240" i="68" s="1"/>
  <c r="A241" i="68" s="1"/>
  <c r="A242" i="68" s="1"/>
  <c r="A243" i="68" s="1"/>
  <c r="A244" i="68" s="1"/>
  <c r="A245" i="68" s="1"/>
  <c r="A246" i="68" s="1"/>
  <c r="A247" i="68" s="1"/>
  <c r="A248" i="68" s="1"/>
  <c r="A249" i="68" s="1"/>
  <c r="A250" i="68" s="1"/>
  <c r="A251" i="68" s="1"/>
  <c r="A252" i="68" s="1"/>
  <c r="A253" i="68" s="1"/>
  <c r="A254" i="68" s="1"/>
  <c r="A255" i="68" s="1"/>
  <c r="A256" i="68" s="1"/>
  <c r="A257" i="68" s="1"/>
  <c r="A258" i="68" s="1"/>
  <c r="A259" i="68" s="1"/>
  <c r="A260" i="68" s="1"/>
  <c r="A261" i="68" s="1"/>
  <c r="A262" i="68" s="1"/>
  <c r="A263" i="68" s="1"/>
  <c r="A264" i="68" s="1"/>
  <c r="A265" i="68" s="1"/>
  <c r="A266" i="68" s="1"/>
  <c r="A267" i="68" s="1"/>
  <c r="A268" i="68" s="1"/>
  <c r="A269" i="68" s="1"/>
  <c r="A270" i="68" s="1"/>
  <c r="A271" i="68" s="1"/>
  <c r="A272" i="68" s="1"/>
  <c r="A273" i="68" s="1"/>
  <c r="A274" i="68" s="1"/>
  <c r="A275" i="68" s="1"/>
  <c r="A276" i="68" s="1"/>
  <c r="A277" i="68" s="1"/>
  <c r="A278" i="68" s="1"/>
  <c r="A279" i="68" s="1"/>
  <c r="A280" i="68" s="1"/>
  <c r="A281" i="68" s="1"/>
  <c r="A282" i="68" s="1"/>
  <c r="A283" i="68" s="1"/>
  <c r="A284" i="68" s="1"/>
  <c r="A285" i="68" s="1"/>
  <c r="A286" i="68" s="1"/>
  <c r="A287" i="68" s="1"/>
  <c r="A288" i="68" s="1"/>
  <c r="A289" i="68" s="1"/>
  <c r="A290" i="68" s="1"/>
  <c r="A291" i="68" s="1"/>
  <c r="A292" i="68" s="1"/>
  <c r="A293" i="68" s="1"/>
  <c r="A294" i="68" s="1"/>
  <c r="A295" i="68" s="1"/>
  <c r="A296" i="68" s="1"/>
  <c r="A297" i="68" s="1"/>
  <c r="A298" i="68" s="1"/>
  <c r="A299" i="68" s="1"/>
  <c r="A300" i="68" s="1"/>
  <c r="A301" i="68" s="1"/>
  <c r="A302" i="68" s="1"/>
  <c r="A303" i="68" s="1"/>
  <c r="A304" i="68" s="1"/>
  <c r="A305" i="68" s="1"/>
  <c r="A306" i="68" s="1"/>
  <c r="A307" i="68" s="1"/>
  <c r="A308" i="68" s="1"/>
  <c r="A309" i="68" s="1"/>
  <c r="A310" i="68" s="1"/>
  <c r="A311" i="68" s="1"/>
  <c r="A312" i="68" s="1"/>
  <c r="A313" i="68" s="1"/>
  <c r="A314" i="68" s="1"/>
  <c r="A315" i="68" s="1"/>
  <c r="A316" i="68" s="1"/>
  <c r="A317" i="68" s="1"/>
  <c r="A318" i="68" s="1"/>
  <c r="A319" i="68" s="1"/>
  <c r="A320" i="68" s="1"/>
  <c r="A321" i="68" s="1"/>
  <c r="A322" i="68" s="1"/>
  <c r="A323" i="68" s="1"/>
  <c r="A324" i="68" s="1"/>
  <c r="A325" i="68" s="1"/>
  <c r="A326" i="68" s="1"/>
  <c r="A327" i="68" s="1"/>
  <c r="A328" i="68" s="1"/>
  <c r="A329" i="68" s="1"/>
  <c r="A330" i="68" s="1"/>
  <c r="A331" i="68" s="1"/>
  <c r="A332" i="68" s="1"/>
  <c r="A333" i="68" s="1"/>
  <c r="A334" i="68" s="1"/>
  <c r="A335" i="68" s="1"/>
  <c r="A336" i="68" s="1"/>
  <c r="A337" i="68" s="1"/>
  <c r="A338" i="68" s="1"/>
  <c r="A339" i="68" s="1"/>
  <c r="A340" i="68" s="1"/>
  <c r="A341" i="68" s="1"/>
  <c r="A342" i="68" s="1"/>
  <c r="A343" i="68" s="1"/>
  <c r="A344" i="68" s="1"/>
  <c r="A345" i="68" s="1"/>
  <c r="A346" i="68" s="1"/>
  <c r="A347" i="68" s="1"/>
  <c r="A348" i="68" s="1"/>
  <c r="A349" i="68" s="1"/>
  <c r="A350" i="68" s="1"/>
  <c r="A351" i="68" s="1"/>
  <c r="A352" i="68" s="1"/>
  <c r="A353" i="68" s="1"/>
  <c r="A354" i="68" s="1"/>
  <c r="A355" i="68" s="1"/>
  <c r="A356" i="68" s="1"/>
  <c r="A357" i="68" s="1"/>
  <c r="A358" i="68" s="1"/>
  <c r="A359" i="68" s="1"/>
  <c r="A360" i="68" s="1"/>
  <c r="A361" i="68" s="1"/>
  <c r="A362" i="68" s="1"/>
  <c r="A363" i="68" s="1"/>
  <c r="A364" i="68" s="1"/>
  <c r="A365" i="68" s="1"/>
  <c r="A366" i="68" s="1"/>
  <c r="A367" i="68" s="1"/>
  <c r="A368" i="68" s="1"/>
  <c r="A369" i="68" s="1"/>
  <c r="A370" i="68" s="1"/>
  <c r="A371" i="68" s="1"/>
  <c r="A372" i="68" s="1"/>
  <c r="A373" i="68" s="1"/>
  <c r="A374" i="68" s="1"/>
  <c r="A375" i="68" s="1"/>
  <c r="A376" i="68" s="1"/>
  <c r="A377" i="68" s="1"/>
  <c r="A378" i="68" s="1"/>
  <c r="A379" i="68" s="1"/>
  <c r="A380" i="68" s="1"/>
  <c r="A381" i="68" s="1"/>
  <c r="A382" i="68" s="1"/>
  <c r="A383" i="68" s="1"/>
  <c r="A384" i="68" s="1"/>
  <c r="A385" i="68" s="1"/>
  <c r="A386" i="68" s="1"/>
  <c r="A387" i="68" s="1"/>
  <c r="A388" i="68" s="1"/>
  <c r="A389" i="68" s="1"/>
  <c r="A390" i="68" s="1"/>
  <c r="A391" i="68" s="1"/>
  <c r="A392" i="68" s="1"/>
  <c r="A393" i="68" s="1"/>
  <c r="A394" i="68" s="1"/>
  <c r="A395" i="68" s="1"/>
  <c r="A396" i="68" s="1"/>
  <c r="A397" i="68" s="1"/>
  <c r="A398" i="68" s="1"/>
  <c r="A399" i="68" s="1"/>
  <c r="A400" i="68" s="1"/>
  <c r="A401" i="68" s="1"/>
  <c r="A402" i="68" s="1"/>
  <c r="A403" i="68" s="1"/>
  <c r="A404" i="68" s="1"/>
  <c r="A405" i="68" s="1"/>
  <c r="A406" i="68" s="1"/>
  <c r="A407" i="68" s="1"/>
  <c r="A408" i="68" s="1"/>
  <c r="A409" i="68" s="1"/>
  <c r="A410" i="68" s="1"/>
  <c r="A411" i="68" s="1"/>
  <c r="A412" i="68" s="1"/>
  <c r="A413" i="68" s="1"/>
  <c r="A414" i="68" s="1"/>
  <c r="A415" i="68" s="1"/>
  <c r="A416" i="68" s="1"/>
  <c r="A417" i="68" s="1"/>
  <c r="A418" i="68" s="1"/>
  <c r="A419" i="68" s="1"/>
  <c r="A420" i="68" s="1"/>
  <c r="A421" i="68" s="1"/>
  <c r="A422" i="68" s="1"/>
  <c r="A423" i="68" s="1"/>
  <c r="A424" i="68" s="1"/>
  <c r="A425" i="68" s="1"/>
  <c r="A426" i="68" s="1"/>
  <c r="A427" i="68" s="1"/>
  <c r="A428" i="68" s="1"/>
  <c r="A429" i="68" s="1"/>
  <c r="A430" i="68" s="1"/>
  <c r="A431" i="68" s="1"/>
  <c r="A432" i="68" s="1"/>
  <c r="A433" i="68" s="1"/>
  <c r="A434" i="68" s="1"/>
  <c r="A435" i="68" s="1"/>
  <c r="A436" i="68" s="1"/>
  <c r="A437" i="68" s="1"/>
  <c r="A438" i="68" s="1"/>
  <c r="A439" i="68" s="1"/>
  <c r="A440" i="68" s="1"/>
  <c r="A441" i="68" s="1"/>
  <c r="A442" i="68" s="1"/>
  <c r="A443" i="68" s="1"/>
  <c r="A444" i="68" s="1"/>
  <c r="A445" i="68" s="1"/>
  <c r="A446" i="68" s="1"/>
  <c r="A447" i="68" s="1"/>
  <c r="A448" i="68" s="1"/>
  <c r="A449" i="68" s="1"/>
  <c r="A450" i="68" s="1"/>
  <c r="A451" i="68" s="1"/>
  <c r="A452" i="68" s="1"/>
  <c r="A453" i="68" s="1"/>
  <c r="A454" i="68" s="1"/>
  <c r="A455" i="68" s="1"/>
  <c r="A456" i="68" s="1"/>
  <c r="A457" i="68" s="1"/>
  <c r="A458" i="68" s="1"/>
  <c r="A459" i="68" s="1"/>
  <c r="A460" i="68" s="1"/>
  <c r="A461" i="68" s="1"/>
  <c r="A462" i="68" s="1"/>
  <c r="A463" i="68" s="1"/>
  <c r="A464" i="68" s="1"/>
  <c r="A465" i="68" s="1"/>
  <c r="A466" i="68" s="1"/>
  <c r="A467" i="68" s="1"/>
  <c r="A468" i="68" s="1"/>
  <c r="A469" i="68" s="1"/>
  <c r="A470" i="68" s="1"/>
  <c r="A471" i="68" s="1"/>
  <c r="A472" i="68" s="1"/>
  <c r="A473" i="68" s="1"/>
  <c r="A474" i="68" s="1"/>
  <c r="A475" i="68" s="1"/>
  <c r="A476" i="68" s="1"/>
  <c r="A477" i="68" s="1"/>
  <c r="A478" i="68" s="1"/>
  <c r="A479" i="68" s="1"/>
  <c r="A480" i="68" s="1"/>
  <c r="A481" i="68" s="1"/>
  <c r="A482" i="68" s="1"/>
  <c r="A483" i="68" s="1"/>
  <c r="A484" i="68" s="1"/>
  <c r="A485" i="68" s="1"/>
  <c r="A486" i="68" s="1"/>
  <c r="A487" i="68" s="1"/>
  <c r="A488" i="68" s="1"/>
  <c r="A489" i="68" s="1"/>
  <c r="A490" i="68" s="1"/>
  <c r="A491" i="68" s="1"/>
  <c r="A492" i="68" s="1"/>
  <c r="A493" i="68" s="1"/>
  <c r="A494" i="68" s="1"/>
  <c r="A495" i="68" s="1"/>
  <c r="A496" i="68" s="1"/>
  <c r="A497" i="68" s="1"/>
  <c r="A498" i="68" s="1"/>
  <c r="A499" i="68" s="1"/>
  <c r="A500" i="68" s="1"/>
  <c r="A501" i="68" s="1"/>
  <c r="A502" i="68" s="1"/>
  <c r="A503" i="68" s="1"/>
  <c r="A504" i="68" s="1"/>
  <c r="A505" i="68" s="1"/>
  <c r="A506" i="68" s="1"/>
  <c r="A507" i="68" s="1"/>
  <c r="A508" i="68" s="1"/>
  <c r="A509" i="68" s="1"/>
  <c r="A510" i="68" s="1"/>
  <c r="A511" i="68" s="1"/>
  <c r="A512" i="68" s="1"/>
  <c r="A513" i="68" s="1"/>
  <c r="A514" i="68" s="1"/>
  <c r="A515" i="68" s="1"/>
  <c r="A516" i="68" s="1"/>
  <c r="A517" i="68" s="1"/>
  <c r="A518" i="68" s="1"/>
  <c r="A519" i="68" s="1"/>
  <c r="A520" i="68" s="1"/>
  <c r="A521" i="68" s="1"/>
  <c r="A522" i="68" s="1"/>
  <c r="A523" i="68" s="1"/>
  <c r="A524" i="68" s="1"/>
  <c r="A525" i="68" s="1"/>
  <c r="A526" i="68" s="1"/>
  <c r="A527" i="68" s="1"/>
  <c r="A528" i="68" s="1"/>
  <c r="A529" i="68" s="1"/>
  <c r="A530" i="68" s="1"/>
  <c r="A531" i="68" s="1"/>
  <c r="A532" i="68" s="1"/>
  <c r="A533" i="68" s="1"/>
  <c r="A534" i="68" s="1"/>
  <c r="A535" i="68" s="1"/>
  <c r="A536" i="68" s="1"/>
  <c r="A537" i="68" s="1"/>
  <c r="A538" i="68" s="1"/>
  <c r="A539" i="68" s="1"/>
  <c r="A540" i="68" s="1"/>
  <c r="A541" i="68" s="1"/>
  <c r="A542" i="68" s="1"/>
  <c r="A543" i="68" s="1"/>
  <c r="A544" i="68" s="1"/>
  <c r="A545" i="68" s="1"/>
  <c r="A546" i="68" s="1"/>
  <c r="A547" i="68" s="1"/>
  <c r="A548" i="68" s="1"/>
  <c r="A549" i="68" s="1"/>
  <c r="A550" i="68" s="1"/>
  <c r="A551" i="68" s="1"/>
  <c r="A552" i="68" s="1"/>
  <c r="A553" i="68" s="1"/>
  <c r="A554" i="68" s="1"/>
  <c r="A555" i="68" s="1"/>
  <c r="A556" i="68" s="1"/>
  <c r="A557" i="68" s="1"/>
  <c r="A558" i="68" s="1"/>
  <c r="A559" i="68" s="1"/>
  <c r="A560" i="68" s="1"/>
  <c r="A561" i="68" s="1"/>
  <c r="A562" i="68" s="1"/>
  <c r="A563" i="68" s="1"/>
  <c r="A564" i="68" s="1"/>
  <c r="A565" i="68" s="1"/>
  <c r="A566" i="68" s="1"/>
  <c r="A567" i="68" s="1"/>
  <c r="A568" i="68" s="1"/>
  <c r="A569" i="68" s="1"/>
  <c r="A570" i="68" s="1"/>
  <c r="A571" i="68" s="1"/>
  <c r="A572" i="68" s="1"/>
  <c r="A573" i="68" s="1"/>
  <c r="A574" i="68" s="1"/>
  <c r="A575" i="68" s="1"/>
  <c r="A576" i="68" s="1"/>
  <c r="A577" i="68" s="1"/>
  <c r="A578" i="68" s="1"/>
  <c r="A579" i="68" s="1"/>
  <c r="A580" i="68" s="1"/>
  <c r="A581" i="68" s="1"/>
  <c r="A582" i="68" s="1"/>
  <c r="A583" i="68" s="1"/>
  <c r="A584" i="68" s="1"/>
  <c r="A585" i="68" s="1"/>
  <c r="A586" i="68" s="1"/>
  <c r="A587" i="68" s="1"/>
  <c r="A588" i="68" s="1"/>
  <c r="A589" i="68" s="1"/>
  <c r="A590" i="68" s="1"/>
  <c r="A591" i="68" s="1"/>
  <c r="A592" i="68" s="1"/>
  <c r="A593" i="68" s="1"/>
  <c r="A594" i="68" s="1"/>
  <c r="A595" i="68" s="1"/>
  <c r="A596" i="68" s="1"/>
  <c r="A597" i="68" s="1"/>
  <c r="A598" i="68" s="1"/>
  <c r="A599" i="68" s="1"/>
  <c r="A600" i="68" s="1"/>
  <c r="A601" i="68" s="1"/>
  <c r="A602" i="68" s="1"/>
  <c r="A603" i="68" s="1"/>
  <c r="A604" i="68" s="1"/>
  <c r="A605" i="68" s="1"/>
  <c r="A606" i="68" s="1"/>
  <c r="A607" i="68" s="1"/>
  <c r="A608" i="68" s="1"/>
  <c r="A609" i="68" s="1"/>
  <c r="A610" i="68" s="1"/>
  <c r="A611" i="68" s="1"/>
  <c r="A612" i="68" s="1"/>
  <c r="A613" i="68" s="1"/>
  <c r="A614" i="68" s="1"/>
  <c r="A615" i="68" s="1"/>
  <c r="A616" i="68" s="1"/>
  <c r="A617" i="68" s="1"/>
  <c r="A618" i="68" s="1"/>
  <c r="A619" i="68" s="1"/>
  <c r="A620" i="68" s="1"/>
  <c r="A621" i="68" s="1"/>
  <c r="A622" i="68" s="1"/>
  <c r="A623" i="68" s="1"/>
  <c r="A624" i="68" s="1"/>
  <c r="A625" i="68" s="1"/>
  <c r="A626" i="68" s="1"/>
  <c r="A627" i="68" s="1"/>
  <c r="A628" i="68" s="1"/>
  <c r="A629" i="68" s="1"/>
  <c r="A630" i="68" s="1"/>
  <c r="A631" i="68" s="1"/>
  <c r="A632" i="68" s="1"/>
  <c r="A633" i="68" s="1"/>
  <c r="A634" i="68" s="1"/>
  <c r="A635" i="68" s="1"/>
  <c r="A636" i="68" s="1"/>
  <c r="A637" i="68" s="1"/>
  <c r="A638" i="68" s="1"/>
  <c r="A639" i="68" s="1"/>
  <c r="A640" i="68" s="1"/>
  <c r="A641" i="68" s="1"/>
  <c r="A642" i="68" s="1"/>
  <c r="AF15" i="68"/>
  <c r="S15" i="62"/>
  <c r="S16" i="62"/>
  <c r="S17" i="62"/>
  <c r="S20" i="62"/>
  <c r="S21" i="62"/>
  <c r="S22" i="62"/>
  <c r="S23" i="62"/>
  <c r="S26" i="62"/>
  <c r="S27" i="62"/>
  <c r="S34" i="62"/>
  <c r="S42" i="62"/>
  <c r="S44" i="62"/>
  <c r="S45" i="62"/>
  <c r="S46" i="62"/>
  <c r="S47" i="62"/>
  <c r="S48" i="62"/>
  <c r="S49" i="62"/>
  <c r="S50" i="62"/>
  <c r="S51" i="62"/>
  <c r="S52" i="62"/>
  <c r="S53" i="62"/>
  <c r="S54" i="62"/>
  <c r="S55" i="62"/>
  <c r="S56" i="62"/>
  <c r="S59" i="62"/>
  <c r="S60" i="62" s="1"/>
  <c r="S62" i="62"/>
  <c r="S63" i="62"/>
  <c r="S64" i="62"/>
  <c r="S65" i="62"/>
  <c r="S66" i="62"/>
  <c r="S67" i="62"/>
  <c r="S68" i="62"/>
  <c r="S69" i="62"/>
  <c r="S70" i="62"/>
  <c r="S71" i="62"/>
  <c r="S72" i="62"/>
  <c r="S73" i="62"/>
  <c r="S76" i="62"/>
  <c r="S77" i="62"/>
  <c r="S79" i="62"/>
  <c r="S80" i="62"/>
  <c r="S81" i="62"/>
  <c r="S82" i="62"/>
  <c r="S83" i="62"/>
  <c r="S84" i="62"/>
  <c r="S85" i="62"/>
  <c r="S86" i="62"/>
  <c r="S87" i="62"/>
  <c r="S88" i="62"/>
  <c r="S91" i="62"/>
  <c r="S94" i="62"/>
  <c r="S95" i="62"/>
  <c r="S96" i="62"/>
  <c r="S97" i="62"/>
  <c r="S98" i="62"/>
  <c r="S99" i="62"/>
  <c r="S100" i="62"/>
  <c r="S101" i="62"/>
  <c r="S102" i="62"/>
  <c r="S103" i="62"/>
  <c r="S104" i="62"/>
  <c r="S105" i="62"/>
  <c r="S106" i="62"/>
  <c r="S107" i="62"/>
  <c r="S108" i="62"/>
  <c r="S109" i="62"/>
  <c r="S110" i="62"/>
  <c r="S111" i="62"/>
  <c r="S112" i="62"/>
  <c r="S113" i="62"/>
  <c r="S118" i="62"/>
  <c r="S119" i="62"/>
  <c r="S120" i="62"/>
  <c r="S121" i="62"/>
  <c r="S122" i="62"/>
  <c r="S123" i="62"/>
  <c r="S124" i="62"/>
  <c r="S125" i="62"/>
  <c r="S126" i="62"/>
  <c r="S127" i="62"/>
  <c r="S128" i="62"/>
  <c r="S129" i="62"/>
  <c r="S130" i="62"/>
  <c r="S131" i="62"/>
  <c r="S132" i="62"/>
  <c r="S133" i="62"/>
  <c r="S134" i="62"/>
  <c r="S135" i="62"/>
  <c r="S136" i="62"/>
  <c r="S137" i="62"/>
  <c r="S138" i="62"/>
  <c r="S139" i="62"/>
  <c r="S140" i="62"/>
  <c r="S141" i="62"/>
  <c r="S144" i="62"/>
  <c r="S145" i="62"/>
  <c r="S146" i="62"/>
  <c r="S147" i="62"/>
  <c r="S148" i="62"/>
  <c r="S149" i="62"/>
  <c r="S150" i="62"/>
  <c r="S151" i="62"/>
  <c r="S152" i="62"/>
  <c r="S153" i="62"/>
  <c r="S154" i="62"/>
  <c r="S155" i="62"/>
  <c r="S156" i="62"/>
  <c r="S157" i="62"/>
  <c r="S158" i="62"/>
  <c r="S159" i="62"/>
  <c r="S162" i="62"/>
  <c r="S163" i="62"/>
  <c r="S164" i="62"/>
  <c r="S165" i="62"/>
  <c r="S166" i="62"/>
  <c r="S167" i="62"/>
  <c r="S168" i="62"/>
  <c r="S169" i="62"/>
  <c r="S170" i="62"/>
  <c r="S171" i="62"/>
  <c r="S174" i="62"/>
  <c r="S175" i="62"/>
  <c r="S176" i="62"/>
  <c r="S177" i="62"/>
  <c r="S178" i="62"/>
  <c r="S179" i="62"/>
  <c r="S180" i="62"/>
  <c r="S181" i="62"/>
  <c r="S182" i="62"/>
  <c r="S183" i="62"/>
  <c r="S184" i="62"/>
  <c r="S185" i="62"/>
  <c r="S186" i="62"/>
  <c r="S187" i="62"/>
  <c r="S188" i="62"/>
  <c r="S190" i="62"/>
  <c r="S191" i="62"/>
  <c r="S193" i="62"/>
  <c r="S194" i="62"/>
  <c r="S195" i="62"/>
  <c r="S196" i="62"/>
  <c r="S197" i="62"/>
  <c r="S198" i="62"/>
  <c r="S199" i="62"/>
  <c r="S200" i="62"/>
  <c r="S201" i="62"/>
  <c r="S202" i="62"/>
  <c r="S203" i="62"/>
  <c r="S204" i="62"/>
  <c r="S205" i="62"/>
  <c r="S208" i="62"/>
  <c r="S209" i="62" s="1"/>
  <c r="S211" i="62"/>
  <c r="S212" i="62"/>
  <c r="S213" i="62"/>
  <c r="S214" i="62"/>
  <c r="S215" i="62"/>
  <c r="S216" i="62"/>
  <c r="S217" i="62"/>
  <c r="S218" i="62"/>
  <c r="S219" i="62"/>
  <c r="S220" i="62"/>
  <c r="S221" i="62"/>
  <c r="S222" i="62"/>
  <c r="S223" i="62"/>
  <c r="S224" i="62"/>
  <c r="S225" i="62"/>
  <c r="S226" i="62"/>
  <c r="S227" i="62"/>
  <c r="S228" i="62"/>
  <c r="S229" i="62"/>
  <c r="S230" i="62"/>
  <c r="S231" i="62"/>
  <c r="S232" i="62"/>
  <c r="S233" i="62"/>
  <c r="S234" i="62"/>
  <c r="S235" i="62"/>
  <c r="S236" i="62"/>
  <c r="S237" i="62"/>
  <c r="S238" i="62"/>
  <c r="S239" i="62"/>
  <c r="S240" i="62"/>
  <c r="S241" i="62"/>
  <c r="S242" i="62"/>
  <c r="S243" i="62"/>
  <c r="S244" i="62"/>
  <c r="S245" i="62"/>
  <c r="S246" i="62"/>
  <c r="S247" i="62"/>
  <c r="S248" i="62"/>
  <c r="S249" i="62"/>
  <c r="S250" i="62"/>
  <c r="S251" i="62"/>
  <c r="S252" i="62"/>
  <c r="S253" i="62"/>
  <c r="S254" i="62"/>
  <c r="S255" i="62"/>
  <c r="S256" i="62"/>
  <c r="S257" i="62"/>
  <c r="S258" i="62"/>
  <c r="S259" i="62"/>
  <c r="S260" i="62"/>
  <c r="S261" i="62"/>
  <c r="S262" i="62"/>
  <c r="S263" i="62"/>
  <c r="S264" i="62"/>
  <c r="S265" i="62"/>
  <c r="S266" i="62"/>
  <c r="S267" i="62"/>
  <c r="S270" i="62"/>
  <c r="S271" i="62"/>
  <c r="S272" i="62"/>
  <c r="S273" i="62"/>
  <c r="S276" i="62"/>
  <c r="S277" i="62"/>
  <c r="S279" i="62"/>
  <c r="S280" i="62"/>
  <c r="S281" i="62"/>
  <c r="S282" i="62"/>
  <c r="S283" i="62"/>
  <c r="S284" i="62"/>
  <c r="S285" i="62"/>
  <c r="S286" i="62"/>
  <c r="S287" i="62"/>
  <c r="S288" i="62"/>
  <c r="S289" i="62"/>
  <c r="S290" i="62"/>
  <c r="S291" i="62"/>
  <c r="S292" i="62"/>
  <c r="S293" i="62"/>
  <c r="S296" i="62"/>
  <c r="S297" i="62"/>
  <c r="S298" i="62"/>
  <c r="S301" i="62"/>
  <c r="S302" i="62"/>
  <c r="S303" i="62"/>
  <c r="S304" i="62"/>
  <c r="S305" i="62"/>
  <c r="S306" i="62"/>
  <c r="S307" i="62"/>
  <c r="S308" i="62"/>
  <c r="S309" i="62"/>
  <c r="S310" i="62"/>
  <c r="S311" i="62"/>
  <c r="S312" i="62"/>
  <c r="S315" i="62"/>
  <c r="S316" i="62"/>
  <c r="S317" i="62"/>
  <c r="S318" i="62"/>
  <c r="S319" i="62"/>
  <c r="S320" i="62"/>
  <c r="S321" i="62"/>
  <c r="S322" i="62"/>
  <c r="S323" i="62"/>
  <c r="S324" i="62"/>
  <c r="S325" i="62"/>
  <c r="S326" i="62"/>
  <c r="S327" i="62"/>
  <c r="S328" i="62"/>
  <c r="S329" i="62"/>
  <c r="S330" i="62"/>
  <c r="S331" i="62"/>
  <c r="S332" i="62"/>
  <c r="S333" i="62"/>
  <c r="S334" i="62"/>
  <c r="S335" i="62"/>
  <c r="S339" i="62"/>
  <c r="S340" i="62"/>
  <c r="S341" i="62"/>
  <c r="S342" i="62"/>
  <c r="S343" i="62"/>
  <c r="S344" i="62"/>
  <c r="S345" i="62"/>
  <c r="S346" i="62"/>
  <c r="S347" i="62"/>
  <c r="S348" i="62"/>
  <c r="S351" i="62"/>
  <c r="S352" i="62" s="1"/>
  <c r="S357" i="62"/>
  <c r="S358" i="62"/>
  <c r="S359" i="62"/>
  <c r="S360" i="62"/>
  <c r="S361" i="62"/>
  <c r="S362" i="62"/>
  <c r="S363" i="62"/>
  <c r="S364" i="62"/>
  <c r="S365" i="62"/>
  <c r="S368" i="62"/>
  <c r="S369" i="62"/>
  <c r="S370" i="62"/>
  <c r="S371" i="62"/>
  <c r="S372" i="62"/>
  <c r="S373" i="62"/>
  <c r="S374" i="62"/>
  <c r="S375" i="62"/>
  <c r="S376" i="62"/>
  <c r="S377" i="62"/>
  <c r="S378" i="62"/>
  <c r="S379" i="62"/>
  <c r="S380" i="62"/>
  <c r="S383" i="62"/>
  <c r="S384" i="62"/>
  <c r="S386" i="62"/>
  <c r="S387" i="62"/>
  <c r="S388" i="62"/>
  <c r="S389" i="62"/>
  <c r="S390" i="62"/>
  <c r="S391" i="62"/>
  <c r="S392" i="62"/>
  <c r="S393" i="62"/>
  <c r="S394" i="62"/>
  <c r="S395" i="62"/>
  <c r="S396" i="62"/>
  <c r="S397" i="62"/>
  <c r="S398" i="62"/>
  <c r="S400" i="62"/>
  <c r="S401" i="62"/>
  <c r="S402" i="62"/>
  <c r="S403" i="62"/>
  <c r="S404" i="62"/>
  <c r="S405" i="62"/>
  <c r="S407" i="62"/>
  <c r="S410" i="62"/>
  <c r="S411" i="62"/>
  <c r="S412" i="62"/>
  <c r="S413" i="62"/>
  <c r="S418" i="62"/>
  <c r="S419" i="62"/>
  <c r="S420" i="62"/>
  <c r="S421" i="62"/>
  <c r="S422" i="62"/>
  <c r="S423" i="62"/>
  <c r="S424" i="62"/>
  <c r="S425" i="62"/>
  <c r="S426" i="62"/>
  <c r="S427" i="62"/>
  <c r="S428" i="62"/>
  <c r="S429" i="62"/>
  <c r="S430" i="62"/>
  <c r="S431" i="62"/>
  <c r="S432" i="62"/>
  <c r="S433" i="62"/>
  <c r="S434" i="62"/>
  <c r="S435" i="62"/>
  <c r="S436" i="62"/>
  <c r="S437" i="62"/>
  <c r="S438" i="62"/>
  <c r="S439" i="62"/>
  <c r="S440" i="62"/>
  <c r="S441" i="62"/>
  <c r="S442" i="62"/>
  <c r="S443" i="62"/>
  <c r="S444" i="62"/>
  <c r="S445" i="62"/>
  <c r="S446" i="62"/>
  <c r="S447" i="62"/>
  <c r="S448" i="62"/>
  <c r="S449" i="62"/>
  <c r="S450" i="62"/>
  <c r="S451" i="62"/>
  <c r="S452" i="62"/>
  <c r="S453" i="62"/>
  <c r="S454" i="62"/>
  <c r="S455" i="62"/>
  <c r="S456" i="62"/>
  <c r="S457" i="62"/>
  <c r="S458" i="62"/>
  <c r="S459" i="62"/>
  <c r="S460" i="62"/>
  <c r="S461" i="62"/>
  <c r="S462" i="62"/>
  <c r="S463" i="62"/>
  <c r="S464" i="62"/>
  <c r="S465" i="62"/>
  <c r="S466" i="62"/>
  <c r="S467" i="62"/>
  <c r="S468" i="62"/>
  <c r="S469" i="62"/>
  <c r="S470" i="62"/>
  <c r="S471" i="62"/>
  <c r="S472" i="62"/>
  <c r="S473" i="62"/>
  <c r="S474" i="62"/>
  <c r="S475" i="62"/>
  <c r="S476" i="62"/>
  <c r="S477" i="62"/>
  <c r="S478" i="62"/>
  <c r="S479" i="62"/>
  <c r="S480" i="62"/>
  <c r="S481" i="62"/>
  <c r="S482" i="62"/>
  <c r="S483" i="62"/>
  <c r="S484" i="62"/>
  <c r="S485" i="62"/>
  <c r="S486" i="62"/>
  <c r="S487" i="62"/>
  <c r="S488" i="62"/>
  <c r="S489" i="62"/>
  <c r="S490" i="62"/>
  <c r="S491" i="62"/>
  <c r="S492" i="62"/>
  <c r="S493" i="62"/>
  <c r="S496" i="62"/>
  <c r="S497" i="62"/>
  <c r="S498" i="62"/>
  <c r="S499" i="62"/>
  <c r="S500" i="62"/>
  <c r="S501" i="62"/>
  <c r="S502" i="62"/>
  <c r="S503" i="62"/>
  <c r="S504" i="62"/>
  <c r="S505" i="62"/>
  <c r="S506" i="62"/>
  <c r="S507" i="62"/>
  <c r="S508" i="62"/>
  <c r="S509" i="62"/>
  <c r="S510" i="62"/>
  <c r="S511" i="62"/>
  <c r="S512" i="62"/>
  <c r="S513" i="62"/>
  <c r="S514" i="62"/>
  <c r="S515" i="62"/>
  <c r="S516" i="62"/>
  <c r="S517" i="62"/>
  <c r="S518" i="62"/>
  <c r="S519" i="62"/>
  <c r="S520" i="62"/>
  <c r="S521" i="62"/>
  <c r="S522" i="62"/>
  <c r="S523" i="62"/>
  <c r="S524" i="62"/>
  <c r="S525" i="62"/>
  <c r="S526" i="62"/>
  <c r="S527" i="62"/>
  <c r="S530" i="62"/>
  <c r="S531" i="62"/>
  <c r="S532" i="62"/>
  <c r="S533" i="62"/>
  <c r="S534" i="62"/>
  <c r="S535" i="62"/>
  <c r="S536" i="62"/>
  <c r="S537" i="62"/>
  <c r="S538" i="62"/>
  <c r="S539" i="62"/>
  <c r="S540" i="62"/>
  <c r="S541" i="62"/>
  <c r="S542" i="62"/>
  <c r="S543" i="62"/>
  <c r="S544" i="62"/>
  <c r="S545" i="62"/>
  <c r="S546" i="62"/>
  <c r="S547" i="62"/>
  <c r="S548" i="62"/>
  <c r="S549" i="62"/>
  <c r="S550" i="62"/>
  <c r="S553" i="62"/>
  <c r="S554" i="62"/>
  <c r="S555" i="62"/>
  <c r="S556" i="62"/>
  <c r="S557" i="62"/>
  <c r="S558" i="62"/>
  <c r="S559" i="62"/>
  <c r="S560" i="62"/>
  <c r="S561" i="62"/>
  <c r="S562" i="62"/>
  <c r="S563" i="62"/>
  <c r="S564" i="62"/>
  <c r="S565" i="62"/>
  <c r="S566" i="62"/>
  <c r="S567" i="62"/>
  <c r="S568" i="62"/>
  <c r="S569" i="62"/>
  <c r="S570" i="62"/>
  <c r="S571" i="62"/>
  <c r="S572" i="62"/>
  <c r="S573" i="62"/>
  <c r="S574" i="62"/>
  <c r="S575" i="62"/>
  <c r="S576" i="62"/>
  <c r="S577" i="62"/>
  <c r="S578" i="62"/>
  <c r="S579" i="62"/>
  <c r="S580" i="62"/>
  <c r="S581" i="62"/>
  <c r="S582" i="62"/>
  <c r="S583" i="62"/>
  <c r="S584" i="62"/>
  <c r="S585" i="62"/>
  <c r="S586" i="62"/>
  <c r="S587" i="62"/>
  <c r="S588" i="62"/>
  <c r="S589" i="62"/>
  <c r="S590" i="62"/>
  <c r="S591" i="62"/>
  <c r="S592" i="62"/>
  <c r="S593" i="62"/>
  <c r="S594" i="62"/>
  <c r="S595" i="62"/>
  <c r="S596" i="62"/>
  <c r="S597" i="62"/>
  <c r="S598" i="62"/>
  <c r="S599" i="62"/>
  <c r="S600" i="62"/>
  <c r="S601" i="62"/>
  <c r="S602" i="62"/>
  <c r="S603" i="62"/>
  <c r="S604" i="62"/>
  <c r="S605" i="62"/>
  <c r="S606" i="62"/>
  <c r="S607" i="62"/>
  <c r="S608" i="62"/>
  <c r="S609" i="62"/>
  <c r="S610" i="62"/>
  <c r="S611" i="62"/>
  <c r="S612" i="62"/>
  <c r="S613" i="62"/>
  <c r="S614" i="62"/>
  <c r="S615" i="62"/>
  <c r="S616" i="62"/>
  <c r="S617" i="62"/>
  <c r="S618" i="62"/>
  <c r="S621" i="62"/>
  <c r="S622" i="62"/>
  <c r="S623" i="62"/>
  <c r="S624" i="62"/>
  <c r="S625" i="62"/>
  <c r="S626" i="62"/>
  <c r="S627" i="62"/>
  <c r="S628" i="62"/>
  <c r="S629" i="62"/>
  <c r="S630" i="62"/>
  <c r="S631" i="62"/>
  <c r="W318" i="68" l="1"/>
  <c r="W326" i="68"/>
  <c r="AA534" i="68"/>
  <c r="AB542" i="68"/>
  <c r="S18" i="68"/>
  <c r="W280" i="68"/>
  <c r="W288" i="68"/>
  <c r="AC304" i="68"/>
  <c r="AC360" i="68"/>
  <c r="S24" i="68"/>
  <c r="S74" i="68"/>
  <c r="S93" i="68" s="1"/>
  <c r="S116" i="68" s="1"/>
  <c r="S89" i="68"/>
  <c r="S114" i="68"/>
  <c r="W204" i="68"/>
  <c r="F93" i="68"/>
  <c r="F116" i="68" s="1"/>
  <c r="N93" i="68"/>
  <c r="N116" i="68" s="1"/>
  <c r="AC599" i="68"/>
  <c r="AD243" i="68"/>
  <c r="AF243" i="68" s="1"/>
  <c r="AC291" i="68"/>
  <c r="AB541" i="68"/>
  <c r="AC595" i="68"/>
  <c r="S336" i="68"/>
  <c r="X15" i="68"/>
  <c r="J93" i="68"/>
  <c r="J116" i="68" s="1"/>
  <c r="R93" i="68"/>
  <c r="R116" i="68" s="1"/>
  <c r="AC348" i="68"/>
  <c r="X85" i="68"/>
  <c r="AB532" i="68"/>
  <c r="W611" i="68"/>
  <c r="W629" i="68"/>
  <c r="AC195" i="68"/>
  <c r="AC559" i="68"/>
  <c r="S24" i="62"/>
  <c r="S18" i="62"/>
  <c r="S494" i="62"/>
  <c r="S299" i="62"/>
  <c r="S366" i="62"/>
  <c r="S28" i="62"/>
  <c r="S30" i="62" s="1"/>
  <c r="L116" i="68"/>
  <c r="P116" i="68"/>
  <c r="O93" i="68"/>
  <c r="O116" i="68" s="1"/>
  <c r="W562" i="68"/>
  <c r="W594" i="68"/>
  <c r="W614" i="68"/>
  <c r="S299" i="68"/>
  <c r="S294" i="68"/>
  <c r="AB248" i="62"/>
  <c r="X248" i="62"/>
  <c r="G30" i="68"/>
  <c r="G32" i="68" s="1"/>
  <c r="K30" i="68"/>
  <c r="O30" i="68"/>
  <c r="O32" i="68" s="1"/>
  <c r="O354" i="68" s="1"/>
  <c r="AB40" i="68"/>
  <c r="U76" i="68"/>
  <c r="AF76" i="68" s="1"/>
  <c r="H93" i="68"/>
  <c r="H116" i="68" s="1"/>
  <c r="W296" i="68"/>
  <c r="W272" i="68"/>
  <c r="S336" i="62"/>
  <c r="S160" i="62"/>
  <c r="H30" i="68"/>
  <c r="L30" i="68"/>
  <c r="P30" i="68"/>
  <c r="P32" i="68" s="1"/>
  <c r="P354" i="68" s="1"/>
  <c r="AC310" i="68"/>
  <c r="W376" i="68"/>
  <c r="AC566" i="68"/>
  <c r="W578" i="68"/>
  <c r="AC606" i="68"/>
  <c r="S42" i="68"/>
  <c r="AB177" i="62"/>
  <c r="X177" i="62"/>
  <c r="S114" i="62"/>
  <c r="S57" i="62"/>
  <c r="L32" i="68"/>
  <c r="L354" i="68" s="1"/>
  <c r="X182" i="68"/>
  <c r="AB182" i="68"/>
  <c r="S206" i="68"/>
  <c r="X174" i="68"/>
  <c r="S551" i="62"/>
  <c r="S528" i="62"/>
  <c r="S349" i="62"/>
  <c r="S313" i="62"/>
  <c r="S268" i="62"/>
  <c r="AB188" i="62"/>
  <c r="X188" i="62"/>
  <c r="X184" i="62"/>
  <c r="AB184" i="62"/>
  <c r="X180" i="62"/>
  <c r="AB180" i="62"/>
  <c r="AB176" i="62"/>
  <c r="X176" i="62"/>
  <c r="S142" i="62"/>
  <c r="S74" i="62"/>
  <c r="G93" i="68"/>
  <c r="G116" i="68" s="1"/>
  <c r="K93" i="68"/>
  <c r="K116" i="68" s="1"/>
  <c r="U96" i="68"/>
  <c r="W290" i="68"/>
  <c r="AF510" i="68"/>
  <c r="W558" i="68"/>
  <c r="W574" i="68"/>
  <c r="W602" i="68"/>
  <c r="W610" i="68"/>
  <c r="W624" i="68"/>
  <c r="AB84" i="68"/>
  <c r="X183" i="68"/>
  <c r="AB183" i="68"/>
  <c r="AB187" i="68"/>
  <c r="X187" i="68"/>
  <c r="X175" i="68"/>
  <c r="X181" i="62"/>
  <c r="AB181" i="62"/>
  <c r="S619" i="62"/>
  <c r="S408" i="62"/>
  <c r="S274" i="62"/>
  <c r="S206" i="62"/>
  <c r="X187" i="62"/>
  <c r="AB187" i="62"/>
  <c r="X183" i="62"/>
  <c r="AB183" i="62"/>
  <c r="AB175" i="62"/>
  <c r="X175" i="62"/>
  <c r="S172" i="62"/>
  <c r="S89" i="62"/>
  <c r="X88" i="68"/>
  <c r="W194" i="68"/>
  <c r="W208" i="68"/>
  <c r="W306" i="68"/>
  <c r="H416" i="68"/>
  <c r="X522" i="68"/>
  <c r="W554" i="68"/>
  <c r="W570" i="68"/>
  <c r="W582" i="68"/>
  <c r="W590" i="68"/>
  <c r="W598" i="68"/>
  <c r="AC628" i="68"/>
  <c r="H634" i="68"/>
  <c r="L634" i="68"/>
  <c r="P634" i="68"/>
  <c r="S209" i="68"/>
  <c r="AB176" i="68"/>
  <c r="X176" i="68"/>
  <c r="AB180" i="68"/>
  <c r="X180" i="68"/>
  <c r="AD184" i="68"/>
  <c r="AB184" i="68"/>
  <c r="X184" i="68"/>
  <c r="X188" i="68"/>
  <c r="AB188" i="68"/>
  <c r="S268" i="68"/>
  <c r="S349" i="68"/>
  <c r="S408" i="68"/>
  <c r="S414" i="68"/>
  <c r="S416" i="68" s="1"/>
  <c r="S528" i="68"/>
  <c r="S632" i="62"/>
  <c r="S414" i="62"/>
  <c r="S381" i="62"/>
  <c r="S294" i="62"/>
  <c r="AB182" i="62"/>
  <c r="X182" i="62"/>
  <c r="AB174" i="62"/>
  <c r="X174" i="62"/>
  <c r="K32" i="68"/>
  <c r="K354" i="68" s="1"/>
  <c r="AC302" i="68"/>
  <c r="S57" i="68"/>
  <c r="AB177" i="68"/>
  <c r="X177" i="68"/>
  <c r="X181" i="68"/>
  <c r="AB181" i="68"/>
  <c r="S494" i="68"/>
  <c r="S551" i="68"/>
  <c r="S619" i="68"/>
  <c r="S632" i="68"/>
  <c r="AC625" i="68"/>
  <c r="AC621" i="68"/>
  <c r="AC583" i="68"/>
  <c r="W607" i="68"/>
  <c r="AC579" i="68"/>
  <c r="W567" i="68"/>
  <c r="W591" i="68"/>
  <c r="W563" i="68"/>
  <c r="W615" i="68"/>
  <c r="V496" i="68"/>
  <c r="AD496" i="68" s="1"/>
  <c r="X520" i="68"/>
  <c r="AB404" i="68"/>
  <c r="W369" i="68"/>
  <c r="S381" i="68"/>
  <c r="W377" i="68"/>
  <c r="W362" i="68"/>
  <c r="W316" i="68"/>
  <c r="AC316" i="68"/>
  <c r="AC332" i="68"/>
  <c r="W305" i="68"/>
  <c r="W278" i="68"/>
  <c r="AC271" i="68"/>
  <c r="AD252" i="68"/>
  <c r="AF252" i="68" s="1"/>
  <c r="U212" i="68"/>
  <c r="AD212" i="68" s="1"/>
  <c r="AF212" i="68" s="1"/>
  <c r="AC202" i="68"/>
  <c r="S160" i="68"/>
  <c r="AD66" i="68"/>
  <c r="AF66" i="68" s="1"/>
  <c r="U62" i="68"/>
  <c r="AD62" i="68" s="1"/>
  <c r="X38" i="68"/>
  <c r="S30" i="68"/>
  <c r="S32" i="68" s="1"/>
  <c r="S366" i="68"/>
  <c r="AB83" i="68"/>
  <c r="W196" i="68"/>
  <c r="W200" i="68"/>
  <c r="U214" i="68"/>
  <c r="W276" i="68"/>
  <c r="AB407" i="68"/>
  <c r="AB515" i="68"/>
  <c r="AB519" i="68"/>
  <c r="AC553" i="68"/>
  <c r="W585" i="68"/>
  <c r="AC589" i="68"/>
  <c r="AC593" i="68"/>
  <c r="AC597" i="68"/>
  <c r="W601" i="68"/>
  <c r="AC605" i="68"/>
  <c r="W609" i="68"/>
  <c r="W613" i="68"/>
  <c r="S274" i="68"/>
  <c r="S172" i="68"/>
  <c r="S142" i="68"/>
  <c r="AC196" i="68"/>
  <c r="W289" i="68"/>
  <c r="X402" i="68"/>
  <c r="V412" i="68"/>
  <c r="S313" i="68"/>
  <c r="AB87" i="68"/>
  <c r="AF248" i="68"/>
  <c r="AC298" i="68"/>
  <c r="W351" i="68"/>
  <c r="AD95" i="68"/>
  <c r="AF95" i="68" s="1"/>
  <c r="AD111" i="68"/>
  <c r="AF111" i="68" s="1"/>
  <c r="AD451" i="68"/>
  <c r="AF451" i="68" s="1"/>
  <c r="AD547" i="68"/>
  <c r="AF547" i="68" s="1"/>
  <c r="AF171" i="68"/>
  <c r="AF211" i="68"/>
  <c r="AF473" i="68"/>
  <c r="AD550" i="68"/>
  <c r="AF550" i="68" s="1"/>
  <c r="AD465" i="68"/>
  <c r="AF465" i="68" s="1"/>
  <c r="AF177" i="68"/>
  <c r="W307" i="68"/>
  <c r="W319" i="68"/>
  <c r="W331" i="68"/>
  <c r="W347" i="68"/>
  <c r="AC351" i="68"/>
  <c r="AD453" i="68"/>
  <c r="AF453" i="68" s="1"/>
  <c r="AF546" i="68"/>
  <c r="W627" i="68"/>
  <c r="AF437" i="68"/>
  <c r="AF70" i="68"/>
  <c r="AF186" i="68"/>
  <c r="W303" i="68"/>
  <c r="W375" i="68"/>
  <c r="AF456" i="68"/>
  <c r="AF478" i="68"/>
  <c r="AD549" i="68"/>
  <c r="AF549" i="68" s="1"/>
  <c r="W555" i="68"/>
  <c r="W571" i="68"/>
  <c r="W587" i="68"/>
  <c r="W603" i="68"/>
  <c r="W631" i="68"/>
  <c r="AD137" i="68"/>
  <c r="AF137" i="68" s="1"/>
  <c r="AD49" i="68"/>
  <c r="AF49" i="68" s="1"/>
  <c r="AD65" i="68"/>
  <c r="AF65" i="68" s="1"/>
  <c r="AD145" i="68"/>
  <c r="AF145" i="68" s="1"/>
  <c r="AD53" i="68"/>
  <c r="AF53" i="68" s="1"/>
  <c r="AD136" i="68"/>
  <c r="AF136" i="68" s="1"/>
  <c r="AD140" i="68"/>
  <c r="AF140" i="68" s="1"/>
  <c r="AD47" i="68"/>
  <c r="AF47" i="68" s="1"/>
  <c r="AD69" i="68"/>
  <c r="AF69" i="68" s="1"/>
  <c r="AD141" i="68"/>
  <c r="AF141" i="68" s="1"/>
  <c r="AB79" i="68"/>
  <c r="X79" i="68"/>
  <c r="AD110" i="68"/>
  <c r="AF110" i="68" s="1"/>
  <c r="AD149" i="68"/>
  <c r="AF149" i="68" s="1"/>
  <c r="AD168" i="68"/>
  <c r="AF168" i="68" s="1"/>
  <c r="AD244" i="68"/>
  <c r="AF244" i="68" s="1"/>
  <c r="AC308" i="68"/>
  <c r="W308" i="68"/>
  <c r="X20" i="68"/>
  <c r="AD96" i="68"/>
  <c r="AF96" i="68" s="1"/>
  <c r="AD105" i="68"/>
  <c r="AF105" i="68" s="1"/>
  <c r="AD150" i="68"/>
  <c r="AF150" i="68" s="1"/>
  <c r="AD153" i="68"/>
  <c r="AF153" i="68" s="1"/>
  <c r="AD156" i="68"/>
  <c r="AF156" i="68" s="1"/>
  <c r="AD165" i="68"/>
  <c r="AF165" i="68" s="1"/>
  <c r="AF181" i="68"/>
  <c r="AD188" i="68"/>
  <c r="AF188" i="68" s="1"/>
  <c r="W199" i="68"/>
  <c r="AC199" i="68"/>
  <c r="AD217" i="68"/>
  <c r="AF217" i="68" s="1"/>
  <c r="AD221" i="68"/>
  <c r="AF221" i="68" s="1"/>
  <c r="AD225" i="68"/>
  <c r="AF225" i="68" s="1"/>
  <c r="AD229" i="68"/>
  <c r="AF229" i="68" s="1"/>
  <c r="AD233" i="68"/>
  <c r="AF233" i="68" s="1"/>
  <c r="AD237" i="68"/>
  <c r="AF237" i="68" s="1"/>
  <c r="AD241" i="68"/>
  <c r="AF241" i="68" s="1"/>
  <c r="AC277" i="68"/>
  <c r="W277" i="68"/>
  <c r="W321" i="68"/>
  <c r="AC321" i="68"/>
  <c r="W340" i="68"/>
  <c r="AC340" i="68"/>
  <c r="W368" i="68"/>
  <c r="AC368" i="68"/>
  <c r="AC371" i="68"/>
  <c r="W371" i="68"/>
  <c r="AD390" i="68"/>
  <c r="AF390" i="68" s="1"/>
  <c r="AD397" i="68"/>
  <c r="AF397" i="68" s="1"/>
  <c r="AD411" i="68"/>
  <c r="AF411" i="68" s="1"/>
  <c r="AD421" i="68"/>
  <c r="AF421" i="68" s="1"/>
  <c r="AD424" i="68"/>
  <c r="AF424" i="68" s="1"/>
  <c r="AD429" i="68"/>
  <c r="AF429" i="68" s="1"/>
  <c r="AD434" i="68"/>
  <c r="AF434" i="68" s="1"/>
  <c r="AD438" i="68"/>
  <c r="V438" i="68"/>
  <c r="AD444" i="68"/>
  <c r="AF444" i="68" s="1"/>
  <c r="AD450" i="68"/>
  <c r="AF450" i="68" s="1"/>
  <c r="AD460" i="68"/>
  <c r="AF460" i="68" s="1"/>
  <c r="AD501" i="68"/>
  <c r="AF501" i="68" s="1"/>
  <c r="AD509" i="68"/>
  <c r="AF509" i="68" s="1"/>
  <c r="AD101" i="68"/>
  <c r="AF101" i="68" s="1"/>
  <c r="AD144" i="68"/>
  <c r="AF144" i="68" s="1"/>
  <c r="AC281" i="68"/>
  <c r="W281" i="68"/>
  <c r="AD395" i="68"/>
  <c r="AF395" i="68" s="1"/>
  <c r="V419" i="68"/>
  <c r="AD423" i="68"/>
  <c r="AF423" i="68" s="1"/>
  <c r="AF426" i="68"/>
  <c r="AD430" i="68"/>
  <c r="AF430" i="68" s="1"/>
  <c r="AD56" i="68"/>
  <c r="AF56" i="68" s="1"/>
  <c r="H32" i="68"/>
  <c r="M30" i="68"/>
  <c r="AF50" i="68"/>
  <c r="AF51" i="68"/>
  <c r="AF54" i="68"/>
  <c r="AF55" i="68"/>
  <c r="AD102" i="68"/>
  <c r="AF102" i="68" s="1"/>
  <c r="AF121" i="68"/>
  <c r="AF125" i="68"/>
  <c r="AF129" i="68"/>
  <c r="AF133" i="68"/>
  <c r="AD147" i="68"/>
  <c r="AF147" i="68" s="1"/>
  <c r="AD154" i="68"/>
  <c r="AF154" i="68" s="1"/>
  <c r="AD157" i="68"/>
  <c r="AF157" i="68" s="1"/>
  <c r="AD169" i="68"/>
  <c r="AF169" i="68" s="1"/>
  <c r="AD176" i="68"/>
  <c r="AF176" i="68" s="1"/>
  <c r="AF185" i="68"/>
  <c r="AD214" i="68"/>
  <c r="AF214" i="68" s="1"/>
  <c r="AB245" i="68"/>
  <c r="X245" i="68"/>
  <c r="W279" i="68"/>
  <c r="AC279" i="68"/>
  <c r="W309" i="68"/>
  <c r="AC309" i="68"/>
  <c r="AD388" i="68"/>
  <c r="AF388" i="68" s="1"/>
  <c r="AD391" i="68"/>
  <c r="AF391" i="68" s="1"/>
  <c r="AD393" i="68"/>
  <c r="AF393" i="68" s="1"/>
  <c r="AD412" i="68"/>
  <c r="AD427" i="68"/>
  <c r="AF427" i="68" s="1"/>
  <c r="AD431" i="68"/>
  <c r="AF431" i="68" s="1"/>
  <c r="AD474" i="68"/>
  <c r="AF474" i="68" s="1"/>
  <c r="AF498" i="68"/>
  <c r="AD513" i="68"/>
  <c r="AF513" i="68" s="1"/>
  <c r="AC608" i="68"/>
  <c r="W608" i="68"/>
  <c r="AC626" i="68"/>
  <c r="W626" i="68"/>
  <c r="AC630" i="68"/>
  <c r="W630" i="68"/>
  <c r="AF52" i="68"/>
  <c r="AD108" i="68"/>
  <c r="AF108" i="68" s="1"/>
  <c r="AD152" i="68"/>
  <c r="AF152" i="68" s="1"/>
  <c r="AD387" i="68"/>
  <c r="AF387" i="68" s="1"/>
  <c r="AD392" i="68"/>
  <c r="AF392" i="68" s="1"/>
  <c r="AD413" i="68"/>
  <c r="AF413" i="68" s="1"/>
  <c r="AD477" i="68"/>
  <c r="AF477" i="68" s="1"/>
  <c r="V497" i="68"/>
  <c r="X531" i="68"/>
  <c r="AB531" i="68"/>
  <c r="AD98" i="68"/>
  <c r="AF98" i="68" s="1"/>
  <c r="AD112" i="68"/>
  <c r="AF112" i="68" s="1"/>
  <c r="I30" i="68"/>
  <c r="I32" i="68" s="1"/>
  <c r="Q30" i="68"/>
  <c r="Q32" i="68" s="1"/>
  <c r="AB80" i="68"/>
  <c r="X80" i="68"/>
  <c r="AD100" i="68"/>
  <c r="AF100" i="68" s="1"/>
  <c r="AD109" i="68"/>
  <c r="AF109" i="68" s="1"/>
  <c r="M32" i="68"/>
  <c r="AA20" i="68"/>
  <c r="F30" i="68"/>
  <c r="F32" i="68" s="1"/>
  <c r="J30" i="68"/>
  <c r="J32" i="68" s="1"/>
  <c r="N30" i="68"/>
  <c r="N32" i="68" s="1"/>
  <c r="N354" i="68" s="1"/>
  <c r="R30" i="68"/>
  <c r="R32" i="68" s="1"/>
  <c r="R354" i="68" s="1"/>
  <c r="AF34" i="68"/>
  <c r="AD44" i="68"/>
  <c r="U44" i="68"/>
  <c r="AD46" i="68"/>
  <c r="AF46" i="68" s="1"/>
  <c r="U48" i="68"/>
  <c r="AD64" i="68"/>
  <c r="AF64" i="68" s="1"/>
  <c r="AD68" i="68"/>
  <c r="AF68" i="68" s="1"/>
  <c r="AD72" i="68"/>
  <c r="AF72" i="68" s="1"/>
  <c r="AD97" i="68"/>
  <c r="AF97" i="68" s="1"/>
  <c r="AD104" i="68"/>
  <c r="AF104" i="68" s="1"/>
  <c r="AD106" i="68"/>
  <c r="AF106" i="68" s="1"/>
  <c r="AD113" i="68"/>
  <c r="AF113" i="68" s="1"/>
  <c r="AF119" i="68"/>
  <c r="AD120" i="68"/>
  <c r="AF120" i="68" s="1"/>
  <c r="AF123" i="68"/>
  <c r="AD124" i="68"/>
  <c r="AF124" i="68" s="1"/>
  <c r="AF127" i="68"/>
  <c r="AD128" i="68"/>
  <c r="AF128" i="68" s="1"/>
  <c r="AF131" i="68"/>
  <c r="AD132" i="68"/>
  <c r="AF132" i="68" s="1"/>
  <c r="AF135" i="68"/>
  <c r="AF138" i="68"/>
  <c r="AD139" i="68"/>
  <c r="AF139" i="68" s="1"/>
  <c r="AF146" i="68"/>
  <c r="AD148" i="68"/>
  <c r="AF148" i="68" s="1"/>
  <c r="AD158" i="68"/>
  <c r="AF158" i="68" s="1"/>
  <c r="AD164" i="68"/>
  <c r="AF164" i="68" s="1"/>
  <c r="AD180" i="68"/>
  <c r="AF180" i="68" s="1"/>
  <c r="AF184" i="68"/>
  <c r="AB190" i="68"/>
  <c r="X190" i="68"/>
  <c r="AC198" i="68"/>
  <c r="W198" i="68"/>
  <c r="AC201" i="68"/>
  <c r="W201" i="68"/>
  <c r="AD213" i="68"/>
  <c r="AF213" i="68" s="1"/>
  <c r="AD216" i="68"/>
  <c r="AF216" i="68" s="1"/>
  <c r="AD218" i="68"/>
  <c r="AF218" i="68" s="1"/>
  <c r="AD220" i="68"/>
  <c r="AF220" i="68" s="1"/>
  <c r="AD222" i="68"/>
  <c r="AF222" i="68" s="1"/>
  <c r="AD224" i="68"/>
  <c r="AF224" i="68" s="1"/>
  <c r="AD226" i="68"/>
  <c r="AF226" i="68" s="1"/>
  <c r="AD228" i="68"/>
  <c r="AF228" i="68" s="1"/>
  <c r="AD230" i="68"/>
  <c r="AF230" i="68" s="1"/>
  <c r="AD232" i="68"/>
  <c r="AF232" i="68" s="1"/>
  <c r="AD234" i="68"/>
  <c r="AF234" i="68" s="1"/>
  <c r="AD236" i="68"/>
  <c r="AF236" i="68" s="1"/>
  <c r="AD238" i="68"/>
  <c r="AF238" i="68" s="1"/>
  <c r="AD240" i="68"/>
  <c r="AF240" i="68" s="1"/>
  <c r="AD242" i="68"/>
  <c r="AF242" i="68" s="1"/>
  <c r="AC320" i="68"/>
  <c r="W320" i="68"/>
  <c r="AC323" i="68"/>
  <c r="W323" i="68"/>
  <c r="AC339" i="68"/>
  <c r="W339" i="68"/>
  <c r="AC342" i="68"/>
  <c r="W342" i="68"/>
  <c r="W345" i="68"/>
  <c r="AC345" i="68"/>
  <c r="W364" i="68"/>
  <c r="AC364" i="68"/>
  <c r="AC370" i="68"/>
  <c r="W370" i="68"/>
  <c r="AD386" i="68"/>
  <c r="AF386" i="68" s="1"/>
  <c r="AF389" i="68"/>
  <c r="AD394" i="68"/>
  <c r="AF394" i="68" s="1"/>
  <c r="AF398" i="68"/>
  <c r="AD418" i="68"/>
  <c r="AF418" i="68" s="1"/>
  <c r="AD422" i="68"/>
  <c r="AF422" i="68" s="1"/>
  <c r="AD425" i="68"/>
  <c r="AF425" i="68" s="1"/>
  <c r="AD428" i="68"/>
  <c r="AF428" i="68" s="1"/>
  <c r="AD435" i="68"/>
  <c r="AF435" i="68" s="1"/>
  <c r="AD439" i="68"/>
  <c r="AF439" i="68" s="1"/>
  <c r="AD455" i="68"/>
  <c r="AF455" i="68" s="1"/>
  <c r="AC344" i="68"/>
  <c r="W344" i="68"/>
  <c r="H354" i="68"/>
  <c r="W384" i="68"/>
  <c r="AC384" i="68"/>
  <c r="AD464" i="68"/>
  <c r="AF464" i="68" s="1"/>
  <c r="AC560" i="68"/>
  <c r="W560" i="68"/>
  <c r="AC584" i="68"/>
  <c r="W584" i="68"/>
  <c r="AD151" i="68"/>
  <c r="AF151" i="68" s="1"/>
  <c r="AD155" i="68"/>
  <c r="AF155" i="68" s="1"/>
  <c r="AD159" i="68"/>
  <c r="AF159" i="68" s="1"/>
  <c r="AD162" i="68"/>
  <c r="AF162" i="68" s="1"/>
  <c r="AD166" i="68"/>
  <c r="AF166" i="68" s="1"/>
  <c r="AD170" i="68"/>
  <c r="AF170" i="68" s="1"/>
  <c r="X191" i="68"/>
  <c r="W202" i="68"/>
  <c r="AC203" i="68"/>
  <c r="W205" i="68"/>
  <c r="X246" i="68"/>
  <c r="AB247" i="68"/>
  <c r="U249" i="68"/>
  <c r="AF249" i="68" s="1"/>
  <c r="U250" i="68"/>
  <c r="AF250" i="68" s="1"/>
  <c r="AB251" i="68"/>
  <c r="U253" i="68"/>
  <c r="AF253" i="68" s="1"/>
  <c r="X265" i="68"/>
  <c r="AB266" i="68"/>
  <c r="W270" i="68"/>
  <c r="W282" i="68"/>
  <c r="AC283" i="68"/>
  <c r="W285" i="68"/>
  <c r="W311" i="68"/>
  <c r="W324" i="68"/>
  <c r="AC325" i="68"/>
  <c r="W327" i="68"/>
  <c r="W343" i="68"/>
  <c r="W363" i="68"/>
  <c r="AC383" i="68"/>
  <c r="W383" i="68"/>
  <c r="AD396" i="68"/>
  <c r="AF396" i="68" s="1"/>
  <c r="X401" i="68"/>
  <c r="AB401" i="68"/>
  <c r="AB403" i="68"/>
  <c r="AD432" i="68"/>
  <c r="AF432" i="68" s="1"/>
  <c r="AF433" i="68"/>
  <c r="AD436" i="68"/>
  <c r="AF436" i="68" s="1"/>
  <c r="AF443" i="68"/>
  <c r="AF448" i="68"/>
  <c r="AD454" i="68"/>
  <c r="AF454" i="68" s="1"/>
  <c r="AF459" i="68"/>
  <c r="AF466" i="68"/>
  <c r="AF470" i="68"/>
  <c r="X502" i="68"/>
  <c r="AD512" i="68"/>
  <c r="AF512" i="68" s="1"/>
  <c r="X514" i="68"/>
  <c r="X516" i="68"/>
  <c r="AB524" i="68"/>
  <c r="AD525" i="68"/>
  <c r="AF525" i="68" s="1"/>
  <c r="AA527" i="68"/>
  <c r="X527" i="68"/>
  <c r="AA533" i="68"/>
  <c r="AC576" i="68"/>
  <c r="W576" i="68"/>
  <c r="X81" i="68"/>
  <c r="AB82" i="68"/>
  <c r="I93" i="68"/>
  <c r="I116" i="68" s="1"/>
  <c r="M93" i="68"/>
  <c r="M116" i="68" s="1"/>
  <c r="Q93" i="68"/>
  <c r="Q116" i="68" s="1"/>
  <c r="U118" i="68"/>
  <c r="W193" i="68"/>
  <c r="AC270" i="68"/>
  <c r="W286" i="68"/>
  <c r="AC287" i="68"/>
  <c r="W312" i="68"/>
  <c r="W328" i="68"/>
  <c r="AC329" i="68"/>
  <c r="F354" i="68"/>
  <c r="J354" i="68"/>
  <c r="W372" i="68"/>
  <c r="AC372" i="68"/>
  <c r="AC374" i="68"/>
  <c r="W379" i="68"/>
  <c r="AC380" i="68"/>
  <c r="AB400" i="68"/>
  <c r="X400" i="68"/>
  <c r="V410" i="68"/>
  <c r="AF446" i="68"/>
  <c r="AF447" i="68"/>
  <c r="AF452" i="68"/>
  <c r="AD458" i="68"/>
  <c r="AF458" i="68" s="1"/>
  <c r="AF462" i="68"/>
  <c r="AF463" i="68"/>
  <c r="AD469" i="68"/>
  <c r="AF469" i="68" s="1"/>
  <c r="AD472" i="68"/>
  <c r="AF472" i="68" s="1"/>
  <c r="AD476" i="68"/>
  <c r="AF476" i="68" s="1"/>
  <c r="AB514" i="68"/>
  <c r="X517" i="68"/>
  <c r="AB517" i="68"/>
  <c r="AB518" i="68"/>
  <c r="X523" i="68"/>
  <c r="AF526" i="68"/>
  <c r="AD548" i="68"/>
  <c r="AF548" i="68" s="1"/>
  <c r="AF468" i="68"/>
  <c r="AF500" i="68"/>
  <c r="AA530" i="68"/>
  <c r="X530" i="68"/>
  <c r="AC592" i="68"/>
  <c r="W592" i="68"/>
  <c r="AC618" i="68"/>
  <c r="W618" i="68"/>
  <c r="I634" i="68"/>
  <c r="M634" i="68"/>
  <c r="Q634" i="68"/>
  <c r="AD544" i="68"/>
  <c r="AF544" i="68" s="1"/>
  <c r="AC568" i="68"/>
  <c r="W568" i="68"/>
  <c r="AC600" i="68"/>
  <c r="W600" i="68"/>
  <c r="G634" i="68"/>
  <c r="K634" i="68"/>
  <c r="O634" i="68"/>
  <c r="AD545" i="68"/>
  <c r="AF545" i="68" s="1"/>
  <c r="AC556" i="68"/>
  <c r="W556" i="68"/>
  <c r="AC564" i="68"/>
  <c r="W564" i="68"/>
  <c r="AC572" i="68"/>
  <c r="W572" i="68"/>
  <c r="AC580" i="68"/>
  <c r="W580" i="68"/>
  <c r="AC588" i="68"/>
  <c r="W588" i="68"/>
  <c r="AC596" i="68"/>
  <c r="W596" i="68"/>
  <c r="AC604" i="68"/>
  <c r="W604" i="68"/>
  <c r="AC612" i="68"/>
  <c r="W612" i="68"/>
  <c r="AC622" i="68"/>
  <c r="W622" i="68"/>
  <c r="F634" i="68"/>
  <c r="J634" i="68"/>
  <c r="N634" i="68"/>
  <c r="R634" i="68"/>
  <c r="AC631" i="62"/>
  <c r="AC630" i="62"/>
  <c r="AC629" i="62"/>
  <c r="AC628" i="62"/>
  <c r="AC627" i="62"/>
  <c r="AC626" i="62"/>
  <c r="AC625" i="62"/>
  <c r="AC624" i="62"/>
  <c r="AC623" i="62"/>
  <c r="AC622" i="62"/>
  <c r="AC621" i="62"/>
  <c r="AC618" i="62"/>
  <c r="AC617" i="62"/>
  <c r="AC616" i="62"/>
  <c r="AC615" i="62"/>
  <c r="AC614" i="62"/>
  <c r="AC613" i="62"/>
  <c r="AC612" i="62"/>
  <c r="AC611" i="62"/>
  <c r="AC610" i="62"/>
  <c r="AC609" i="62"/>
  <c r="AC608" i="62"/>
  <c r="AC607" i="62"/>
  <c r="AC606" i="62"/>
  <c r="AC605" i="62"/>
  <c r="AC604" i="62"/>
  <c r="AC603" i="62"/>
  <c r="AC602" i="62"/>
  <c r="AC601" i="62"/>
  <c r="AC600" i="62"/>
  <c r="AC599" i="62"/>
  <c r="AC598" i="62"/>
  <c r="AC597" i="62"/>
  <c r="AC596" i="62"/>
  <c r="AC595" i="62"/>
  <c r="AC594" i="62"/>
  <c r="AC593" i="62"/>
  <c r="AC592" i="62"/>
  <c r="AC591" i="62"/>
  <c r="AC590" i="62"/>
  <c r="AC589" i="62"/>
  <c r="AC588" i="62"/>
  <c r="AC587" i="62"/>
  <c r="AC586" i="62"/>
  <c r="AC585" i="62"/>
  <c r="AC584" i="62"/>
  <c r="AC583" i="62"/>
  <c r="AC582" i="62"/>
  <c r="AC581" i="62"/>
  <c r="AC580" i="62"/>
  <c r="AC579" i="62"/>
  <c r="AC578" i="62"/>
  <c r="AC577" i="62"/>
  <c r="AC576" i="62"/>
  <c r="AC575" i="62"/>
  <c r="AC574" i="62"/>
  <c r="AC573" i="62"/>
  <c r="AC572" i="62"/>
  <c r="AC571" i="62"/>
  <c r="AC570" i="62"/>
  <c r="AC569" i="62"/>
  <c r="AC568" i="62"/>
  <c r="AC567" i="62"/>
  <c r="AC566" i="62"/>
  <c r="AC565" i="62"/>
  <c r="AC564" i="62"/>
  <c r="AC563" i="62"/>
  <c r="AC562" i="62"/>
  <c r="AC561" i="62"/>
  <c r="AC560" i="62"/>
  <c r="AC559" i="62"/>
  <c r="AC558" i="62"/>
  <c r="AC557" i="62"/>
  <c r="AC556" i="62"/>
  <c r="AC555" i="62"/>
  <c r="AC554" i="62"/>
  <c r="AC553" i="62"/>
  <c r="AB542" i="62"/>
  <c r="AB541" i="62"/>
  <c r="X542" i="62"/>
  <c r="X541" i="62"/>
  <c r="AF630" i="62"/>
  <c r="AF629" i="62"/>
  <c r="AF628" i="62"/>
  <c r="AF627" i="62"/>
  <c r="AF626" i="62"/>
  <c r="AF625" i="62"/>
  <c r="AF624" i="62"/>
  <c r="AF623" i="62"/>
  <c r="AF622" i="62"/>
  <c r="AF621" i="62"/>
  <c r="AF620" i="62"/>
  <c r="AF619" i="62"/>
  <c r="AF618" i="62"/>
  <c r="AF617" i="62"/>
  <c r="AF616" i="62"/>
  <c r="AF615" i="62"/>
  <c r="AF614" i="62"/>
  <c r="AF613" i="62"/>
  <c r="AF612" i="62"/>
  <c r="AF611" i="62"/>
  <c r="AF610" i="62"/>
  <c r="AF609" i="62"/>
  <c r="AF608" i="62"/>
  <c r="AF607" i="62"/>
  <c r="AF606" i="62"/>
  <c r="AF605" i="62"/>
  <c r="AF604" i="62"/>
  <c r="AF603" i="62"/>
  <c r="AF602" i="62"/>
  <c r="AF601" i="62"/>
  <c r="AF600" i="62"/>
  <c r="AF599" i="62"/>
  <c r="AF598" i="62"/>
  <c r="AF597" i="62"/>
  <c r="AF596" i="62"/>
  <c r="AF595" i="62"/>
  <c r="AF594" i="62"/>
  <c r="AF593" i="62"/>
  <c r="AF592" i="62"/>
  <c r="AF591" i="62"/>
  <c r="AF590" i="62"/>
  <c r="AF589" i="62"/>
  <c r="AF588" i="62"/>
  <c r="AF587" i="62"/>
  <c r="AF586" i="62"/>
  <c r="AF585" i="62"/>
  <c r="AF584" i="62"/>
  <c r="AF583" i="62"/>
  <c r="AF582" i="62"/>
  <c r="AF581" i="62"/>
  <c r="AF580" i="62"/>
  <c r="AF579" i="62"/>
  <c r="AF578" i="62"/>
  <c r="AF577" i="62"/>
  <c r="AF576" i="62"/>
  <c r="AF575" i="62"/>
  <c r="AF574" i="62"/>
  <c r="AF573" i="62"/>
  <c r="AF572" i="62"/>
  <c r="AF571" i="62"/>
  <c r="AF570" i="62"/>
  <c r="AF569" i="62"/>
  <c r="AF568" i="62"/>
  <c r="AF567" i="62"/>
  <c r="AF566" i="62"/>
  <c r="AF565" i="62"/>
  <c r="AF564" i="62"/>
  <c r="AF563" i="62"/>
  <c r="AF562" i="62"/>
  <c r="AF561" i="62"/>
  <c r="AF560" i="62"/>
  <c r="AF559" i="62"/>
  <c r="AF558" i="62"/>
  <c r="AF557" i="62"/>
  <c r="AF556" i="62"/>
  <c r="AF555" i="62"/>
  <c r="AF554" i="62"/>
  <c r="AF553" i="62"/>
  <c r="AF552" i="62"/>
  <c r="AF551" i="62"/>
  <c r="AF543" i="62"/>
  <c r="AF542" i="62"/>
  <c r="AF541" i="62"/>
  <c r="AF540" i="62"/>
  <c r="AF539" i="62"/>
  <c r="AF538" i="62"/>
  <c r="AF537" i="62"/>
  <c r="AF536" i="62"/>
  <c r="AF535" i="62"/>
  <c r="AF534" i="62"/>
  <c r="AF533" i="62"/>
  <c r="AF532" i="62"/>
  <c r="AF531" i="62"/>
  <c r="AF530" i="62"/>
  <c r="AF529" i="62"/>
  <c r="AF528" i="62"/>
  <c r="AF527" i="62"/>
  <c r="AF524" i="62"/>
  <c r="AF523" i="62"/>
  <c r="AF522" i="62"/>
  <c r="AF521" i="62"/>
  <c r="AF520" i="62"/>
  <c r="AF519" i="62"/>
  <c r="AF518" i="62"/>
  <c r="AF508" i="62"/>
  <c r="AF507" i="62"/>
  <c r="AF506" i="62"/>
  <c r="AF505" i="62"/>
  <c r="AF504" i="62"/>
  <c r="AF503" i="62"/>
  <c r="AF502" i="62"/>
  <c r="AF495" i="62"/>
  <c r="AF494" i="62"/>
  <c r="AF479" i="62"/>
  <c r="AF442" i="62"/>
  <c r="AF441" i="62"/>
  <c r="AF440" i="62"/>
  <c r="AF417" i="62"/>
  <c r="AF416" i="62"/>
  <c r="AF415" i="62"/>
  <c r="AF414" i="62"/>
  <c r="AF409" i="62"/>
  <c r="AF408" i="62"/>
  <c r="AF407" i="62"/>
  <c r="AF406" i="62"/>
  <c r="AF405" i="62"/>
  <c r="AF404" i="62"/>
  <c r="AF403" i="62"/>
  <c r="AF402" i="62"/>
  <c r="AF401" i="62"/>
  <c r="AF400"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9" i="62"/>
  <c r="AF338" i="62"/>
  <c r="AF337" i="62"/>
  <c r="AF336" i="62"/>
  <c r="AF335"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8" i="62"/>
  <c r="AF307" i="62"/>
  <c r="AF306" i="62"/>
  <c r="AF305" i="62"/>
  <c r="AF304" i="62"/>
  <c r="AF303" i="62"/>
  <c r="AF302" i="62"/>
  <c r="AF301" i="62"/>
  <c r="AF300" i="62"/>
  <c r="AF299" i="62"/>
  <c r="AF298" i="62"/>
  <c r="AF297" i="62"/>
  <c r="AF296" i="62"/>
  <c r="AF295" i="62"/>
  <c r="AF294" i="62"/>
  <c r="AF293" i="62"/>
  <c r="AF292" i="62"/>
  <c r="AF291" i="62"/>
  <c r="AF290" i="62"/>
  <c r="AF289" i="62"/>
  <c r="AF288" i="62"/>
  <c r="AF287" i="62"/>
  <c r="AF286" i="62"/>
  <c r="AF285" i="62"/>
  <c r="AF284" i="62"/>
  <c r="AF283" i="62"/>
  <c r="AF282" i="62"/>
  <c r="AF281" i="62"/>
  <c r="AF280" i="62"/>
  <c r="AF279" i="62"/>
  <c r="AF278" i="62"/>
  <c r="AF277" i="62"/>
  <c r="AF276" i="62"/>
  <c r="AF275" i="62"/>
  <c r="AF274" i="62"/>
  <c r="AF273" i="62"/>
  <c r="AF272" i="62"/>
  <c r="AF271" i="62"/>
  <c r="AF270" i="62"/>
  <c r="AF269" i="62"/>
  <c r="AF268" i="62"/>
  <c r="AF267" i="62"/>
  <c r="AF266" i="62"/>
  <c r="AF265" i="62"/>
  <c r="AF264" i="62"/>
  <c r="AF263" i="62"/>
  <c r="AF262" i="62"/>
  <c r="AF261" i="62"/>
  <c r="AF260" i="62"/>
  <c r="AF259" i="62"/>
  <c r="AF258" i="62"/>
  <c r="AF257" i="62"/>
  <c r="AF256" i="62"/>
  <c r="AF255" i="62"/>
  <c r="AF254" i="62"/>
  <c r="AF251" i="62"/>
  <c r="AF247" i="62"/>
  <c r="AF246" i="62"/>
  <c r="AF245" i="62"/>
  <c r="AF210" i="62"/>
  <c r="AF209" i="62"/>
  <c r="AF208" i="62"/>
  <c r="AF207" i="62"/>
  <c r="AF206" i="62"/>
  <c r="AF205" i="62"/>
  <c r="AF204" i="62"/>
  <c r="AF203" i="62"/>
  <c r="AF202" i="62"/>
  <c r="AF201" i="62"/>
  <c r="AF200" i="62"/>
  <c r="AF199" i="62"/>
  <c r="AF198" i="62"/>
  <c r="AF197" i="62"/>
  <c r="AF196" i="62"/>
  <c r="AF195" i="62"/>
  <c r="AF194" i="62"/>
  <c r="AF193" i="62"/>
  <c r="AF192" i="62"/>
  <c r="AF191" i="62"/>
  <c r="AF190" i="62"/>
  <c r="AF173" i="62"/>
  <c r="AF172" i="62"/>
  <c r="AF161" i="62"/>
  <c r="AF160" i="62"/>
  <c r="AF143" i="62"/>
  <c r="AF142" i="62"/>
  <c r="AF117" i="62"/>
  <c r="AF116" i="62"/>
  <c r="AF115" i="62"/>
  <c r="AF114" i="62"/>
  <c r="AF94" i="62"/>
  <c r="AF93" i="62"/>
  <c r="AF92" i="62"/>
  <c r="AF91" i="62"/>
  <c r="AF90" i="62"/>
  <c r="AF89" i="62"/>
  <c r="AF88" i="62"/>
  <c r="AF87" i="62"/>
  <c r="AF86" i="62"/>
  <c r="AF85" i="62"/>
  <c r="AF84" i="62"/>
  <c r="AF83" i="62"/>
  <c r="AF82" i="62"/>
  <c r="AF81" i="62"/>
  <c r="AF80" i="62"/>
  <c r="AF79" i="62"/>
  <c r="AF78" i="62"/>
  <c r="AF75" i="62"/>
  <c r="AF74" i="62"/>
  <c r="AF61" i="62"/>
  <c r="AF60" i="62"/>
  <c r="AF58" i="62"/>
  <c r="AF57" i="62"/>
  <c r="AF43" i="62"/>
  <c r="AF42" i="62"/>
  <c r="AF40" i="62"/>
  <c r="AF39" i="62"/>
  <c r="AF38" i="62"/>
  <c r="AF37" i="62"/>
  <c r="AF36" i="62"/>
  <c r="AF35" i="62"/>
  <c r="AF33" i="62"/>
  <c r="AF32" i="62"/>
  <c r="AF31" i="62"/>
  <c r="AF30" i="62"/>
  <c r="AF29" i="62"/>
  <c r="AF28" i="62"/>
  <c r="AF27" i="62"/>
  <c r="AF26" i="62"/>
  <c r="AF25" i="62"/>
  <c r="AF24" i="62"/>
  <c r="AF23" i="62"/>
  <c r="AF22" i="62"/>
  <c r="AF21" i="62"/>
  <c r="AF20" i="62"/>
  <c r="AF19" i="62"/>
  <c r="AF18" i="62"/>
  <c r="AF17" i="62"/>
  <c r="AF16" i="62"/>
  <c r="AF15" i="62"/>
  <c r="AF631" i="62"/>
  <c r="AD44" i="62"/>
  <c r="AB516" i="62"/>
  <c r="AB517" i="62"/>
  <c r="X517" i="62"/>
  <c r="X516" i="62"/>
  <c r="AB531" i="62"/>
  <c r="AB532" i="62"/>
  <c r="AB524" i="62"/>
  <c r="AB523" i="62"/>
  <c r="AB522" i="62"/>
  <c r="AB521" i="62"/>
  <c r="AB520" i="62"/>
  <c r="AB519" i="62"/>
  <c r="AB518" i="62"/>
  <c r="AB515" i="62"/>
  <c r="AB514" i="62"/>
  <c r="X524" i="62"/>
  <c r="X523" i="62"/>
  <c r="X522" i="62"/>
  <c r="X521" i="62"/>
  <c r="X520" i="62"/>
  <c r="X519" i="62"/>
  <c r="X518" i="62"/>
  <c r="X515" i="62"/>
  <c r="X514" i="62"/>
  <c r="AC351" i="62"/>
  <c r="AC348" i="62"/>
  <c r="AC347" i="62"/>
  <c r="AC346" i="62"/>
  <c r="AC345" i="62"/>
  <c r="AC344" i="62"/>
  <c r="AC343" i="62"/>
  <c r="AC342" i="62"/>
  <c r="AC341" i="62"/>
  <c r="AC340" i="62"/>
  <c r="AC339" i="62"/>
  <c r="AC335" i="62"/>
  <c r="AC334" i="62"/>
  <c r="AC333" i="62"/>
  <c r="AC332" i="62"/>
  <c r="AC331" i="62"/>
  <c r="AC330" i="62"/>
  <c r="AC329" i="62"/>
  <c r="AC328" i="62"/>
  <c r="AC327" i="62"/>
  <c r="AC326" i="62"/>
  <c r="AC325" i="62"/>
  <c r="AC324" i="62"/>
  <c r="AC323" i="62"/>
  <c r="AC322" i="62"/>
  <c r="AC321" i="62"/>
  <c r="AC320" i="62"/>
  <c r="AC319" i="62"/>
  <c r="AC318" i="62"/>
  <c r="AC317" i="62"/>
  <c r="AC316" i="62"/>
  <c r="AC315" i="62"/>
  <c r="AC312" i="62"/>
  <c r="AC311" i="62"/>
  <c r="AC310" i="62"/>
  <c r="AC309" i="62"/>
  <c r="AC308" i="62"/>
  <c r="AC307" i="62"/>
  <c r="AC306" i="62"/>
  <c r="AC305" i="62"/>
  <c r="AC304" i="62"/>
  <c r="AC303" i="62"/>
  <c r="AC302" i="62"/>
  <c r="AC298" i="62"/>
  <c r="AC297" i="62"/>
  <c r="AC296" i="62"/>
  <c r="AC293" i="62"/>
  <c r="AC292" i="62"/>
  <c r="AC291" i="62"/>
  <c r="AC290" i="62"/>
  <c r="AC289" i="62"/>
  <c r="AC288" i="62"/>
  <c r="AC287" i="62"/>
  <c r="AC286" i="62"/>
  <c r="AC285" i="62"/>
  <c r="AC284" i="62"/>
  <c r="AC283" i="62"/>
  <c r="AC282" i="62"/>
  <c r="AC281" i="62"/>
  <c r="AC280" i="62"/>
  <c r="AC279" i="62"/>
  <c r="AC278" i="62"/>
  <c r="AC277" i="62"/>
  <c r="AC276" i="62"/>
  <c r="AC273" i="62"/>
  <c r="AC272" i="62"/>
  <c r="AC271" i="62"/>
  <c r="AC270" i="62"/>
  <c r="AD253" i="62"/>
  <c r="AD252" i="62"/>
  <c r="U253" i="62"/>
  <c r="U252" i="62"/>
  <c r="U250" i="62"/>
  <c r="U249" i="62"/>
  <c r="S32" i="62" l="1"/>
  <c r="Q354" i="68"/>
  <c r="M354" i="68"/>
  <c r="S93" i="62"/>
  <c r="S116" i="62" s="1"/>
  <c r="G354" i="68"/>
  <c r="AF496" i="68"/>
  <c r="AF44" i="68"/>
  <c r="AF62" i="68"/>
  <c r="S416" i="62"/>
  <c r="S634" i="62" s="1"/>
  <c r="AF412" i="68"/>
  <c r="AF252" i="62"/>
  <c r="AF253" i="62"/>
  <c r="I354" i="68"/>
  <c r="V637" i="68"/>
  <c r="S634" i="68"/>
  <c r="S354" i="68"/>
  <c r="AC637" i="68"/>
  <c r="AF438" i="68"/>
  <c r="X30" i="68"/>
  <c r="AD410" i="68"/>
  <c r="AF410" i="68" s="1"/>
  <c r="W637" i="68"/>
  <c r="AD48" i="68"/>
  <c r="AF48" i="68" s="1"/>
  <c r="AD118" i="68"/>
  <c r="AF118" i="68" s="1"/>
  <c r="X48" i="68"/>
  <c r="AB48" i="68" s="1"/>
  <c r="AB637" i="68" s="1"/>
  <c r="AD419" i="68"/>
  <c r="AF419" i="68" s="1"/>
  <c r="AA637" i="68"/>
  <c r="U637" i="68"/>
  <c r="AD497" i="68"/>
  <c r="AF497" i="68" s="1"/>
  <c r="AC92" i="58"/>
  <c r="V638" i="68" l="1"/>
  <c r="X637" i="68"/>
  <c r="AD637" i="68"/>
  <c r="W615" i="62"/>
  <c r="W616" i="62"/>
  <c r="W602" i="62"/>
  <c r="W596" i="62"/>
  <c r="G494" i="62"/>
  <c r="H494" i="62"/>
  <c r="I494" i="62"/>
  <c r="J494" i="62"/>
  <c r="K494" i="62"/>
  <c r="L494" i="62"/>
  <c r="M494" i="62"/>
  <c r="N494" i="62"/>
  <c r="O494" i="62"/>
  <c r="P494" i="62"/>
  <c r="Q494" i="62"/>
  <c r="R494" i="62"/>
  <c r="F494" i="62"/>
  <c r="X638" i="68" l="1"/>
  <c r="X639" i="68" s="1"/>
  <c r="B48" i="67" l="1"/>
  <c r="C48" i="67" s="1"/>
  <c r="X78" i="62" l="1"/>
  <c r="W622" i="62" l="1"/>
  <c r="W600" i="62"/>
  <c r="W601" i="62"/>
  <c r="W603" i="62"/>
  <c r="W604" i="62"/>
  <c r="W605" i="62"/>
  <c r="X539" i="62"/>
  <c r="Z539" i="62" s="1"/>
  <c r="V497" i="62"/>
  <c r="V498" i="62"/>
  <c r="V499" i="62"/>
  <c r="V500" i="62"/>
  <c r="V501" i="62"/>
  <c r="X504" i="62"/>
  <c r="X505" i="62"/>
  <c r="X506" i="62"/>
  <c r="X507" i="62"/>
  <c r="X508" i="62"/>
  <c r="AD501" i="62" l="1"/>
  <c r="AF501" i="62" s="1"/>
  <c r="AD497" i="62"/>
  <c r="AF497" i="62" s="1"/>
  <c r="AD500" i="62"/>
  <c r="AF500" i="62" s="1"/>
  <c r="AD499" i="62"/>
  <c r="AF499" i="62" s="1"/>
  <c r="AD498" i="62"/>
  <c r="AF498" i="62" s="1"/>
  <c r="AA502" i="62"/>
  <c r="X502" i="62"/>
  <c r="X537" i="62"/>
  <c r="Z537" i="62" s="1"/>
  <c r="AA533" i="62"/>
  <c r="X533" i="62"/>
  <c r="X534" i="62"/>
  <c r="AA534" i="62"/>
  <c r="X536" i="62"/>
  <c r="Z536" i="62" s="1"/>
  <c r="X532" i="62"/>
  <c r="X538" i="62"/>
  <c r="X535" i="62"/>
  <c r="X531" i="62"/>
  <c r="V467" i="62"/>
  <c r="V468" i="62"/>
  <c r="V469" i="62"/>
  <c r="V470" i="62"/>
  <c r="V471" i="62"/>
  <c r="V472" i="62"/>
  <c r="V473" i="62"/>
  <c r="V474" i="62"/>
  <c r="V411" i="62"/>
  <c r="F268" i="62"/>
  <c r="AD467" i="62" l="1"/>
  <c r="AF467" i="62"/>
  <c r="AD472" i="62"/>
  <c r="AF472" i="62" s="1"/>
  <c r="AD411" i="62"/>
  <c r="AF411" i="62" s="1"/>
  <c r="AD470" i="62"/>
  <c r="AF470" i="62"/>
  <c r="AD468" i="62"/>
  <c r="AF468" i="62" s="1"/>
  <c r="AD471" i="62"/>
  <c r="AF471" i="62" s="1"/>
  <c r="AD474" i="62"/>
  <c r="AF474" i="62" s="1"/>
  <c r="AD473" i="62"/>
  <c r="AF473" i="62"/>
  <c r="AD469" i="62"/>
  <c r="AF469" i="62" s="1"/>
  <c r="W342" i="62"/>
  <c r="W325" i="62"/>
  <c r="W326" i="62"/>
  <c r="W327" i="62"/>
  <c r="W328" i="62"/>
  <c r="W329" i="62"/>
  <c r="W330" i="62"/>
  <c r="W331" i="62"/>
  <c r="W332" i="62"/>
  <c r="W333" i="62"/>
  <c r="W334" i="62"/>
  <c r="W310" i="62"/>
  <c r="U243" i="62"/>
  <c r="AB253" i="62"/>
  <c r="X254" i="62"/>
  <c r="AB254" i="62" s="1"/>
  <c r="X255" i="62"/>
  <c r="AB255" i="62" s="1"/>
  <c r="X256" i="62"/>
  <c r="AB256" i="62" s="1"/>
  <c r="X257" i="62"/>
  <c r="AB257" i="62" s="1"/>
  <c r="X258" i="62"/>
  <c r="AB258" i="62" s="1"/>
  <c r="X259" i="62"/>
  <c r="AB259" i="62" s="1"/>
  <c r="X260" i="62"/>
  <c r="AB260" i="62" s="1"/>
  <c r="X261" i="62"/>
  <c r="AB261" i="62" s="1"/>
  <c r="X262" i="62"/>
  <c r="AB262" i="62" s="1"/>
  <c r="X263" i="62"/>
  <c r="AB263" i="62" s="1"/>
  <c r="X264" i="62"/>
  <c r="AB264" i="62" s="1"/>
  <c r="X265" i="62"/>
  <c r="X266" i="62"/>
  <c r="X246" i="62" l="1"/>
  <c r="AB246" i="62"/>
  <c r="AB247" i="62"/>
  <c r="X247" i="62"/>
  <c r="U178" i="62" l="1"/>
  <c r="U179" i="62"/>
  <c r="U185" i="62"/>
  <c r="U186" i="62"/>
  <c r="U149" i="62"/>
  <c r="U150" i="62"/>
  <c r="U151" i="62"/>
  <c r="U133" i="62"/>
  <c r="U134" i="62"/>
  <c r="F57" i="62"/>
  <c r="G57" i="62"/>
  <c r="H57" i="62"/>
  <c r="I57" i="62"/>
  <c r="J57" i="62"/>
  <c r="K57" i="62"/>
  <c r="L57" i="62"/>
  <c r="M57" i="62"/>
  <c r="N57" i="62"/>
  <c r="O57" i="62"/>
  <c r="P57" i="62"/>
  <c r="Q57" i="62"/>
  <c r="R57" i="62"/>
  <c r="U44" i="62"/>
  <c r="AF44" i="62" s="1"/>
  <c r="AD187" i="62" l="1"/>
  <c r="AF187" i="62" s="1"/>
  <c r="AD179" i="62"/>
  <c r="AF179" i="62" s="1"/>
  <c r="AD180" i="62"/>
  <c r="AF180" i="62" s="1"/>
  <c r="AD133" i="62"/>
  <c r="AF133" i="62" s="1"/>
  <c r="AD188" i="62"/>
  <c r="AF188" i="62" s="1"/>
  <c r="AD184" i="62"/>
  <c r="AF184" i="62" s="1"/>
  <c r="AD151" i="62"/>
  <c r="AF151" i="62" s="1"/>
  <c r="AD183" i="62"/>
  <c r="AF183" i="62" s="1"/>
  <c r="AD150" i="62"/>
  <c r="AF150" i="62" s="1"/>
  <c r="AD186" i="62"/>
  <c r="AF186" i="62" s="1"/>
  <c r="AD182" i="62"/>
  <c r="AF182" i="62" s="1"/>
  <c r="AD178" i="62"/>
  <c r="AF178" i="62" s="1"/>
  <c r="AD134" i="62"/>
  <c r="AF134" i="62" s="1"/>
  <c r="AD149" i="62"/>
  <c r="AF149" i="62" s="1"/>
  <c r="AD185" i="62"/>
  <c r="AF185" i="62" s="1"/>
  <c r="AD181" i="62"/>
  <c r="AF181" i="62" s="1"/>
  <c r="AD177" i="62"/>
  <c r="AF177" i="62" s="1"/>
  <c r="X190" i="62"/>
  <c r="AB190" i="62"/>
  <c r="AX31" i="59" l="1"/>
  <c r="AX32" i="59"/>
  <c r="AX33" i="59"/>
  <c r="AX34" i="59"/>
  <c r="AX35" i="59"/>
  <c r="AX36" i="59"/>
  <c r="AX19" i="59"/>
  <c r="AX20" i="59"/>
  <c r="AX21" i="59"/>
  <c r="Y507" i="62" l="1"/>
  <c r="Y508" i="62"/>
  <c r="M79" i="59"/>
  <c r="P79" i="59"/>
  <c r="S79" i="59"/>
  <c r="V79" i="59"/>
  <c r="Y79" i="59"/>
  <c r="AB79" i="59"/>
  <c r="AE79" i="59"/>
  <c r="AH79" i="59"/>
  <c r="AK79" i="59"/>
  <c r="AN79" i="59"/>
  <c r="AQ79" i="59"/>
  <c r="AT79" i="59"/>
  <c r="AW72" i="59" l="1"/>
  <c r="J73" i="59"/>
  <c r="J79" i="59" s="1"/>
  <c r="J61" i="59"/>
  <c r="J78" i="59" s="1"/>
  <c r="M61" i="59"/>
  <c r="M78" i="59" s="1"/>
  <c r="P61" i="59"/>
  <c r="P78" i="59" s="1"/>
  <c r="S61" i="59"/>
  <c r="S78" i="59" s="1"/>
  <c r="V61" i="59"/>
  <c r="V78" i="59" s="1"/>
  <c r="Y61" i="59"/>
  <c r="Y78" i="59" s="1"/>
  <c r="AB61" i="59"/>
  <c r="AB78" i="59" s="1"/>
  <c r="AE61" i="59"/>
  <c r="AE78" i="59" s="1"/>
  <c r="AH61" i="59"/>
  <c r="AH78" i="59" s="1"/>
  <c r="AK61" i="59"/>
  <c r="AK78" i="59" s="1"/>
  <c r="AN61" i="59"/>
  <c r="AN78" i="59" s="1"/>
  <c r="AQ61" i="59"/>
  <c r="AQ78" i="59" s="1"/>
  <c r="AT61" i="59"/>
  <c r="AT78" i="59" s="1"/>
  <c r="AW51" i="59"/>
  <c r="AW52" i="59"/>
  <c r="AW53" i="59"/>
  <c r="AW54" i="59"/>
  <c r="AW55" i="59"/>
  <c r="AW56" i="59"/>
  <c r="AW57" i="59"/>
  <c r="AW58" i="59"/>
  <c r="AW59" i="59"/>
  <c r="AW60" i="59"/>
  <c r="AW63" i="59"/>
  <c r="AW64" i="59"/>
  <c r="AW65" i="59"/>
  <c r="AW66" i="59"/>
  <c r="AW67" i="59"/>
  <c r="AW68" i="59"/>
  <c r="AW69" i="59"/>
  <c r="AW70" i="59"/>
  <c r="AW40" i="59"/>
  <c r="AW41" i="59"/>
  <c r="AW42" i="59"/>
  <c r="AW43" i="59"/>
  <c r="AW44" i="59"/>
  <c r="AW45" i="59"/>
  <c r="AW46" i="59"/>
  <c r="AW47" i="59"/>
  <c r="AW48" i="59"/>
  <c r="P49" i="59"/>
  <c r="P77" i="59" s="1"/>
  <c r="P80" i="59" s="1"/>
  <c r="S49" i="59"/>
  <c r="S77" i="59" s="1"/>
  <c r="S80" i="59" s="1"/>
  <c r="V49" i="59"/>
  <c r="V77" i="59" s="1"/>
  <c r="Y49" i="59"/>
  <c r="Y77" i="59" s="1"/>
  <c r="AB49" i="59"/>
  <c r="AB77" i="59" s="1"/>
  <c r="AB80" i="59" s="1"/>
  <c r="AE49" i="59"/>
  <c r="AE77" i="59" s="1"/>
  <c r="AE80" i="59" s="1"/>
  <c r="AH49" i="59"/>
  <c r="AH77" i="59" s="1"/>
  <c r="AK49" i="59"/>
  <c r="AK77" i="59" s="1"/>
  <c r="AN49" i="59"/>
  <c r="AN77" i="59" s="1"/>
  <c r="AN80" i="59" s="1"/>
  <c r="AQ49" i="59"/>
  <c r="AQ77" i="59" s="1"/>
  <c r="AQ80" i="59" s="1"/>
  <c r="AT49" i="59"/>
  <c r="AT77" i="59" s="1"/>
  <c r="J49" i="59"/>
  <c r="J77" i="59" s="1"/>
  <c r="M49" i="59"/>
  <c r="M77" i="59" s="1"/>
  <c r="J80" i="59" l="1"/>
  <c r="AT80" i="59"/>
  <c r="AH80" i="59"/>
  <c r="V80" i="59"/>
  <c r="M80" i="59"/>
  <c r="AK80" i="59"/>
  <c r="Y80" i="59"/>
  <c r="AW61" i="59"/>
  <c r="AW49" i="59"/>
  <c r="B28" i="64" l="1"/>
  <c r="B31" i="64" s="1"/>
  <c r="N115" i="31" s="1"/>
  <c r="B26" i="64"/>
  <c r="C15" i="64"/>
  <c r="H41" i="6" l="1"/>
  <c r="I41" i="6" s="1"/>
  <c r="K41" i="6" s="1"/>
  <c r="L41" i="6" s="1"/>
  <c r="P41" i="6" l="1"/>
  <c r="M61" i="31" s="1"/>
  <c r="N41" i="6"/>
  <c r="Q41" i="6" s="1"/>
  <c r="O41" i="6" l="1"/>
  <c r="P85" i="6" l="1"/>
  <c r="P86" i="6"/>
  <c r="P87" i="6"/>
  <c r="P88" i="6"/>
  <c r="P89" i="6"/>
  <c r="P90" i="6"/>
  <c r="P91" i="6"/>
  <c r="P92" i="6"/>
  <c r="P93" i="6"/>
  <c r="P94" i="6"/>
  <c r="F163" i="58" l="1"/>
  <c r="F162" i="58"/>
  <c r="F157" i="58"/>
  <c r="F156" i="58"/>
  <c r="AF132" i="58"/>
  <c r="AF133" i="58"/>
  <c r="AF134" i="58"/>
  <c r="AF135" i="58"/>
  <c r="AF136" i="58"/>
  <c r="AF137" i="58"/>
  <c r="AF138" i="58"/>
  <c r="AF139" i="58"/>
  <c r="AF140" i="58"/>
  <c r="AF141" i="58"/>
  <c r="AE132" i="58"/>
  <c r="AE133" i="58"/>
  <c r="AE134" i="58"/>
  <c r="AE135" i="58"/>
  <c r="AE136" i="58"/>
  <c r="AE137" i="58"/>
  <c r="AE138" i="58"/>
  <c r="AE139" i="58"/>
  <c r="AE140" i="58"/>
  <c r="AE141"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J5" i="58" l="1"/>
  <c r="R5" i="58" s="1"/>
  <c r="Y5" i="58" s="1"/>
  <c r="AE5" i="58" s="1"/>
  <c r="J3" i="58"/>
  <c r="R3" i="58" s="1"/>
  <c r="Y3" i="58" s="1"/>
  <c r="AE3" i="58" s="1"/>
  <c r="J2" i="58"/>
  <c r="R2" i="58" s="1"/>
  <c r="Y2" i="58" s="1"/>
  <c r="AE2" i="58" s="1"/>
  <c r="AY30" i="59" l="1"/>
  <c r="AY31" i="59"/>
  <c r="AY32" i="59"/>
  <c r="AY33" i="59"/>
  <c r="AY34" i="59"/>
  <c r="AY35" i="59"/>
  <c r="AY36" i="59"/>
  <c r="AX30" i="59"/>
  <c r="AW30" i="59"/>
  <c r="AW31" i="59"/>
  <c r="AW32" i="59"/>
  <c r="AW33" i="59"/>
  <c r="AW34" i="59"/>
  <c r="AW35" i="59"/>
  <c r="AW36" i="59"/>
  <c r="Z538" i="62" l="1"/>
  <c r="Z540" i="62"/>
  <c r="L37" i="59"/>
  <c r="K37" i="59"/>
  <c r="J37" i="59"/>
  <c r="J75" i="59" s="1"/>
  <c r="R5" i="59" l="1"/>
  <c r="AB5" i="59" s="1"/>
  <c r="AK5" i="59" s="1"/>
  <c r="AU5" i="59" s="1"/>
  <c r="R3" i="59"/>
  <c r="AB3" i="59" s="1"/>
  <c r="AK3" i="59" s="1"/>
  <c r="AU3" i="59" s="1"/>
  <c r="R2" i="59"/>
  <c r="AB2" i="59" s="1"/>
  <c r="AK2" i="59" s="1"/>
  <c r="AU2" i="59" s="1"/>
  <c r="B60" i="6" l="1"/>
  <c r="B53" i="6" l="1"/>
  <c r="B59" i="6"/>
  <c r="B58" i="6"/>
  <c r="B57" i="6"/>
  <c r="B56" i="6"/>
  <c r="B55" i="6"/>
  <c r="B54" i="6"/>
  <c r="B52" i="6"/>
  <c r="B50" i="6"/>
  <c r="B44" i="6"/>
  <c r="M72" i="6" l="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J72" i="6"/>
  <c r="J73" i="6" s="1"/>
  <c r="J74" i="6" s="1"/>
  <c r="J75" i="6" s="1"/>
  <c r="J76" i="6" s="1"/>
  <c r="J77" i="6" s="1"/>
  <c r="J78" i="6" s="1"/>
  <c r="G43" i="6"/>
  <c r="H43" i="6" s="1"/>
  <c r="H42" i="6"/>
  <c r="J79" i="6" l="1"/>
  <c r="K78" i="6"/>
  <c r="L78" i="6" s="1"/>
  <c r="G44" i="6"/>
  <c r="G45" i="6" s="1"/>
  <c r="H45" i="6" s="1"/>
  <c r="J80" i="6" l="1"/>
  <c r="K79" i="6"/>
  <c r="L79" i="6" s="1"/>
  <c r="G46" i="6"/>
  <c r="H46" i="6" s="1"/>
  <c r="G47" i="6" l="1"/>
  <c r="G48" i="6" s="1"/>
  <c r="G49" i="6" s="1"/>
  <c r="G50" i="6" s="1"/>
  <c r="G51" i="6" s="1"/>
  <c r="G52" i="6" s="1"/>
  <c r="G53" i="6" s="1"/>
  <c r="G54" i="6" s="1"/>
  <c r="G55" i="6" s="1"/>
  <c r="G56" i="6" s="1"/>
  <c r="G57" i="6" s="1"/>
  <c r="G58" i="6" s="1"/>
  <c r="G59" i="6" s="1"/>
  <c r="G60" i="6" s="1"/>
  <c r="G61" i="6" s="1"/>
  <c r="J81" i="6"/>
  <c r="K80" i="6"/>
  <c r="L80" i="6" s="1"/>
  <c r="M21" i="6"/>
  <c r="M22" i="6" s="1"/>
  <c r="M23" i="6" s="1"/>
  <c r="M24" i="6" s="1"/>
  <c r="M25" i="6" s="1"/>
  <c r="M26" i="6" s="1"/>
  <c r="M27" i="6" s="1"/>
  <c r="M28" i="6" s="1"/>
  <c r="M29" i="6" s="1"/>
  <c r="M30" i="6" s="1"/>
  <c r="M31" i="6" s="1"/>
  <c r="M32" i="6" s="1"/>
  <c r="M33" i="6" s="1"/>
  <c r="M34" i="6" s="1"/>
  <c r="M35" i="6" s="1"/>
  <c r="M36" i="6" s="1"/>
  <c r="M37" i="6" s="1"/>
  <c r="M38" i="6" s="1"/>
  <c r="J43" i="6"/>
  <c r="J44" i="6" s="1"/>
  <c r="J45" i="6" s="1"/>
  <c r="J46" i="6" s="1"/>
  <c r="J47" i="6" s="1"/>
  <c r="J48" i="6" s="1"/>
  <c r="J49" i="6" s="1"/>
  <c r="J50" i="6" s="1"/>
  <c r="J51" i="6" s="1"/>
  <c r="J52" i="6" s="1"/>
  <c r="J53" i="6" s="1"/>
  <c r="J54" i="6" s="1"/>
  <c r="J55" i="6" s="1"/>
  <c r="J56" i="6" s="1"/>
  <c r="J57" i="6" s="1"/>
  <c r="J58" i="6" s="1"/>
  <c r="J59" i="6" s="1"/>
  <c r="J60" i="6" s="1"/>
  <c r="J61" i="6" s="1"/>
  <c r="J21" i="6"/>
  <c r="J22" i="6" s="1"/>
  <c r="J23" i="6" s="1"/>
  <c r="J24" i="6" s="1"/>
  <c r="J25" i="6" s="1"/>
  <c r="J26" i="6" s="1"/>
  <c r="J27" i="6" s="1"/>
  <c r="J28" i="6" s="1"/>
  <c r="J29" i="6" s="1"/>
  <c r="J30" i="6" s="1"/>
  <c r="J31" i="6" s="1"/>
  <c r="J32" i="6" s="1"/>
  <c r="J33" i="6" s="1"/>
  <c r="J34" i="6" s="1"/>
  <c r="J35" i="6" s="1"/>
  <c r="J36" i="6" s="1"/>
  <c r="J37" i="6" s="1"/>
  <c r="J38" i="6" s="1"/>
  <c r="J82" i="6" l="1"/>
  <c r="K81" i="6"/>
  <c r="L81" i="6" s="1"/>
  <c r="H27" i="6"/>
  <c r="H28" i="6"/>
  <c r="H29" i="6"/>
  <c r="P29" i="6" s="1"/>
  <c r="H30" i="6"/>
  <c r="P30" i="6" s="1"/>
  <c r="H31" i="6"/>
  <c r="P31" i="6" s="1"/>
  <c r="H32" i="6"/>
  <c r="P32" i="6" s="1"/>
  <c r="H33" i="6"/>
  <c r="H34" i="6"/>
  <c r="P34" i="6" s="1"/>
  <c r="H35" i="6"/>
  <c r="H36" i="6"/>
  <c r="H37" i="6"/>
  <c r="P37" i="6" s="1"/>
  <c r="H38" i="6"/>
  <c r="P38" i="6" s="1"/>
  <c r="I32" i="6"/>
  <c r="I31" i="6" l="1"/>
  <c r="J83" i="6"/>
  <c r="K82" i="6"/>
  <c r="L82" i="6" s="1"/>
  <c r="I33" i="6"/>
  <c r="K33" i="6" s="1"/>
  <c r="L33" i="6" s="1"/>
  <c r="N33" i="6" s="1"/>
  <c r="P33" i="6"/>
  <c r="I36" i="6"/>
  <c r="P36" i="6"/>
  <c r="I28" i="6"/>
  <c r="K28" i="6" s="1"/>
  <c r="L28" i="6" s="1"/>
  <c r="N28" i="6" s="1"/>
  <c r="P28" i="6"/>
  <c r="I35" i="6"/>
  <c r="K35" i="6" s="1"/>
  <c r="L35" i="6" s="1"/>
  <c r="N35" i="6" s="1"/>
  <c r="P35" i="6"/>
  <c r="I27" i="6"/>
  <c r="P27" i="6"/>
  <c r="K32" i="6"/>
  <c r="L32" i="6" s="1"/>
  <c r="N32" i="6" s="1"/>
  <c r="K36" i="6"/>
  <c r="L36" i="6" s="1"/>
  <c r="N36" i="6" s="1"/>
  <c r="K31" i="6"/>
  <c r="L31" i="6" s="1"/>
  <c r="N31" i="6" s="1"/>
  <c r="O28" i="6" l="1"/>
  <c r="Q28" i="6"/>
  <c r="O33" i="6"/>
  <c r="Q33" i="6"/>
  <c r="O31" i="6"/>
  <c r="Q31" i="6"/>
  <c r="O36" i="6"/>
  <c r="Q36" i="6"/>
  <c r="P99" i="31" s="1"/>
  <c r="U99" i="31" s="1"/>
  <c r="O32" i="6"/>
  <c r="Q32" i="6"/>
  <c r="P88" i="31" s="1"/>
  <c r="O35" i="6"/>
  <c r="Q35" i="6"/>
  <c r="P97" i="31" s="1"/>
  <c r="J84" i="6"/>
  <c r="K83" i="6"/>
  <c r="L83" i="6" s="1"/>
  <c r="K27" i="6"/>
  <c r="L27" i="6" s="1"/>
  <c r="N27" i="6" s="1"/>
  <c r="F41" i="18"/>
  <c r="F42" i="18"/>
  <c r="F43" i="18"/>
  <c r="F35" i="18"/>
  <c r="F36" i="18"/>
  <c r="F37" i="18"/>
  <c r="F38" i="18"/>
  <c r="F39" i="18"/>
  <c r="F40" i="18"/>
  <c r="F34" i="18"/>
  <c r="F11" i="18"/>
  <c r="F10" i="18"/>
  <c r="O27" i="6" l="1"/>
  <c r="Q27" i="6"/>
  <c r="J85" i="6"/>
  <c r="K84" i="6"/>
  <c r="L84" i="6" s="1"/>
  <c r="H150" i="49"/>
  <c r="J150" i="49" s="1"/>
  <c r="J86" i="6" l="1"/>
  <c r="K85" i="6"/>
  <c r="L85" i="6" s="1"/>
  <c r="H144" i="49"/>
  <c r="J144" i="49" s="1"/>
  <c r="H151" i="49"/>
  <c r="J151" i="49" s="1"/>
  <c r="H149" i="49"/>
  <c r="J149" i="49" s="1"/>
  <c r="H148" i="49"/>
  <c r="J148" i="49" s="1"/>
  <c r="H147" i="49"/>
  <c r="J147" i="49" s="1"/>
  <c r="H145" i="49"/>
  <c r="J145" i="49" s="1"/>
  <c r="H143" i="49"/>
  <c r="J143" i="49" s="1"/>
  <c r="H141" i="49"/>
  <c r="J141" i="49" s="1"/>
  <c r="H138" i="49"/>
  <c r="J138" i="49" s="1"/>
  <c r="N85" i="6" l="1"/>
  <c r="Q85" i="6" s="1"/>
  <c r="J87" i="6"/>
  <c r="K86" i="6"/>
  <c r="L86" i="6" s="1"/>
  <c r="E126" i="49"/>
  <c r="E94" i="49"/>
  <c r="E20" i="49"/>
  <c r="G93" i="49"/>
  <c r="G91" i="49"/>
  <c r="G125" i="49"/>
  <c r="G124" i="49"/>
  <c r="G123" i="49"/>
  <c r="G90" i="49"/>
  <c r="H90" i="49" s="1"/>
  <c r="G86" i="49"/>
  <c r="G87" i="49"/>
  <c r="G88" i="49"/>
  <c r="G89" i="49"/>
  <c r="G85" i="49"/>
  <c r="G84" i="49"/>
  <c r="G81" i="49"/>
  <c r="G82" i="49"/>
  <c r="O85" i="6" l="1"/>
  <c r="N86" i="6"/>
  <c r="Q86" i="6" s="1"/>
  <c r="J88" i="6"/>
  <c r="K87" i="6"/>
  <c r="L87" i="6" s="1"/>
  <c r="G78" i="49"/>
  <c r="H78" i="49" s="1"/>
  <c r="G79" i="49"/>
  <c r="G80" i="49"/>
  <c r="H80" i="49" s="1"/>
  <c r="G77" i="49"/>
  <c r="G74" i="49"/>
  <c r="G73" i="49"/>
  <c r="G72" i="49"/>
  <c r="H72" i="49" s="1"/>
  <c r="G69" i="49"/>
  <c r="G67" i="49"/>
  <c r="G66" i="49"/>
  <c r="G54" i="49"/>
  <c r="G55" i="49"/>
  <c r="H55" i="49" s="1"/>
  <c r="H140" i="49" s="1"/>
  <c r="J140" i="49" s="1"/>
  <c r="G56" i="49"/>
  <c r="G49" i="49"/>
  <c r="G62" i="49"/>
  <c r="G63" i="49"/>
  <c r="G64" i="49"/>
  <c r="G57" i="49"/>
  <c r="G109" i="49"/>
  <c r="G106" i="49"/>
  <c r="O86" i="6" l="1"/>
  <c r="N87" i="6"/>
  <c r="Q87" i="6" s="1"/>
  <c r="J89" i="6"/>
  <c r="K88" i="6"/>
  <c r="L88" i="6" s="1"/>
  <c r="N88" i="6" l="1"/>
  <c r="Q88" i="6" s="1"/>
  <c r="J90" i="6"/>
  <c r="K89" i="6"/>
  <c r="L89" i="6" s="1"/>
  <c r="O87" i="6"/>
  <c r="G18" i="49"/>
  <c r="H18" i="49" s="1"/>
  <c r="H20" i="49" s="1"/>
  <c r="H137" i="49" s="1"/>
  <c r="J137" i="49" s="1"/>
  <c r="O88" i="6" l="1"/>
  <c r="N89" i="6"/>
  <c r="Q89" i="6" s="1"/>
  <c r="J91" i="6"/>
  <c r="K90" i="6"/>
  <c r="L90" i="6" s="1"/>
  <c r="O89" i="6" l="1"/>
  <c r="N90" i="6"/>
  <c r="Q90" i="6" s="1"/>
  <c r="J92" i="6"/>
  <c r="K91" i="6"/>
  <c r="L91" i="6" s="1"/>
  <c r="G145" i="31"/>
  <c r="G146" i="31"/>
  <c r="G147" i="31"/>
  <c r="G148" i="31"/>
  <c r="G143" i="31"/>
  <c r="O90" i="6" l="1"/>
  <c r="N91" i="6"/>
  <c r="Q91" i="6" s="1"/>
  <c r="J93" i="6"/>
  <c r="K92" i="6"/>
  <c r="L92" i="6" s="1"/>
  <c r="F27" i="31"/>
  <c r="G26" i="31"/>
  <c r="E27" i="31"/>
  <c r="J94" i="6" l="1"/>
  <c r="K94" i="6" s="1"/>
  <c r="L94" i="6" s="1"/>
  <c r="K93" i="6"/>
  <c r="L93" i="6" s="1"/>
  <c r="N92" i="6"/>
  <c r="Q92" i="6" s="1"/>
  <c r="O91" i="6"/>
  <c r="O92" i="6" l="1"/>
  <c r="N93" i="6"/>
  <c r="Q93" i="6" s="1"/>
  <c r="O93" i="6"/>
  <c r="N94" i="6"/>
  <c r="Q94" i="6" s="1"/>
  <c r="P84" i="6"/>
  <c r="P83" i="6"/>
  <c r="P82" i="6"/>
  <c r="P81" i="6"/>
  <c r="P80" i="6"/>
  <c r="P79" i="6"/>
  <c r="P78" i="6"/>
  <c r="P77" i="6"/>
  <c r="P76" i="6"/>
  <c r="P75" i="6"/>
  <c r="P74" i="6"/>
  <c r="P73" i="6"/>
  <c r="P72" i="6"/>
  <c r="P71" i="6"/>
  <c r="N135" i="31"/>
  <c r="M135" i="31"/>
  <c r="N121" i="31"/>
  <c r="N123" i="31" s="1"/>
  <c r="N107" i="31"/>
  <c r="M107" i="31"/>
  <c r="N100" i="31"/>
  <c r="M100" i="31"/>
  <c r="N93" i="31"/>
  <c r="N84" i="31"/>
  <c r="N72" i="31"/>
  <c r="N53" i="31"/>
  <c r="M53" i="31"/>
  <c r="N51" i="31"/>
  <c r="M51" i="31"/>
  <c r="N37" i="31"/>
  <c r="M37" i="31"/>
  <c r="N27" i="31"/>
  <c r="M27" i="31"/>
  <c r="N17" i="31"/>
  <c r="M17" i="31"/>
  <c r="R632" i="62"/>
  <c r="Q632" i="62"/>
  <c r="P632" i="62"/>
  <c r="O632" i="62"/>
  <c r="N632" i="62"/>
  <c r="M632" i="62"/>
  <c r="L632" i="62"/>
  <c r="K632" i="62"/>
  <c r="J632" i="62"/>
  <c r="I632" i="62"/>
  <c r="H632" i="62"/>
  <c r="G632" i="62"/>
  <c r="F632" i="62"/>
  <c r="W631" i="62"/>
  <c r="W630" i="62"/>
  <c r="W629" i="62"/>
  <c r="W628" i="62"/>
  <c r="W627" i="62"/>
  <c r="W626" i="62"/>
  <c r="W625" i="62"/>
  <c r="W624" i="62"/>
  <c r="W623" i="62"/>
  <c r="R619" i="62"/>
  <c r="Q619" i="62"/>
  <c r="P619" i="62"/>
  <c r="O619" i="62"/>
  <c r="N619" i="62"/>
  <c r="M619" i="62"/>
  <c r="L619" i="62"/>
  <c r="K619" i="62"/>
  <c r="J619" i="62"/>
  <c r="I619" i="62"/>
  <c r="H619" i="62"/>
  <c r="G619" i="62"/>
  <c r="F619" i="62"/>
  <c r="W618" i="62"/>
  <c r="W617" i="62"/>
  <c r="W614" i="62"/>
  <c r="W613" i="62"/>
  <c r="W612" i="62"/>
  <c r="W611" i="62"/>
  <c r="W610" i="62"/>
  <c r="W609" i="62"/>
  <c r="W608" i="62"/>
  <c r="W607" i="62"/>
  <c r="W606" i="62"/>
  <c r="W599" i="62"/>
  <c r="W598" i="62"/>
  <c r="W597" i="62"/>
  <c r="W595" i="62"/>
  <c r="W594" i="62"/>
  <c r="W593" i="62"/>
  <c r="W592" i="62"/>
  <c r="W591" i="62"/>
  <c r="W590" i="62"/>
  <c r="W589" i="62"/>
  <c r="W588" i="62"/>
  <c r="W587" i="62"/>
  <c r="W586" i="62"/>
  <c r="W585" i="62"/>
  <c r="W584" i="62"/>
  <c r="W583" i="62"/>
  <c r="W582" i="62"/>
  <c r="W581" i="62"/>
  <c r="W580" i="62"/>
  <c r="W579" i="62"/>
  <c r="W578" i="62"/>
  <c r="W577" i="62"/>
  <c r="W576" i="62"/>
  <c r="W575" i="62"/>
  <c r="W574" i="62"/>
  <c r="W573" i="62"/>
  <c r="W572" i="62"/>
  <c r="W571" i="62"/>
  <c r="W570" i="62"/>
  <c r="W569" i="62"/>
  <c r="W568" i="62"/>
  <c r="W567" i="62"/>
  <c r="W566" i="62"/>
  <c r="W565" i="62"/>
  <c r="W564" i="62"/>
  <c r="W563" i="62"/>
  <c r="W562" i="62"/>
  <c r="W561" i="62"/>
  <c r="W560" i="62"/>
  <c r="W559" i="62"/>
  <c r="W558" i="62"/>
  <c r="W557" i="62"/>
  <c r="W556" i="62"/>
  <c r="W555" i="62"/>
  <c r="W554" i="62"/>
  <c r="W553" i="62"/>
  <c r="R551" i="62"/>
  <c r="Q551" i="62"/>
  <c r="P551" i="62"/>
  <c r="O551" i="62"/>
  <c r="N551" i="62"/>
  <c r="M551" i="62"/>
  <c r="L551" i="62"/>
  <c r="K551" i="62"/>
  <c r="J551" i="62"/>
  <c r="I551" i="62"/>
  <c r="H551" i="62"/>
  <c r="G551" i="62"/>
  <c r="F551" i="62"/>
  <c r="V550" i="62"/>
  <c r="V549" i="62"/>
  <c r="AB548" i="62"/>
  <c r="V548" i="62"/>
  <c r="V547" i="62"/>
  <c r="V545" i="62"/>
  <c r="AA530" i="62"/>
  <c r="R528" i="62"/>
  <c r="Q528" i="62"/>
  <c r="P528" i="62"/>
  <c r="O528" i="62"/>
  <c r="N528" i="62"/>
  <c r="M528" i="62"/>
  <c r="L528" i="62"/>
  <c r="K528" i="62"/>
  <c r="J528" i="62"/>
  <c r="I528" i="62"/>
  <c r="H528" i="62"/>
  <c r="G528" i="62"/>
  <c r="F528" i="62"/>
  <c r="V526" i="62"/>
  <c r="V525" i="62"/>
  <c r="AD517" i="62"/>
  <c r="AF517" i="62" s="1"/>
  <c r="AD516" i="62"/>
  <c r="AF516" i="62" s="1"/>
  <c r="AD515" i="62"/>
  <c r="AF515" i="62" s="1"/>
  <c r="AD514" i="62"/>
  <c r="AF514" i="62" s="1"/>
  <c r="V513" i="62"/>
  <c r="V512" i="62"/>
  <c r="V511" i="62"/>
  <c r="V510" i="62"/>
  <c r="V509" i="62"/>
  <c r="AD493" i="62"/>
  <c r="AF493" i="62" s="1"/>
  <c r="X493" i="62"/>
  <c r="AD492" i="62"/>
  <c r="AF492" i="62" s="1"/>
  <c r="X492" i="62"/>
  <c r="AD491" i="62"/>
  <c r="AF491" i="62" s="1"/>
  <c r="X491" i="62"/>
  <c r="AD490" i="62"/>
  <c r="AF490" i="62" s="1"/>
  <c r="X490" i="62"/>
  <c r="AB490" i="62" s="1"/>
  <c r="AD489" i="62"/>
  <c r="AF489" i="62" s="1"/>
  <c r="X489" i="62"/>
  <c r="AB489" i="62" s="1"/>
  <c r="AD488" i="62"/>
  <c r="AF488" i="62" s="1"/>
  <c r="X488" i="62"/>
  <c r="AB488" i="62" s="1"/>
  <c r="AD487" i="62"/>
  <c r="AF487" i="62" s="1"/>
  <c r="X487" i="62"/>
  <c r="AB487" i="62" s="1"/>
  <c r="AD486" i="62"/>
  <c r="AF486" i="62" s="1"/>
  <c r="X486" i="62"/>
  <c r="AB486" i="62" s="1"/>
  <c r="AD485" i="62"/>
  <c r="AF485" i="62" s="1"/>
  <c r="X485" i="62"/>
  <c r="AB485" i="62" s="1"/>
  <c r="AD484" i="62"/>
  <c r="AF484" i="62" s="1"/>
  <c r="X484" i="62"/>
  <c r="AB484" i="62" s="1"/>
  <c r="AD483" i="62"/>
  <c r="AF483" i="62" s="1"/>
  <c r="X483" i="62"/>
  <c r="AB483" i="62" s="1"/>
  <c r="AD482" i="62"/>
  <c r="AF482" i="62" s="1"/>
  <c r="X482" i="62"/>
  <c r="AB482" i="62" s="1"/>
  <c r="AD481" i="62"/>
  <c r="AF481" i="62" s="1"/>
  <c r="X481" i="62"/>
  <c r="AB481" i="62" s="1"/>
  <c r="AD480" i="62"/>
  <c r="AF480" i="62" s="1"/>
  <c r="X480" i="62"/>
  <c r="AB480" i="62" s="1"/>
  <c r="X479" i="62"/>
  <c r="AB479" i="62" s="1"/>
  <c r="V478" i="62"/>
  <c r="V477" i="62"/>
  <c r="V476" i="62"/>
  <c r="V475" i="62"/>
  <c r="V466" i="62"/>
  <c r="V465" i="62"/>
  <c r="V464" i="62"/>
  <c r="V463" i="62"/>
  <c r="V462" i="62"/>
  <c r="V461" i="62"/>
  <c r="V460" i="62"/>
  <c r="V459" i="62"/>
  <c r="V458" i="62"/>
  <c r="V457" i="62"/>
  <c r="V456" i="62"/>
  <c r="V455" i="62"/>
  <c r="V454" i="62"/>
  <c r="V453" i="62"/>
  <c r="V452" i="62"/>
  <c r="V451" i="62"/>
  <c r="V450" i="62"/>
  <c r="V449" i="62"/>
  <c r="V448" i="62"/>
  <c r="V447" i="62"/>
  <c r="V446" i="62"/>
  <c r="V445" i="62"/>
  <c r="V444" i="62"/>
  <c r="V443" i="62"/>
  <c r="X442" i="62"/>
  <c r="AB442" i="62" s="1"/>
  <c r="X441" i="62"/>
  <c r="AB441" i="62" s="1"/>
  <c r="W440" i="62"/>
  <c r="AC440" i="62" s="1"/>
  <c r="V439" i="62"/>
  <c r="AD438" i="62"/>
  <c r="AD437" i="62"/>
  <c r="V436" i="62"/>
  <c r="V435" i="62"/>
  <c r="V434" i="62"/>
  <c r="V433" i="62"/>
  <c r="V432" i="62"/>
  <c r="V431" i="62"/>
  <c r="V430" i="62"/>
  <c r="V429" i="62"/>
  <c r="V428" i="62"/>
  <c r="V427" i="62"/>
  <c r="V426" i="62"/>
  <c r="V425" i="62"/>
  <c r="V424" i="62"/>
  <c r="V423" i="62"/>
  <c r="V422" i="62"/>
  <c r="V421" i="62"/>
  <c r="V420" i="62"/>
  <c r="V418" i="62"/>
  <c r="R414" i="62"/>
  <c r="Q414" i="62"/>
  <c r="P414" i="62"/>
  <c r="O414" i="62"/>
  <c r="N414" i="62"/>
  <c r="M414" i="62"/>
  <c r="L414" i="62"/>
  <c r="K414" i="62"/>
  <c r="J414" i="62"/>
  <c r="I414" i="62"/>
  <c r="H414" i="62"/>
  <c r="G414" i="62"/>
  <c r="F414" i="62"/>
  <c r="V413" i="62"/>
  <c r="V412" i="62"/>
  <c r="V410" i="62"/>
  <c r="R408" i="62"/>
  <c r="Q408" i="62"/>
  <c r="P408" i="62"/>
  <c r="O408" i="62"/>
  <c r="N408" i="62"/>
  <c r="M408" i="62"/>
  <c r="L408" i="62"/>
  <c r="K408" i="62"/>
  <c r="J408" i="62"/>
  <c r="I408" i="62"/>
  <c r="H408" i="62"/>
  <c r="G408" i="62"/>
  <c r="F408" i="62"/>
  <c r="AB407" i="62"/>
  <c r="X404" i="62"/>
  <c r="AB403" i="62"/>
  <c r="AB402" i="62"/>
  <c r="X400" i="62"/>
  <c r="AD399" i="62"/>
  <c r="AF399" i="62" s="1"/>
  <c r="V398" i="62"/>
  <c r="V397" i="62"/>
  <c r="V396" i="62"/>
  <c r="V395" i="62"/>
  <c r="V394" i="62"/>
  <c r="V393" i="62"/>
  <c r="V392" i="62"/>
  <c r="V391" i="62"/>
  <c r="V390" i="62"/>
  <c r="V389" i="62"/>
  <c r="V388" i="62"/>
  <c r="V387" i="62"/>
  <c r="V386" i="62"/>
  <c r="AC384" i="62"/>
  <c r="AC383" i="62"/>
  <c r="R381" i="62"/>
  <c r="Q381" i="62"/>
  <c r="P381" i="62"/>
  <c r="O381" i="62"/>
  <c r="N381" i="62"/>
  <c r="M381" i="62"/>
  <c r="L381" i="62"/>
  <c r="K381" i="62"/>
  <c r="J381" i="62"/>
  <c r="I381" i="62"/>
  <c r="H381" i="62"/>
  <c r="G381" i="62"/>
  <c r="F381" i="62"/>
  <c r="AC379" i="62"/>
  <c r="AC377" i="62"/>
  <c r="AC376" i="62"/>
  <c r="AC375" i="62"/>
  <c r="AC373" i="62"/>
  <c r="AC372" i="62"/>
  <c r="AC371" i="62"/>
  <c r="AC369" i="62"/>
  <c r="AC368" i="62"/>
  <c r="R366" i="62"/>
  <c r="Q366" i="62"/>
  <c r="P366" i="62"/>
  <c r="O366" i="62"/>
  <c r="N366" i="62"/>
  <c r="M366" i="62"/>
  <c r="L366" i="62"/>
  <c r="K366" i="62"/>
  <c r="J366" i="62"/>
  <c r="I366" i="62"/>
  <c r="H366" i="62"/>
  <c r="G366" i="62"/>
  <c r="F366" i="62"/>
  <c r="AC364" i="62"/>
  <c r="AC363" i="62"/>
  <c r="AC361" i="62"/>
  <c r="AC360" i="62"/>
  <c r="AC359" i="62"/>
  <c r="AC357" i="62"/>
  <c r="R352" i="62"/>
  <c r="Q352" i="62"/>
  <c r="P352" i="62"/>
  <c r="O352" i="62"/>
  <c r="N352" i="62"/>
  <c r="M352" i="62"/>
  <c r="L352" i="62"/>
  <c r="K352" i="62"/>
  <c r="J352" i="62"/>
  <c r="I352" i="62"/>
  <c r="H352" i="62"/>
  <c r="G352" i="62"/>
  <c r="F352" i="62"/>
  <c r="R349" i="62"/>
  <c r="Q349" i="62"/>
  <c r="P349" i="62"/>
  <c r="O349" i="62"/>
  <c r="N349" i="62"/>
  <c r="M349" i="62"/>
  <c r="L349" i="62"/>
  <c r="K349" i="62"/>
  <c r="J349" i="62"/>
  <c r="I349" i="62"/>
  <c r="H349" i="62"/>
  <c r="G349" i="62"/>
  <c r="F349" i="62"/>
  <c r="W348" i="62"/>
  <c r="W347" i="62"/>
  <c r="W346" i="62"/>
  <c r="W345" i="62"/>
  <c r="W344" i="62"/>
  <c r="W343" i="62"/>
  <c r="W341" i="62"/>
  <c r="W339" i="62"/>
  <c r="R336" i="62"/>
  <c r="Q336" i="62"/>
  <c r="P336" i="62"/>
  <c r="O336" i="62"/>
  <c r="N336" i="62"/>
  <c r="M336" i="62"/>
  <c r="L336" i="62"/>
  <c r="K336" i="62"/>
  <c r="J336" i="62"/>
  <c r="I336" i="62"/>
  <c r="H336" i="62"/>
  <c r="G336" i="62"/>
  <c r="F336" i="62"/>
  <c r="W335" i="62"/>
  <c r="W324" i="62"/>
  <c r="W323" i="62"/>
  <c r="W322" i="62"/>
  <c r="W321" i="62"/>
  <c r="W320" i="62"/>
  <c r="W319" i="62"/>
  <c r="W318" i="62"/>
  <c r="W317" i="62"/>
  <c r="W316" i="62"/>
  <c r="W315" i="62"/>
  <c r="R313" i="62"/>
  <c r="Q313" i="62"/>
  <c r="P313" i="62"/>
  <c r="O313" i="62"/>
  <c r="N313" i="62"/>
  <c r="M313" i="62"/>
  <c r="L313" i="62"/>
  <c r="K313" i="62"/>
  <c r="J313" i="62"/>
  <c r="I313" i="62"/>
  <c r="H313" i="62"/>
  <c r="G313" i="62"/>
  <c r="F313" i="62"/>
  <c r="W312" i="62"/>
  <c r="W311" i="62"/>
  <c r="W309" i="62"/>
  <c r="W308" i="62"/>
  <c r="W307" i="62"/>
  <c r="W306" i="62"/>
  <c r="W305" i="62"/>
  <c r="W304" i="62"/>
  <c r="W303" i="62"/>
  <c r="R299" i="62"/>
  <c r="Q299" i="62"/>
  <c r="P299" i="62"/>
  <c r="O299" i="62"/>
  <c r="N299" i="62"/>
  <c r="M299" i="62"/>
  <c r="L299" i="62"/>
  <c r="K299" i="62"/>
  <c r="J299" i="62"/>
  <c r="I299" i="62"/>
  <c r="H299" i="62"/>
  <c r="G299" i="62"/>
  <c r="F299" i="62"/>
  <c r="W298" i="62"/>
  <c r="W297" i="62"/>
  <c r="W296" i="62"/>
  <c r="R294" i="62"/>
  <c r="Q294" i="62"/>
  <c r="P294" i="62"/>
  <c r="O294" i="62"/>
  <c r="N294" i="62"/>
  <c r="M294" i="62"/>
  <c r="L294" i="62"/>
  <c r="K294" i="62"/>
  <c r="J294" i="62"/>
  <c r="I294" i="62"/>
  <c r="H294" i="62"/>
  <c r="G294" i="62"/>
  <c r="F294" i="62"/>
  <c r="W293" i="62"/>
  <c r="W292" i="62"/>
  <c r="W291" i="62"/>
  <c r="W290" i="62"/>
  <c r="W289" i="62"/>
  <c r="W288" i="62"/>
  <c r="W287" i="62"/>
  <c r="W286" i="62"/>
  <c r="W285" i="62"/>
  <c r="W284" i="62"/>
  <c r="W283" i="62"/>
  <c r="W282" i="62"/>
  <c r="W281" i="62"/>
  <c r="W280" i="62"/>
  <c r="W278" i="62"/>
  <c r="W277" i="62"/>
  <c r="W276" i="62"/>
  <c r="R274" i="62"/>
  <c r="Q274" i="62"/>
  <c r="P274" i="62"/>
  <c r="O274" i="62"/>
  <c r="N274" i="62"/>
  <c r="M274" i="62"/>
  <c r="L274" i="62"/>
  <c r="K274" i="62"/>
  <c r="J274" i="62"/>
  <c r="I274" i="62"/>
  <c r="H274" i="62"/>
  <c r="G274" i="62"/>
  <c r="F274" i="62"/>
  <c r="W273" i="62"/>
  <c r="W272" i="62"/>
  <c r="W271" i="62"/>
  <c r="W270" i="62"/>
  <c r="R268" i="62"/>
  <c r="Q268" i="62"/>
  <c r="P268" i="62"/>
  <c r="O268" i="62"/>
  <c r="N268" i="62"/>
  <c r="M268" i="62"/>
  <c r="L268" i="62"/>
  <c r="K268" i="62"/>
  <c r="J268" i="62"/>
  <c r="I268" i="62"/>
  <c r="H268" i="62"/>
  <c r="G268" i="62"/>
  <c r="X267" i="62"/>
  <c r="AB267" i="62"/>
  <c r="AB266" i="62"/>
  <c r="AB251" i="62"/>
  <c r="AD249" i="62"/>
  <c r="AF249" i="62" s="1"/>
  <c r="AF248" i="62"/>
  <c r="X245" i="62"/>
  <c r="U244" i="62"/>
  <c r="AD243" i="62"/>
  <c r="AF243" i="62" s="1"/>
  <c r="U242" i="62"/>
  <c r="U241" i="62"/>
  <c r="U240" i="62"/>
  <c r="U239" i="62"/>
  <c r="U238" i="62"/>
  <c r="U237" i="62"/>
  <c r="U236" i="62"/>
  <c r="U235" i="62"/>
  <c r="U234" i="62"/>
  <c r="U233" i="62"/>
  <c r="U232" i="62"/>
  <c r="U231" i="62"/>
  <c r="U230" i="62"/>
  <c r="U229" i="62"/>
  <c r="U228" i="62"/>
  <c r="U227" i="62"/>
  <c r="U226" i="62"/>
  <c r="U225" i="62"/>
  <c r="U224" i="62"/>
  <c r="U223" i="62"/>
  <c r="U222" i="62"/>
  <c r="U221" i="62"/>
  <c r="U220" i="62"/>
  <c r="U219" i="62"/>
  <c r="U218" i="62"/>
  <c r="U217" i="62"/>
  <c r="U216" i="62"/>
  <c r="U215" i="62"/>
  <c r="U214" i="62"/>
  <c r="U213" i="62"/>
  <c r="U212" i="62"/>
  <c r="U211" i="62"/>
  <c r="R209" i="62"/>
  <c r="Q209" i="62"/>
  <c r="P209" i="62"/>
  <c r="O209" i="62"/>
  <c r="N209" i="62"/>
  <c r="M209" i="62"/>
  <c r="L209" i="62"/>
  <c r="K209" i="62"/>
  <c r="J209" i="62"/>
  <c r="I209" i="62"/>
  <c r="H209" i="62"/>
  <c r="G209" i="62"/>
  <c r="F209" i="62"/>
  <c r="AC208" i="62"/>
  <c r="R206" i="62"/>
  <c r="Q206" i="62"/>
  <c r="P206" i="62"/>
  <c r="O206" i="62"/>
  <c r="N206" i="62"/>
  <c r="M206" i="62"/>
  <c r="L206" i="62"/>
  <c r="K206" i="62"/>
  <c r="J206" i="62"/>
  <c r="I206" i="62"/>
  <c r="H206" i="62"/>
  <c r="G206" i="62"/>
  <c r="F206" i="62"/>
  <c r="AC205" i="62"/>
  <c r="AC204" i="62"/>
  <c r="AC202" i="62"/>
  <c r="AC201" i="62"/>
  <c r="AC200" i="62"/>
  <c r="AC198" i="62"/>
  <c r="AC197" i="62"/>
  <c r="AC196" i="62"/>
  <c r="AC194" i="62"/>
  <c r="AC193" i="62"/>
  <c r="X191" i="62"/>
  <c r="U189" i="62"/>
  <c r="AF189" i="62" s="1"/>
  <c r="R172" i="62"/>
  <c r="Q172" i="62"/>
  <c r="P172" i="62"/>
  <c r="O172" i="62"/>
  <c r="N172" i="62"/>
  <c r="M172" i="62"/>
  <c r="L172" i="62"/>
  <c r="K172" i="62"/>
  <c r="J172" i="62"/>
  <c r="I172" i="62"/>
  <c r="H172" i="62"/>
  <c r="G172" i="62"/>
  <c r="F172" i="62"/>
  <c r="U171" i="62"/>
  <c r="U170" i="62"/>
  <c r="U169" i="62"/>
  <c r="U168" i="62"/>
  <c r="U167" i="62"/>
  <c r="U166" i="62"/>
  <c r="U165" i="62"/>
  <c r="U164" i="62"/>
  <c r="U162" i="62"/>
  <c r="R160" i="62"/>
  <c r="Q160" i="62"/>
  <c r="P160" i="62"/>
  <c r="O160" i="62"/>
  <c r="N160" i="62"/>
  <c r="M160" i="62"/>
  <c r="L160" i="62"/>
  <c r="K160" i="62"/>
  <c r="J160" i="62"/>
  <c r="I160" i="62"/>
  <c r="H160" i="62"/>
  <c r="G160" i="62"/>
  <c r="F160" i="62"/>
  <c r="U159" i="62"/>
  <c r="U158" i="62"/>
  <c r="U157" i="62"/>
  <c r="U156" i="62"/>
  <c r="U155" i="62"/>
  <c r="U154" i="62"/>
  <c r="U153" i="62"/>
  <c r="U152" i="62"/>
  <c r="U148" i="62"/>
  <c r="U147" i="62"/>
  <c r="U146" i="62"/>
  <c r="U145" i="62"/>
  <c r="R142" i="62"/>
  <c r="Q142" i="62"/>
  <c r="P142" i="62"/>
  <c r="O142" i="62"/>
  <c r="N142" i="62"/>
  <c r="M142" i="62"/>
  <c r="L142" i="62"/>
  <c r="K142" i="62"/>
  <c r="J142" i="62"/>
  <c r="I142" i="62"/>
  <c r="H142" i="62"/>
  <c r="G142" i="62"/>
  <c r="F142" i="62"/>
  <c r="U141" i="62"/>
  <c r="U140" i="62"/>
  <c r="U139" i="62"/>
  <c r="U138" i="62"/>
  <c r="U137" i="62"/>
  <c r="U136" i="62"/>
  <c r="U135" i="62"/>
  <c r="U132" i="62"/>
  <c r="U131" i="62"/>
  <c r="U130" i="62"/>
  <c r="U129" i="62"/>
  <c r="U128" i="62"/>
  <c r="U127" i="62"/>
  <c r="U126" i="62"/>
  <c r="U125" i="62"/>
  <c r="U124" i="62"/>
  <c r="U123" i="62"/>
  <c r="U122" i="62"/>
  <c r="U121" i="62"/>
  <c r="U120" i="62"/>
  <c r="U119" i="62"/>
  <c r="R114" i="62"/>
  <c r="Q114" i="62"/>
  <c r="P114" i="62"/>
  <c r="O114" i="62"/>
  <c r="N114" i="62"/>
  <c r="M114" i="62"/>
  <c r="L114" i="62"/>
  <c r="K114" i="62"/>
  <c r="J114" i="62"/>
  <c r="I114" i="62"/>
  <c r="H114" i="62"/>
  <c r="G114" i="62"/>
  <c r="F114" i="62"/>
  <c r="U113" i="62"/>
  <c r="U112" i="62"/>
  <c r="U111" i="62"/>
  <c r="U110" i="62"/>
  <c r="U109" i="62"/>
  <c r="U108" i="62"/>
  <c r="U105" i="62"/>
  <c r="U104" i="62"/>
  <c r="U103" i="62"/>
  <c r="U102" i="62"/>
  <c r="U101" i="62"/>
  <c r="U100" i="62"/>
  <c r="U99" i="62"/>
  <c r="U98" i="62"/>
  <c r="U97" i="62"/>
  <c r="U96" i="62"/>
  <c r="R89" i="62"/>
  <c r="Q89" i="62"/>
  <c r="P89" i="62"/>
  <c r="O89" i="62"/>
  <c r="N89" i="62"/>
  <c r="M89" i="62"/>
  <c r="L89" i="62"/>
  <c r="K89" i="62"/>
  <c r="J89" i="62"/>
  <c r="I89" i="62"/>
  <c r="H89" i="62"/>
  <c r="G89" i="62"/>
  <c r="F89" i="62"/>
  <c r="X88" i="62"/>
  <c r="X87" i="62"/>
  <c r="X86" i="62"/>
  <c r="X85" i="62"/>
  <c r="X84" i="62"/>
  <c r="X83" i="62"/>
  <c r="X82" i="62"/>
  <c r="X81" i="62"/>
  <c r="U77" i="62"/>
  <c r="AF77" i="62" s="1"/>
  <c r="R74" i="62"/>
  <c r="Q74" i="62"/>
  <c r="P74" i="62"/>
  <c r="O74" i="62"/>
  <c r="N74" i="62"/>
  <c r="M74" i="62"/>
  <c r="L74" i="62"/>
  <c r="K74" i="62"/>
  <c r="J74" i="62"/>
  <c r="I74" i="62"/>
  <c r="H74" i="62"/>
  <c r="G74" i="62"/>
  <c r="F74" i="62"/>
  <c r="U73" i="62"/>
  <c r="AF73" i="62" s="1"/>
  <c r="U72" i="62"/>
  <c r="U71" i="62"/>
  <c r="U70" i="62"/>
  <c r="U69" i="62"/>
  <c r="U68" i="62"/>
  <c r="U67" i="62"/>
  <c r="U66" i="62"/>
  <c r="U65" i="62"/>
  <c r="U64" i="62"/>
  <c r="U63" i="62"/>
  <c r="U62" i="62"/>
  <c r="R60" i="62"/>
  <c r="Q60" i="62"/>
  <c r="P60" i="62"/>
  <c r="O60" i="62"/>
  <c r="N60" i="62"/>
  <c r="M60" i="62"/>
  <c r="L60" i="62"/>
  <c r="K60" i="62"/>
  <c r="J60" i="62"/>
  <c r="I60" i="62"/>
  <c r="H60" i="62"/>
  <c r="G60" i="62"/>
  <c r="F60" i="62"/>
  <c r="U56" i="62"/>
  <c r="U55" i="62"/>
  <c r="U54" i="62"/>
  <c r="U53" i="62"/>
  <c r="U52" i="62"/>
  <c r="U51" i="62"/>
  <c r="U49" i="62"/>
  <c r="U48" i="62"/>
  <c r="U47" i="62"/>
  <c r="U46" i="62"/>
  <c r="U45" i="62"/>
  <c r="R42" i="62"/>
  <c r="Q42" i="62"/>
  <c r="P42" i="62"/>
  <c r="O42" i="62"/>
  <c r="N42" i="62"/>
  <c r="M42" i="62"/>
  <c r="L42" i="62"/>
  <c r="K42" i="62"/>
  <c r="J42" i="62"/>
  <c r="I42" i="62"/>
  <c r="H42" i="62"/>
  <c r="G42" i="62"/>
  <c r="F42" i="62"/>
  <c r="AB41" i="62"/>
  <c r="U41" i="62"/>
  <c r="AF41" i="62" s="1"/>
  <c r="AB40" i="62"/>
  <c r="X40" i="62"/>
  <c r="AB39" i="62"/>
  <c r="X39" i="62"/>
  <c r="AB38" i="62"/>
  <c r="X38" i="62"/>
  <c r="AB37" i="62"/>
  <c r="F35" i="62"/>
  <c r="S35" i="62" s="1"/>
  <c r="S354" i="62" s="1"/>
  <c r="U34" i="62"/>
  <c r="AF34" i="62" s="1"/>
  <c r="R28" i="62"/>
  <c r="Q28" i="62"/>
  <c r="P28" i="62"/>
  <c r="O28" i="62"/>
  <c r="N28" i="62"/>
  <c r="M28" i="62"/>
  <c r="L28" i="62"/>
  <c r="K28" i="62"/>
  <c r="J28" i="62"/>
  <c r="I28" i="62"/>
  <c r="H28" i="62"/>
  <c r="G28" i="62"/>
  <c r="F28" i="62"/>
  <c r="R24" i="62"/>
  <c r="Q24" i="62"/>
  <c r="P24" i="62"/>
  <c r="O24" i="62"/>
  <c r="N24" i="62"/>
  <c r="M24" i="62"/>
  <c r="L24" i="62"/>
  <c r="K24" i="62"/>
  <c r="J24" i="62"/>
  <c r="I24" i="62"/>
  <c r="H24" i="62"/>
  <c r="G24" i="62"/>
  <c r="F24" i="62"/>
  <c r="X20" i="62"/>
  <c r="R18" i="62"/>
  <c r="Q18" i="62"/>
  <c r="P18" i="62"/>
  <c r="O18" i="62"/>
  <c r="N18" i="62"/>
  <c r="M18" i="62"/>
  <c r="L18" i="62"/>
  <c r="K18" i="62"/>
  <c r="J18" i="62"/>
  <c r="I18" i="62"/>
  <c r="H18" i="62"/>
  <c r="G18" i="62"/>
  <c r="F18" i="62"/>
  <c r="X17" i="62"/>
  <c r="X16" i="62"/>
  <c r="A16" i="62"/>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A617" i="62" s="1"/>
  <c r="A618" i="62" s="1"/>
  <c r="A619" i="62" s="1"/>
  <c r="A620" i="62" s="1"/>
  <c r="A621" i="62" s="1"/>
  <c r="A622" i="62" s="1"/>
  <c r="A623" i="62" s="1"/>
  <c r="A624" i="62" s="1"/>
  <c r="A625" i="62" s="1"/>
  <c r="A626" i="62" s="1"/>
  <c r="A627" i="62" s="1"/>
  <c r="A628" i="62" s="1"/>
  <c r="A629" i="62" s="1"/>
  <c r="A630" i="62" s="1"/>
  <c r="A631" i="62" s="1"/>
  <c r="A632" i="62" s="1"/>
  <c r="A633" i="62" s="1"/>
  <c r="A634" i="62" s="1"/>
  <c r="A635" i="62" s="1"/>
  <c r="A636" i="62" s="1"/>
  <c r="A637" i="62" s="1"/>
  <c r="A638" i="62" s="1"/>
  <c r="A639" i="62" s="1"/>
  <c r="A640" i="62" s="1"/>
  <c r="A641" i="62" s="1"/>
  <c r="A642" i="62" s="1"/>
  <c r="X15" i="62"/>
  <c r="M28" i="31" l="1"/>
  <c r="AD47" i="62"/>
  <c r="AF47" i="62" s="1"/>
  <c r="AD72" i="62"/>
  <c r="AF72" i="62" s="1"/>
  <c r="AD109" i="62"/>
  <c r="AF109" i="62" s="1"/>
  <c r="AD129" i="62"/>
  <c r="AF129" i="62" s="1"/>
  <c r="AD156" i="62"/>
  <c r="AF156" i="62" s="1"/>
  <c r="AD214" i="62"/>
  <c r="AF214" i="62" s="1"/>
  <c r="AD230" i="62"/>
  <c r="AF230" i="62" s="1"/>
  <c r="AD242" i="62"/>
  <c r="AF242" i="62" s="1"/>
  <c r="AD398" i="62"/>
  <c r="AF398" i="62"/>
  <c r="AD451" i="62"/>
  <c r="AF451" i="62" s="1"/>
  <c r="AD459" i="62"/>
  <c r="AF459" i="62" s="1"/>
  <c r="AD463" i="62"/>
  <c r="AF463" i="62" s="1"/>
  <c r="AD104" i="62"/>
  <c r="AF104" i="62" s="1"/>
  <c r="AD126" i="62"/>
  <c r="AF126" i="62" s="1"/>
  <c r="AD136" i="62"/>
  <c r="AF136" i="62"/>
  <c r="AD140" i="62"/>
  <c r="AF140" i="62" s="1"/>
  <c r="AD146" i="62"/>
  <c r="AF146" i="62" s="1"/>
  <c r="AD157" i="62"/>
  <c r="AF157" i="62" s="1"/>
  <c r="AD162" i="62"/>
  <c r="AF162" i="62" s="1"/>
  <c r="AD167" i="62"/>
  <c r="AF167" i="62" s="1"/>
  <c r="AD171" i="62"/>
  <c r="AF171" i="62" s="1"/>
  <c r="AD176" i="62"/>
  <c r="AF176" i="62" s="1"/>
  <c r="AD211" i="62"/>
  <c r="AF211" i="62" s="1"/>
  <c r="AD215" i="62"/>
  <c r="AF215" i="62" s="1"/>
  <c r="AD219" i="62"/>
  <c r="AF219" i="62" s="1"/>
  <c r="AD223" i="62"/>
  <c r="AF223" i="62" s="1"/>
  <c r="AD227" i="62"/>
  <c r="AF227" i="62" s="1"/>
  <c r="AD231" i="62"/>
  <c r="AF231" i="62" s="1"/>
  <c r="AD235" i="62"/>
  <c r="AF235" i="62" s="1"/>
  <c r="AD239" i="62"/>
  <c r="AF239" i="62" s="1"/>
  <c r="AD387" i="62"/>
  <c r="AF387" i="62" s="1"/>
  <c r="AD391" i="62"/>
  <c r="AF391" i="62" s="1"/>
  <c r="AD395" i="62"/>
  <c r="AF395" i="62"/>
  <c r="AD412" i="62"/>
  <c r="AF412" i="62" s="1"/>
  <c r="AD420" i="62"/>
  <c r="AF420" i="62" s="1"/>
  <c r="AD424" i="62"/>
  <c r="AF424" i="62" s="1"/>
  <c r="AD428" i="62"/>
  <c r="AF428" i="62" s="1"/>
  <c r="AD432" i="62"/>
  <c r="AF432" i="62" s="1"/>
  <c r="AD444" i="62"/>
  <c r="AF444" i="62" s="1"/>
  <c r="AD448" i="62"/>
  <c r="AF448" i="62" s="1"/>
  <c r="AD452" i="62"/>
  <c r="AF452" i="62" s="1"/>
  <c r="AD456" i="62"/>
  <c r="AF456" i="62" s="1"/>
  <c r="AD460" i="62"/>
  <c r="AF460" i="62" s="1"/>
  <c r="AD464" i="62"/>
  <c r="AF464" i="62" s="1"/>
  <c r="AD476" i="62"/>
  <c r="AF476" i="62" s="1"/>
  <c r="AD509" i="62"/>
  <c r="AF509" i="62" s="1"/>
  <c r="AD513" i="62"/>
  <c r="AF513" i="62" s="1"/>
  <c r="AD56" i="62"/>
  <c r="AF56" i="62" s="1"/>
  <c r="AD64" i="62"/>
  <c r="AF64" i="62" s="1"/>
  <c r="AD103" i="62"/>
  <c r="AF103" i="62" s="1"/>
  <c r="AD125" i="62"/>
  <c r="AF125" i="62" s="1"/>
  <c r="AD139" i="62"/>
  <c r="AF139" i="62" s="1"/>
  <c r="AD152" i="62"/>
  <c r="AF152" i="62" s="1"/>
  <c r="AD166" i="62"/>
  <c r="AF166" i="62" s="1"/>
  <c r="AD175" i="62"/>
  <c r="AF175" i="62" s="1"/>
  <c r="AD218" i="62"/>
  <c r="AF218" i="62" s="1"/>
  <c r="AD222" i="62"/>
  <c r="AF222" i="62" s="1"/>
  <c r="AD234" i="62"/>
  <c r="AF234" i="62" s="1"/>
  <c r="AD238" i="62"/>
  <c r="AF238" i="62" s="1"/>
  <c r="AD394" i="62"/>
  <c r="AF394" i="62" s="1"/>
  <c r="AD410" i="62"/>
  <c r="AF410" i="62" s="1"/>
  <c r="AD418" i="62"/>
  <c r="AF418" i="62" s="1"/>
  <c r="AD427" i="62"/>
  <c r="AF427" i="62" s="1"/>
  <c r="AD435" i="62"/>
  <c r="AF435" i="62" s="1"/>
  <c r="AD447" i="62"/>
  <c r="AF447" i="62" s="1"/>
  <c r="AD48" i="62"/>
  <c r="AF48" i="62" s="1"/>
  <c r="AD100" i="62"/>
  <c r="AF100" i="62" s="1"/>
  <c r="AD110" i="62"/>
  <c r="AF110" i="62" s="1"/>
  <c r="AD130" i="62"/>
  <c r="AF130" i="62" s="1"/>
  <c r="AD153" i="62"/>
  <c r="AF153" i="62" s="1"/>
  <c r="AD45" i="62"/>
  <c r="AF45" i="62" s="1"/>
  <c r="AD49" i="62"/>
  <c r="AF49" i="62" s="1"/>
  <c r="AD54" i="62"/>
  <c r="AF54" i="62" s="1"/>
  <c r="AD62" i="62"/>
  <c r="AF62" i="62" s="1"/>
  <c r="AD66" i="62"/>
  <c r="AF66" i="62" s="1"/>
  <c r="AD70" i="62"/>
  <c r="AF70" i="62" s="1"/>
  <c r="AD97" i="62"/>
  <c r="AF97" i="62" s="1"/>
  <c r="AD101" i="62"/>
  <c r="AF101" i="62" s="1"/>
  <c r="AD105" i="62"/>
  <c r="AF105" i="62" s="1"/>
  <c r="AD111" i="62"/>
  <c r="AF111" i="62" s="1"/>
  <c r="AD119" i="62"/>
  <c r="AF119" i="62" s="1"/>
  <c r="AD123" i="62"/>
  <c r="AF123" i="62" s="1"/>
  <c r="AD127" i="62"/>
  <c r="AF127" i="62" s="1"/>
  <c r="AD131" i="62"/>
  <c r="AF131" i="62" s="1"/>
  <c r="AD137" i="62"/>
  <c r="AF137" i="62" s="1"/>
  <c r="AD141" i="62"/>
  <c r="AF141" i="62" s="1"/>
  <c r="AD147" i="62"/>
  <c r="AF147" i="62" s="1"/>
  <c r="AD154" i="62"/>
  <c r="AF154" i="62" s="1"/>
  <c r="AD158" i="62"/>
  <c r="AF158" i="62" s="1"/>
  <c r="AD164" i="62"/>
  <c r="AF164" i="62" s="1"/>
  <c r="AD168" i="62"/>
  <c r="AF168" i="62" s="1"/>
  <c r="AD212" i="62"/>
  <c r="AF212" i="62" s="1"/>
  <c r="AD216" i="62"/>
  <c r="AF216" i="62" s="1"/>
  <c r="AD220" i="62"/>
  <c r="AF220" i="62" s="1"/>
  <c r="AD224" i="62"/>
  <c r="AF224" i="62" s="1"/>
  <c r="AD228" i="62"/>
  <c r="AF228" i="62" s="1"/>
  <c r="AD232" i="62"/>
  <c r="AF232" i="62" s="1"/>
  <c r="AD236" i="62"/>
  <c r="AF236" i="62" s="1"/>
  <c r="AD240" i="62"/>
  <c r="AF240" i="62" s="1"/>
  <c r="AD244" i="62"/>
  <c r="AF244" i="62" s="1"/>
  <c r="AD388" i="62"/>
  <c r="AF388" i="62" s="1"/>
  <c r="AD392" i="62"/>
  <c r="AF392" i="62" s="1"/>
  <c r="AD396" i="62"/>
  <c r="AF396" i="62" s="1"/>
  <c r="AD413" i="62"/>
  <c r="AF413" i="62" s="1"/>
  <c r="AD421" i="62"/>
  <c r="AF421" i="62" s="1"/>
  <c r="AD425" i="62"/>
  <c r="AF425" i="62" s="1"/>
  <c r="AD429" i="62"/>
  <c r="AF429" i="62" s="1"/>
  <c r="AD433" i="62"/>
  <c r="AF433" i="62" s="1"/>
  <c r="AD445" i="62"/>
  <c r="AF445" i="62" s="1"/>
  <c r="AD449" i="62"/>
  <c r="AF449" i="62" s="1"/>
  <c r="AD453" i="62"/>
  <c r="AF453" i="62" s="1"/>
  <c r="AD457" i="62"/>
  <c r="AF457" i="62" s="1"/>
  <c r="AD461" i="62"/>
  <c r="AF461" i="62" s="1"/>
  <c r="AD465" i="62"/>
  <c r="AF465" i="62" s="1"/>
  <c r="AD477" i="62"/>
  <c r="AF477" i="62" s="1"/>
  <c r="AD510" i="62"/>
  <c r="AF510" i="62" s="1"/>
  <c r="AD525" i="62"/>
  <c r="AF525" i="62" s="1"/>
  <c r="AD545" i="62"/>
  <c r="AF545" i="62" s="1"/>
  <c r="AD549" i="62"/>
  <c r="AF549" i="62" s="1"/>
  <c r="AD52" i="62"/>
  <c r="AF52" i="62" s="1"/>
  <c r="AD68" i="62"/>
  <c r="AF68" i="62" s="1"/>
  <c r="AD99" i="62"/>
  <c r="AF99" i="62" s="1"/>
  <c r="AD113" i="62"/>
  <c r="AF113" i="62" s="1"/>
  <c r="AD121" i="62"/>
  <c r="AF121" i="62" s="1"/>
  <c r="AD135" i="62"/>
  <c r="AF135" i="62" s="1"/>
  <c r="AD145" i="62"/>
  <c r="AF145" i="62" s="1"/>
  <c r="AD170" i="62"/>
  <c r="AF170" i="62" s="1"/>
  <c r="AD226" i="62"/>
  <c r="AF226" i="62" s="1"/>
  <c r="AD390" i="62"/>
  <c r="AF390" i="62" s="1"/>
  <c r="AD423" i="62"/>
  <c r="AF423" i="62" s="1"/>
  <c r="AD431" i="62"/>
  <c r="AF431" i="62" s="1"/>
  <c r="AD443" i="62"/>
  <c r="AF443" i="62" s="1"/>
  <c r="AD455" i="62"/>
  <c r="AF455" i="62" s="1"/>
  <c r="AD475" i="62"/>
  <c r="AF475" i="62" s="1"/>
  <c r="AD512" i="62"/>
  <c r="AF512" i="62" s="1"/>
  <c r="AD548" i="62"/>
  <c r="AF548" i="62"/>
  <c r="AD53" i="62"/>
  <c r="AF53" i="62" s="1"/>
  <c r="AD65" i="62"/>
  <c r="AF65" i="62" s="1"/>
  <c r="AD69" i="62"/>
  <c r="AF69" i="62" s="1"/>
  <c r="AD96" i="62"/>
  <c r="AF96" i="62" s="1"/>
  <c r="AD122" i="62"/>
  <c r="AF122" i="62" s="1"/>
  <c r="AD46" i="62"/>
  <c r="AF46" i="62" s="1"/>
  <c r="AD51" i="62"/>
  <c r="AF51" i="62" s="1"/>
  <c r="AD55" i="62"/>
  <c r="AF55" i="62" s="1"/>
  <c r="AD63" i="62"/>
  <c r="AF63" i="62" s="1"/>
  <c r="AD67" i="62"/>
  <c r="AF67" i="62" s="1"/>
  <c r="AD71" i="62"/>
  <c r="AF71" i="62" s="1"/>
  <c r="AD98" i="62"/>
  <c r="AF98" i="62"/>
  <c r="AD102" i="62"/>
  <c r="AF102" i="62" s="1"/>
  <c r="AD108" i="62"/>
  <c r="AF108" i="62" s="1"/>
  <c r="AD112" i="62"/>
  <c r="AF112" i="62" s="1"/>
  <c r="AD120" i="62"/>
  <c r="AF120" i="62" s="1"/>
  <c r="AD124" i="62"/>
  <c r="AF124" i="62" s="1"/>
  <c r="AD128" i="62"/>
  <c r="AF128" i="62" s="1"/>
  <c r="AD132" i="62"/>
  <c r="AF132" i="62" s="1"/>
  <c r="AD138" i="62"/>
  <c r="AF138" i="62" s="1"/>
  <c r="AD148" i="62"/>
  <c r="AF148" i="62" s="1"/>
  <c r="AD155" i="62"/>
  <c r="AF155" i="62" s="1"/>
  <c r="AD159" i="62"/>
  <c r="AF159" i="62" s="1"/>
  <c r="AD165" i="62"/>
  <c r="AF165" i="62" s="1"/>
  <c r="AD169" i="62"/>
  <c r="AF169" i="62" s="1"/>
  <c r="AD174" i="62"/>
  <c r="AF174" i="62" s="1"/>
  <c r="AD213" i="62"/>
  <c r="AF213" i="62" s="1"/>
  <c r="AD217" i="62"/>
  <c r="AF217" i="62" s="1"/>
  <c r="AD221" i="62"/>
  <c r="AF221" i="62" s="1"/>
  <c r="AD225" i="62"/>
  <c r="AF225" i="62" s="1"/>
  <c r="AD229" i="62"/>
  <c r="AF229" i="62" s="1"/>
  <c r="AD233" i="62"/>
  <c r="AF233" i="62" s="1"/>
  <c r="AD237" i="62"/>
  <c r="AF237" i="62" s="1"/>
  <c r="AD241" i="62"/>
  <c r="AF241" i="62" s="1"/>
  <c r="AD389" i="62"/>
  <c r="AF389" i="62" s="1"/>
  <c r="AD393" i="62"/>
  <c r="AF393" i="62" s="1"/>
  <c r="AD397" i="62"/>
  <c r="AF397" i="62" s="1"/>
  <c r="AD422" i="62"/>
  <c r="AF422" i="62" s="1"/>
  <c r="AD426" i="62"/>
  <c r="AF426" i="62" s="1"/>
  <c r="AD430" i="62"/>
  <c r="AF430" i="62" s="1"/>
  <c r="AD434" i="62"/>
  <c r="AF434" i="62" s="1"/>
  <c r="AD446" i="62"/>
  <c r="AF446" i="62" s="1"/>
  <c r="AD450" i="62"/>
  <c r="AF450" i="62" s="1"/>
  <c r="AD454" i="62"/>
  <c r="AF454" i="62" s="1"/>
  <c r="AD458" i="62"/>
  <c r="AF458" i="62" s="1"/>
  <c r="AD462" i="62"/>
  <c r="AF462" i="62" s="1"/>
  <c r="AD466" i="62"/>
  <c r="AF466" i="62" s="1"/>
  <c r="AD478" i="62"/>
  <c r="AF478" i="62"/>
  <c r="AD511" i="62"/>
  <c r="AF511" i="62" s="1"/>
  <c r="AD526" i="62"/>
  <c r="AF526" i="62" s="1"/>
  <c r="AD547" i="62"/>
  <c r="AF547" i="62" s="1"/>
  <c r="AD550" i="62"/>
  <c r="AF550" i="62" s="1"/>
  <c r="V419" i="62"/>
  <c r="G416" i="62"/>
  <c r="G634" i="62" s="1"/>
  <c r="K416" i="62"/>
  <c r="K634" i="62" s="1"/>
  <c r="O416" i="62"/>
  <c r="O634" i="62" s="1"/>
  <c r="I93" i="62"/>
  <c r="I116" i="62" s="1"/>
  <c r="M93" i="62"/>
  <c r="M116" i="62" s="1"/>
  <c r="Q93" i="62"/>
  <c r="Q116" i="62" s="1"/>
  <c r="X527" i="62"/>
  <c r="AA527" i="62"/>
  <c r="X540" i="62"/>
  <c r="V544" i="62"/>
  <c r="X79" i="62"/>
  <c r="AB79" i="62"/>
  <c r="U106" i="62"/>
  <c r="V437" i="62"/>
  <c r="AF437" i="62" s="1"/>
  <c r="X80" i="62"/>
  <c r="AB80" i="62"/>
  <c r="U107" i="62"/>
  <c r="V438" i="62"/>
  <c r="AF438" i="62" s="1"/>
  <c r="V546" i="62"/>
  <c r="X543" i="62"/>
  <c r="AA543" i="62" s="1"/>
  <c r="H93" i="62"/>
  <c r="H116" i="62" s="1"/>
  <c r="P93" i="62"/>
  <c r="P116" i="62" s="1"/>
  <c r="L93" i="62"/>
  <c r="L116" i="62" s="1"/>
  <c r="G93" i="62"/>
  <c r="G116" i="62" s="1"/>
  <c r="K93" i="62"/>
  <c r="K116" i="62" s="1"/>
  <c r="O93" i="62"/>
  <c r="O116" i="62" s="1"/>
  <c r="I416" i="62"/>
  <c r="I634" i="62" s="1"/>
  <c r="M416" i="62"/>
  <c r="M634" i="62" s="1"/>
  <c r="Q416" i="62"/>
  <c r="Q634" i="62" s="1"/>
  <c r="L416" i="62"/>
  <c r="L634" i="62" s="1"/>
  <c r="X402" i="62"/>
  <c r="X407" i="62"/>
  <c r="W372" i="62"/>
  <c r="X403" i="62"/>
  <c r="W383" i="62"/>
  <c r="F416" i="62"/>
  <c r="F634" i="62" s="1"/>
  <c r="N416" i="62"/>
  <c r="N634" i="62" s="1"/>
  <c r="R416" i="62"/>
  <c r="R634" i="62" s="1"/>
  <c r="X530" i="62"/>
  <c r="W363" i="62"/>
  <c r="W360" i="62"/>
  <c r="W376" i="62"/>
  <c r="AB400" i="62"/>
  <c r="AB404" i="62"/>
  <c r="J416" i="62"/>
  <c r="J634" i="62" s="1"/>
  <c r="W351" i="62"/>
  <c r="W368" i="62"/>
  <c r="H416" i="62"/>
  <c r="H634" i="62" s="1"/>
  <c r="P416" i="62"/>
  <c r="P634" i="62" s="1"/>
  <c r="AB245" i="62"/>
  <c r="X251" i="62"/>
  <c r="W196" i="62"/>
  <c r="W200" i="62"/>
  <c r="W204" i="62"/>
  <c r="AB191" i="62"/>
  <c r="U163" i="62"/>
  <c r="U50" i="62"/>
  <c r="AB81" i="62"/>
  <c r="AB83" i="62"/>
  <c r="AB85" i="62"/>
  <c r="AB87" i="62"/>
  <c r="F93" i="62"/>
  <c r="F116" i="62" s="1"/>
  <c r="J93" i="62"/>
  <c r="J116" i="62" s="1"/>
  <c r="N93" i="62"/>
  <c r="N116" i="62" s="1"/>
  <c r="R93" i="62"/>
  <c r="R116" i="62" s="1"/>
  <c r="AB82" i="62"/>
  <c r="AB84" i="62"/>
  <c r="AB86" i="62"/>
  <c r="AB88" i="62"/>
  <c r="U59" i="62"/>
  <c r="X48" i="62"/>
  <c r="AB48" i="62" s="1"/>
  <c r="M30" i="62"/>
  <c r="M32" i="62" s="1"/>
  <c r="G30" i="62"/>
  <c r="G32" i="62" s="1"/>
  <c r="K30" i="62"/>
  <c r="K32" i="62" s="1"/>
  <c r="O30" i="62"/>
  <c r="O32" i="62" s="1"/>
  <c r="AA20" i="62"/>
  <c r="H30" i="62"/>
  <c r="H32" i="62" s="1"/>
  <c r="L30" i="62"/>
  <c r="L32" i="62" s="1"/>
  <c r="P30" i="62"/>
  <c r="P32" i="62" s="1"/>
  <c r="I30" i="62"/>
  <c r="I32" i="62" s="1"/>
  <c r="Q30" i="62"/>
  <c r="Q32" i="62" s="1"/>
  <c r="F30" i="62"/>
  <c r="F32" i="62" s="1"/>
  <c r="J30" i="62"/>
  <c r="J32" i="62" s="1"/>
  <c r="N30" i="62"/>
  <c r="N32" i="62" s="1"/>
  <c r="R30" i="62"/>
  <c r="R32" i="62" s="1"/>
  <c r="AB17" i="62"/>
  <c r="O94" i="6"/>
  <c r="P95" i="6"/>
  <c r="N85" i="31"/>
  <c r="N28" i="31"/>
  <c r="L29" i="4"/>
  <c r="AC378" i="62"/>
  <c r="W378" i="62"/>
  <c r="AC370" i="62"/>
  <c r="W370" i="62"/>
  <c r="AC380" i="62"/>
  <c r="W380" i="62"/>
  <c r="AC362" i="62"/>
  <c r="W362" i="62"/>
  <c r="AC199" i="62"/>
  <c r="W199" i="62"/>
  <c r="AC365" i="62"/>
  <c r="W365" i="62"/>
  <c r="AC195" i="62"/>
  <c r="W195" i="62"/>
  <c r="AC203" i="62"/>
  <c r="W203" i="62"/>
  <c r="W358" i="62"/>
  <c r="AC358" i="62" s="1"/>
  <c r="AC374" i="62"/>
  <c r="W374" i="62"/>
  <c r="W621" i="62"/>
  <c r="U76" i="62"/>
  <c r="AF76" i="62" s="1"/>
  <c r="W194" i="62"/>
  <c r="W198" i="62"/>
  <c r="W202" i="62"/>
  <c r="W208" i="62"/>
  <c r="AD250" i="62"/>
  <c r="AF250" i="62" s="1"/>
  <c r="AB265" i="62"/>
  <c r="W359" i="62"/>
  <c r="W371" i="62"/>
  <c r="W375" i="62"/>
  <c r="W379" i="62"/>
  <c r="X37" i="62"/>
  <c r="U95" i="62"/>
  <c r="U118" i="62"/>
  <c r="U144" i="62"/>
  <c r="W193" i="62"/>
  <c r="W197" i="62"/>
  <c r="W201" i="62"/>
  <c r="W205" i="62"/>
  <c r="W302" i="62"/>
  <c r="W340" i="62"/>
  <c r="AB401" i="62"/>
  <c r="X401" i="62"/>
  <c r="AB405" i="62"/>
  <c r="X405" i="62"/>
  <c r="W279" i="62"/>
  <c r="W357" i="62"/>
  <c r="W361" i="62"/>
  <c r="W364" i="62"/>
  <c r="W369" i="62"/>
  <c r="W373" i="62"/>
  <c r="W377" i="62"/>
  <c r="W384" i="62"/>
  <c r="AD386" i="62"/>
  <c r="AF386" i="62" s="1"/>
  <c r="V496" i="62"/>
  <c r="AD439" i="62"/>
  <c r="AF439" i="62" s="1"/>
  <c r="AD436" i="62"/>
  <c r="AF436" i="62" s="1"/>
  <c r="M54" i="31" l="1"/>
  <c r="N54" i="31"/>
  <c r="AD95" i="62"/>
  <c r="AF95" i="62" s="1"/>
  <c r="AD544" i="62"/>
  <c r="AF544" i="62" s="1"/>
  <c r="AD546" i="62"/>
  <c r="AF546" i="62" s="1"/>
  <c r="AD419" i="62"/>
  <c r="AF419" i="62" s="1"/>
  <c r="AD144" i="62"/>
  <c r="AF144" i="62" s="1"/>
  <c r="AD50" i="62"/>
  <c r="AF50" i="62" s="1"/>
  <c r="AD107" i="62"/>
  <c r="AF107" i="62" s="1"/>
  <c r="AD106" i="62"/>
  <c r="AF106" i="62" s="1"/>
  <c r="AD59" i="62"/>
  <c r="AF59" i="62"/>
  <c r="AD496" i="62"/>
  <c r="AF496" i="62" s="1"/>
  <c r="AD118" i="62"/>
  <c r="AF118" i="62" s="1"/>
  <c r="AD163" i="62"/>
  <c r="AF163" i="62" s="1"/>
  <c r="F354" i="62"/>
  <c r="J354" i="62"/>
  <c r="O354" i="62"/>
  <c r="N354" i="62"/>
  <c r="P354" i="62"/>
  <c r="Q354" i="62"/>
  <c r="I354" i="62"/>
  <c r="G354" i="62"/>
  <c r="L354" i="62"/>
  <c r="H354" i="62"/>
  <c r="R354" i="62"/>
  <c r="M354" i="62"/>
  <c r="K354" i="62"/>
  <c r="U637" i="62"/>
  <c r="V637" i="62"/>
  <c r="X30" i="62"/>
  <c r="X637" i="62" s="1"/>
  <c r="AC637" i="62"/>
  <c r="W637" i="62"/>
  <c r="AB637" i="62"/>
  <c r="AA637" i="62"/>
  <c r="AD637" i="62" l="1"/>
  <c r="V638" i="62"/>
  <c r="X638" i="62"/>
  <c r="X639" i="62" l="1"/>
  <c r="L43" i="4" l="1"/>
  <c r="L19" i="4"/>
  <c r="K43" i="4" l="1"/>
  <c r="K19" i="4"/>
  <c r="G36" i="49"/>
  <c r="E30" i="13" l="1"/>
  <c r="C11" i="13" s="1"/>
  <c r="F11" i="60" l="1"/>
  <c r="K11" i="60"/>
  <c r="O11" i="60"/>
  <c r="R11" i="60"/>
  <c r="S17" i="60" s="1"/>
  <c r="G18" i="60"/>
  <c r="G19" i="60" s="1"/>
  <c r="G20" i="60" s="1"/>
  <c r="G21" i="60" s="1"/>
  <c r="G22" i="60" s="1"/>
  <c r="G23" i="60" s="1"/>
  <c r="G24" i="60" s="1"/>
  <c r="G25" i="60" s="1"/>
  <c r="G26" i="60" s="1"/>
  <c r="G27" i="60" s="1"/>
  <c r="G28" i="60" s="1"/>
  <c r="G29"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57" i="58" l="1"/>
  <c r="F60" i="49"/>
  <c r="G60" i="49" s="1"/>
  <c r="H60" i="49" s="1"/>
  <c r="H142" i="49" s="1"/>
  <c r="J142" i="49" s="1"/>
  <c r="F42" i="49"/>
  <c r="F43" i="49"/>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A31" i="57" s="1"/>
  <c r="C21" i="60"/>
  <c r="H163" i="58"/>
  <c r="I157" i="58"/>
  <c r="H157" i="58"/>
  <c r="D16" i="60"/>
  <c r="F9" i="31" l="1"/>
  <c r="Z7" i="68"/>
  <c r="Z7" i="62"/>
  <c r="G156" i="58"/>
  <c r="E55" i="18"/>
  <c r="E59" i="18"/>
  <c r="E63" i="18"/>
  <c r="E67" i="18"/>
  <c r="E22" i="18"/>
  <c r="E52" i="18"/>
  <c r="E56" i="18"/>
  <c r="E60" i="18"/>
  <c r="E64" i="18"/>
  <c r="E51" i="18"/>
  <c r="E25" i="18"/>
  <c r="E53" i="18"/>
  <c r="E57" i="18"/>
  <c r="E61" i="18"/>
  <c r="E65" i="18"/>
  <c r="E24" i="18"/>
  <c r="E23" i="18"/>
  <c r="E54" i="18"/>
  <c r="E58" i="18"/>
  <c r="E62" i="18"/>
  <c r="E66" i="18"/>
  <c r="F122" i="49"/>
  <c r="G122" i="49" s="1"/>
  <c r="F119" i="49"/>
  <c r="F121" i="49"/>
  <c r="G121" i="49" s="1"/>
  <c r="F120" i="49"/>
  <c r="G120" i="49" s="1"/>
  <c r="F115" i="49"/>
  <c r="F102" i="49"/>
  <c r="F101" i="49"/>
  <c r="F117" i="49"/>
  <c r="G117" i="49" s="1"/>
  <c r="F100" i="49"/>
  <c r="F116" i="49"/>
  <c r="F96" i="49"/>
  <c r="F13" i="49"/>
  <c r="G13" i="49" s="1"/>
  <c r="F9" i="49"/>
  <c r="F11" i="49"/>
  <c r="G11" i="49" s="1"/>
  <c r="F15" i="49"/>
  <c r="G15" i="49" s="1"/>
  <c r="F14" i="49"/>
  <c r="G14" i="49" s="1"/>
  <c r="F10" i="49"/>
  <c r="F16" i="49"/>
  <c r="G16" i="49" s="1"/>
  <c r="F12" i="49"/>
  <c r="G12" i="49" s="1"/>
  <c r="F8" i="49"/>
  <c r="F17" i="49"/>
  <c r="G17" i="49" s="1"/>
  <c r="J163" i="58"/>
  <c r="J157" i="58"/>
  <c r="K157" i="58"/>
  <c r="D21" i="60"/>
  <c r="G10" i="31"/>
  <c r="Z8" i="68" l="1"/>
  <c r="Z16" i="68"/>
  <c r="Z534" i="68"/>
  <c r="Z502" i="68"/>
  <c r="Z527" i="68"/>
  <c r="Z530" i="68"/>
  <c r="Y534" i="68"/>
  <c r="Y16" i="68"/>
  <c r="Y20" i="68"/>
  <c r="Z20" i="68" s="1"/>
  <c r="Y527" i="68"/>
  <c r="Y530" i="68"/>
  <c r="Y502" i="68"/>
  <c r="F10" i="31"/>
  <c r="Z8" i="62"/>
  <c r="H156" i="58"/>
  <c r="H162" i="58"/>
  <c r="I156" i="58"/>
  <c r="L163" i="58"/>
  <c r="M157" i="58"/>
  <c r="L157" i="58"/>
  <c r="Y502" i="62"/>
  <c r="Y534" i="62"/>
  <c r="Y530" i="62"/>
  <c r="Y16" i="62"/>
  <c r="Y20" i="62"/>
  <c r="Z20" i="62" s="1"/>
  <c r="Y527" i="62"/>
  <c r="AW39" i="59"/>
  <c r="N163" i="58" l="1"/>
  <c r="N157" i="58"/>
  <c r="O157" i="58"/>
  <c r="Z534" i="62"/>
  <c r="Z502" i="62"/>
  <c r="Z530" i="62"/>
  <c r="Z16" i="62"/>
  <c r="Z527" i="62"/>
  <c r="J156" i="58"/>
  <c r="K156" i="58"/>
  <c r="J162" i="58"/>
  <c r="P163" i="58" l="1"/>
  <c r="Q157" i="58"/>
  <c r="P157" i="58"/>
  <c r="L162" i="58"/>
  <c r="M156" i="58"/>
  <c r="L156" i="58"/>
  <c r="R163" i="58" l="1"/>
  <c r="R157" i="58"/>
  <c r="S157" i="58"/>
  <c r="O156" i="58"/>
  <c r="N162" i="58"/>
  <c r="N156" i="58"/>
  <c r="AW71" i="59"/>
  <c r="AW73" i="59" s="1"/>
  <c r="T163" i="58" l="1"/>
  <c r="U157" i="58"/>
  <c r="T157" i="58"/>
  <c r="P162" i="58"/>
  <c r="Q156" i="58"/>
  <c r="P156" i="58"/>
  <c r="AY29" i="59"/>
  <c r="AX29" i="59"/>
  <c r="AW29" i="59"/>
  <c r="AY28" i="59"/>
  <c r="AX28" i="59"/>
  <c r="AY27" i="59"/>
  <c r="AX27" i="59"/>
  <c r="AY26" i="59"/>
  <c r="AX26" i="59"/>
  <c r="AW28" i="59"/>
  <c r="AW77" i="59" s="1"/>
  <c r="AW27" i="59"/>
  <c r="AW79" i="59" s="1"/>
  <c r="AW26" i="59"/>
  <c r="M37" i="59"/>
  <c r="M75" i="59" s="1"/>
  <c r="N37" i="59"/>
  <c r="O37" i="59"/>
  <c r="P37" i="59"/>
  <c r="P75" i="59" s="1"/>
  <c r="Q37" i="59"/>
  <c r="R37" i="59"/>
  <c r="S37" i="59"/>
  <c r="S75" i="59" s="1"/>
  <c r="T37" i="59"/>
  <c r="U37" i="59"/>
  <c r="V37" i="59"/>
  <c r="V75" i="59" s="1"/>
  <c r="W37" i="59"/>
  <c r="X37" i="59"/>
  <c r="Y37" i="59"/>
  <c r="Y75" i="59" s="1"/>
  <c r="Z37" i="59"/>
  <c r="AA37" i="59"/>
  <c r="AB37" i="59"/>
  <c r="AB75" i="59" s="1"/>
  <c r="AC37" i="59"/>
  <c r="AD37" i="59"/>
  <c r="AE37" i="59"/>
  <c r="AE75" i="59" s="1"/>
  <c r="AF37" i="59"/>
  <c r="AG37" i="59"/>
  <c r="AH37" i="59"/>
  <c r="AH75" i="59" s="1"/>
  <c r="AI37" i="59"/>
  <c r="AJ37" i="59"/>
  <c r="AK37" i="59"/>
  <c r="AK75" i="59" s="1"/>
  <c r="AL37" i="59"/>
  <c r="AM37" i="59"/>
  <c r="AN37" i="59"/>
  <c r="AN75" i="59" s="1"/>
  <c r="AO37" i="59"/>
  <c r="AP37" i="59"/>
  <c r="AQ37" i="59"/>
  <c r="AQ75" i="59" s="1"/>
  <c r="AR37" i="59"/>
  <c r="AS37" i="59"/>
  <c r="AT37" i="59"/>
  <c r="AT75" i="59" s="1"/>
  <c r="AU37" i="59"/>
  <c r="H17" i="32" s="1"/>
  <c r="AV37" i="59"/>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47" i="58"/>
  <c r="AC147" i="58"/>
  <c r="AB147" i="58"/>
  <c r="AA147" i="58"/>
  <c r="Z147" i="58"/>
  <c r="Y147" i="58"/>
  <c r="X147" i="58"/>
  <c r="W147" i="58"/>
  <c r="V147" i="58"/>
  <c r="U147" i="58"/>
  <c r="T147" i="58"/>
  <c r="S147" i="58"/>
  <c r="R147" i="58"/>
  <c r="Q147" i="58"/>
  <c r="P147" i="58"/>
  <c r="O147" i="58"/>
  <c r="N147" i="58"/>
  <c r="M147" i="58"/>
  <c r="L147" i="58"/>
  <c r="K147" i="58"/>
  <c r="J147" i="58"/>
  <c r="I147" i="58"/>
  <c r="H147" i="58"/>
  <c r="G147" i="58"/>
  <c r="F147" i="58"/>
  <c r="E147" i="58"/>
  <c r="AF146" i="58"/>
  <c r="AE146" i="58"/>
  <c r="AF145" i="58"/>
  <c r="AE145" i="58"/>
  <c r="AF144" i="58"/>
  <c r="AE144" i="58"/>
  <c r="AD142" i="58"/>
  <c r="AC142" i="58"/>
  <c r="AB142" i="58"/>
  <c r="AA142" i="58"/>
  <c r="Z142" i="58"/>
  <c r="Y142" i="58"/>
  <c r="X142" i="58"/>
  <c r="W142" i="58"/>
  <c r="V142" i="58"/>
  <c r="U142" i="58"/>
  <c r="T142" i="58"/>
  <c r="S142" i="58"/>
  <c r="R142" i="58"/>
  <c r="Q142" i="58"/>
  <c r="P142" i="58"/>
  <c r="O142" i="58"/>
  <c r="N142" i="58"/>
  <c r="M142" i="58"/>
  <c r="L142" i="58"/>
  <c r="K142" i="58"/>
  <c r="J142" i="58"/>
  <c r="I142" i="58"/>
  <c r="H142" i="58"/>
  <c r="G142" i="58"/>
  <c r="F142" i="58"/>
  <c r="E142"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92" i="58"/>
  <c r="AD161" i="58" s="1"/>
  <c r="AD155" i="58"/>
  <c r="AB92" i="58"/>
  <c r="AB161" i="58" s="1"/>
  <c r="AA92" i="58"/>
  <c r="AB155" i="58" s="1"/>
  <c r="Z92" i="58"/>
  <c r="Z161" i="58" s="1"/>
  <c r="Y92" i="58"/>
  <c r="Z155" i="58" s="1"/>
  <c r="X92" i="58"/>
  <c r="X161" i="58" s="1"/>
  <c r="W92" i="58"/>
  <c r="X155" i="58" s="1"/>
  <c r="V92" i="58"/>
  <c r="V161" i="58" s="1"/>
  <c r="U92" i="58"/>
  <c r="V155" i="58" s="1"/>
  <c r="T92" i="58"/>
  <c r="T161" i="58" s="1"/>
  <c r="S92" i="58"/>
  <c r="T155" i="58" s="1"/>
  <c r="R92" i="58"/>
  <c r="R161" i="58" s="1"/>
  <c r="Q92" i="58"/>
  <c r="R155" i="58" s="1"/>
  <c r="P92" i="58"/>
  <c r="P161" i="58" s="1"/>
  <c r="O92" i="58"/>
  <c r="P155" i="58" s="1"/>
  <c r="N92" i="58"/>
  <c r="N161" i="58" s="1"/>
  <c r="M92" i="58"/>
  <c r="N155" i="58" s="1"/>
  <c r="L92" i="58"/>
  <c r="L161" i="58" s="1"/>
  <c r="K92" i="58"/>
  <c r="L155" i="58" s="1"/>
  <c r="J92" i="58"/>
  <c r="J161" i="58" s="1"/>
  <c r="I92" i="58"/>
  <c r="J155" i="58" s="1"/>
  <c r="H92" i="58"/>
  <c r="H161" i="58" s="1"/>
  <c r="G92" i="58"/>
  <c r="H155" i="58" s="1"/>
  <c r="F92" i="58"/>
  <c r="F161" i="58" s="1"/>
  <c r="E92" i="58"/>
  <c r="F155"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Y543" i="62" l="1"/>
  <c r="Y504" i="62"/>
  <c r="Z508" i="62"/>
  <c r="Z543" i="62"/>
  <c r="Y535" i="62"/>
  <c r="Z504" i="62"/>
  <c r="Y533" i="62"/>
  <c r="Z507" i="62"/>
  <c r="Z533" i="62"/>
  <c r="V163" i="58"/>
  <c r="V157" i="58"/>
  <c r="W157" i="58"/>
  <c r="P165" i="58"/>
  <c r="AW78" i="59"/>
  <c r="AW80" i="59" s="1"/>
  <c r="S156" i="58"/>
  <c r="R162" i="58"/>
  <c r="R156" i="58"/>
  <c r="R159" i="58" s="1"/>
  <c r="AY37" i="59"/>
  <c r="AX37" i="59"/>
  <c r="D17" i="32" s="1"/>
  <c r="AW37" i="59"/>
  <c r="AW75" i="59" s="1"/>
  <c r="H165" i="58"/>
  <c r="F165" i="58"/>
  <c r="N165" i="58"/>
  <c r="AF47" i="58"/>
  <c r="H159" i="58"/>
  <c r="P159" i="58"/>
  <c r="L165" i="58"/>
  <c r="AE47" i="58"/>
  <c r="J159" i="58"/>
  <c r="F159" i="58"/>
  <c r="N159" i="58"/>
  <c r="J165" i="58"/>
  <c r="R165" i="58"/>
  <c r="L159" i="58"/>
  <c r="AF92" i="58"/>
  <c r="AE142" i="58"/>
  <c r="AE147" i="58"/>
  <c r="K149" i="58"/>
  <c r="S149" i="58"/>
  <c r="AA149" i="58"/>
  <c r="AF142" i="58"/>
  <c r="AF147" i="58"/>
  <c r="H149" i="58"/>
  <c r="L149" i="58"/>
  <c r="P149" i="58"/>
  <c r="T149" i="58"/>
  <c r="X149" i="58"/>
  <c r="AB149" i="58"/>
  <c r="G149" i="58"/>
  <c r="O149" i="58"/>
  <c r="W149" i="58"/>
  <c r="AE92" i="58"/>
  <c r="E149" i="58"/>
  <c r="I149" i="58"/>
  <c r="M149" i="58"/>
  <c r="Q149" i="58"/>
  <c r="U149" i="58"/>
  <c r="Y149" i="58"/>
  <c r="AC149" i="58"/>
  <c r="F149" i="58"/>
  <c r="J149" i="58"/>
  <c r="N149" i="58"/>
  <c r="R149" i="58"/>
  <c r="V149" i="58"/>
  <c r="Z149" i="58"/>
  <c r="AD149" i="58"/>
  <c r="AW23" i="59"/>
  <c r="AX23" i="59"/>
  <c r="D16" i="32" s="1"/>
  <c r="AY23" i="59"/>
  <c r="J40" i="4" l="1"/>
  <c r="J41" i="4"/>
  <c r="X163" i="58"/>
  <c r="Y157" i="58"/>
  <c r="X157" i="58"/>
  <c r="T162" i="58"/>
  <c r="T165" i="58" s="1"/>
  <c r="U156" i="58"/>
  <c r="T156" i="58"/>
  <c r="T159" i="58" s="1"/>
  <c r="AE149" i="58"/>
  <c r="AF149" i="58"/>
  <c r="Z163" i="58" l="1"/>
  <c r="Z157" i="58"/>
  <c r="AA157" i="58"/>
  <c r="W156" i="58"/>
  <c r="V162" i="58"/>
  <c r="V165" i="58" s="1"/>
  <c r="V156" i="58"/>
  <c r="V159" i="58" s="1"/>
  <c r="X162" i="58" l="1"/>
  <c r="X165" i="58" s="1"/>
  <c r="Y156" i="58"/>
  <c r="X156" i="58"/>
  <c r="X159" i="58" s="1"/>
  <c r="AB163" i="58"/>
  <c r="AC157" i="58"/>
  <c r="AB157" i="58"/>
  <c r="G119" i="49"/>
  <c r="G118" i="49"/>
  <c r="H118" i="49" s="1"/>
  <c r="H146" i="49" s="1"/>
  <c r="J146" i="49" s="1"/>
  <c r="G116" i="49"/>
  <c r="G115" i="49"/>
  <c r="G114" i="49"/>
  <c r="G113" i="49"/>
  <c r="G112" i="49"/>
  <c r="G111" i="49"/>
  <c r="G110" i="49"/>
  <c r="G108" i="49"/>
  <c r="G107" i="49"/>
  <c r="G105" i="49"/>
  <c r="G102" i="49"/>
  <c r="G101" i="49"/>
  <c r="G100" i="49"/>
  <c r="G99" i="49"/>
  <c r="G98" i="49"/>
  <c r="G97" i="49"/>
  <c r="G96" i="49"/>
  <c r="G65" i="49"/>
  <c r="G61" i="49"/>
  <c r="G59" i="49"/>
  <c r="H59" i="49" s="1"/>
  <c r="G58" i="49"/>
  <c r="G53" i="49"/>
  <c r="G51" i="49"/>
  <c r="G50" i="49"/>
  <c r="G47" i="49"/>
  <c r="G46" i="49"/>
  <c r="G45" i="49"/>
  <c r="G44" i="49"/>
  <c r="G43" i="49"/>
  <c r="G42" i="49"/>
  <c r="G41" i="49"/>
  <c r="G40" i="49"/>
  <c r="G39" i="49"/>
  <c r="G38" i="49"/>
  <c r="G37" i="49"/>
  <c r="G35" i="49"/>
  <c r="G34" i="49"/>
  <c r="H34" i="49" s="1"/>
  <c r="H139" i="49" s="1"/>
  <c r="J139" i="49" s="1"/>
  <c r="G33" i="49"/>
  <c r="G10" i="49"/>
  <c r="G9" i="49"/>
  <c r="G8" i="49"/>
  <c r="E136" i="49" l="1"/>
  <c r="E137" i="49"/>
  <c r="G20" i="49"/>
  <c r="E138" i="49"/>
  <c r="AA156" i="58"/>
  <c r="Z162" i="58"/>
  <c r="Z165" i="58" s="1"/>
  <c r="Z156" i="58"/>
  <c r="Z159" i="58" s="1"/>
  <c r="AD163" i="58"/>
  <c r="AD157" i="58"/>
  <c r="H94" i="49"/>
  <c r="H126" i="49"/>
  <c r="E130" i="49"/>
  <c r="G94" i="49"/>
  <c r="G126" i="49"/>
  <c r="AB162" i="58" l="1"/>
  <c r="AB165" i="58" s="1"/>
  <c r="AC156" i="58"/>
  <c r="AB156" i="58"/>
  <c r="AB159" i="58" s="1"/>
  <c r="H130" i="49"/>
  <c r="J152" i="49"/>
  <c r="H152" i="49"/>
  <c r="G130" i="49"/>
  <c r="AD162" i="58" l="1"/>
  <c r="AD165" i="58" s="1"/>
  <c r="AD156" i="58"/>
  <c r="AD159" i="58" s="1"/>
  <c r="H154" i="49"/>
  <c r="K130" i="49"/>
  <c r="E18" i="13"/>
  <c r="E9" i="13"/>
  <c r="Q21" i="31"/>
  <c r="AF159" i="58" l="1"/>
  <c r="H13" i="32"/>
  <c r="AF165" i="58"/>
  <c r="H14" i="32"/>
  <c r="D13" i="32"/>
  <c r="K152" i="49"/>
  <c r="Z30" i="68" l="1"/>
  <c r="Y637" i="68"/>
  <c r="Y30" i="62"/>
  <c r="Z30" i="62" s="1"/>
  <c r="D14" i="32"/>
  <c r="Y15" i="62"/>
  <c r="Y637" i="62" s="1"/>
  <c r="Z15" i="68"/>
  <c r="Z637" i="68" s="1"/>
  <c r="J39" i="4"/>
  <c r="J38" i="4"/>
  <c r="H15" i="32"/>
  <c r="Z15" i="62" l="1"/>
  <c r="Z637" i="62" s="1"/>
  <c r="AE637" i="62" s="1"/>
  <c r="AE638" i="62" s="1"/>
  <c r="AC638" i="68"/>
  <c r="AB640" i="68" s="1"/>
  <c r="AB642" i="68" s="1"/>
  <c r="AE637" i="68"/>
  <c r="AE638" i="68" s="1"/>
  <c r="X640" i="68"/>
  <c r="AA639" i="68"/>
  <c r="Z640" i="68" l="1"/>
  <c r="Z642" i="68" s="1"/>
  <c r="Y640" i="68"/>
  <c r="Y642" i="68" s="1"/>
  <c r="H18" i="32" s="1"/>
  <c r="H19" i="32" s="1"/>
  <c r="AA639" i="62"/>
  <c r="X640" i="62"/>
  <c r="AC638" i="62"/>
  <c r="AB640" i="62" s="1"/>
  <c r="AB642" i="62" s="1"/>
  <c r="Z640" i="62" l="1"/>
  <c r="Z642" i="62" s="1"/>
  <c r="Y640" i="62"/>
  <c r="Y642" i="62" s="1"/>
  <c r="D18" i="32" s="1"/>
  <c r="E39" i="1" s="1"/>
  <c r="J43" i="4"/>
  <c r="D11" i="38" l="1"/>
  <c r="D13" i="38" s="1"/>
  <c r="D15" i="38" s="1"/>
  <c r="R61" i="31" s="1"/>
  <c r="K71" i="6"/>
  <c r="L71" i="6" s="1"/>
  <c r="F62" i="6"/>
  <c r="F13" i="6" s="1"/>
  <c r="H13" i="6" s="1"/>
  <c r="P13" i="6" s="1"/>
  <c r="D62" i="6"/>
  <c r="D13" i="6" s="1"/>
  <c r="H61" i="6"/>
  <c r="H60" i="6"/>
  <c r="H59" i="6"/>
  <c r="H58" i="6"/>
  <c r="H57" i="6"/>
  <c r="H56" i="6"/>
  <c r="H55" i="6"/>
  <c r="H54" i="6"/>
  <c r="H53" i="6"/>
  <c r="H52" i="6"/>
  <c r="H51" i="6"/>
  <c r="H50" i="6"/>
  <c r="H49" i="6"/>
  <c r="H48" i="6"/>
  <c r="H47" i="6"/>
  <c r="H44" i="6"/>
  <c r="F39" i="6"/>
  <c r="H26" i="6"/>
  <c r="H25" i="6"/>
  <c r="H24" i="6"/>
  <c r="H23" i="6"/>
  <c r="H22" i="6"/>
  <c r="H21" i="6"/>
  <c r="P21" i="6" s="1"/>
  <c r="H20" i="6"/>
  <c r="H11" i="6"/>
  <c r="P11" i="6" s="1"/>
  <c r="F74" i="18"/>
  <c r="E74" i="18"/>
  <c r="F28" i="18"/>
  <c r="E28" i="18"/>
  <c r="U16" i="31"/>
  <c r="F14" i="3"/>
  <c r="J13" i="3"/>
  <c r="J12" i="3"/>
  <c r="J11" i="3"/>
  <c r="D15" i="32"/>
  <c r="D151" i="31"/>
  <c r="D187" i="31" s="1"/>
  <c r="T149" i="31"/>
  <c r="S149" i="31"/>
  <c r="U148" i="31"/>
  <c r="U147" i="31"/>
  <c r="U146" i="31"/>
  <c r="U145" i="31"/>
  <c r="V145" i="31" s="1"/>
  <c r="U144" i="31"/>
  <c r="T135" i="31"/>
  <c r="S135" i="31"/>
  <c r="R135" i="31"/>
  <c r="P135" i="31"/>
  <c r="O135" i="31"/>
  <c r="K135" i="31"/>
  <c r="J135" i="31"/>
  <c r="I135" i="31"/>
  <c r="U134" i="31"/>
  <c r="U133" i="31"/>
  <c r="U132" i="31"/>
  <c r="U131" i="31"/>
  <c r="U130" i="31"/>
  <c r="U129" i="31"/>
  <c r="D125" i="31"/>
  <c r="U122" i="31"/>
  <c r="T121" i="31"/>
  <c r="T123" i="31" s="1"/>
  <c r="S121" i="31"/>
  <c r="S123" i="31" s="1"/>
  <c r="Q121" i="31"/>
  <c r="Q123" i="31" s="1"/>
  <c r="O121" i="31"/>
  <c r="O123" i="31" s="1"/>
  <c r="L121" i="31"/>
  <c r="L123" i="31" s="1"/>
  <c r="K121" i="31"/>
  <c r="K123" i="31" s="1"/>
  <c r="I121" i="31"/>
  <c r="I123" i="31" s="1"/>
  <c r="U119" i="31"/>
  <c r="U118" i="31"/>
  <c r="U116" i="31"/>
  <c r="U114" i="31"/>
  <c r="U113" i="31"/>
  <c r="T107" i="31"/>
  <c r="S107" i="31"/>
  <c r="R107" i="31"/>
  <c r="Q107" i="31"/>
  <c r="P107" i="31"/>
  <c r="O107" i="31"/>
  <c r="L107" i="31"/>
  <c r="K107" i="31"/>
  <c r="I107" i="31"/>
  <c r="U106" i="31"/>
  <c r="U104" i="31"/>
  <c r="U103" i="31"/>
  <c r="T100" i="31"/>
  <c r="S100" i="31"/>
  <c r="R100" i="31"/>
  <c r="Q100" i="31"/>
  <c r="P100" i="31"/>
  <c r="N27" i="4" s="1"/>
  <c r="O100" i="31"/>
  <c r="K100" i="31"/>
  <c r="J100" i="31"/>
  <c r="I100" i="31"/>
  <c r="U96" i="31"/>
  <c r="T93" i="31"/>
  <c r="S93" i="31"/>
  <c r="R93" i="31"/>
  <c r="O93" i="31"/>
  <c r="J93" i="31"/>
  <c r="U92" i="31"/>
  <c r="U88" i="31"/>
  <c r="T84" i="31"/>
  <c r="S84" i="31"/>
  <c r="R84" i="31"/>
  <c r="Q84" i="31"/>
  <c r="O84" i="31"/>
  <c r="L84" i="31"/>
  <c r="K84" i="31"/>
  <c r="J84" i="31"/>
  <c r="I84" i="31"/>
  <c r="T72" i="31"/>
  <c r="S72" i="31"/>
  <c r="Q72" i="31"/>
  <c r="O72" i="31"/>
  <c r="L72" i="31"/>
  <c r="K72" i="31"/>
  <c r="J72" i="31"/>
  <c r="I72" i="31"/>
  <c r="U71" i="31"/>
  <c r="U70" i="31"/>
  <c r="P53" i="31"/>
  <c r="T51" i="31"/>
  <c r="S51" i="31"/>
  <c r="R51" i="31"/>
  <c r="Q51" i="31"/>
  <c r="P51" i="31"/>
  <c r="O51" i="31"/>
  <c r="L51" i="31"/>
  <c r="K51" i="31"/>
  <c r="J51" i="31"/>
  <c r="I51" i="31"/>
  <c r="G51" i="31"/>
  <c r="F51" i="31"/>
  <c r="E51" i="31"/>
  <c r="U50" i="31"/>
  <c r="V50" i="31" s="1"/>
  <c r="U49" i="31"/>
  <c r="V49" i="31" s="1"/>
  <c r="U48" i="31"/>
  <c r="V48" i="31" s="1"/>
  <c r="U47" i="31"/>
  <c r="V47" i="31" s="1"/>
  <c r="U46" i="31"/>
  <c r="V46" i="31" s="1"/>
  <c r="U45" i="31"/>
  <c r="V45" i="31" s="1"/>
  <c r="U44" i="31"/>
  <c r="V44" i="31" s="1"/>
  <c r="U43" i="31"/>
  <c r="V43" i="31" s="1"/>
  <c r="U42" i="31"/>
  <c r="V42" i="31" s="1"/>
  <c r="U41" i="31"/>
  <c r="V41" i="31" s="1"/>
  <c r="U40" i="31"/>
  <c r="T37" i="31"/>
  <c r="S37" i="31"/>
  <c r="R37" i="31"/>
  <c r="Q37" i="31"/>
  <c r="P37" i="31"/>
  <c r="O37" i="31"/>
  <c r="L37" i="31"/>
  <c r="J37" i="31"/>
  <c r="U36" i="31"/>
  <c r="U35" i="31"/>
  <c r="U34" i="31"/>
  <c r="U33" i="31"/>
  <c r="U32" i="31"/>
  <c r="T27" i="31"/>
  <c r="S27" i="31"/>
  <c r="R27" i="31"/>
  <c r="Q27" i="31"/>
  <c r="P27" i="31"/>
  <c r="O27" i="31"/>
  <c r="L27" i="31"/>
  <c r="K27" i="31"/>
  <c r="J27" i="31"/>
  <c r="I27" i="31"/>
  <c r="U25" i="31"/>
  <c r="U23" i="31"/>
  <c r="U22" i="31"/>
  <c r="U21" i="31"/>
  <c r="U20" i="31"/>
  <c r="T17" i="31"/>
  <c r="S17" i="31"/>
  <c r="R17" i="31"/>
  <c r="Q17" i="31"/>
  <c r="P17" i="31"/>
  <c r="O17" i="31"/>
  <c r="L17" i="31"/>
  <c r="J17" i="31"/>
  <c r="N43" i="4"/>
  <c r="M43" i="4"/>
  <c r="I43" i="4"/>
  <c r="H43" i="4"/>
  <c r="G43" i="4"/>
  <c r="R42" i="4"/>
  <c r="H39" i="1" s="1"/>
  <c r="R40" i="4"/>
  <c r="H37" i="1" s="1"/>
  <c r="R31" i="4"/>
  <c r="H28" i="1" s="1"/>
  <c r="K28" i="1" s="1"/>
  <c r="Q28" i="1" s="1"/>
  <c r="N19" i="4"/>
  <c r="M19" i="4"/>
  <c r="H19" i="4"/>
  <c r="O17" i="4"/>
  <c r="O19" i="4" s="1"/>
  <c r="C33" i="2"/>
  <c r="N40" i="1"/>
  <c r="E38" i="1"/>
  <c r="E37" i="1"/>
  <c r="E36" i="1"/>
  <c r="E35" i="1"/>
  <c r="N143" i="31" l="1"/>
  <c r="N149" i="31" s="1"/>
  <c r="P15" i="6"/>
  <c r="P17" i="6" s="1"/>
  <c r="M140" i="31" s="1"/>
  <c r="K32" i="4" s="1"/>
  <c r="I23" i="6"/>
  <c r="K23" i="6" s="1"/>
  <c r="L23" i="6" s="1"/>
  <c r="P23" i="6"/>
  <c r="I29" i="6"/>
  <c r="I20" i="6"/>
  <c r="K20" i="6" s="1"/>
  <c r="P20" i="6"/>
  <c r="I24" i="6"/>
  <c r="K24" i="6" s="1"/>
  <c r="L24" i="6" s="1"/>
  <c r="P24" i="6"/>
  <c r="I30" i="6"/>
  <c r="I43" i="6"/>
  <c r="K43" i="6" s="1"/>
  <c r="L43" i="6" s="1"/>
  <c r="N43" i="6" s="1"/>
  <c r="P43" i="6"/>
  <c r="M63" i="31" s="1"/>
  <c r="I47" i="6"/>
  <c r="K47" i="6" s="1"/>
  <c r="L47" i="6" s="1"/>
  <c r="P47" i="6"/>
  <c r="M67" i="31" s="1"/>
  <c r="I50" i="6"/>
  <c r="K50" i="6" s="1"/>
  <c r="L50" i="6" s="1"/>
  <c r="P50" i="6"/>
  <c r="M77" i="31" s="1"/>
  <c r="I54" i="6"/>
  <c r="K54" i="6" s="1"/>
  <c r="L54" i="6" s="1"/>
  <c r="N54" i="6" s="1"/>
  <c r="Q54" i="6" s="1"/>
  <c r="P54" i="6"/>
  <c r="I58" i="6"/>
  <c r="K58" i="6" s="1"/>
  <c r="L58" i="6" s="1"/>
  <c r="P58" i="6"/>
  <c r="M90" i="31" s="1"/>
  <c r="I61" i="6"/>
  <c r="K61" i="6" s="1"/>
  <c r="L61" i="6" s="1"/>
  <c r="P61" i="6"/>
  <c r="M120" i="31" s="1"/>
  <c r="I38" i="6"/>
  <c r="I44" i="6"/>
  <c r="K44" i="6" s="1"/>
  <c r="L44" i="6" s="1"/>
  <c r="N44" i="6" s="1"/>
  <c r="Q44" i="6" s="1"/>
  <c r="P44" i="6"/>
  <c r="M64" i="31" s="1"/>
  <c r="I48" i="6"/>
  <c r="P48" i="6"/>
  <c r="M68" i="31" s="1"/>
  <c r="I51" i="6"/>
  <c r="K51" i="6" s="1"/>
  <c r="L51" i="6" s="1"/>
  <c r="N51" i="6" s="1"/>
  <c r="P51" i="6"/>
  <c r="M78" i="31" s="1"/>
  <c r="I55" i="6"/>
  <c r="K55" i="6" s="1"/>
  <c r="L55" i="6" s="1"/>
  <c r="P55" i="6"/>
  <c r="I59" i="6"/>
  <c r="K59" i="6" s="1"/>
  <c r="L59" i="6" s="1"/>
  <c r="N59" i="6" s="1"/>
  <c r="Q59" i="6" s="1"/>
  <c r="P59" i="6"/>
  <c r="M110" i="31" s="1"/>
  <c r="I25" i="6"/>
  <c r="K25" i="6" s="1"/>
  <c r="L25" i="6" s="1"/>
  <c r="P25" i="6"/>
  <c r="I22" i="6"/>
  <c r="K22" i="6" s="1"/>
  <c r="L22" i="6" s="1"/>
  <c r="P22" i="6"/>
  <c r="I26" i="6"/>
  <c r="K26" i="6" s="1"/>
  <c r="L26" i="6" s="1"/>
  <c r="N26" i="6" s="1"/>
  <c r="P26" i="6"/>
  <c r="I45" i="6"/>
  <c r="K45" i="6" s="1"/>
  <c r="L45" i="6" s="1"/>
  <c r="N45" i="6" s="1"/>
  <c r="P45" i="6"/>
  <c r="M65" i="31" s="1"/>
  <c r="I49" i="6"/>
  <c r="K49" i="6" s="1"/>
  <c r="L49" i="6" s="1"/>
  <c r="P49" i="6"/>
  <c r="M69" i="31" s="1"/>
  <c r="I52" i="6"/>
  <c r="K52" i="6" s="1"/>
  <c r="P52" i="6"/>
  <c r="M79" i="31" s="1"/>
  <c r="I56" i="6"/>
  <c r="K56" i="6" s="1"/>
  <c r="L56" i="6" s="1"/>
  <c r="P56" i="6"/>
  <c r="M83" i="31" s="1"/>
  <c r="I42" i="6"/>
  <c r="K42" i="6" s="1"/>
  <c r="L42" i="6" s="1"/>
  <c r="P42" i="6"/>
  <c r="I46" i="6"/>
  <c r="K46" i="6" s="1"/>
  <c r="L46" i="6" s="1"/>
  <c r="P46" i="6"/>
  <c r="M66" i="31" s="1"/>
  <c r="I53" i="6"/>
  <c r="K53" i="6" s="1"/>
  <c r="L53" i="6" s="1"/>
  <c r="P53" i="6"/>
  <c r="M80" i="31" s="1"/>
  <c r="I57" i="6"/>
  <c r="K57" i="6" s="1"/>
  <c r="P57" i="6"/>
  <c r="M89" i="31" s="1"/>
  <c r="I60" i="6"/>
  <c r="K60" i="6" s="1"/>
  <c r="L60" i="6" s="1"/>
  <c r="P60" i="6"/>
  <c r="M115" i="31" s="1"/>
  <c r="G24" i="31"/>
  <c r="G159" i="31"/>
  <c r="F17" i="31"/>
  <c r="G116" i="31"/>
  <c r="V116" i="31" s="1"/>
  <c r="G34" i="31"/>
  <c r="V34" i="31" s="1"/>
  <c r="G90" i="31"/>
  <c r="G97" i="31"/>
  <c r="G99" i="31"/>
  <c r="V99" i="31" s="1"/>
  <c r="G144" i="31"/>
  <c r="V144" i="31" s="1"/>
  <c r="G154" i="31"/>
  <c r="O85" i="31"/>
  <c r="I85" i="31"/>
  <c r="G167" i="31"/>
  <c r="G16" i="31"/>
  <c r="V16" i="31" s="1"/>
  <c r="J28" i="31"/>
  <c r="P28" i="31"/>
  <c r="G36" i="31"/>
  <c r="V36" i="31" s="1"/>
  <c r="G53" i="31"/>
  <c r="E20" i="1" s="1"/>
  <c r="G69" i="31"/>
  <c r="G70" i="31"/>
  <c r="V70" i="31" s="1"/>
  <c r="G176" i="31"/>
  <c r="G32" i="31"/>
  <c r="V32" i="31" s="1"/>
  <c r="Q85" i="31"/>
  <c r="F29" i="18"/>
  <c r="J105" i="31" s="1"/>
  <c r="G130" i="31"/>
  <c r="G165" i="31"/>
  <c r="R27" i="4"/>
  <c r="H24" i="1" s="1"/>
  <c r="I13" i="6"/>
  <c r="K13" i="6" s="1"/>
  <c r="J85" i="31"/>
  <c r="G157" i="31"/>
  <c r="I34" i="6"/>
  <c r="G76" i="31"/>
  <c r="G81" i="31"/>
  <c r="G88" i="31"/>
  <c r="V88" i="31" s="1"/>
  <c r="G115" i="31"/>
  <c r="G117" i="31"/>
  <c r="G122" i="31"/>
  <c r="V122" i="31" s="1"/>
  <c r="G131" i="31"/>
  <c r="V131" i="31" s="1"/>
  <c r="G155" i="31"/>
  <c r="S85" i="31"/>
  <c r="G133" i="31"/>
  <c r="V133" i="31" s="1"/>
  <c r="G134" i="31"/>
  <c r="I37" i="6"/>
  <c r="G21" i="31"/>
  <c r="E14" i="1" s="1"/>
  <c r="F37" i="31"/>
  <c r="G64" i="31"/>
  <c r="G104" i="31"/>
  <c r="V104" i="31" s="1"/>
  <c r="G113" i="31"/>
  <c r="V113" i="31" s="1"/>
  <c r="G132" i="31"/>
  <c r="V132" i="31" s="1"/>
  <c r="F173" i="31"/>
  <c r="G166" i="31"/>
  <c r="G168" i="31"/>
  <c r="G177" i="31"/>
  <c r="G178" i="31"/>
  <c r="G180" i="31"/>
  <c r="G184" i="31"/>
  <c r="G15" i="31"/>
  <c r="L28" i="31"/>
  <c r="T28" i="31"/>
  <c r="T54" i="31" s="1"/>
  <c r="G35" i="31"/>
  <c r="V35" i="31" s="1"/>
  <c r="G68" i="31"/>
  <c r="G105" i="31"/>
  <c r="G169" i="31"/>
  <c r="G181" i="31"/>
  <c r="G182" i="31"/>
  <c r="O23" i="4"/>
  <c r="Q53" i="31" s="1"/>
  <c r="K37" i="1"/>
  <c r="Q37" i="1" s="1"/>
  <c r="Q28" i="31"/>
  <c r="S28" i="31"/>
  <c r="S54" i="31" s="1"/>
  <c r="G31" i="31"/>
  <c r="E149" i="31"/>
  <c r="I17" i="31"/>
  <c r="I28" i="31" s="1"/>
  <c r="E17" i="31"/>
  <c r="G33" i="31"/>
  <c r="V33" i="31" s="1"/>
  <c r="G67" i="31"/>
  <c r="L85" i="31"/>
  <c r="G89" i="31"/>
  <c r="G114" i="31"/>
  <c r="G185" i="31"/>
  <c r="G23" i="31"/>
  <c r="V23" i="31" s="1"/>
  <c r="G25" i="31"/>
  <c r="V25" i="31" s="1"/>
  <c r="G78" i="31"/>
  <c r="G79" i="31"/>
  <c r="G118" i="31"/>
  <c r="V118" i="31" s="1"/>
  <c r="J14" i="3"/>
  <c r="D12" i="26" s="1"/>
  <c r="H39" i="6"/>
  <c r="R17" i="4"/>
  <c r="H14" i="1" s="1"/>
  <c r="U51" i="31"/>
  <c r="G61" i="31"/>
  <c r="G71" i="31"/>
  <c r="G91" i="31"/>
  <c r="E107" i="31"/>
  <c r="C16" i="24"/>
  <c r="I21" i="6"/>
  <c r="K21" i="6" s="1"/>
  <c r="G112" i="31"/>
  <c r="G171" i="31"/>
  <c r="G179" i="31"/>
  <c r="G129" i="31"/>
  <c r="V129" i="31" s="1"/>
  <c r="D39" i="6"/>
  <c r="D11" i="6" s="1"/>
  <c r="I11" i="6" s="1"/>
  <c r="G57" i="31"/>
  <c r="E84" i="31"/>
  <c r="G77" i="31"/>
  <c r="E160" i="31"/>
  <c r="G158" i="31"/>
  <c r="G20" i="31"/>
  <c r="V20" i="31" s="1"/>
  <c r="F135" i="31"/>
  <c r="G128" i="31"/>
  <c r="G16" i="24"/>
  <c r="G80" i="31"/>
  <c r="F93" i="31"/>
  <c r="E37" i="31"/>
  <c r="V40" i="31"/>
  <c r="V51" i="31" s="1"/>
  <c r="F72" i="31"/>
  <c r="G63" i="31"/>
  <c r="G66" i="31"/>
  <c r="G98" i="31"/>
  <c r="F121" i="31"/>
  <c r="F123" i="31" s="1"/>
  <c r="E72" i="31"/>
  <c r="G92" i="31"/>
  <c r="G96" i="31"/>
  <c r="F100" i="31"/>
  <c r="G137" i="31"/>
  <c r="O28" i="31"/>
  <c r="O54" i="31" s="1"/>
  <c r="R28" i="31"/>
  <c r="K85" i="31"/>
  <c r="E93" i="31"/>
  <c r="G119" i="31"/>
  <c r="G22" i="31"/>
  <c r="G62" i="31"/>
  <c r="G65" i="31"/>
  <c r="T85" i="31"/>
  <c r="F84" i="31"/>
  <c r="G75" i="31"/>
  <c r="G82" i="31"/>
  <c r="G83" i="31"/>
  <c r="F107" i="31"/>
  <c r="G103" i="31"/>
  <c r="G106" i="31"/>
  <c r="G111" i="31"/>
  <c r="E100" i="31"/>
  <c r="E121" i="31"/>
  <c r="E123" i="31" s="1"/>
  <c r="G120" i="31"/>
  <c r="E135" i="31"/>
  <c r="G140" i="31"/>
  <c r="G164" i="31"/>
  <c r="G172" i="31"/>
  <c r="G110" i="31"/>
  <c r="E186" i="31"/>
  <c r="F149" i="31"/>
  <c r="F160" i="31"/>
  <c r="K48" i="6"/>
  <c r="L48" i="6" s="1"/>
  <c r="E173" i="31"/>
  <c r="G163" i="31"/>
  <c r="F186" i="31"/>
  <c r="G183" i="31"/>
  <c r="L20" i="6"/>
  <c r="N71" i="6"/>
  <c r="G156" i="31"/>
  <c r="G170" i="31"/>
  <c r="H62" i="6"/>
  <c r="F75" i="18"/>
  <c r="H15" i="6"/>
  <c r="K73" i="6"/>
  <c r="L73" i="6" s="1"/>
  <c r="K75" i="6"/>
  <c r="L75" i="6" s="1"/>
  <c r="K77" i="6"/>
  <c r="L77" i="6" s="1"/>
  <c r="F95" i="6"/>
  <c r="K72" i="6"/>
  <c r="K74" i="6"/>
  <c r="L74" i="6" s="1"/>
  <c r="K76" i="6"/>
  <c r="L76" i="6" s="1"/>
  <c r="N150" i="31" l="1"/>
  <c r="N151" i="31" s="1"/>
  <c r="L33" i="4"/>
  <c r="R54" i="31"/>
  <c r="V21" i="31"/>
  <c r="L53" i="31"/>
  <c r="J23" i="4" s="1"/>
  <c r="P54" i="31"/>
  <c r="J53" i="31"/>
  <c r="J54" i="31" s="1"/>
  <c r="I53" i="31"/>
  <c r="G23" i="4" s="1"/>
  <c r="J107" i="31"/>
  <c r="H28" i="4"/>
  <c r="M121" i="31"/>
  <c r="M123" i="31" s="1"/>
  <c r="K29" i="4" s="1"/>
  <c r="M82" i="31"/>
  <c r="L52" i="6"/>
  <c r="N52" i="6" s="1"/>
  <c r="Q52" i="6" s="1"/>
  <c r="N23" i="6"/>
  <c r="O23" i="6" s="1"/>
  <c r="K34" i="6"/>
  <c r="L34" i="6" s="1"/>
  <c r="N34" i="6" s="1"/>
  <c r="Q34" i="6" s="1"/>
  <c r="K38" i="6"/>
  <c r="L38" i="6" s="1"/>
  <c r="N38" i="6" s="1"/>
  <c r="K30" i="6"/>
  <c r="L30" i="6" s="1"/>
  <c r="N30" i="6" s="1"/>
  <c r="M62" i="31"/>
  <c r="N24" i="6"/>
  <c r="Q24" i="6" s="1"/>
  <c r="N25" i="6"/>
  <c r="O25" i="6" s="1"/>
  <c r="K37" i="6"/>
  <c r="L37" i="6" s="1"/>
  <c r="N37" i="6" s="1"/>
  <c r="M93" i="31"/>
  <c r="K26" i="4" s="1"/>
  <c r="N22" i="6"/>
  <c r="O22" i="6" s="1"/>
  <c r="K29" i="6"/>
  <c r="L29" i="6" s="1"/>
  <c r="N29" i="6" s="1"/>
  <c r="Q51" i="6"/>
  <c r="K24" i="4"/>
  <c r="P39" i="6"/>
  <c r="L57" i="6"/>
  <c r="N57" i="6" s="1"/>
  <c r="Q45" i="6"/>
  <c r="M81" i="31"/>
  <c r="I62" i="6"/>
  <c r="Q43" i="6"/>
  <c r="P62" i="6"/>
  <c r="G27" i="31"/>
  <c r="E15" i="1" s="1"/>
  <c r="R72" i="31"/>
  <c r="R85" i="31" s="1"/>
  <c r="P25" i="4"/>
  <c r="O71" i="6"/>
  <c r="Q71" i="6"/>
  <c r="O26" i="6"/>
  <c r="Q26" i="6"/>
  <c r="T151" i="31"/>
  <c r="F28" i="31"/>
  <c r="F54" i="31" s="1"/>
  <c r="G17" i="31"/>
  <c r="E13" i="1" s="1"/>
  <c r="K14" i="1"/>
  <c r="Q14" i="1" s="1"/>
  <c r="V146" i="31"/>
  <c r="V114" i="31"/>
  <c r="G186" i="31"/>
  <c r="U105" i="31"/>
  <c r="U107" i="31" s="1"/>
  <c r="I15" i="6"/>
  <c r="S151" i="31"/>
  <c r="V148" i="31"/>
  <c r="V134" i="31"/>
  <c r="L13" i="6"/>
  <c r="N13" i="6" s="1"/>
  <c r="Q13" i="6" s="1"/>
  <c r="V130" i="31"/>
  <c r="V71" i="31"/>
  <c r="E28" i="31"/>
  <c r="E54" i="31" s="1"/>
  <c r="U97" i="31"/>
  <c r="L100" i="31"/>
  <c r="G149" i="31"/>
  <c r="E30" i="1" s="1"/>
  <c r="L21" i="6"/>
  <c r="N21" i="6" s="1"/>
  <c r="Q54" i="31"/>
  <c r="N47" i="6"/>
  <c r="Q47" i="6" s="1"/>
  <c r="N58" i="6"/>
  <c r="Q58" i="6" s="1"/>
  <c r="V106" i="31"/>
  <c r="I39" i="6"/>
  <c r="E85" i="31"/>
  <c r="E150" i="31" s="1"/>
  <c r="I37" i="31"/>
  <c r="G37" i="31"/>
  <c r="E19" i="1" s="1"/>
  <c r="N46" i="6"/>
  <c r="N55" i="6"/>
  <c r="Q55" i="6" s="1"/>
  <c r="N60" i="6"/>
  <c r="Q60" i="6" s="1"/>
  <c r="N48" i="6"/>
  <c r="N53" i="6"/>
  <c r="N61" i="6"/>
  <c r="V92" i="31"/>
  <c r="G93" i="31"/>
  <c r="E23" i="1" s="1"/>
  <c r="G107" i="31"/>
  <c r="E25" i="1" s="1"/>
  <c r="O59" i="6"/>
  <c r="N20" i="6"/>
  <c r="Q20" i="6" s="1"/>
  <c r="N49" i="6"/>
  <c r="Q49" i="6" s="1"/>
  <c r="E29" i="1"/>
  <c r="V147" i="31"/>
  <c r="F85" i="31"/>
  <c r="N42" i="6"/>
  <c r="Q42" i="6" s="1"/>
  <c r="O24" i="6"/>
  <c r="G121" i="31"/>
  <c r="G123" i="31" s="1"/>
  <c r="E26" i="1" s="1"/>
  <c r="V119" i="31"/>
  <c r="G100" i="31"/>
  <c r="E24" i="1" s="1"/>
  <c r="K24" i="1" s="1"/>
  <c r="Q24" i="1" s="1"/>
  <c r="V96" i="31"/>
  <c r="E16" i="13"/>
  <c r="O38" i="4" s="1"/>
  <c r="E12" i="13"/>
  <c r="N56" i="6"/>
  <c r="N50" i="6"/>
  <c r="Q50" i="6" s="1"/>
  <c r="K62" i="6"/>
  <c r="G173" i="31"/>
  <c r="O51" i="6"/>
  <c r="G160" i="31"/>
  <c r="E16" i="24" s="1"/>
  <c r="G72" i="31"/>
  <c r="V98" i="31"/>
  <c r="G135" i="31"/>
  <c r="E27" i="1" s="1"/>
  <c r="D48" i="67" s="1"/>
  <c r="C49" i="67" s="1"/>
  <c r="J117" i="31"/>
  <c r="H29" i="4" s="1"/>
  <c r="O54" i="6"/>
  <c r="O43" i="6"/>
  <c r="O45" i="6"/>
  <c r="V103" i="31"/>
  <c r="O44" i="6"/>
  <c r="G84" i="31"/>
  <c r="V22" i="31"/>
  <c r="E21" i="1"/>
  <c r="N77" i="6"/>
  <c r="N80" i="6"/>
  <c r="N82" i="6"/>
  <c r="N81" i="6"/>
  <c r="N74" i="6"/>
  <c r="N73" i="6"/>
  <c r="N84" i="6"/>
  <c r="N76" i="6"/>
  <c r="N83" i="6"/>
  <c r="N75" i="6"/>
  <c r="N78" i="6"/>
  <c r="N79" i="6"/>
  <c r="L72" i="6"/>
  <c r="R143" i="31" l="1"/>
  <c r="P33" i="4" s="1"/>
  <c r="L54" i="31"/>
  <c r="J143" i="31"/>
  <c r="H33" i="4" s="1"/>
  <c r="H34" i="4" s="1"/>
  <c r="H35" i="4" s="1"/>
  <c r="M84" i="31"/>
  <c r="L128" i="31"/>
  <c r="L135" i="31" s="1"/>
  <c r="P79" i="31"/>
  <c r="U79" i="31" s="1"/>
  <c r="V79" i="31" s="1"/>
  <c r="P78" i="31"/>
  <c r="U78" i="31" s="1"/>
  <c r="V78" i="31" s="1"/>
  <c r="O37" i="6"/>
  <c r="Q37" i="6"/>
  <c r="O30" i="6"/>
  <c r="Q30" i="6"/>
  <c r="P82" i="31" s="1"/>
  <c r="U82" i="31" s="1"/>
  <c r="V82" i="31" s="1"/>
  <c r="P67" i="31"/>
  <c r="U67" i="31" s="1"/>
  <c r="V67" i="31" s="1"/>
  <c r="O29" i="6"/>
  <c r="Q29" i="6"/>
  <c r="P81" i="31" s="1"/>
  <c r="U81" i="31" s="1"/>
  <c r="V81" i="31" s="1"/>
  <c r="O38" i="6"/>
  <c r="Q38" i="6"/>
  <c r="P115" i="31" s="1"/>
  <c r="P77" i="31"/>
  <c r="U77" i="31" s="1"/>
  <c r="V77" i="31" s="1"/>
  <c r="P63" i="31"/>
  <c r="U63" i="31" s="1"/>
  <c r="V63" i="31" s="1"/>
  <c r="P65" i="31"/>
  <c r="U65" i="31" s="1"/>
  <c r="V65" i="31" s="1"/>
  <c r="P69" i="31"/>
  <c r="U69" i="31" s="1"/>
  <c r="V69" i="31" s="1"/>
  <c r="P90" i="31"/>
  <c r="U90" i="31" s="1"/>
  <c r="V90" i="31" s="1"/>
  <c r="O34" i="6"/>
  <c r="M72" i="31"/>
  <c r="O52" i="6"/>
  <c r="Q25" i="6"/>
  <c r="Q23" i="6"/>
  <c r="K39" i="6"/>
  <c r="J11" i="6" s="1"/>
  <c r="K11" i="6" s="1"/>
  <c r="Q22" i="6"/>
  <c r="P62" i="31" s="1"/>
  <c r="L62" i="6"/>
  <c r="U76" i="31"/>
  <c r="V76" i="31" s="1"/>
  <c r="U111" i="31"/>
  <c r="V111" i="31" s="1"/>
  <c r="Q56" i="6"/>
  <c r="Q53" i="6"/>
  <c r="Q57" i="6"/>
  <c r="Q61" i="6"/>
  <c r="Q48" i="6"/>
  <c r="Q46" i="6"/>
  <c r="P34" i="4"/>
  <c r="P35" i="4" s="1"/>
  <c r="O78" i="6"/>
  <c r="Q78" i="6"/>
  <c r="O84" i="6"/>
  <c r="Q84" i="6"/>
  <c r="O82" i="6"/>
  <c r="Q82" i="6"/>
  <c r="O75" i="6"/>
  <c r="Q75" i="6"/>
  <c r="O73" i="6"/>
  <c r="Q73" i="6"/>
  <c r="O83" i="6"/>
  <c r="Q83" i="6"/>
  <c r="O74" i="6"/>
  <c r="Q74" i="6"/>
  <c r="O80" i="6"/>
  <c r="Q80" i="6"/>
  <c r="O79" i="6"/>
  <c r="Q79" i="6"/>
  <c r="O76" i="6"/>
  <c r="Q76" i="6"/>
  <c r="O81" i="6"/>
  <c r="Q81" i="6"/>
  <c r="O77" i="6"/>
  <c r="Q77" i="6"/>
  <c r="Q21" i="6"/>
  <c r="P61" i="31" s="1"/>
  <c r="R28" i="4"/>
  <c r="H25" i="1" s="1"/>
  <c r="K25" i="1" s="1"/>
  <c r="Q25" i="1" s="1"/>
  <c r="O47" i="6"/>
  <c r="E125" i="31"/>
  <c r="V105" i="31"/>
  <c r="V107" i="31" s="1"/>
  <c r="O60" i="6"/>
  <c r="O21" i="6"/>
  <c r="U100" i="31"/>
  <c r="V97" i="31"/>
  <c r="V100" i="31" s="1"/>
  <c r="O58" i="6"/>
  <c r="O49" i="6"/>
  <c r="O46" i="6"/>
  <c r="L39" i="6"/>
  <c r="E151" i="31"/>
  <c r="E187" i="31" s="1"/>
  <c r="O13" i="6"/>
  <c r="O61" i="6"/>
  <c r="O53" i="6"/>
  <c r="D19" i="32"/>
  <c r="Q140" i="31"/>
  <c r="O32" i="4" s="1"/>
  <c r="N62" i="6"/>
  <c r="O20" i="6"/>
  <c r="N39" i="6"/>
  <c r="U117" i="31"/>
  <c r="V117" i="31" s="1"/>
  <c r="J121" i="31"/>
  <c r="J123" i="31" s="1"/>
  <c r="O56" i="6"/>
  <c r="O42" i="6"/>
  <c r="G28" i="31"/>
  <c r="G85" i="31"/>
  <c r="O50" i="6"/>
  <c r="O55" i="6"/>
  <c r="U112" i="31"/>
  <c r="V112" i="31" s="1"/>
  <c r="G19" i="4"/>
  <c r="E20" i="13"/>
  <c r="E21" i="13" s="1"/>
  <c r="F150" i="31"/>
  <c r="F151" i="31" s="1"/>
  <c r="F187" i="31" s="1"/>
  <c r="F125" i="31"/>
  <c r="O57" i="6"/>
  <c r="O48" i="6"/>
  <c r="N72" i="6"/>
  <c r="R149" i="31" l="1"/>
  <c r="R150" i="31" s="1"/>
  <c r="R151" i="31" s="1"/>
  <c r="J30" i="4"/>
  <c r="M85" i="31"/>
  <c r="I54" i="31"/>
  <c r="P66" i="31"/>
  <c r="U66" i="31" s="1"/>
  <c r="V66" i="31" s="1"/>
  <c r="P80" i="31"/>
  <c r="U80" i="31" s="1"/>
  <c r="V80" i="31" s="1"/>
  <c r="P64" i="31"/>
  <c r="U64" i="31" s="1"/>
  <c r="V64" i="31" s="1"/>
  <c r="Q62" i="6"/>
  <c r="P68" i="31"/>
  <c r="U68" i="31" s="1"/>
  <c r="V68" i="31" s="1"/>
  <c r="P83" i="31"/>
  <c r="U83" i="31" s="1"/>
  <c r="V83" i="31" s="1"/>
  <c r="Q39" i="6"/>
  <c r="P89" i="31"/>
  <c r="P93" i="31" s="1"/>
  <c r="N26" i="4" s="1"/>
  <c r="P75" i="31"/>
  <c r="U75" i="31" s="1"/>
  <c r="V75" i="31" s="1"/>
  <c r="P120" i="31"/>
  <c r="U120" i="31" s="1"/>
  <c r="V120" i="31" s="1"/>
  <c r="I19" i="4"/>
  <c r="K17" i="31"/>
  <c r="K28" i="31" s="1"/>
  <c r="N95" i="6"/>
  <c r="Q72" i="6"/>
  <c r="J149" i="31"/>
  <c r="J150" i="31" s="1"/>
  <c r="J151" i="31" s="1"/>
  <c r="M11" i="6"/>
  <c r="O39" i="6"/>
  <c r="L11" i="6"/>
  <c r="L15" i="6" s="1"/>
  <c r="K15" i="6"/>
  <c r="E22" i="13"/>
  <c r="O41" i="4" s="1"/>
  <c r="R41" i="4" s="1"/>
  <c r="H38" i="1" s="1"/>
  <c r="K38" i="1" s="1"/>
  <c r="Q38" i="1" s="1"/>
  <c r="U61" i="31"/>
  <c r="V61" i="31" s="1"/>
  <c r="O62" i="6"/>
  <c r="E16" i="1"/>
  <c r="U24" i="31"/>
  <c r="G125" i="31"/>
  <c r="E22" i="1"/>
  <c r="E31" i="1" s="1"/>
  <c r="G150" i="31"/>
  <c r="P57" i="31"/>
  <c r="G54" i="31"/>
  <c r="C8" i="2"/>
  <c r="L91" i="31" s="1"/>
  <c r="F18" i="13"/>
  <c r="F23" i="13" s="1"/>
  <c r="E19" i="13"/>
  <c r="O39" i="4" s="1"/>
  <c r="R39" i="4" s="1"/>
  <c r="H36" i="1" s="1"/>
  <c r="K36" i="1" s="1"/>
  <c r="Q36" i="1" s="1"/>
  <c r="Q128" i="31"/>
  <c r="O30" i="4" s="1"/>
  <c r="R18" i="4"/>
  <c r="R38" i="4"/>
  <c r="H13" i="1"/>
  <c r="K13" i="1" s="1"/>
  <c r="K39" i="1"/>
  <c r="Q39" i="1" s="1"/>
  <c r="E40" i="1"/>
  <c r="O72" i="6"/>
  <c r="P84" i="31" l="1"/>
  <c r="J26" i="4"/>
  <c r="L93" i="31"/>
  <c r="L143" i="31" s="1"/>
  <c r="L149" i="31" s="1"/>
  <c r="L150" i="31" s="1"/>
  <c r="L151" i="31" s="1"/>
  <c r="K25" i="4"/>
  <c r="M143" i="31"/>
  <c r="M149" i="31" s="1"/>
  <c r="M150" i="31" s="1"/>
  <c r="M151" i="31" s="1"/>
  <c r="I91" i="31"/>
  <c r="K91" i="31"/>
  <c r="I26" i="4" s="1"/>
  <c r="K53" i="31"/>
  <c r="I23" i="4" s="1"/>
  <c r="U15" i="31"/>
  <c r="V15" i="31" s="1"/>
  <c r="V17" i="31" s="1"/>
  <c r="V84" i="31"/>
  <c r="U84" i="31"/>
  <c r="U89" i="31"/>
  <c r="V89" i="31" s="1"/>
  <c r="O43" i="4"/>
  <c r="N11" i="6"/>
  <c r="E32" i="1"/>
  <c r="E41" i="1" s="1"/>
  <c r="G151" i="31"/>
  <c r="G187" i="31" s="1"/>
  <c r="U115" i="31"/>
  <c r="V115" i="31" s="1"/>
  <c r="I93" i="31"/>
  <c r="H15" i="1"/>
  <c r="R19" i="4"/>
  <c r="N24" i="4"/>
  <c r="U57" i="31"/>
  <c r="V57" i="31" s="1"/>
  <c r="U128" i="31"/>
  <c r="Q135" i="31"/>
  <c r="Q143" i="31" s="1"/>
  <c r="O33" i="4" s="1"/>
  <c r="U62" i="31"/>
  <c r="P72" i="31"/>
  <c r="P85" i="31" s="1"/>
  <c r="R30" i="4"/>
  <c r="H27" i="1" s="1"/>
  <c r="K27" i="1" s="1"/>
  <c r="Q27" i="1" s="1"/>
  <c r="O26" i="4"/>
  <c r="C12" i="2"/>
  <c r="C16" i="2" s="1"/>
  <c r="D10" i="2"/>
  <c r="V24" i="31"/>
  <c r="V27" i="31" s="1"/>
  <c r="U27" i="31"/>
  <c r="H35" i="1"/>
  <c r="R43" i="4"/>
  <c r="E25" i="13"/>
  <c r="O95" i="6"/>
  <c r="Q95" i="6"/>
  <c r="P110" i="31" s="1"/>
  <c r="J33" i="4" l="1"/>
  <c r="J34" i="4" s="1"/>
  <c r="J35" i="4" s="1"/>
  <c r="K33" i="4"/>
  <c r="K34" i="4" s="1"/>
  <c r="K35" i="4" s="1"/>
  <c r="G26" i="4"/>
  <c r="R26" i="4" s="1"/>
  <c r="H23" i="1" s="1"/>
  <c r="I143" i="31"/>
  <c r="I149" i="31" s="1"/>
  <c r="G33" i="4" s="1"/>
  <c r="U17" i="31"/>
  <c r="U28" i="31" s="1"/>
  <c r="O11" i="6"/>
  <c r="Q11" i="6"/>
  <c r="Q15" i="6" s="1"/>
  <c r="Q17" i="6" s="1"/>
  <c r="P140" i="31" s="1"/>
  <c r="N32" i="4" s="1"/>
  <c r="N25" i="4"/>
  <c r="R25" i="4" s="1"/>
  <c r="H22" i="1" s="1"/>
  <c r="K22" i="1" s="1"/>
  <c r="Q22" i="1" s="1"/>
  <c r="C18" i="2"/>
  <c r="C20" i="2" s="1"/>
  <c r="C22" i="2" s="1"/>
  <c r="C25" i="2" s="1"/>
  <c r="V28" i="31"/>
  <c r="N15" i="6"/>
  <c r="O34" i="4"/>
  <c r="R24" i="4"/>
  <c r="H21" i="1" s="1"/>
  <c r="K21" i="1" s="1"/>
  <c r="Q21" i="1" s="1"/>
  <c r="U135" i="31"/>
  <c r="V128" i="31"/>
  <c r="V135" i="31" s="1"/>
  <c r="Q91" i="31"/>
  <c r="Q93" i="31" s="1"/>
  <c r="H40" i="1"/>
  <c r="K35" i="1"/>
  <c r="R23" i="4"/>
  <c r="H20" i="1" s="1"/>
  <c r="K20" i="1" s="1"/>
  <c r="V62" i="31"/>
  <c r="V72" i="31" s="1"/>
  <c r="V85" i="31" s="1"/>
  <c r="U72" i="31"/>
  <c r="U85" i="31" s="1"/>
  <c r="K15" i="1"/>
  <c r="H16" i="1"/>
  <c r="P121" i="31"/>
  <c r="P123" i="31" s="1"/>
  <c r="U110" i="31"/>
  <c r="P143" i="31" l="1"/>
  <c r="N33" i="4" s="1"/>
  <c r="I150" i="31"/>
  <c r="I151" i="31" s="1"/>
  <c r="G34" i="4"/>
  <c r="G35" i="4" s="1"/>
  <c r="G45" i="4" s="1"/>
  <c r="K45" i="4"/>
  <c r="J45" i="4"/>
  <c r="P45" i="4"/>
  <c r="H45" i="4"/>
  <c r="D19" i="26"/>
  <c r="R32" i="4"/>
  <c r="H29" i="1" s="1"/>
  <c r="K29" i="1" s="1"/>
  <c r="Q29" i="1" s="1"/>
  <c r="U140" i="31"/>
  <c r="V140" i="31" s="1"/>
  <c r="Q149" i="31"/>
  <c r="Q150" i="31" s="1"/>
  <c r="Q151" i="31" s="1"/>
  <c r="K23" i="1"/>
  <c r="K93" i="31"/>
  <c r="U91" i="31"/>
  <c r="K40" i="1"/>
  <c r="D11" i="26" s="1"/>
  <c r="D14" i="26" s="1"/>
  <c r="Q35" i="1"/>
  <c r="Q40" i="1" s="1"/>
  <c r="B16" i="24" s="1"/>
  <c r="D16" i="24" s="1"/>
  <c r="F16" i="24" s="1"/>
  <c r="Q15" i="1"/>
  <c r="K16" i="1"/>
  <c r="U53" i="31"/>
  <c r="V53" i="31" s="1"/>
  <c r="V110" i="31"/>
  <c r="V121" i="31" s="1"/>
  <c r="V123" i="31" s="1"/>
  <c r="U121" i="31"/>
  <c r="U123" i="31" s="1"/>
  <c r="N29" i="4"/>
  <c r="K143" i="31" l="1"/>
  <c r="H16" i="24"/>
  <c r="L34" i="4"/>
  <c r="L35" i="4" s="1"/>
  <c r="L45" i="4" s="1"/>
  <c r="O35" i="4"/>
  <c r="O45" i="4" s="1"/>
  <c r="V91" i="31"/>
  <c r="V93" i="31" s="1"/>
  <c r="U93" i="31"/>
  <c r="D23" i="26"/>
  <c r="R29" i="4"/>
  <c r="O143" i="31" l="1"/>
  <c r="O149" i="31" s="1"/>
  <c r="O150" i="31" s="1"/>
  <c r="O151" i="31" s="1"/>
  <c r="N34" i="4"/>
  <c r="N35" i="4" s="1"/>
  <c r="N45" i="4" s="1"/>
  <c r="H26" i="1"/>
  <c r="M33" i="4" l="1"/>
  <c r="M34" i="4" s="1"/>
  <c r="M35" i="4" s="1"/>
  <c r="M45" i="4" s="1"/>
  <c r="K26" i="1"/>
  <c r="P149" i="31"/>
  <c r="P150" i="31" s="1"/>
  <c r="P151" i="31" s="1"/>
  <c r="Q26" i="1" l="1"/>
  <c r="R22" i="4" l="1"/>
  <c r="H19" i="1" s="1"/>
  <c r="K19" i="1" l="1"/>
  <c r="Q19" i="1" s="1"/>
  <c r="K37" i="31"/>
  <c r="K54" i="31" s="1"/>
  <c r="U31" i="31"/>
  <c r="K149" i="31" l="1"/>
  <c r="K150" i="31" s="1"/>
  <c r="K151" i="31" s="1"/>
  <c r="U143" i="31"/>
  <c r="V143" i="31" s="1"/>
  <c r="V149" i="31" s="1"/>
  <c r="V150" i="31" s="1"/>
  <c r="U37" i="31"/>
  <c r="V31" i="31"/>
  <c r="V37" i="31" s="1"/>
  <c r="V54" i="31" s="1"/>
  <c r="V151" i="31" l="1"/>
  <c r="I33" i="4"/>
  <c r="U54" i="31"/>
  <c r="U149" i="31"/>
  <c r="U150" i="31" s="1"/>
  <c r="U151" i="31" s="1"/>
  <c r="I34" i="4" l="1"/>
  <c r="R33" i="4"/>
  <c r="H30" i="1" s="1"/>
  <c r="K30" i="1" l="1"/>
  <c r="K31" i="1" s="1"/>
  <c r="K32" i="1" s="1"/>
  <c r="H31" i="1"/>
  <c r="H32" i="1" s="1"/>
  <c r="I35" i="4"/>
  <c r="I45" i="4" s="1"/>
  <c r="R34" i="4"/>
  <c r="R35" i="4" s="1"/>
  <c r="R45" i="4" s="1"/>
  <c r="K41" i="1" l="1"/>
  <c r="D15" i="26"/>
  <c r="D17" i="26" s="1"/>
  <c r="D21" i="26" s="1"/>
  <c r="N13" i="1" l="1"/>
  <c r="D25" i="26"/>
  <c r="N16" i="1" l="1"/>
  <c r="Q13" i="1"/>
  <c r="Q16" i="1" s="1"/>
  <c r="N23" i="1" l="1"/>
  <c r="Q23" i="1" s="1"/>
  <c r="N20" i="1"/>
  <c r="K95" i="6"/>
  <c r="L95" i="6"/>
  <c r="N30" i="1" l="1"/>
  <c r="Q20" i="1"/>
  <c r="Q30" i="1" l="1"/>
  <c r="Q31" i="1" s="1"/>
  <c r="Q32" i="1" s="1"/>
  <c r="Q41" i="1" s="1"/>
  <c r="N31" i="1"/>
  <c r="N32" i="1" s="1"/>
</calcChain>
</file>

<file path=xl/comments1.xml><?xml version="1.0" encoding="utf-8"?>
<comments xmlns="http://schemas.openxmlformats.org/spreadsheetml/2006/main">
  <authors>
    <author>Cascade Natural Gas</author>
    <author>Peters, Maryalice</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C61" authorId="1" shapeId="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<sst xmlns="http://schemas.openxmlformats.org/spreadsheetml/2006/main" count="6989" uniqueCount="2189">
  <si>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</si>
  <si>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</si>
  <si>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</si>
  <si>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</si>
  <si>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</si>
  <si>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</si>
  <si>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</si>
  <si>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</si>
  <si>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</si>
  <si>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</si>
  <si>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</si>
  <si>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</si>
  <si>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</si>
  <si>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</si>
  <si>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</si>
  <si>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</si>
  <si>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</si>
  <si>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</si>
  <si>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</si>
  <si>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</si>
  <si>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</si>
  <si>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</si>
  <si>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</si>
  <si>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</si>
  <si>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</si>
  <si>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</si>
  <si>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</si>
  <si>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</si>
  <si>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</si>
  <si>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</si>
  <si>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</si>
  <si>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</si>
  <si>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</si>
  <si>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</si>
  <si>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</si>
  <si>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</si>
  <si>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</si>
  <si>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</si>
  <si>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</si>
  <si>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</si>
  <si>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</si>
  <si>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</si>
  <si>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</si>
  <si>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</si>
  <si>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</si>
  <si>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</si>
  <si>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</si>
  <si>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</si>
  <si>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</si>
  <si>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</si>
  <si>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</si>
  <si>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</si>
  <si>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</si>
  <si>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</si>
  <si>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</si>
  <si>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</si>
  <si>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</si>
  <si>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</si>
  <si>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</si>
  <si>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</si>
  <si>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</si>
  <si>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</si>
  <si>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</si>
  <si>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</si>
  <si>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</si>
  <si>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</si>
  <si>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</si>
  <si>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</si>
  <si>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</si>
  <si>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</si>
  <si>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</si>
  <si>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</si>
  <si>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</si>
  <si>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</si>
  <si>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</si>
  <si>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</si>
  <si>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</si>
  <si>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</si>
  <si>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</si>
  <si>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</si>
  <si>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</si>
  <si>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</si>
  <si>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</si>
  <si>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</si>
  <si>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</si>
  <si>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</si>
  <si>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</si>
  <si>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</si>
  <si>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</si>
  <si>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</si>
  <si>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</si>
  <si>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</si>
  <si>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</si>
  <si>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</si>
  <si>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</si>
  <si>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</si>
  <si>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</si>
  <si>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</si>
  <si>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</si>
  <si>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</si>
  <si>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</si>
  <si>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</si>
  <si>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</si>
  <si>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</si>
  <si>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</si>
  <si>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</si>
  <si>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</si>
  <si>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</si>
  <si>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</si>
  <si>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</si>
  <si>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</si>
  <si>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</si>
  <si>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</si>
  <si>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</si>
  <si>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</si>
  <si>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</si>
  <si>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</si>
  <si>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</si>
  <si>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</si>
  <si>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</si>
  <si>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</si>
  <si>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</si>
  <si>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</si>
  <si>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</si>
  <si>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</si>
  <si>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</si>
  <si>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</si>
  <si>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</si>
  <si>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</si>
  <si>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</si>
  <si>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</si>
  <si>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</si>
  <si>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</si>
  <si>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</si>
  <si>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</si>
  <si>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</si>
  <si>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</si>
  <si>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</si>
  <si>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</si>
  <si>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</si>
  <si>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</si>
  <si>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</si>
  <si>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</si>
  <si>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</si>
  <si>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</si>
  <si>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</si>
  <si>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</si>
  <si>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</si>
  <si>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</si>
  <si>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</si>
  <si>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</si>
  <si>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</si>
  <si>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</si>
  <si>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</si>
  <si>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</si>
  <si>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</si>
  <si>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</si>
  <si>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</si>
  <si>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</si>
  <si>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</si>
  <si>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</si>
  <si>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</si>
  <si>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</si>
  <si>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</si>
  <si>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</si>
  <si>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</si>
  <si>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</si>
  <si>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</si>
  <si>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</si>
  <si>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</si>
  <si>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</si>
  <si>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</si>
  <si>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</si>
  <si>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</si>
  <si>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</si>
  <si>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</si>
  <si>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</si>
  <si>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</si>
  <si>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</si>
  <si>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</si>
  <si>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</si>
  <si>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</si>
  <si>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</si>
  <si>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</si>
  <si>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</si>
  <si>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</si>
  <si>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</si>
  <si>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</si>
  <si>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</si>
  <si>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</si>
  <si>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</si>
  <si>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</si>
  <si>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</si>
  <si>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</si>
  <si>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</si>
  <si>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</si>
  <si>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</si>
  <si>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</si>
  <si>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</si>
  <si>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</si>
  <si>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</si>
  <si>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</si>
  <si>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</si>
  <si>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</si>
  <si>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</si>
  <si>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</si>
  <si>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</si>
  <si>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</si>
  <si>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</si>
  <si>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</si>
  <si>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</si>
  <si>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</si>
  <si>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</si>
  <si>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</si>
  <si>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</si>
  <si>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</si>
  <si>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</si>
  <si>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</si>
  <si>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</si>
  <si>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</si>
  <si>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</si>
  <si>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</si>
  <si>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</si>
  <si>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</si>
  <si>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</si>
  <si>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</si>
  <si>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</si>
  <si>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</si>
  <si>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</si>
  <si>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</si>
  <si>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</si>
  <si>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</si>
  <si>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</si>
  <si>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</si>
  <si>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</si>
  <si>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</si>
  <si>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</si>
  <si>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</si>
  <si>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</si>
  <si>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</si>
  <si>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</si>
  <si>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</si>
  <si>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</si>
  <si>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</si>
  <si>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</si>
  <si>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</si>
  <si>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</si>
  <si>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</si>
  <si>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</si>
  <si>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</si>
  <si>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</si>
  <si>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</si>
  <si>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</si>
  <si>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</si>
  <si>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</si>
  <si>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</si>
  <si>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</si>
  <si>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</si>
  <si>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</si>
  <si>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</si>
  <si>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</si>
  <si>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</si>
  <si>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</si>
  <si>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</si>
  <si>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</si>
  <si>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</si>
  <si>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</si>
  <si>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</si>
  <si>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</si>
  <si>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</si>
  <si>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</si>
  <si>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</si>
  <si>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</si>
  <si>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</si>
  <si>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</si>
  <si>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</si>
  <si>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</si>
  <si>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</si>
  <si>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</si>
  <si>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</si>
  <si>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</si>
  <si>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</si>
  <si>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</si>
  <si>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</si>
  <si>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</si>
  <si>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</si>
  <si>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</si>
  <si>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</si>
  <si>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</si>
  <si>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</si>
  <si>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</si>
  <si>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</si>
  <si>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</si>
  <si>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</si>
  <si>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</si>
  <si>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</si>
  <si>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</si>
  <si>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</si>
  <si>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</si>
  <si>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</si>
  <si>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</si>
  <si>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</si>
  <si>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</si>
  <si>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</si>
  <si>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</si>
  <si>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</si>
  <si>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</si>
  <si>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</si>
  <si>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</si>
  <si>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</si>
  <si>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</si>
  <si>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</si>
  <si>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</si>
  <si>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</si>
  <si>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</si>
  <si>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</si>
  <si>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</si>
  <si>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</si>
  <si>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</si>
  <si>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</si>
  <si>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</si>
  <si>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</si>
  <si>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</si>
  <si>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</si>
  <si>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</si>
  <si>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</si>
  <si>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</si>
  <si>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</si>
  <si>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</si>
  <si>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</si>
  <si>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</si>
  <si>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</si>
  <si>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</si>
  <si>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</si>
  <si>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</si>
  <si>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</si>
  <si>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</si>
  <si>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</si>
  <si>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</si>
  <si>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</si>
  <si>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</si>
  <si>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</si>
  <si>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</si>
  <si>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</si>
  <si>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</si>
  <si>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</si>
  <si>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</si>
  <si>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</si>
  <si>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</si>
  <si>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</si>
  <si>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</si>
  <si>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</si>
  <si>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</si>
  <si>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</si>
  <si>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</si>
  <si>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</si>
  <si>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</si>
  <si>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</si>
  <si>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</si>
  <si>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</si>
  <si>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</si>
  <si>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</si>
  <si>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</si>
  <si>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</si>
  <si>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</si>
  <si>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</si>
  <si>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</si>
  <si>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</si>
  <si>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</si>
  <si>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</si>
  <si>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</si>
  <si>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</si>
  <si>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</si>
  <si>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</si>
  <si>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</si>
  <si>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</si>
  <si>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</si>
  <si>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</si>
  <si>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</si>
  <si>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</si>
  <si>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</si>
  <si>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</si>
  <si>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</si>
  <si>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</si>
  <si>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</si>
  <si>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</si>
  <si>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@2:107</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</si>
  <si>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</si>
  <si>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</si>
  <si>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</si>
  <si>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</si>
  <si>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</si>
  <si>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</si>
  <si>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</si>
  <si>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</si>
  <si>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</si>
  <si>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</si>
  <si>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</si>
  <si>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</si>
  <si>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</si>
  <si>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</si>
  <si>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</si>
  <si>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</si>
  <si>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</si>
  <si>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</si>
  <si>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</si>
  <si>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</si>
  <si>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</si>
  <si>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</si>
  <si>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</si>
  <si>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</si>
  <si>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</si>
  <si>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</si>
  <si>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</si>
  <si>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Working Funds</t>
  </si>
  <si>
    <t xml:space="preserve">   TOTAL CASH</t>
  </si>
  <si>
    <t>1360</t>
  </si>
  <si>
    <t>Temporary Cash Investments</t>
  </si>
  <si>
    <t xml:space="preserve">   TOTAL CASH EQUIVALENTS</t>
  </si>
  <si>
    <t>1420</t>
  </si>
  <si>
    <t>1432</t>
  </si>
  <si>
    <t>1710</t>
  </si>
  <si>
    <t>Interest &amp; Dividends Receivable</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</si>
  <si>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</si>
  <si>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</si>
  <si>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</si>
  <si>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</si>
  <si>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</si>
  <si>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</si>
  <si>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</si>
  <si>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</si>
  <si>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</si>
  <si>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</si>
  <si>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</si>
  <si>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</si>
  <si>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</si>
  <si>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</si>
  <si>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</si>
  <si>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</si>
  <si>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</si>
  <si>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</si>
  <si>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</si>
  <si>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</si>
  <si>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</si>
  <si>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</si>
  <si>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</si>
  <si>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</si>
  <si>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</si>
  <si>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</si>
  <si>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</si>
  <si>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</si>
  <si>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</si>
  <si>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</si>
  <si>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</si>
  <si>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</si>
  <si>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</si>
  <si>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</si>
  <si>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Undistributed Stores Exp - Freight</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</si>
  <si>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</si>
  <si>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</si>
  <si>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</si>
  <si>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</si>
  <si>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</si>
  <si>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</si>
  <si>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</si>
  <si>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</si>
  <si>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</si>
  <si>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</si>
  <si>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</si>
  <si>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</si>
  <si>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</si>
  <si>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</si>
  <si>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</si>
  <si>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</si>
  <si>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</si>
  <si>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</si>
  <si>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</si>
  <si>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</si>
  <si>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</si>
  <si>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</si>
  <si>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</si>
  <si>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</si>
  <si>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</si>
  <si>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</si>
  <si>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</si>
  <si>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</si>
  <si>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</si>
  <si>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</si>
  <si>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</si>
  <si>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</si>
  <si>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</si>
  <si>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</si>
  <si>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</si>
  <si>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</si>
  <si>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</si>
  <si>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</si>
  <si>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</si>
  <si>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</si>
  <si>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</si>
  <si>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</si>
  <si>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</si>
  <si>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</si>
  <si>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</si>
  <si>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</si>
  <si>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</si>
  <si>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</si>
  <si>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</si>
  <si>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</si>
  <si>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</si>
  <si>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</si>
  <si>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</si>
  <si>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</si>
  <si>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</si>
  <si>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</si>
  <si>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</si>
  <si>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</si>
  <si>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</si>
  <si>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</si>
  <si>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</si>
  <si>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</si>
  <si>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</si>
  <si>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</si>
  <si>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</si>
  <si>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</si>
  <si>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</si>
  <si>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</si>
  <si>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</si>
  <si>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</si>
  <si>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</si>
  <si>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</si>
  <si>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</si>
  <si>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</si>
  <si>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</si>
  <si>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</si>
  <si>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</si>
  <si>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</si>
  <si>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</si>
  <si>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</si>
  <si>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</si>
  <si>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</si>
  <si>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</si>
  <si>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</si>
  <si>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</si>
  <si>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</si>
  <si>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</si>
  <si>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</si>
  <si>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</si>
  <si>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</si>
  <si>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</si>
  <si>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</si>
  <si>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</si>
  <si>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</si>
  <si>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</si>
  <si>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</si>
  <si>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</si>
  <si>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</si>
  <si>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</si>
  <si>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</si>
  <si>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</si>
  <si>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</si>
  <si>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</si>
  <si>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</si>
  <si>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</si>
  <si>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</si>
  <si>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</si>
  <si>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</si>
  <si>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</si>
  <si>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</si>
  <si>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</si>
  <si>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</si>
  <si>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</si>
  <si>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</si>
  <si>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</si>
  <si>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</si>
  <si>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</si>
  <si>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</si>
  <si>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</si>
  <si>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</si>
  <si>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</si>
  <si>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</si>
  <si>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</si>
  <si>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</si>
  <si>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</si>
  <si>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</si>
  <si>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</si>
  <si>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</si>
  <si>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</si>
  <si>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</si>
  <si>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</si>
  <si>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</si>
  <si>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</si>
  <si>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</si>
  <si>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</si>
  <si>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</si>
  <si>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</si>
  <si>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</si>
  <si>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</si>
  <si>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</si>
  <si>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</si>
  <si>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</si>
  <si>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</si>
  <si>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</si>
  <si>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</si>
  <si>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</si>
  <si>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</si>
  <si>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</si>
  <si>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</si>
  <si>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</si>
  <si>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</si>
  <si>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</si>
  <si>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</si>
  <si>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</si>
  <si>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</si>
  <si>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</si>
  <si>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</si>
  <si>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</si>
  <si>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</si>
  <si>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</si>
  <si>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</si>
  <si>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</si>
  <si>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</si>
  <si>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2360</t>
  </si>
  <si>
    <t>Income Taxes Accrued</t>
  </si>
  <si>
    <t>2361</t>
  </si>
  <si>
    <t>2362</t>
  </si>
  <si>
    <t>2363</t>
  </si>
  <si>
    <t>2364</t>
  </si>
  <si>
    <t>2380</t>
  </si>
  <si>
    <t>Dividends Declared</t>
  </si>
  <si>
    <t>2351</t>
  </si>
  <si>
    <t>Customer Deposits</t>
  </si>
  <si>
    <t>2372</t>
  </si>
  <si>
    <t>2422</t>
  </si>
  <si>
    <t>2420</t>
  </si>
  <si>
    <t>2423</t>
  </si>
  <si>
    <t>Misc Current Liab - Vacation Wages</t>
  </si>
  <si>
    <t>2429</t>
  </si>
  <si>
    <t>2282</t>
  </si>
  <si>
    <t>Accrued Provision - Injuries &amp; Damages</t>
  </si>
  <si>
    <t>2284</t>
  </si>
  <si>
    <t>Misc Current Liabilities</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</si>
  <si>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</si>
  <si>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</si>
  <si>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</si>
  <si>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</si>
  <si>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</si>
  <si>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</si>
  <si>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</si>
  <si>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</si>
  <si>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</si>
  <si>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</si>
  <si>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</si>
  <si>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</si>
  <si>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</si>
  <si>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</si>
  <si>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</si>
  <si>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</si>
  <si>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</si>
  <si>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</si>
  <si>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</si>
  <si>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</si>
  <si>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</si>
  <si>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</si>
  <si>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</si>
  <si>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</si>
  <si>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Misc Gas Service Revenue</t>
  </si>
  <si>
    <t>Gas Transportation Revenues</t>
  </si>
  <si>
    <t>4891</t>
  </si>
  <si>
    <t>Rent from Gas Properties</t>
  </si>
  <si>
    <t>5000</t>
  </si>
  <si>
    <t>conversion earnings</t>
  </si>
  <si>
    <t xml:space="preserve">     TOTAL GAS REVENUE</t>
  </si>
  <si>
    <t>4190</t>
  </si>
  <si>
    <t>4210</t>
  </si>
  <si>
    <t>Misc Non-Oper Income</t>
  </si>
  <si>
    <t>4191</t>
  </si>
  <si>
    <t>4320</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</si>
  <si>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</si>
  <si>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</si>
  <si>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</si>
  <si>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</si>
  <si>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</si>
  <si>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</si>
  <si>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</si>
  <si>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</si>
  <si>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</si>
  <si>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</si>
  <si>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</si>
  <si>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</si>
  <si>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</si>
  <si>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</si>
  <si>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                              </t>
  </si>
  <si>
    <t xml:space="preserve">HOQUIAM LOGGERS PLAYDAY INC   </t>
  </si>
  <si>
    <t xml:space="preserve">GRAYS HARBOR MOUNTED POSSE    </t>
  </si>
  <si>
    <t>MASON COUNTY FOREST FESTIVAL A</t>
  </si>
  <si>
    <t xml:space="preserve">MDUR Cross Charge 29995       </t>
  </si>
  <si>
    <t>TRI-CITY REGIONAL CHAMBER OF C</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</si>
  <si>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</si>
  <si>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</si>
  <si>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</si>
  <si>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</si>
  <si>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</si>
  <si>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</si>
  <si>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</si>
  <si>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</si>
  <si>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</si>
  <si>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</si>
  <si>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</si>
  <si>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</si>
  <si>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</si>
  <si>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</si>
  <si>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</si>
  <si>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</si>
  <si>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</si>
  <si>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</si>
  <si>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</si>
  <si>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</si>
  <si>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</si>
  <si>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</si>
  <si>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</si>
  <si>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</si>
  <si>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</si>
  <si>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</si>
  <si>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</si>
  <si>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</si>
  <si>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</si>
  <si>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</si>
  <si>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</si>
  <si>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</si>
  <si>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</si>
  <si>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</si>
  <si>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</si>
  <si>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</si>
  <si>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</si>
  <si>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</si>
  <si>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</si>
  <si>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</si>
  <si>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</si>
  <si>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</si>
  <si>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</si>
  <si>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</si>
  <si>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</si>
  <si>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</si>
  <si>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</si>
  <si>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</si>
  <si>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</si>
  <si>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</si>
  <si>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</si>
  <si>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</si>
  <si>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 xml:space="preserve">                        -  </t>
  </si>
  <si>
    <t>***</t>
  </si>
  <si>
    <t>1088</t>
  </si>
  <si>
    <t>Gas Accum Prov ARO</t>
  </si>
  <si>
    <t>Storage Boil-Off</t>
  </si>
  <si>
    <t>99</t>
  </si>
  <si>
    <t xml:space="preserve"> Debt Issuance Cost Reclass</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</si>
  <si>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</si>
  <si>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</si>
  <si>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</si>
  <si>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</si>
  <si>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</si>
  <si>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</si>
  <si>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</si>
  <si>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</si>
  <si>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</si>
  <si>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</si>
  <si>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</si>
  <si>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PENDLETON BUCKAROO BOOSTERS   </t>
  </si>
  <si>
    <t xml:space="preserve">YAKIMA VALLEY PIPPINS         </t>
  </si>
  <si>
    <t>Amount</t>
  </si>
  <si>
    <t>WA Allocated</t>
  </si>
  <si>
    <t>WA Situs</t>
  </si>
  <si>
    <t xml:space="preserve">TOWN &amp; COUNTRY ADVERTISING    </t>
  </si>
  <si>
    <t xml:space="preserve">ACCT 300311214                </t>
  </si>
  <si>
    <t>R-4</t>
  </si>
  <si>
    <t>CRM</t>
  </si>
  <si>
    <t>P-3</t>
  </si>
  <si>
    <t>4760500 MDUR Cross Charges to CNGC</t>
  </si>
  <si>
    <t>4766000 MDU Allocated Costs</t>
  </si>
  <si>
    <t>4767000 Credit and Collections</t>
  </si>
  <si>
    <t>4767100 Customer Services, Dir</t>
  </si>
  <si>
    <t>4767200 Meridian-Cust Svc Ctr</t>
  </si>
  <si>
    <t>4767300 Customer Development/Programs</t>
  </si>
  <si>
    <t>4767400 Scheduling</t>
  </si>
  <si>
    <t>4767600 Information Tech, Dir</t>
  </si>
  <si>
    <t>4767700 Communications</t>
  </si>
  <si>
    <t>4767800 Information Systems</t>
  </si>
  <si>
    <t>4767900 Mobile Services Manager</t>
  </si>
  <si>
    <t>4768000 Office Services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</si>
  <si>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</si>
  <si>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</si>
  <si>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</si>
  <si>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</si>
  <si>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</si>
  <si>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</si>
  <si>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</si>
  <si>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</si>
  <si>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</si>
  <si>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</si>
  <si>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</si>
  <si>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</si>
  <si>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FP-200064 - UG-Customer Self-Service Web/IVR</t>
  </si>
  <si>
    <t>FP-200663 - UG-GIS Enhancements</t>
  </si>
  <si>
    <t>Total Intangible Plant</t>
  </si>
  <si>
    <t>Gas Distribution</t>
  </si>
  <si>
    <t>FP-101170 - MAIN-GROWTH-OREGON</t>
  </si>
  <si>
    <t>FP-101172 - MAIN-RELO-REPL-OREGON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</si>
  <si>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</si>
  <si>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</si>
  <si>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</si>
  <si>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</si>
  <si>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</si>
  <si>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</si>
  <si>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</si>
  <si>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</si>
  <si>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</si>
  <si>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</si>
  <si>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</si>
  <si>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</si>
  <si>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</si>
  <si>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</si>
  <si>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</si>
  <si>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</si>
  <si>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</si>
  <si>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</si>
  <si>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FP-200686 - CRM LONGVIEW PIPE REPLACEMENT</t>
  </si>
  <si>
    <t>FP-200687 - CRM ANACORTES PIPE REPLACEMENT</t>
  </si>
  <si>
    <t>FP-200688 - BEND PIPE REPL</t>
  </si>
  <si>
    <t>FP-300363 - CRM SHELTON PIPE REPLACEMENT</t>
  </si>
  <si>
    <t>FP-302369 - GB - GROUNDBED WASHINGTON</t>
  </si>
  <si>
    <t>FP-302370 - GB - GROUNDBED OREGON</t>
  </si>
  <si>
    <t>FP-302588 - HILDEBRAND BLVD 6" HP MAIN</t>
  </si>
  <si>
    <t>FP-307212 - CRM KELSO GRADE ST BRIDGE RELOCATE</t>
  </si>
  <si>
    <t>FP-307221 - 8" YAKIMA HP PIPELINE</t>
  </si>
  <si>
    <t>Total Distribution Plant</t>
  </si>
  <si>
    <t>Gas General</t>
  </si>
  <si>
    <t>FP-101164 - General Purpose Communication Equip</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</si>
  <si>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</si>
  <si>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</si>
  <si>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</si>
  <si>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</si>
  <si>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</si>
  <si>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</si>
  <si>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</si>
  <si>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FP-101237 - GP TOOLS - PENDLETON</t>
  </si>
  <si>
    <t>FP-101261 - GP TOOLS - WENATCHEE</t>
  </si>
  <si>
    <t>FP-101344 - GP TOOLS - LONGVIEW</t>
  </si>
  <si>
    <t>FP-101362 - GP TOOLS - ABERDEEN</t>
  </si>
  <si>
    <t>FP-101398 - GP TOOLS - TRI - CITIES</t>
  </si>
  <si>
    <t>FP-101451 - GP TOOLS - YAKIMA</t>
  </si>
  <si>
    <t>FP-200661 - Data Center &amp; Network Equipment</t>
  </si>
  <si>
    <t>FP-200662 - Personal Computers &amp; Peripherals</t>
  </si>
  <si>
    <t>FP-307020 - Longview - New Operations Bldg 2018</t>
  </si>
  <si>
    <t>Notes:</t>
  </si>
  <si>
    <t>Growth</t>
  </si>
  <si>
    <t>Depreciation</t>
  </si>
  <si>
    <t>Expense</t>
  </si>
  <si>
    <t>FERC</t>
  </si>
  <si>
    <t>Acct</t>
  </si>
  <si>
    <t>Note:</t>
  </si>
  <si>
    <t>Explanation and Support</t>
  </si>
  <si>
    <t xml:space="preserve">           Cascade Natural Gas</t>
  </si>
  <si>
    <t>Results</t>
  </si>
  <si>
    <t>Overall Revenue Increase</t>
  </si>
  <si>
    <t>RESULTS OF OPERATIONS SUMMARY SHEET</t>
  </si>
  <si>
    <t>Results of Operations Summary Sheet</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</si>
  <si>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</si>
  <si>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</si>
  <si>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</si>
  <si>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</si>
  <si>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</si>
  <si>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</si>
  <si>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</si>
  <si>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</si>
  <si>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</si>
  <si>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</si>
  <si>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</si>
  <si>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</si>
  <si>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</si>
  <si>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</si>
  <si>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</si>
  <si>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</si>
  <si>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</si>
  <si>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</si>
  <si>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</si>
  <si>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</si>
  <si>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</si>
  <si>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</si>
  <si>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</si>
  <si>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</si>
  <si>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</si>
  <si>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</si>
  <si>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</si>
  <si>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</si>
  <si>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</si>
  <si>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</si>
  <si>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</si>
  <si>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</si>
  <si>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</si>
  <si>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</si>
  <si>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</si>
  <si>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</si>
  <si>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</si>
  <si>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</si>
  <si>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</si>
  <si>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</si>
  <si>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</si>
  <si>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</si>
  <si>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</si>
  <si>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</si>
  <si>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</si>
  <si>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</si>
  <si>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</si>
  <si>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</si>
  <si>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</si>
  <si>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</si>
  <si>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</si>
  <si>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</si>
  <si>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</si>
  <si>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</si>
  <si>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</si>
  <si>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</si>
  <si>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</si>
  <si>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</si>
  <si>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</si>
  <si>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</si>
  <si>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</si>
  <si>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</si>
  <si>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</si>
  <si>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</si>
  <si>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</si>
  <si>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</si>
  <si>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</si>
  <si>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</si>
  <si>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</si>
  <si>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</si>
  <si>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</si>
  <si>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</si>
  <si>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</si>
  <si>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</si>
  <si>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</si>
  <si>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</si>
  <si>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</si>
  <si>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</si>
  <si>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</si>
  <si>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</si>
  <si>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</si>
  <si>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</si>
  <si>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</si>
  <si>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</si>
  <si>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</si>
  <si>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</si>
  <si>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</si>
  <si>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</si>
  <si>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</si>
  <si>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</si>
  <si>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</si>
  <si>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</si>
  <si>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</si>
  <si>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</si>
  <si>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</si>
  <si>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</si>
  <si>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</si>
  <si>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</si>
  <si>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</si>
  <si>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</si>
  <si>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</si>
  <si>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</si>
  <si>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</si>
  <si>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</si>
  <si>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</si>
  <si>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</si>
  <si>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</si>
  <si>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</si>
  <si>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</si>
  <si>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</si>
  <si>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</si>
  <si>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</si>
  <si>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</si>
  <si>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</si>
  <si>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</si>
  <si>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</si>
  <si>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</si>
  <si>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</si>
  <si>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</si>
  <si>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</si>
  <si>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</si>
  <si>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</si>
  <si>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</si>
  <si>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</si>
  <si>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</si>
  <si>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</si>
  <si>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</si>
  <si>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</si>
  <si>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</si>
  <si>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</si>
  <si>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</si>
  <si>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</si>
  <si>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</si>
  <si>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</si>
  <si>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</si>
  <si>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</si>
  <si>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</si>
  <si>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</si>
  <si>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</si>
  <si>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</si>
  <si>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</si>
  <si>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</si>
  <si>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</si>
  <si>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</si>
  <si>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</si>
  <si>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</si>
  <si>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</si>
  <si>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</si>
  <si>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</si>
  <si>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</si>
  <si>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</si>
  <si>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</si>
  <si>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</si>
  <si>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</si>
  <si>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</si>
  <si>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</si>
  <si>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</si>
  <si>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</si>
  <si>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</si>
  <si>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</si>
  <si>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</si>
  <si>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</si>
  <si>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</si>
  <si>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</si>
  <si>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</si>
  <si>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</si>
  <si>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</si>
  <si>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</si>
  <si>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</si>
  <si>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</si>
  <si>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</si>
  <si>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</si>
  <si>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</si>
  <si>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</si>
  <si>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</si>
  <si>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</si>
  <si>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</si>
  <si>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</si>
  <si>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</si>
  <si>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</si>
  <si>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</si>
  <si>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</si>
  <si>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</si>
  <si>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</si>
  <si>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</si>
  <si>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</si>
  <si>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</si>
  <si>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</si>
  <si>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</si>
  <si>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</si>
  <si>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</si>
  <si>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</si>
  <si>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</si>
  <si>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</si>
  <si>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</si>
  <si>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</si>
  <si>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</si>
  <si>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</si>
  <si>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</si>
  <si>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</si>
  <si>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</si>
  <si>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</si>
  <si>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</si>
  <si>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</si>
  <si>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</si>
  <si>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</si>
  <si>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</si>
  <si>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</si>
  <si>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</si>
  <si>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</si>
  <si>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</si>
  <si>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</si>
  <si>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</si>
  <si>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</si>
  <si>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</si>
  <si>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</si>
  <si>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</si>
  <si>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</si>
  <si>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</si>
  <si>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</si>
  <si>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</si>
  <si>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</si>
  <si>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</si>
  <si>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</si>
  <si>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</si>
  <si>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</si>
  <si>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</si>
  <si>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</si>
  <si>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</si>
  <si>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</si>
  <si>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</si>
  <si>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</si>
  <si>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</si>
  <si>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</si>
  <si>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</si>
  <si>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</si>
  <si>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</si>
  <si>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</si>
  <si>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</si>
  <si>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</si>
  <si>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</si>
  <si>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</si>
  <si>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</si>
  <si>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</si>
  <si>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</si>
  <si>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</si>
  <si>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</si>
  <si>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</si>
  <si>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</si>
  <si>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</si>
  <si>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</si>
  <si>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</si>
  <si>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</si>
  <si>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</si>
  <si>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</si>
  <si>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</si>
  <si>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</si>
  <si>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</si>
  <si>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</si>
  <si>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</si>
  <si>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</si>
  <si>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</si>
  <si>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</si>
  <si>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</si>
  <si>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</si>
  <si>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</si>
  <si>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</si>
  <si>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</si>
  <si>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</si>
  <si>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</si>
  <si>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</si>
  <si>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</si>
  <si>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</si>
  <si>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</si>
  <si>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</si>
  <si>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</si>
  <si>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</si>
  <si>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</si>
  <si>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</si>
  <si>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</si>
  <si>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</si>
  <si>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</si>
  <si>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</si>
  <si>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</si>
  <si>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</si>
  <si>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</si>
  <si>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</si>
  <si>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</si>
  <si>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</si>
  <si>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</si>
  <si>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</si>
  <si>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</si>
  <si>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</si>
  <si>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</si>
  <si>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</si>
  <si>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</si>
  <si>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</si>
  <si>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</si>
  <si>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</si>
  <si>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</si>
  <si>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</si>
  <si>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</si>
  <si>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</si>
  <si>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</si>
  <si>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</si>
  <si>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</si>
  <si>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</si>
  <si>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</si>
  <si>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</si>
  <si>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</si>
  <si>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</si>
  <si>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</si>
  <si>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</si>
  <si>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</si>
  <si>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</si>
  <si>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</si>
  <si>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</si>
  <si>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</si>
  <si>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</si>
  <si>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</si>
  <si>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</si>
  <si>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</si>
  <si>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</si>
  <si>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</si>
  <si>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</si>
  <si>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</si>
  <si>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</si>
  <si>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</si>
  <si>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</si>
  <si>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</si>
  <si>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</si>
  <si>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</si>
  <si>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</si>
  <si>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</si>
  <si>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</si>
  <si>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</si>
  <si>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</si>
  <si>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</si>
  <si>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</si>
  <si>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</si>
  <si>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</si>
  <si>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</si>
  <si>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</si>
  <si>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</si>
  <si>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</si>
  <si>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</si>
  <si>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</si>
  <si>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</si>
  <si>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</si>
  <si>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</si>
  <si>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</si>
  <si>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</si>
  <si>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</si>
  <si>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</si>
  <si>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</si>
  <si>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</si>
  <si>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</si>
  <si>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</si>
  <si>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47090</t>
  </si>
  <si>
    <t>47107</t>
  </si>
  <si>
    <t>47531</t>
  </si>
  <si>
    <t>47586</t>
  </si>
  <si>
    <t>47698</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</si>
  <si>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</si>
  <si>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</si>
  <si>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</si>
  <si>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</si>
  <si>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</si>
  <si>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</si>
  <si>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</si>
  <si>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</si>
  <si>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</si>
  <si>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</si>
  <si>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</si>
  <si>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</si>
  <si>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</si>
  <si>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</si>
  <si>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</si>
  <si>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</si>
  <si>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</si>
  <si>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</si>
  <si>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</si>
  <si>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</si>
  <si>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</si>
  <si>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</si>
  <si>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</si>
  <si>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</si>
  <si>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</si>
  <si>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</si>
  <si>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</si>
  <si>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</si>
  <si>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</si>
  <si>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</si>
  <si>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</si>
  <si>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</si>
  <si>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</si>
  <si>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</si>
  <si>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</si>
  <si>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</si>
  <si>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</si>
  <si>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</si>
  <si>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</si>
  <si>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</si>
  <si>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</si>
  <si>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</si>
  <si>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</si>
  <si>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</si>
  <si>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</si>
  <si>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</si>
  <si>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</si>
  <si>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</si>
  <si>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</si>
  <si>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</si>
  <si>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</si>
  <si>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</si>
  <si>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</si>
  <si>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</si>
  <si>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</si>
  <si>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</si>
  <si>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</si>
  <si>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</si>
  <si>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</si>
  <si>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</si>
  <si>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</si>
  <si>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</si>
  <si>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</si>
  <si>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</si>
  <si>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</si>
  <si>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</si>
  <si>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</si>
  <si>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</si>
  <si>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</si>
  <si>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</si>
  <si>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</si>
  <si>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</si>
  <si>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</si>
  <si>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</si>
  <si>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</si>
  <si>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</si>
  <si>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</si>
  <si>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</si>
  <si>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</si>
  <si>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</si>
  <si>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</si>
  <si>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</si>
  <si>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</si>
  <si>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</si>
  <si>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</si>
  <si>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</si>
  <si>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</si>
  <si>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</si>
  <si>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</si>
  <si>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</si>
  <si>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217</t>
  </si>
  <si>
    <t>408</t>
  </si>
  <si>
    <t>304</t>
  </si>
  <si>
    <t>329</t>
  </si>
  <si>
    <t>01272</t>
  </si>
  <si>
    <t>01273</t>
  </si>
  <si>
    <t>01285</t>
  </si>
  <si>
    <t>01287</t>
  </si>
  <si>
    <t>01999</t>
  </si>
  <si>
    <t>01253</t>
  </si>
  <si>
    <t>01254</t>
  </si>
  <si>
    <t>01284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</si>
  <si>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</si>
  <si>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</si>
  <si>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</si>
  <si>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</si>
  <si>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</si>
  <si>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</si>
  <si>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</si>
  <si>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</si>
  <si>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</si>
  <si>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</si>
  <si>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</si>
  <si>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</si>
  <si>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</si>
  <si>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</si>
  <si>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</si>
  <si>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</si>
  <si>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</si>
  <si>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</si>
  <si>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</si>
  <si>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</si>
  <si>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</si>
  <si>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</si>
  <si>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</si>
  <si>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</si>
  <si>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</si>
  <si>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</si>
  <si>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</si>
  <si>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SPLS</t>
  </si>
  <si>
    <t>4861</t>
  </si>
  <si>
    <t>4863</t>
  </si>
  <si>
    <t>4861DE</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</si>
  <si>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</si>
  <si>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</si>
  <si>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</si>
  <si>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</si>
  <si>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</si>
  <si>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</si>
  <si>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</si>
  <si>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</si>
  <si>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</si>
  <si>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</si>
  <si>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</si>
  <si>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</si>
  <si>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</si>
  <si>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DOCKET UG-170929</t>
  </si>
  <si>
    <t>Twelve Months Ended December 31, 2018</t>
  </si>
  <si>
    <t>12 Months ended December 31, 2018</t>
  </si>
  <si>
    <t>2018 [1]</t>
  </si>
  <si>
    <t>Jan 1 2018</t>
  </si>
  <si>
    <t>2018 wage</t>
  </si>
  <si>
    <t>2019 Wage</t>
  </si>
  <si>
    <t xml:space="preserve">2019 Total </t>
  </si>
  <si>
    <t>2020 Wage</t>
  </si>
  <si>
    <t>EXHIBIT OF MARYALICE C. PETERS</t>
  </si>
  <si>
    <t>MCP WP-1.8</t>
  </si>
  <si>
    <t>MCP WP-1.9</t>
  </si>
  <si>
    <t>MCP WP-1.10</t>
  </si>
  <si>
    <t>MCP WP-1.0</t>
  </si>
  <si>
    <t>12 Months Ended December 31, 2018</t>
  </si>
  <si>
    <t>UG 19_____</t>
  </si>
  <si>
    <t>MCP WP-1.1</t>
  </si>
  <si>
    <t>MCP WP-1.7</t>
  </si>
  <si>
    <t>CY 2017 Allocation Factors to be used in CY 2018</t>
  </si>
  <si>
    <t>Provision for Rate Refund</t>
  </si>
  <si>
    <t>FP-101480 - UG-Work Asset Management</t>
  </si>
  <si>
    <t>FP-315865 - UG ThoughtSpot Implementation Project</t>
  </si>
  <si>
    <t>FP-316447 - UG PragmaField Implementation</t>
  </si>
  <si>
    <t>FP-317047 - UG Gas Scada Implement DR System</t>
  </si>
  <si>
    <t>FP-317050 - UG Gas SCADA Upgrade Autosol EFM</t>
  </si>
  <si>
    <t>FP-317103 - UG-PowerPlan Upgrade to 2018.X</t>
  </si>
  <si>
    <t>FP-317297 - UG PragmaFIELD/Dispatcher Licences</t>
  </si>
  <si>
    <t>FP-317322 Arlington Gate Upgrade; Williams Costs</t>
  </si>
  <si>
    <t>FP-317101 - UG-JDEdwards AS400 to Oracle DB</t>
  </si>
  <si>
    <t>FP-300233 - ARLINGTON 6" HP REINFORCEMENT</t>
  </si>
  <si>
    <t>FP-302594 - CRM KELSO PIPE REPLACEMENT</t>
  </si>
  <si>
    <t>FP-306987 - BURLINGTON REIN. @ PETERSON ROAD</t>
  </si>
  <si>
    <t>FP-316043 - MAOP; 8" HP; BELLINGHAM;1,800'</t>
  </si>
  <si>
    <t>FP-316045 - MAOP; 8" HP; KALAMA; 600'</t>
  </si>
  <si>
    <t>FP-101184 - GP TRAN.VEHICLE - OREGON</t>
  </si>
  <si>
    <t>PF-101187 - GP COMM EQUIP - OREGON</t>
  </si>
  <si>
    <t>FP-101255 - GP TOOLS - ONTARIO</t>
  </si>
  <si>
    <t>FP-101269 - GP OFFICE EQUIP - YAKIMA</t>
  </si>
  <si>
    <t>FP-101305 - GP OFFICE EQUIP - MT. VERNON</t>
  </si>
  <si>
    <t>FP-101307 - GP TOOLS - MT. VERNON</t>
  </si>
  <si>
    <t>FP-101326 - GP TOOLS _ BREMERTON</t>
  </si>
  <si>
    <t>FP-101416 - GP TOOLS - WALLAWALLA</t>
  </si>
  <si>
    <t>FP-101505 - ARLINGTON GATE UPGRADE</t>
  </si>
  <si>
    <t>FP-302596 - WALLULA GATE STATION; GTN</t>
  </si>
  <si>
    <t>FP-306967 - DISTRICT OFFICE ACCESS CONTROL SYS</t>
  </si>
  <si>
    <t>FP-306998 - NEW SOUTH WALLA WALLA GATE</t>
  </si>
  <si>
    <t>FP-308023 - ERT REPLACEMENT 2019</t>
  </si>
  <si>
    <t>FP-312009 - RP;REG STA R-25 BURBANK</t>
  </si>
  <si>
    <t>FP-316153 - MAOP; 4,6"; BELLINGHAM; 407'</t>
  </si>
  <si>
    <t>FP-316158 - RP; R-TBD(R-4) MONTESANO</t>
  </si>
  <si>
    <t>FP-316243 - RF; 4" PE; BEND; 1,200' ARCHIE BRIG</t>
  </si>
  <si>
    <t>FP-316299 -RP; R-154 (R-26) BREMERTON</t>
  </si>
  <si>
    <t>FP-316401 - RP; 2,4" BRIDGE XINGS, BAKER CITY</t>
  </si>
  <si>
    <t>FP-316407 - RF; 4" PE; BEND; 1,500' NW NEWPORT</t>
  </si>
  <si>
    <t>FP-316429 - RF; 6" HP; ABER; 12,500' BASICH BLV</t>
  </si>
  <si>
    <t>FP-316431 - RF; 6" PE; ABER; 1,200' OAK ST</t>
  </si>
  <si>
    <t>FP-316569 - C/M RPL; 12" STL HP, LONG/KELSO PH3</t>
  </si>
  <si>
    <t>FP-316573 - RPL; 4" HP, MADRAS PH2</t>
  </si>
  <si>
    <t>FP-316575 - RPL; 6" HP, BEND HP PH2</t>
  </si>
  <si>
    <t>FP-316586 - RP; R-TBD ARLINGTON GATE</t>
  </si>
  <si>
    <t>FP-316587 - RF; R-TBD; WALLULA GATE STATION</t>
  </si>
  <si>
    <t>FP-316670 - RF; 12" HP; KENN; WALLULA HP LINE</t>
  </si>
  <si>
    <t>FP-316822 - RP; O-11(O-4) LAWR; BELLINGHAM</t>
  </si>
  <si>
    <t>FP-316823 - RP; O-12 (O-5) DEMI; BELLINGHAM</t>
  </si>
  <si>
    <t>FP-316832 - Office Structures &amp; Equip-GO</t>
  </si>
  <si>
    <t>FP-316845 - O-9 Replacement South Hermiston Gat</t>
  </si>
  <si>
    <t>FP-316853 - Verizon 3G Modem Replacement</t>
  </si>
  <si>
    <t>FP-316865 - RP; 8" HP; CHIC; 30' V-08 &amp; HP MAIN</t>
  </si>
  <si>
    <t>FP-316915 - Pur replacment display devices</t>
  </si>
  <si>
    <t>FP-316939 - R-1 Burlington Outlet Piping</t>
  </si>
  <si>
    <t>FP-316940 - R-162 Burlington Replacement</t>
  </si>
  <si>
    <t>FP-316958 - FRL 400' 6" PWX MN, CRESENT HARBOR</t>
  </si>
  <si>
    <t>FP-316978 - RF; REG STA R-124, STEPTOE, KENN</t>
  </si>
  <si>
    <t>FP-317060 - FRL; 10" HP; BELL; 2000'</t>
  </si>
  <si>
    <t>FP-317120 - Purch Training Props for Sunnyside</t>
  </si>
  <si>
    <t>FP-317191 - Security System - Yakima facility</t>
  </si>
  <si>
    <t>FP-317290 - Building remodel for Bellingham Dis</t>
  </si>
  <si>
    <t>FP-317291 - Roof replacement/Parking lot - Bell</t>
  </si>
  <si>
    <t>FP-317307 - Repl MN/Bore @Purcell Blvd Bend</t>
  </si>
  <si>
    <t>FP-317219 - RP; 8" BRIDGE XING, WALLA WALLA</t>
  </si>
  <si>
    <t>FP-317332 - 1780' 4" PE &amp; Steel MN Burbank Simp</t>
  </si>
  <si>
    <t>Budgeted 2019</t>
  </si>
  <si>
    <t>MCP WP-1.2</t>
  </si>
  <si>
    <t>Ended 12/31/2018</t>
  </si>
  <si>
    <t xml:space="preserve">LOWER COLUMBIA CONTRACTORS    </t>
  </si>
  <si>
    <t xml:space="preserve">HERMISTON CHAMBER OF COMM     </t>
  </si>
  <si>
    <t xml:space="preserve">ECHO FFA CHAPTER              </t>
  </si>
  <si>
    <t xml:space="preserve">SPECIAL OLYMPICS OREGON       </t>
  </si>
  <si>
    <t xml:space="preserve">ROCKET BOOSTERS               </t>
  </si>
  <si>
    <t xml:space="preserve">PILOT ROCK LITTLE LEAGUE      </t>
  </si>
  <si>
    <t xml:space="preserve">M KINGERY 8-18                </t>
  </si>
  <si>
    <t xml:space="preserve">APCORR 0718                   </t>
  </si>
  <si>
    <t xml:space="preserve">August ad contract            </t>
  </si>
  <si>
    <t xml:space="preserve">ANNUAL ADVERTISING CONTRACT   </t>
  </si>
  <si>
    <t xml:space="preserve">acct. 300311214               </t>
  </si>
  <si>
    <t xml:space="preserve">Business sponsor              </t>
  </si>
  <si>
    <t xml:space="preserve">BREAKFAST OF CHAMPIONS        </t>
  </si>
  <si>
    <t xml:space="preserve">STANFIELD/ECHO FFA            </t>
  </si>
  <si>
    <t xml:space="preserve">PLEDGE                        </t>
  </si>
  <si>
    <t xml:space="preserve">DONATION                      </t>
  </si>
  <si>
    <t xml:space="preserve">BB BANNER                     </t>
  </si>
  <si>
    <t xml:space="preserve">Public Awareness Promotion    </t>
  </si>
  <si>
    <t>Tickets, production, &amp; sponsor</t>
  </si>
  <si>
    <t xml:space="preserve">TICKETS,PRODUCTION,SPONSORHIP </t>
  </si>
  <si>
    <t xml:space="preserve">AP Correction 0718            </t>
  </si>
  <si>
    <t xml:space="preserve">C MATHEWS 10-18               </t>
  </si>
  <si>
    <t xml:space="preserve">MCCLEARY BEAR FESTIVAL        </t>
  </si>
  <si>
    <t xml:space="preserve">UNITED WAY OF GRAYS HARBOR    </t>
  </si>
  <si>
    <t>NORTHWEST EVENT ORGANIZERS INC</t>
  </si>
  <si>
    <t xml:space="preserve">OTHELLO RODEO ASSOCIATION     </t>
  </si>
  <si>
    <t>CENTRAL OREGON BUILDERS ASSOCI</t>
  </si>
  <si>
    <t xml:space="preserve">MDUR 01-2018                  </t>
  </si>
  <si>
    <t xml:space="preserve">MDUR 02-2018                  </t>
  </si>
  <si>
    <t xml:space="preserve">MDUR 03-2018                  </t>
  </si>
  <si>
    <t xml:space="preserve">MDUR 04-2018                  </t>
  </si>
  <si>
    <t xml:space="preserve">MDUR 05-2018                  </t>
  </si>
  <si>
    <t xml:space="preserve">MDUR 06-2018                  </t>
  </si>
  <si>
    <t xml:space="preserve">MDUR 07-2018                  </t>
  </si>
  <si>
    <t xml:space="preserve">MDUR 08-2018                  </t>
  </si>
  <si>
    <t xml:space="preserve">MDUR 9-18                     </t>
  </si>
  <si>
    <t xml:space="preserve">MDUR 10-18                    </t>
  </si>
  <si>
    <t xml:space="preserve">MDUR 11-18                    </t>
  </si>
  <si>
    <t xml:space="preserve">MDUR 12-18                    </t>
  </si>
  <si>
    <t xml:space="preserve">BELLINGHAM WHATCOM C OF C     </t>
  </si>
  <si>
    <t xml:space="preserve">M COWLISHAW 7-18              </t>
  </si>
  <si>
    <t xml:space="preserve">Sponsorship-Vocational event  </t>
  </si>
  <si>
    <t xml:space="preserve">ANNUAL AD OCT                 </t>
  </si>
  <si>
    <t xml:space="preserve">EVENT SPONSOR                 </t>
  </si>
  <si>
    <t xml:space="preserve">SIGN RENEWAL 2018             </t>
  </si>
  <si>
    <t xml:space="preserve">COMMEMORATIVE PROGRAM AD      </t>
  </si>
  <si>
    <t xml:space="preserve">PARADE FLOAT SPONSOR          </t>
  </si>
  <si>
    <t xml:space="preserve">TEE IT UP FOR TOTS SPONSOR    </t>
  </si>
  <si>
    <t xml:space="preserve">OYSTERFEST AD                 </t>
  </si>
  <si>
    <t xml:space="preserve">Program Advertisement         </t>
  </si>
  <si>
    <t xml:space="preserve">Arena Sign Sponsor            </t>
  </si>
  <si>
    <t xml:space="preserve">full page ad 2019 COBA        </t>
  </si>
  <si>
    <t xml:space="preserve">acct. 20856                   </t>
  </si>
  <si>
    <t xml:space="preserve">ACCT #20856                   </t>
  </si>
  <si>
    <t xml:space="preserve">Acct 20856-Veterans Day ad    </t>
  </si>
  <si>
    <t xml:space="preserve">Monopoly game board space     </t>
  </si>
  <si>
    <t xml:space="preserve">O_Res_ProGas Marketing        </t>
  </si>
  <si>
    <t xml:space="preserve">2018 season sponsor final     </t>
  </si>
  <si>
    <t xml:space="preserve">MEMBER ID: 6540               </t>
  </si>
  <si>
    <t>MCP WP-1.12</t>
  </si>
  <si>
    <t>MCP WP-1.13</t>
  </si>
  <si>
    <t>MCP WP-1.14</t>
  </si>
  <si>
    <t>Investment from MCP-6</t>
  </si>
  <si>
    <t>Ln 6 * .21</t>
  </si>
  <si>
    <t>(Ln 8 - Ln 6) * .21</t>
  </si>
  <si>
    <t>MCP WP-1.15</t>
  </si>
  <si>
    <t>MCP WP-1.17</t>
  </si>
  <si>
    <t>MCP WP-1.19</t>
  </si>
  <si>
    <t xml:space="preserve">Actual taxes to be paid in 2018  </t>
  </si>
  <si>
    <t>2018 Property Tax Rate [1]</t>
  </si>
  <si>
    <t>Apr 1 2018</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</si>
  <si>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</si>
  <si>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</si>
  <si>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</si>
  <si>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</si>
  <si>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</si>
  <si>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</si>
  <si>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</si>
  <si>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</si>
  <si>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</si>
  <si>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</si>
  <si>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</si>
  <si>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</si>
  <si>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</si>
  <si>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</si>
  <si>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</si>
  <si>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</si>
  <si>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</si>
  <si>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</si>
  <si>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</si>
  <si>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</si>
  <si>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</si>
  <si>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</si>
  <si>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</si>
  <si>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</si>
  <si>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</si>
  <si>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</si>
  <si>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2017</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</si>
  <si>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</si>
  <si>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</si>
  <si>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</si>
  <si>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</si>
  <si>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</si>
  <si>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</si>
  <si>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</si>
  <si>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</si>
  <si>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</si>
  <si>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</si>
  <si>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</si>
  <si>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</si>
  <si>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</si>
  <si>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</si>
  <si>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</si>
  <si>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</si>
  <si>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</si>
  <si>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</si>
  <si>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</si>
  <si>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</si>
  <si>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</si>
  <si>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</si>
  <si>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</si>
  <si>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</si>
  <si>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</si>
  <si>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</si>
  <si>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</si>
  <si>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</si>
  <si>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00101</t>
  </si>
  <si>
    <t>4760600 Human Resources</t>
  </si>
  <si>
    <t>4760800 Customer Service</t>
  </si>
  <si>
    <t>4760900 Business Development</t>
  </si>
  <si>
    <t>4763400 Enterprised GIS</t>
  </si>
  <si>
    <t>4766100 Fleet</t>
  </si>
  <si>
    <t>4767500 Compliance Systems &amp; Telecom</t>
  </si>
  <si>
    <t>4769000 Power Prod (environmental)</t>
  </si>
  <si>
    <t>4769100 Business Development</t>
  </si>
  <si>
    <t>4769200 EVP, Reg, Cust Srv, Gas Supply</t>
  </si>
  <si>
    <t>4769300 Gas Supply</t>
  </si>
  <si>
    <t>4769400 Utility Group Controller</t>
  </si>
  <si>
    <t>4769600 Executive cross charge</t>
  </si>
  <si>
    <t>5110: O&amp;M Straight time allocated to CNG by Business Unit for 2018</t>
  </si>
  <si>
    <t>Dec-2017 Plant</t>
  </si>
  <si>
    <t>Dec-2017 Reserve</t>
  </si>
  <si>
    <t>Jan-2018 Plant</t>
  </si>
  <si>
    <t>Jan-2018 Reserve</t>
  </si>
  <si>
    <t>Feb-2018 Plant</t>
  </si>
  <si>
    <t>Feb-2018 Reserve</t>
  </si>
  <si>
    <t>Mar-2018 Plant</t>
  </si>
  <si>
    <t>Mar-2018 Reserve</t>
  </si>
  <si>
    <t>Apr-2018 Plant</t>
  </si>
  <si>
    <t>Apr-2018 Reserve</t>
  </si>
  <si>
    <t>May-2018 Plant</t>
  </si>
  <si>
    <t>May-2018 Reserve</t>
  </si>
  <si>
    <t>Jun-2018 Plant</t>
  </si>
  <si>
    <t>Jun-2018 Reserve</t>
  </si>
  <si>
    <t>Jul-2018 Plant</t>
  </si>
  <si>
    <t>Jul-2018 Reserve</t>
  </si>
  <si>
    <t>Aug-2018 Plant</t>
  </si>
  <si>
    <t>Aug-2018 Reserve</t>
  </si>
  <si>
    <t>Sept-2018 Plant</t>
  </si>
  <si>
    <t>Sept-2018 Reserve</t>
  </si>
  <si>
    <t>Oct-2018 Plant</t>
  </si>
  <si>
    <t>Oct-2018 Reserve</t>
  </si>
  <si>
    <t>Nov-2018 Plant</t>
  </si>
  <si>
    <t>Nov-2018 Reserve</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</si>
  <si>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</si>
  <si>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</si>
  <si>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</si>
  <si>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</si>
  <si>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</si>
  <si>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</si>
  <si>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</si>
  <si>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</si>
  <si>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</si>
  <si>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</si>
  <si>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</si>
  <si>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</si>
  <si>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</si>
  <si>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</si>
  <si>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</si>
  <si>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</si>
  <si>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</si>
  <si>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</si>
  <si>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</si>
  <si>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</si>
  <si>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</si>
  <si>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</si>
  <si>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MCP WP-1.18</t>
  </si>
  <si>
    <t>Balance included in UG-170929</t>
  </si>
  <si>
    <t>2018 Actual Deferral</t>
  </si>
  <si>
    <t>Total  Deferral to be amort</t>
  </si>
  <si>
    <t>2018 Actual Amortization - 5 months</t>
  </si>
  <si>
    <t>End of Year</t>
  </si>
  <si>
    <t>R-5</t>
  </si>
  <si>
    <t>R-6</t>
  </si>
  <si>
    <t xml:space="preserve">2019 Adjustment </t>
  </si>
  <si>
    <t xml:space="preserve">Restate </t>
  </si>
  <si>
    <t>Maryalice C. Peters</t>
  </si>
  <si>
    <t>State Grossup</t>
  </si>
  <si>
    <t>State FAS 109 adj</t>
  </si>
  <si>
    <t>State Non-current Non-Utility deferred Tax</t>
  </si>
  <si>
    <t>State Non-current deferred Tax</t>
  </si>
  <si>
    <t>State Current Deferred Tax</t>
  </si>
  <si>
    <t>Federal Grossup</t>
  </si>
  <si>
    <t>Federal FAS 109 adj</t>
  </si>
  <si>
    <t>Federal Non-current Non-Utility deferred Tax</t>
  </si>
  <si>
    <t>Federal Non-current deferred Tax</t>
  </si>
  <si>
    <t>Federal Current Deferred Tax</t>
  </si>
  <si>
    <t>864</t>
  </si>
  <si>
    <t>964</t>
  </si>
  <si>
    <t>T/B Total-1900</t>
  </si>
  <si>
    <t>3/29/2019</t>
  </si>
  <si>
    <t>December 2017</t>
  </si>
  <si>
    <t>January 2018</t>
  </si>
  <si>
    <t>February 2018</t>
  </si>
  <si>
    <t>March 2018</t>
  </si>
  <si>
    <t>April 2018</t>
  </si>
  <si>
    <t>May 2018</t>
  </si>
  <si>
    <t>June 2018</t>
  </si>
  <si>
    <t>July 2018</t>
  </si>
  <si>
    <t>August 2018</t>
  </si>
  <si>
    <t>September 2018</t>
  </si>
  <si>
    <t>October 2018</t>
  </si>
  <si>
    <t>November 2018</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</si>
  <si>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</si>
  <si>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</si>
  <si>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</si>
  <si>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</si>
  <si>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</si>
  <si>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</si>
  <si>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</si>
  <si>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</si>
  <si>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</si>
  <si>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</si>
  <si>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</si>
  <si>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</si>
  <si>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</si>
  <si>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</si>
  <si>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</si>
  <si>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</si>
  <si>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</si>
  <si>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</si>
  <si>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</si>
  <si>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</si>
  <si>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</si>
  <si>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</si>
  <si>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</si>
  <si>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</si>
  <si>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</si>
  <si>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</si>
  <si>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</si>
  <si>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</si>
  <si>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</si>
  <si>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</si>
  <si>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</si>
  <si>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</si>
  <si>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</si>
  <si>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47or</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</si>
  <si>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</si>
  <si>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</si>
  <si>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</si>
  <si>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</si>
  <si>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</si>
  <si>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</si>
  <si>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</si>
  <si>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</si>
  <si>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</si>
  <si>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</si>
  <si>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</si>
  <si>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</si>
  <si>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</si>
  <si>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</si>
  <si>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</si>
  <si>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</si>
  <si>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</si>
  <si>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</si>
  <si>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</si>
  <si>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</si>
  <si>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</si>
  <si>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Estimated In-Service Date</t>
  </si>
  <si>
    <t>302-G-Franchises</t>
  </si>
  <si>
    <t>303-G-Misc. Intangible Plant</t>
  </si>
  <si>
    <t>365-G-Land and Land Rights</t>
  </si>
  <si>
    <t>365-G-Rights-of-Way</t>
  </si>
  <si>
    <t>367-G-Mains</t>
  </si>
  <si>
    <t>369-G-Measuring/Regulating Equipmen</t>
  </si>
  <si>
    <t>374-G-Land and Land Rights</t>
  </si>
  <si>
    <t>374-G-Land</t>
  </si>
  <si>
    <t>375-G-Lease Hold Improvements</t>
  </si>
  <si>
    <t>375-G-Structures &amp; Improvements</t>
  </si>
  <si>
    <t>376-G-Mains-High Pressure Steel</t>
  </si>
  <si>
    <t>376-G-Mains-Plastic</t>
  </si>
  <si>
    <t>376-G-Mains-Steel</t>
  </si>
  <si>
    <t>378-G-Measure/Regulation Distributi</t>
  </si>
  <si>
    <t>380-G-Services-Plastc</t>
  </si>
  <si>
    <t>380-G-Services-Steel</t>
  </si>
  <si>
    <t>381-G-ERT Units</t>
  </si>
  <si>
    <t>381-G-Meters</t>
  </si>
  <si>
    <t>382-G-Meter Set Installation</t>
  </si>
  <si>
    <t>383-G-Service Regulators</t>
  </si>
  <si>
    <t>385-G-Industrial Meas. &amp; Reg Stn Eq</t>
  </si>
  <si>
    <t>386-G-CNG Refueling Stations</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</si>
  <si>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</si>
  <si>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</si>
  <si>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</si>
  <si>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</si>
  <si>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</si>
  <si>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</si>
  <si>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</si>
  <si>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</si>
  <si>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</si>
  <si>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</si>
  <si>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</si>
  <si>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</si>
  <si>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</si>
  <si>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</si>
  <si>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</si>
  <si>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2018 Assessment (Final)</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</si>
  <si>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</si>
  <si>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</si>
  <si>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</si>
  <si>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</si>
  <si>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</si>
  <si>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</si>
  <si>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</si>
  <si>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</si>
  <si>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</si>
  <si>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</si>
  <si>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</si>
  <si>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</si>
  <si>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</si>
  <si>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</si>
  <si>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</si>
  <si>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</si>
  <si>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</si>
  <si>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</si>
  <si>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</si>
  <si>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</si>
  <si>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</si>
  <si>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</si>
  <si>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</si>
  <si>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</si>
  <si>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</si>
  <si>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</si>
  <si>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</si>
  <si>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</si>
  <si>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</si>
  <si>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</si>
  <si>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</si>
  <si>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</si>
  <si>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</si>
  <si>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</si>
  <si>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</si>
  <si>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</si>
  <si>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</si>
  <si>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</si>
  <si>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</si>
  <si>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</si>
  <si>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</si>
  <si>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</si>
  <si>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</si>
  <si>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</si>
  <si>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</si>
  <si>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</si>
  <si>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</si>
  <si>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</si>
  <si>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</si>
  <si>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</si>
  <si>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</si>
  <si>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</si>
  <si>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</si>
  <si>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</si>
  <si>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Insurance  </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</si>
  <si>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</si>
  <si>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</si>
  <si>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</si>
  <si>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</si>
  <si>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</si>
  <si>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</si>
  <si>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</si>
  <si>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</si>
  <si>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</si>
  <si>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</si>
  <si>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</si>
  <si>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</si>
  <si>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</si>
  <si>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</si>
  <si>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</si>
  <si>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</si>
  <si>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</si>
  <si>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</si>
  <si>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</si>
  <si>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</si>
  <si>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</si>
  <si>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</si>
  <si>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</si>
  <si>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</si>
  <si>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</si>
  <si>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</si>
  <si>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</si>
  <si>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</si>
  <si>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</si>
  <si>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</si>
  <si>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</si>
  <si>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</si>
  <si>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</si>
  <si>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</si>
  <si>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</si>
  <si>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</si>
  <si>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</si>
  <si>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</si>
  <si>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</si>
  <si>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</si>
  <si>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</si>
  <si>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</si>
  <si>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</si>
  <si>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</si>
  <si>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</si>
  <si>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</si>
  <si>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</si>
  <si>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</si>
  <si>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</si>
  <si>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</si>
  <si>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</si>
  <si>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</si>
  <si>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</si>
  <si>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</si>
  <si>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</si>
  <si>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</si>
  <si>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</si>
  <si>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</si>
  <si>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</si>
  <si>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</si>
  <si>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</si>
  <si>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</si>
  <si>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</si>
  <si>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</si>
  <si>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</si>
  <si>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</si>
  <si>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</si>
  <si>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</si>
  <si>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</si>
  <si>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</si>
  <si>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</si>
  <si>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</si>
  <si>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</si>
  <si>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Misc Def Dr - Decoupling Deferral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</si>
  <si>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</si>
  <si>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</si>
  <si>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</si>
  <si>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</si>
  <si>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</si>
  <si>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</si>
  <si>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</si>
  <si>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</si>
  <si>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</si>
  <si>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</si>
  <si>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</si>
  <si>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</si>
  <si>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</si>
  <si>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</si>
  <si>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</si>
  <si>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</si>
  <si>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</si>
  <si>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</si>
  <si>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</si>
  <si>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</si>
  <si>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</si>
  <si>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</si>
  <si>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</si>
  <si>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</si>
  <si>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</si>
  <si>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</si>
  <si>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</si>
  <si>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</si>
  <si>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</si>
  <si>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</si>
  <si>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</si>
  <si>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</si>
  <si>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</si>
  <si>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</si>
  <si>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</si>
  <si>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</si>
  <si>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</si>
  <si>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</si>
  <si>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</si>
  <si>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</si>
  <si>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</si>
  <si>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</si>
  <si>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</si>
  <si>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</si>
  <si>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</si>
  <si>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</si>
  <si>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</si>
  <si>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</si>
  <si>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</si>
  <si>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</si>
  <si>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</si>
  <si>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</si>
  <si>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</si>
  <si>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</si>
  <si>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</si>
  <si>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</si>
  <si>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</si>
  <si>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</si>
  <si>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</si>
  <si>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</si>
  <si>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</si>
  <si>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</si>
  <si>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</si>
  <si>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</si>
  <si>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</si>
  <si>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</si>
  <si>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</si>
  <si>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</si>
  <si>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</si>
  <si>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</si>
  <si>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</si>
  <si>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</si>
  <si>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</si>
  <si>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</si>
  <si>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</si>
  <si>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</si>
  <si>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</si>
  <si>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</si>
  <si>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</si>
  <si>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</si>
  <si>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</si>
  <si>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</si>
  <si>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</si>
  <si>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</si>
  <si>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</si>
  <si>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</si>
  <si>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</si>
  <si>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</si>
  <si>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</si>
  <si>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</si>
  <si>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</si>
  <si>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</si>
  <si>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</si>
  <si>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</si>
  <si>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</si>
  <si>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</si>
  <si>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</si>
  <si>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</si>
  <si>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</si>
  <si>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</si>
  <si>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</si>
  <si>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</si>
  <si>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</si>
  <si>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</si>
  <si>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</si>
  <si>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</si>
  <si>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</si>
  <si>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</si>
  <si>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</si>
  <si>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</si>
  <si>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</si>
  <si>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</si>
  <si>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</si>
  <si>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</si>
  <si>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</si>
  <si>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</si>
  <si>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</si>
  <si>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</si>
  <si>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</si>
  <si>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</si>
  <si>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</si>
  <si>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</si>
  <si>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</si>
  <si>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</si>
  <si>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</si>
  <si>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</si>
  <si>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</si>
  <si>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</si>
  <si>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MDUR Interco NC Payable - FAS158</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</si>
  <si>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</si>
  <si>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</si>
  <si>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</si>
  <si>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</si>
  <si>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</si>
  <si>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</si>
  <si>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</si>
  <si>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</si>
  <si>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</si>
  <si>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</si>
  <si>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</si>
  <si>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</si>
  <si>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</si>
  <si>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</si>
  <si>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</si>
  <si>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</si>
  <si>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</si>
  <si>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</si>
  <si>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</si>
  <si>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</si>
  <si>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</si>
  <si>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</si>
  <si>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</si>
  <si>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</si>
  <si>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</si>
  <si>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</si>
  <si>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</si>
  <si>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</si>
  <si>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</si>
  <si>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</si>
  <si>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</si>
  <si>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</si>
  <si>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</si>
  <si>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</si>
  <si>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</si>
  <si>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</si>
  <si>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</si>
  <si>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</si>
  <si>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</si>
  <si>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</si>
  <si>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</si>
  <si>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</si>
  <si>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</si>
  <si>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</si>
  <si>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</si>
  <si>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</si>
  <si>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</si>
  <si>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</si>
  <si>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</si>
  <si>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</si>
  <si>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</si>
  <si>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</si>
  <si>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</si>
  <si>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</si>
  <si>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</si>
  <si>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</si>
  <si>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</si>
  <si>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</si>
  <si>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</si>
  <si>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</si>
  <si>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</si>
  <si>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</si>
  <si>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</si>
  <si>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</si>
  <si>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</si>
  <si>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</si>
  <si>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</si>
  <si>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</si>
  <si>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</si>
  <si>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</si>
  <si>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Allow Borrowed Funds Used During Construction</t>
  </si>
  <si>
    <t>Interest and Dividend Income - CIAC Tax grossup</t>
  </si>
  <si>
    <t>Interest and Dividend Income - PGA related</t>
  </si>
  <si>
    <t>Funding Project #</t>
  </si>
  <si>
    <t>The natural gas system for the cities of Yakima and Union Gap have developed pressure concerns and
are unable to maintain minimum delivery levels under normal operating conditions. This past winter the
Yakima system had to go on bypass to help maintain operating pressures but major concerns still remain
in regard to pressures and flows feeding regulators and at the end of the IP system.</t>
  </si>
  <si>
    <t>The City of Aberdeen has large areas with low pressure issues. Aberdeen’s primary high pressure feed starts at the McCleary Gate Station and extends to the west for approximately 40 miles as it feeds numerous towns before reaching the end in Aberdeen. The gas system displaces great pressure throughout this long stretch of pipe, and the high large volume customer demand in Aberdeen is adding on to the loss in pressure. To strengthen the gas system there are two reinforcement phases that need to take place. This proposal is focused on the last phase which contains a reinforcement of approximately 14,900-ft. of 6-in. high pressure steel pipe.</t>
  </si>
  <si>
    <t>Gate upgrade allows for additional capacity. The current gate is near capacity. Gate piping is unvalidated.
Cascade will take over regulation, heat and install new odorizer.</t>
  </si>
  <si>
    <t>Cascade taking over regulation from Williams at the Arlington gate statio due to overexceeding contractial capacity.  This FP will oversee from Williams side.</t>
  </si>
  <si>
    <t>New HP line from new Wallula gate to backfeed Attalia line.</t>
  </si>
  <si>
    <t>City of Bellingham is redoing a bridge crossing and we need to relocate our 10" HP going across.  Taking place in 2019 in Bellingham, WA off Ellis St. and State St.  Requires a pipe installation of approx. 2100’ of 10" HP.</t>
  </si>
  <si>
    <t>Construct new Longview district office building.</t>
  </si>
  <si>
    <t>EOP</t>
  </si>
  <si>
    <t>EOP Total</t>
  </si>
  <si>
    <t xml:space="preserve"> Proposed Plant Additions</t>
  </si>
  <si>
    <t xml:space="preserve">Function            </t>
  </si>
  <si>
    <t xml:space="preserve">Funding Project - Description      </t>
  </si>
  <si>
    <t xml:space="preserve">Account No. </t>
  </si>
  <si>
    <t xml:space="preserve">2019 Total - Figures exported from "Power Plan" the company's budget and plant accounting software  </t>
  </si>
  <si>
    <t xml:space="preserve">WA                     </t>
  </si>
  <si>
    <t>(A)</t>
  </si>
  <si>
    <t>(B)</t>
  </si>
  <si>
    <t>(C)</t>
  </si>
  <si>
    <t>(D)</t>
  </si>
  <si>
    <t>( E )</t>
  </si>
  <si>
    <t>(F)=(D)*( E )</t>
  </si>
  <si>
    <t>(G)</t>
  </si>
  <si>
    <t>(H)</t>
  </si>
  <si>
    <t>(I)</t>
  </si>
  <si>
    <t>Blanket work order.  This project is routine in nature and typically have offsetting benefits.   The Blanket Funding project are for forced relocates.  A forced relocate is where the city or municipality requires Cascade to move facilities under the franchise agreement.</t>
  </si>
  <si>
    <t>Exhibit No. __ (MCP-6)</t>
  </si>
  <si>
    <t>2019 Plant Additions</t>
  </si>
  <si>
    <t>Witness: Maryalice C. Peters</t>
  </si>
  <si>
    <t>Exhibit No. __ (MCP-5)</t>
  </si>
  <si>
    <t>Exhibit No. __ (MCP-4)</t>
  </si>
  <si>
    <t>Exhibit No. __ (MCP-3)</t>
  </si>
  <si>
    <t>Exhibit No. __ (MCP-2)</t>
  </si>
  <si>
    <t xml:space="preserve">Total </t>
  </si>
  <si>
    <t>High pressure pipeline #1 in the Kennewick District, referred to as the Attalia pipeline, is an 8-inch
pipeline that was installed in 1958. The pipeline begins at the gate station north of Pasco, WA and ends at
the Boise Cascade facility along Highway 12 north of the Wallula Junction, covering approximately 17
miles and serving east Pasco and Burbank. It provides service to Boise Cascade, Tyson Foods, Con Agra
Foods/Lamb Weston, Oregon Potato, Western States Asphalt, and other industrial customers.</t>
  </si>
  <si>
    <t xml:space="preserve">Two-year Measurement project to replace 40G outdated automatic meter reader known as encoder receiver transmitter (ERT).  Replacing 40G model with modern style 100G ERT. Approximately 238,000 ERTs to be replaced throughout project timeline.  </t>
  </si>
  <si>
    <t>Difference</t>
  </si>
  <si>
    <t>Total Revenue Ajustment</t>
  </si>
  <si>
    <t>Annulize</t>
  </si>
  <si>
    <t>Total CRM Proposed Rev</t>
  </si>
  <si>
    <t>Less booked CRM</t>
  </si>
  <si>
    <t>Total CRM Adjustment</t>
  </si>
  <si>
    <t>Annualize CRM Adjustment</t>
  </si>
  <si>
    <t>IDM-2. Column (P), Line 743</t>
  </si>
  <si>
    <t>IDM-2. Column (P), Line 744</t>
  </si>
  <si>
    <t>IDM-2. Column (P), Line 745</t>
  </si>
  <si>
    <t>Exhibit IDM-2, Column (M), Line 745</t>
  </si>
  <si>
    <t>End of Period Revenue Adjustment</t>
  </si>
  <si>
    <t xml:space="preserve">Restate     </t>
  </si>
  <si>
    <t xml:space="preserve">P </t>
  </si>
  <si>
    <t>(EOP) Adj.</t>
  </si>
  <si>
    <t>End of Period</t>
  </si>
  <si>
    <t>Restate Revenues Adjustment</t>
  </si>
  <si>
    <t>Restate &amp; Pro Forma Wage Adjustment</t>
  </si>
  <si>
    <t>Working Capital (EOP)</t>
  </si>
  <si>
    <t>Working Capital (AMA)</t>
  </si>
  <si>
    <t>Working Capital (EOP Nov)</t>
  </si>
  <si>
    <t>End of Period Depreciation Expense Adjustment</t>
  </si>
  <si>
    <t>FP-316034 - CRM; 4" HP; OTHELLO; 9,801'</t>
  </si>
  <si>
    <t>FP-316046 - CRM; 8" HP; YAKIMA; 3,727'</t>
  </si>
  <si>
    <t xml:space="preserve"> C</t>
  </si>
  <si>
    <t>FP-316579 - CRM; 2,6,8" HP; ANACORTES; PH2</t>
  </si>
  <si>
    <t>FP-316923 - CRM RPL 8" MARCH POINT PH 2</t>
  </si>
  <si>
    <t>For the Twelve Months Ended December 31, 2018</t>
  </si>
  <si>
    <t>UG 19____</t>
  </si>
  <si>
    <t xml:space="preserve">Restate Revenues Adjustment </t>
  </si>
  <si>
    <t>Less Total Booked Margin</t>
  </si>
  <si>
    <t>Adjusted current margin revenues using weather normalized volumes at current margin rates</t>
  </si>
  <si>
    <t>Less Total Cap Adjustments</t>
  </si>
  <si>
    <t xml:space="preserve"> Exh. IDM-2, column (J), Line 748</t>
  </si>
  <si>
    <t>Exh. IDM-2, column (D), Line 745</t>
  </si>
  <si>
    <t xml:space="preserve"> Exh. IDM-2, column (J), Line 745</t>
  </si>
  <si>
    <t>Plus Unbilled Margins Booked</t>
  </si>
  <si>
    <t xml:space="preserve"> Exh. IDM-2, column (J), Line 749</t>
  </si>
  <si>
    <t>Line #:</t>
  </si>
  <si>
    <t>25-34</t>
  </si>
  <si>
    <t>39 - 40</t>
  </si>
  <si>
    <t>51-70</t>
  </si>
  <si>
    <t>71-90</t>
  </si>
  <si>
    <t>91-106</t>
  </si>
  <si>
    <t>44-46</t>
  </si>
  <si>
    <t>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</si>
</sst>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_);\(#,##0.000000000\)"/>
    <numFmt numFmtId="193" formatCode="#,##0.0000000000_);[Red]\(#,##0.0000000000\)"/>
    <numFmt numFmtId="194" formatCode="0.00000%"/>
    <numFmt numFmtId="195" formatCode="[$-F800]dddd\,\ mmmm\ dd\,\ yyyy"/>
    <numFmt numFmtId="196" formatCode="#,##0.0000_);\(#,##0.0000\)"/>
    <numFmt numFmtId="197" formatCode="mmm\-yy_)"/>
    <numFmt numFmtId="198" formatCode="0_)"/>
    <numFmt numFmtId="199" formatCode="#,##0.000000_);\(#,##0.000000\)"/>
    <numFmt numFmtId="200" formatCode="#,##0.0000000"/>
    <numFmt numFmtId="201" formatCode="[$-409]m/d/yy\ h:mm\ AM/PM;@"/>
    <numFmt numFmtId="202" formatCode="0_);\(0\)"/>
    <numFmt numFmtId="203" formatCode="mmmm\ dd\,\ yyyy"/>
    <numFmt numFmtId="204" formatCode="#,##0.0"/>
  </numFmts>
  <fonts count="1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b/>
      <sz val="10"/>
      <color rgb="FFFF0000"/>
      <name val="Arial"/>
      <family val="2"/>
    </font>
    <font>
      <sz val="11"/>
      <name val="Calibri"/>
      <family val="2"/>
      <scheme val="minor"/>
    </font>
    <font>
      <sz val="10"/>
      <color theme="1"/>
      <name val="Arial Narrow"/>
      <family val="2"/>
    </font>
  </fonts>
  <fills count="10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34998626667073579"/>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s>
  <cellStyleXfs count="30160">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4"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8" fillId="0" borderId="0" applyFill="0" applyBorder="0" applyProtection="0">
      <alignment horizontal="right"/>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18" fillId="0" borderId="0" applyFill="0" applyBorder="0" applyProtection="0">
      <alignment horizontal="right"/>
    </xf>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8" fillId="0" borderId="0" applyFill="0" applyBorder="0" applyProtection="0">
      <alignment horizontal="right"/>
    </xf>
    <xf numFmtId="0" fontId="18" fillId="0" borderId="140" applyNumberFormat="0" applyFill="0" applyAlignment="0" applyProtection="0"/>
    <xf numFmtId="0" fontId="18" fillId="0" borderId="140"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vertical="center"/>
    </xf>
    <xf numFmtId="4" fontId="27" fillId="38" borderId="143" applyNumberFormat="0" applyProtection="0">
      <alignment vertical="center"/>
    </xf>
    <xf numFmtId="4" fontId="27" fillId="38" borderId="143" applyNumberFormat="0" applyProtection="0">
      <alignment vertical="center"/>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4" fontId="27" fillId="34" borderId="143" applyNumberFormat="0" applyProtection="0"/>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59" borderId="145"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59" borderId="143" applyNumberFormat="0" applyProtection="0">
      <alignment horizontal="left" vertical="center" indent="1"/>
    </xf>
    <xf numFmtId="4" fontId="47" fillId="59" borderId="143" applyNumberFormat="0" applyProtection="0">
      <alignment horizontal="left" vertical="center" indent="1"/>
    </xf>
    <xf numFmtId="4" fontId="47" fillId="59"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51" borderId="143" applyNumberFormat="0" applyProtection="0">
      <alignment horizontal="left" vertical="center" indent="1"/>
    </xf>
    <xf numFmtId="4" fontId="47" fillId="51" borderId="143" applyNumberFormat="0" applyProtection="0">
      <alignment horizontal="left" vertical="center" indent="1"/>
    </xf>
    <xf numFmtId="4" fontId="47" fillId="51" borderId="143" applyNumberFormat="0" applyProtection="0">
      <alignment horizontal="left" vertical="center" indent="1"/>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center" vertical="top"/>
    </xf>
    <xf numFmtId="0" fontId="47" fillId="34" borderId="143" applyNumberFormat="0" applyProtection="0">
      <alignment horizontal="center" vertical="top"/>
    </xf>
    <xf numFmtId="0" fontId="47" fillId="34" borderId="143" applyNumberFormat="0" applyProtection="0">
      <alignment horizontal="center"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176" fontId="18" fillId="0" borderId="146">
      <alignment horizontal="justify" vertical="top" wrapText="1"/>
    </xf>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35" fillId="0" borderId="148"/>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3" fillId="0" borderId="0"/>
    <xf numFmtId="43" fontId="143" fillId="0" borderId="0" applyFont="0" applyFill="0" applyBorder="0" applyAlignment="0" applyProtection="0"/>
  </cellStyleXfs>
  <cellXfs count="945">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2" fillId="0" borderId="0" xfId="0" applyFont="1" applyAlignment="1">
      <alignment vertical="top" wrapText="1"/>
    </xf>
    <xf numFmtId="0" fontId="122" fillId="92" borderId="0" xfId="0" applyFont="1" applyFill="1" applyAlignment="1">
      <alignment vertical="center"/>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5"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38" fontId="32" fillId="33" borderId="84" xfId="3" applyNumberFormat="1" applyFont="1" applyFill="1" applyBorder="1">
      <alignment horizontal="right"/>
    </xf>
    <xf numFmtId="38" fontId="32" fillId="33" borderId="79" xfId="3" applyNumberFormat="1" applyFont="1" applyFill="1" applyBorder="1">
      <alignment horizontal="right"/>
    </xf>
    <xf numFmtId="38" fontId="32" fillId="33" borderId="0" xfId="3" applyNumberFormat="1" applyFont="1" applyFill="1" applyBorder="1">
      <alignment horizontal="right"/>
    </xf>
    <xf numFmtId="38" fontId="32" fillId="33" borderId="83" xfId="3" applyNumberFormat="1" applyFont="1" applyFill="1" applyBorder="1">
      <alignment horizontal="right"/>
    </xf>
    <xf numFmtId="0" fontId="122" fillId="0" borderId="0" xfId="0" applyFont="1" applyFill="1" applyBorder="1"/>
    <xf numFmtId="38" fontId="32" fillId="33" borderId="11" xfId="3" applyNumberFormat="1" applyFont="1" applyFill="1" applyBorder="1">
      <alignment horizontal="right"/>
    </xf>
    <xf numFmtId="38" fontId="32" fillId="0" borderId="11" xfId="2" applyNumberFormat="1" applyFont="1" applyBorder="1"/>
    <xf numFmtId="38" fontId="32" fillId="33" borderId="18" xfId="3" applyNumberFormat="1" applyFont="1" applyFill="1" applyBorder="1">
      <alignment horizontal="right"/>
    </xf>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89" fontId="122" fillId="0" borderId="0" xfId="0" applyNumberFormat="1" applyFont="1"/>
    <xf numFmtId="189" fontId="122" fillId="0" borderId="55" xfId="0" applyNumberFormat="1" applyFont="1" applyBorder="1"/>
    <xf numFmtId="185" fontId="122" fillId="0" borderId="55" xfId="0" applyNumberFormat="1" applyFont="1" applyBorder="1"/>
    <xf numFmtId="189" fontId="124" fillId="0" borderId="79" xfId="0" applyNumberFormat="1" applyFont="1" applyBorder="1"/>
    <xf numFmtId="168" fontId="124"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0" fontId="127" fillId="0" borderId="0" xfId="0" applyFont="1" applyBorder="1"/>
    <xf numFmtId="0" fontId="128" fillId="0" borderId="0" xfId="0" applyFont="1" applyBorder="1" applyAlignment="1">
      <alignment vertical="center"/>
    </xf>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55" xfId="25455" applyFont="1" applyBorder="1"/>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Border="1">
      <alignment horizontal="right"/>
    </xf>
    <xf numFmtId="5" fontId="121" fillId="0" borderId="51" xfId="25457" applyNumberFormat="1" applyFont="1" applyFill="1" applyBorder="1">
      <alignment horizontal="right"/>
    </xf>
    <xf numFmtId="5" fontId="121" fillId="0" borderId="75" xfId="25457" applyNumberFormat="1" applyFont="1" applyBorder="1">
      <alignment horizontal="right"/>
    </xf>
    <xf numFmtId="5" fontId="121" fillId="0" borderId="75" xfId="25457" applyNumberFormat="1" applyFont="1" applyFill="1" applyBorder="1">
      <alignment horizontal="right"/>
    </xf>
    <xf numFmtId="5" fontId="121"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1"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1" fillId="0" borderId="64" xfId="25457" applyNumberFormat="1" applyFont="1" applyBorder="1">
      <alignment horizontal="right"/>
    </xf>
    <xf numFmtId="5" fontId="121" fillId="0" borderId="64" xfId="25457" applyNumberFormat="1" applyFont="1" applyFill="1" applyBorder="1">
      <alignment horizontal="right"/>
    </xf>
    <xf numFmtId="5" fontId="121" fillId="0" borderId="64" xfId="25456" applyNumberFormat="1" applyFont="1" applyBorder="1"/>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Border="1"/>
    <xf numFmtId="5" fontId="121" fillId="0" borderId="16" xfId="25455" applyNumberFormat="1" applyFont="1" applyFill="1" applyBorder="1"/>
    <xf numFmtId="5" fontId="121" fillId="92"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2"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0" fontId="121" fillId="0" borderId="0" xfId="25750" applyFont="1" applyAlignment="1">
      <alignment horizontal="center" vertical="center" wrapText="1"/>
    </xf>
    <xf numFmtId="43" fontId="121" fillId="0" borderId="0" xfId="25742" applyFont="1" applyFill="1" applyBorder="1" applyAlignment="1">
      <alignment horizontal="center" vertical="center" wrapText="1"/>
    </xf>
    <xf numFmtId="43" fontId="121" fillId="0" borderId="96" xfId="25742" applyFont="1" applyBorder="1" applyAlignment="1">
      <alignment horizontal="center" vertical="center" wrapText="1"/>
    </xf>
    <xf numFmtId="0" fontId="32" fillId="0" borderId="0" xfId="25794" applyFont="1"/>
    <xf numFmtId="43" fontId="32" fillId="0" borderId="0" xfId="25742" applyFont="1" applyFill="1"/>
    <xf numFmtId="39" fontId="32" fillId="0" borderId="0" xfId="25794" applyNumberFormat="1" applyFont="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0" xfId="25742" applyFont="1"/>
    <xf numFmtId="43" fontId="32" fillId="0" borderId="75" xfId="25455" applyNumberFormat="1" applyFont="1" applyFill="1" applyBorder="1" applyAlignment="1">
      <alignment horizontal="center"/>
    </xf>
    <xf numFmtId="43" fontId="32" fillId="0" borderId="75" xfId="2574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3" fontId="32" fillId="0" borderId="15" xfId="25745" applyNumberFormat="1" applyFont="1" applyFill="1" applyBorder="1" applyAlignment="1">
      <alignment horizontal="center"/>
    </xf>
    <xf numFmtId="4" fontId="122" fillId="0" borderId="0" xfId="0" applyNumberFormat="1" applyFont="1"/>
    <xf numFmtId="8"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9" fillId="0" borderId="80" xfId="0" applyNumberFormat="1" applyFont="1" applyFill="1" applyBorder="1"/>
    <xf numFmtId="44" fontId="122" fillId="0" borderId="0" xfId="25751" applyFont="1"/>
    <xf numFmtId="0" fontId="32" fillId="0" borderId="0" xfId="0" applyFont="1" applyAlignment="1">
      <alignment horizontal="right"/>
    </xf>
    <xf numFmtId="10" fontId="122" fillId="0" borderId="0" xfId="0" applyNumberFormat="1" applyFont="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90" borderId="88" xfId="0" applyFont="1" applyFill="1" applyBorder="1"/>
    <xf numFmtId="0" fontId="122" fillId="90" borderId="0" xfId="0" applyFont="1" applyFill="1" applyBorder="1"/>
    <xf numFmtId="0" fontId="122" fillId="90"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3" borderId="88" xfId="25742" applyNumberFormat="1" applyFont="1" applyFill="1" applyBorder="1"/>
    <xf numFmtId="166" fontId="122" fillId="93" borderId="0" xfId="25742" applyNumberFormat="1" applyFont="1" applyFill="1" applyBorder="1"/>
    <xf numFmtId="166" fontId="122" fillId="93"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91" borderId="90" xfId="0" applyNumberFormat="1" applyFont="1" applyFill="1" applyBorder="1"/>
    <xf numFmtId="6" fontId="122" fillId="0" borderId="90" xfId="0" applyNumberFormat="1" applyFont="1" applyBorder="1"/>
    <xf numFmtId="41" fontId="122" fillId="0" borderId="0" xfId="0" applyNumberFormat="1" applyFont="1"/>
    <xf numFmtId="166" fontId="122" fillId="95" borderId="88" xfId="25742" applyNumberFormat="1" applyFont="1" applyFill="1" applyBorder="1"/>
    <xf numFmtId="166" fontId="122" fillId="95" borderId="0" xfId="25742" applyNumberFormat="1" applyFont="1" applyFill="1" applyBorder="1"/>
    <xf numFmtId="166" fontId="122" fillId="95" borderId="89" xfId="25742" applyNumberFormat="1" applyFont="1" applyFill="1" applyBorder="1"/>
    <xf numFmtId="0" fontId="122" fillId="95" borderId="88" xfId="0" applyFont="1" applyFill="1" applyBorder="1"/>
    <xf numFmtId="49" fontId="122" fillId="95" borderId="0" xfId="0" applyNumberFormat="1" applyFont="1" applyFill="1" applyBorder="1" applyAlignment="1">
      <alignment horizontal="center"/>
    </xf>
    <xf numFmtId="49" fontId="122" fillId="95" borderId="89" xfId="0" applyNumberFormat="1" applyFont="1" applyFill="1" applyBorder="1" applyAlignment="1">
      <alignment horizontal="center"/>
    </xf>
    <xf numFmtId="166" fontId="122" fillId="88" borderId="88" xfId="25742" applyNumberFormat="1" applyFont="1" applyFill="1" applyBorder="1"/>
    <xf numFmtId="166" fontId="122" fillId="88" borderId="0" xfId="25742" applyNumberFormat="1" applyFont="1" applyFill="1" applyBorder="1"/>
    <xf numFmtId="166" fontId="122" fillId="88" borderId="89" xfId="25742" applyNumberFormat="1" applyFont="1" applyFill="1" applyBorder="1"/>
    <xf numFmtId="166" fontId="122" fillId="94" borderId="0" xfId="25742" applyNumberFormat="1" applyFont="1" applyFill="1" applyBorder="1"/>
    <xf numFmtId="166" fontId="122" fillId="94"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37" fontId="32" fillId="0" borderId="0" xfId="25741" applyFont="1" applyFill="1" applyAlignment="1">
      <alignment horizontal="left"/>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0" fontId="122" fillId="0" borderId="0" xfId="0" applyFont="1" applyFill="1" applyAlignment="1">
      <alignment horizontal="left" indent="1"/>
    </xf>
    <xf numFmtId="10" fontId="122" fillId="0" borderId="0" xfId="0" applyNumberFormat="1" applyFont="1" applyFill="1"/>
    <xf numFmtId="4" fontId="122" fillId="0" borderId="33" xfId="0" applyNumberFormat="1" applyFont="1" applyBorder="1"/>
    <xf numFmtId="44" fontId="122" fillId="0" borderId="0" xfId="25745" applyFont="1" applyFill="1"/>
    <xf numFmtId="0" fontId="132" fillId="0" borderId="0" xfId="0" applyFont="1" applyAlignment="1">
      <alignment horizontal="center"/>
    </xf>
    <xf numFmtId="3" fontId="127" fillId="0" borderId="0" xfId="0" applyNumberFormat="1" applyFont="1"/>
    <xf numFmtId="3" fontId="127" fillId="0" borderId="85" xfId="0" applyNumberFormat="1" applyFont="1" applyBorder="1"/>
    <xf numFmtId="189" fontId="127" fillId="0" borderId="80" xfId="0" applyNumberFormat="1" applyFont="1" applyBorder="1"/>
    <xf numFmtId="189" fontId="127" fillId="0" borderId="0" xfId="0" applyNumberFormat="1" applyFont="1"/>
    <xf numFmtId="0" fontId="122" fillId="0" borderId="76" xfId="0" applyFont="1" applyFill="1" applyBorder="1"/>
    <xf numFmtId="0" fontId="122" fillId="0" borderId="85" xfId="0" applyFont="1" applyFill="1" applyBorder="1"/>
    <xf numFmtId="43" fontId="122" fillId="0" borderId="14" xfId="25742" applyFont="1" applyFill="1" applyBorder="1"/>
    <xf numFmtId="43" fontId="122" fillId="0" borderId="85" xfId="25742" applyFont="1" applyFill="1" applyBorder="1"/>
    <xf numFmtId="0" fontId="121" fillId="0" borderId="0" xfId="0" applyFont="1" applyFill="1" applyAlignment="1">
      <alignment horizontal="center"/>
    </xf>
    <xf numFmtId="0" fontId="131"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6"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8"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0" fontId="122" fillId="0" borderId="0" xfId="0" applyFont="1" applyAlignment="1">
      <alignment horizontal="left" vertical="top"/>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166" fontId="57" fillId="0" borderId="0" xfId="0" applyNumberFormat="1" applyFont="1" applyFill="1"/>
    <xf numFmtId="49" fontId="121" fillId="0" borderId="0" xfId="25764" applyNumberFormat="1" applyFont="1" applyFill="1"/>
    <xf numFmtId="0" fontId="57" fillId="0" borderId="0" xfId="0" applyFont="1"/>
    <xf numFmtId="166" fontId="57" fillId="0" borderId="0" xfId="25742" applyNumberFormat="1" applyFont="1"/>
    <xf numFmtId="10" fontId="57" fillId="0" borderId="0" xfId="25793" applyNumberFormat="1" applyFont="1"/>
    <xf numFmtId="49" fontId="18" fillId="0" borderId="0" xfId="27901" applyNumberFormat="1" applyFont="1" applyFill="1" applyAlignment="1">
      <alignment horizontal="right"/>
    </xf>
    <xf numFmtId="166" fontId="140" fillId="0" borderId="85" xfId="25742" applyNumberFormat="1" applyFont="1" applyBorder="1"/>
    <xf numFmtId="166" fontId="57" fillId="0" borderId="85" xfId="25742" applyNumberFormat="1" applyFont="1" applyBorder="1"/>
    <xf numFmtId="166" fontId="140" fillId="0" borderId="0" xfId="25742" applyNumberFormat="1" applyFont="1" applyAlignment="1">
      <alignment horizontal="center"/>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43" fontId="18" fillId="0" borderId="0" xfId="27903" applyFont="1" applyFill="1"/>
    <xf numFmtId="166" fontId="18" fillId="0" borderId="0" xfId="25742" applyNumberFormat="1" applyFont="1" applyFill="1"/>
    <xf numFmtId="166" fontId="57" fillId="0" borderId="11" xfId="25742" applyNumberFormat="1" applyFont="1" applyBorder="1"/>
    <xf numFmtId="43" fontId="18" fillId="0" borderId="128" xfId="27903" applyFont="1" applyFill="1" applyBorder="1"/>
    <xf numFmtId="166" fontId="18" fillId="0" borderId="128" xfId="25742" applyNumberFormat="1" applyFont="1" applyFill="1" applyBorder="1"/>
    <xf numFmtId="49" fontId="18" fillId="0" borderId="0" xfId="166" applyNumberFormat="1" applyFont="1" applyFill="1"/>
    <xf numFmtId="49" fontId="57" fillId="0" borderId="0" xfId="451" applyNumberFormat="1" applyFont="1" applyFill="1"/>
    <xf numFmtId="49" fontId="18" fillId="0" borderId="0" xfId="52" applyNumberFormat="1" applyFont="1" applyFill="1"/>
    <xf numFmtId="49" fontId="57" fillId="0" borderId="0" xfId="419"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166" fontId="18" fillId="0" borderId="85" xfId="25742" applyNumberFormat="1"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57" fillId="0" borderId="0" xfId="25766" applyFont="1" applyFill="1"/>
    <xf numFmtId="43" fontId="18" fillId="0" borderId="0" xfId="27915" applyFont="1" applyFill="1"/>
    <xf numFmtId="43" fontId="18" fillId="0" borderId="0" xfId="27916" applyFont="1" applyFill="1"/>
    <xf numFmtId="43" fontId="57" fillId="0" borderId="0" xfId="0" applyNumberFormat="1" applyFont="1"/>
    <xf numFmtId="43" fontId="57" fillId="0" borderId="0" xfId="25766" applyFont="1" applyFill="1" applyBorder="1"/>
    <xf numFmtId="43" fontId="18" fillId="0" borderId="0" xfId="27903" applyFont="1" applyFill="1" applyBorder="1"/>
    <xf numFmtId="43" fontId="18" fillId="0" borderId="0" xfId="27917" applyFont="1" applyFill="1"/>
    <xf numFmtId="43" fontId="18" fillId="0" borderId="0" xfId="27918" applyFont="1" applyFill="1"/>
    <xf numFmtId="0" fontId="57" fillId="0" borderId="0" xfId="0" applyFont="1" applyFill="1"/>
    <xf numFmtId="0" fontId="57" fillId="0" borderId="0" xfId="0" quotePrefix="1" applyFont="1" applyFill="1"/>
    <xf numFmtId="166" fontId="57" fillId="0" borderId="0" xfId="25742" applyNumberFormat="1" applyFont="1" applyFill="1"/>
    <xf numFmtId="166" fontId="57" fillId="0" borderId="11" xfId="25742" applyNumberFormat="1" applyFont="1" applyFill="1" applyBorder="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0" fontId="140" fillId="0" borderId="0" xfId="0" applyFont="1"/>
    <xf numFmtId="43" fontId="20" fillId="0" borderId="79" xfId="27903" applyFont="1" applyFill="1" applyBorder="1"/>
    <xf numFmtId="166" fontId="140" fillId="0" borderId="0" xfId="25742" applyNumberFormat="1" applyFont="1"/>
    <xf numFmtId="166" fontId="140" fillId="0" borderId="11" xfId="25742" applyNumberFormat="1" applyFont="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3" fontId="140" fillId="0" borderId="0" xfId="0" applyNumberFormat="1" applyFont="1"/>
    <xf numFmtId="166" fontId="140" fillId="96" borderId="0" xfId="25742" applyNumberFormat="1" applyFont="1" applyFill="1" applyAlignment="1">
      <alignment horizontal="center"/>
    </xf>
    <xf numFmtId="166" fontId="140" fillId="96" borderId="0" xfId="25742" applyNumberFormat="1" applyFont="1" applyFill="1"/>
    <xf numFmtId="166" fontId="57" fillId="0" borderId="14" xfId="25742" applyNumberFormat="1" applyFont="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40" fillId="0" borderId="0" xfId="25742" applyNumberFormat="1" applyFont="1" applyFill="1"/>
    <xf numFmtId="166" fontId="140" fillId="97" borderId="0" xfId="25742" applyNumberFormat="1" applyFont="1" applyFill="1" applyAlignment="1">
      <alignment horizontal="center"/>
    </xf>
    <xf numFmtId="166" fontId="57" fillId="97"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10" fontId="122" fillId="0" borderId="0" xfId="25793"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4" fontId="32" fillId="0" borderId="0" xfId="25794" applyNumberFormat="1" applyFont="1" applyFill="1"/>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0" fontId="122" fillId="0" borderId="49" xfId="0"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3" fontId="122" fillId="0" borderId="0" xfId="0" applyNumberFormat="1" applyFont="1" applyFill="1" applyBorder="1"/>
    <xf numFmtId="40" fontId="122" fillId="0" borderId="0" xfId="0" applyNumberFormat="1" applyFont="1" applyFill="1"/>
    <xf numFmtId="0" fontId="122" fillId="0" borderId="0" xfId="0" applyFont="1" applyFill="1" applyAlignment="1">
      <alignment horizontal="left"/>
    </xf>
    <xf numFmtId="43" fontId="32" fillId="0" borderId="85" xfId="0" applyNumberFormat="1" applyFont="1" applyFill="1" applyBorder="1"/>
    <xf numFmtId="8" fontId="122" fillId="0" borderId="85" xfId="0" applyNumberFormat="1" applyFont="1" applyFill="1" applyBorder="1"/>
    <xf numFmtId="191"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49" fontId="122" fillId="91" borderId="88" xfId="0" applyNumberFormat="1" applyFont="1" applyFill="1" applyBorder="1" applyAlignment="1">
      <alignment horizontal="center"/>
    </xf>
    <xf numFmtId="49" fontId="122" fillId="91" borderId="0" xfId="0" applyNumberFormat="1" applyFont="1" applyFill="1" applyBorder="1" applyAlignment="1">
      <alignment horizontal="center"/>
    </xf>
    <xf numFmtId="49" fontId="122" fillId="91" borderId="89" xfId="0" applyNumberFormat="1" applyFont="1" applyFill="1" applyBorder="1" applyAlignment="1">
      <alignment horizontal="center"/>
    </xf>
    <xf numFmtId="6" fontId="122" fillId="0" borderId="88" xfId="0" applyNumberFormat="1" applyFont="1" applyBorder="1"/>
    <xf numFmtId="6" fontId="122" fillId="0" borderId="0" xfId="0" applyNumberFormat="1" applyFont="1" applyBorder="1"/>
    <xf numFmtId="166" fontId="122" fillId="98" borderId="88" xfId="25742" applyNumberFormat="1" applyFont="1" applyFill="1" applyBorder="1"/>
    <xf numFmtId="166" fontId="122" fillId="98" borderId="0" xfId="25742" applyNumberFormat="1" applyFont="1" applyFill="1" applyBorder="1"/>
    <xf numFmtId="166" fontId="122" fillId="98" borderId="89" xfId="25742" applyNumberFormat="1" applyFont="1" applyFill="1" applyBorder="1"/>
    <xf numFmtId="166" fontId="122" fillId="94"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9" fillId="0" borderId="53" xfId="0" applyFont="1" applyFill="1" applyBorder="1"/>
    <xf numFmtId="0" fontId="129" fillId="0" borderId="53" xfId="0" applyFont="1" applyFill="1" applyBorder="1" applyAlignment="1">
      <alignment horizontal="center"/>
    </xf>
    <xf numFmtId="43" fontId="129" fillId="0" borderId="53" xfId="25766" applyFont="1" applyFill="1" applyBorder="1"/>
    <xf numFmtId="0" fontId="129" fillId="0" borderId="0" xfId="0" applyFont="1" applyFill="1" applyBorder="1"/>
    <xf numFmtId="43" fontId="129" fillId="0" borderId="0" xfId="25766" applyFont="1" applyFill="1" applyBorder="1"/>
    <xf numFmtId="0" fontId="129" fillId="0" borderId="80" xfId="0" applyFont="1" applyFill="1" applyBorder="1"/>
    <xf numFmtId="0" fontId="129" fillId="0" borderId="80" xfId="0" applyFont="1" applyFill="1" applyBorder="1" applyAlignment="1">
      <alignment horizontal="center"/>
    </xf>
    <xf numFmtId="0" fontId="32" fillId="0" borderId="0" xfId="0" applyFont="1" applyFill="1" applyAlignment="1">
      <alignment horizontal="left"/>
    </xf>
    <xf numFmtId="0" fontId="138"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0" fontId="122" fillId="0" borderId="0" xfId="0" quotePrefix="1" applyFont="1" applyFill="1"/>
    <xf numFmtId="43" fontId="122" fillId="0" borderId="0" xfId="25742" applyFont="1" applyFill="1"/>
    <xf numFmtId="176" fontId="122" fillId="0" borderId="0" xfId="0" applyNumberFormat="1" applyFont="1" applyFill="1"/>
    <xf numFmtId="7" fontId="122" fillId="0" borderId="0" xfId="0" applyNumberFormat="1" applyFont="1"/>
    <xf numFmtId="43" fontId="122" fillId="0" borderId="85" xfId="0" applyNumberFormat="1" applyFont="1" applyFill="1" applyBorder="1"/>
    <xf numFmtId="44" fontId="0" fillId="0" borderId="0" xfId="25745" applyFont="1"/>
    <xf numFmtId="44" fontId="0" fillId="0" borderId="80" xfId="25745" applyFont="1" applyBorder="1"/>
    <xf numFmtId="44" fontId="0" fillId="0" borderId="80" xfId="0" applyNumberFormat="1" applyBorder="1"/>
    <xf numFmtId="44" fontId="0" fillId="0" borderId="0" xfId="0" applyNumberFormat="1"/>
    <xf numFmtId="37" fontId="18" fillId="0" borderId="0" xfId="25795" applyFont="1" applyFill="1" applyAlignment="1">
      <alignment horizontal="center"/>
    </xf>
    <xf numFmtId="37" fontId="26" fillId="0" borderId="0" xfId="25795" applyFont="1" applyFill="1"/>
    <xf numFmtId="37" fontId="136" fillId="0" borderId="0" xfId="25795" applyFont="1" applyFill="1"/>
    <xf numFmtId="37" fontId="60" fillId="0" borderId="0" xfId="25795" applyFont="1" applyFill="1" applyAlignment="1">
      <alignment horizontal="center"/>
    </xf>
    <xf numFmtId="198" fontId="23" fillId="0" borderId="88" xfId="25795" applyNumberFormat="1" applyFont="1" applyFill="1" applyBorder="1" applyAlignment="1" applyProtection="1">
      <alignment horizontal="centerContinuous"/>
      <protection locked="0"/>
    </xf>
    <xf numFmtId="198" fontId="18" fillId="0" borderId="0" xfId="25795" applyNumberFormat="1" applyFont="1" applyFill="1" applyBorder="1" applyAlignment="1" applyProtection="1">
      <alignment horizontal="centerContinuous"/>
    </xf>
    <xf numFmtId="198"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7"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9"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44" fontId="122" fillId="0" borderId="0" xfId="0" applyNumberFormat="1" applyFont="1" applyFill="1"/>
    <xf numFmtId="194"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200" fontId="122" fillId="0" borderId="56" xfId="0" applyNumberFormat="1" applyFont="1" applyFill="1" applyBorder="1" applyAlignment="1"/>
    <xf numFmtId="0" fontId="121" fillId="0" borderId="0" xfId="24690" applyFont="1" applyFill="1" applyBorder="1" applyAlignment="1">
      <alignment horizontal="center"/>
    </xf>
    <xf numFmtId="3" fontId="127" fillId="0" borderId="0" xfId="0" applyNumberFormat="1" applyFont="1" applyFill="1" applyBorder="1"/>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30"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139"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91"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166" fontId="57" fillId="91" borderId="0" xfId="25742" applyNumberFormat="1" applyFont="1" applyFill="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10" fontId="57" fillId="91" borderId="0" xfId="25793" applyNumberFormat="1" applyFont="1" applyFill="1"/>
    <xf numFmtId="49" fontId="18" fillId="0" borderId="0" xfId="27901" applyNumberFormat="1" applyFont="1" applyFill="1" applyAlignment="1">
      <alignment horizontal="center"/>
    </xf>
    <xf numFmtId="49" fontId="139"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40" fillId="0" borderId="85" xfId="0" quotePrefix="1" applyNumberFormat="1" applyFont="1" applyFill="1" applyBorder="1"/>
    <xf numFmtId="17" fontId="140"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40" fillId="0" borderId="0" xfId="0" applyFont="1" applyFill="1"/>
    <xf numFmtId="2" fontId="18" fillId="0" borderId="0" xfId="25764" applyNumberFormat="1" applyFont="1" applyFill="1" applyAlignment="1">
      <alignment wrapText="1"/>
    </xf>
    <xf numFmtId="166" fontId="140" fillId="0" borderId="11" xfId="25742" applyNumberFormat="1" applyFont="1" applyFill="1" applyBorder="1"/>
    <xf numFmtId="166" fontId="57" fillId="0" borderId="132" xfId="25742" applyNumberFormat="1" applyFont="1" applyFill="1" applyBorder="1"/>
    <xf numFmtId="0" fontId="32" fillId="0" borderId="0" xfId="25794" applyFont="1" applyFill="1" applyBorder="1"/>
    <xf numFmtId="39" fontId="32" fillId="0" borderId="0" xfId="25742" applyNumberFormat="1" applyFont="1" applyFill="1" applyBorder="1"/>
    <xf numFmtId="0" fontId="32" fillId="0" borderId="0" xfId="25750" applyFont="1" applyFill="1" applyBorder="1"/>
    <xf numFmtId="39" fontId="32" fillId="0" borderId="0" xfId="25794" applyNumberFormat="1" applyFont="1" applyFill="1" applyBorder="1"/>
    <xf numFmtId="43" fontId="32" fillId="0" borderId="0" xfId="25794" applyNumberFormat="1" applyFont="1" applyFill="1" applyBorder="1"/>
    <xf numFmtId="39" fontId="121" fillId="0" borderId="0" xfId="25742"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37" fontId="32" fillId="87" borderId="14" xfId="25457" applyNumberFormat="1" applyFont="1" applyFill="1" applyBorder="1">
      <alignment horizontal="right"/>
    </xf>
    <xf numFmtId="37" fontId="32" fillId="87" borderId="99" xfId="25456" applyNumberFormat="1" applyFont="1" applyFill="1" applyBorder="1"/>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0" fontId="121" fillId="0" borderId="76" xfId="0" applyFont="1" applyFill="1" applyBorder="1" applyAlignment="1">
      <alignment horizontal="center"/>
    </xf>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43" fontId="32" fillId="0" borderId="81"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2" fontId="32" fillId="0" borderId="35" xfId="25742" applyNumberFormat="1" applyFont="1" applyFill="1" applyBorder="1" applyAlignment="1" applyProtection="1">
      <alignment horizontal="center"/>
    </xf>
    <xf numFmtId="39" fontId="32" fillId="0" borderId="132" xfId="0" applyNumberFormat="1" applyFont="1" applyFill="1" applyBorder="1"/>
    <xf numFmtId="43" fontId="32" fillId="0" borderId="79" xfId="0" applyNumberFormat="1" applyFont="1" applyFill="1" applyBorder="1"/>
    <xf numFmtId="43" fontId="32" fillId="0" borderId="84"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4" xfId="0" applyNumberFormat="1" applyFont="1" applyFill="1" applyBorder="1"/>
    <xf numFmtId="39" fontId="32" fillId="0" borderId="85" xfId="0" applyNumberFormat="1" applyFont="1" applyFill="1" applyBorder="1"/>
    <xf numFmtId="43" fontId="32" fillId="0" borderId="56" xfId="0" applyNumberFormat="1" applyFont="1" applyFill="1" applyBorder="1"/>
    <xf numFmtId="43" fontId="32" fillId="0" borderId="56" xfId="25745" applyNumberFormat="1" applyFont="1" applyFill="1" applyBorder="1"/>
    <xf numFmtId="39" fontId="32" fillId="0" borderId="79" xfId="0"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5" fontId="122" fillId="0" borderId="0" xfId="0" applyNumberFormat="1" applyFont="1" applyFill="1"/>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6" xfId="0" applyNumberFormat="1" applyFont="1" applyFill="1" applyBorder="1"/>
    <xf numFmtId="43" fontId="32" fillId="0" borderId="87" xfId="0" applyNumberFormat="1" applyFont="1" applyFill="1" applyBorder="1"/>
    <xf numFmtId="193"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203" fontId="141" fillId="0" borderId="0" xfId="25750" applyNumberFormat="1" applyFont="1" applyFill="1" applyAlignment="1">
      <alignment horizontal="left"/>
    </xf>
    <xf numFmtId="0" fontId="0" fillId="0" borderId="0" xfId="0" applyFill="1" applyAlignment="1">
      <alignment horizontal="center"/>
    </xf>
    <xf numFmtId="0" fontId="18" fillId="0" borderId="0" xfId="25750" applyFill="1" applyAlignment="1">
      <alignment horizontal="center" wrapText="1"/>
    </xf>
    <xf numFmtId="17" fontId="18" fillId="0" borderId="0" xfId="25742" applyNumberFormat="1" applyFont="1" applyFill="1" applyAlignment="1">
      <alignment horizontal="center" wrapText="1"/>
    </xf>
    <xf numFmtId="5" fontId="0" fillId="0" borderId="0" xfId="0" applyNumberFormat="1" applyFill="1"/>
    <xf numFmtId="0" fontId="18" fillId="0" borderId="0" xfId="25750" applyAlignment="1">
      <alignment horizontal="left"/>
    </xf>
    <xf numFmtId="43" fontId="18" fillId="0" borderId="0" xfId="25742" applyFont="1" applyFill="1" applyAlignment="1">
      <alignment horizontal="center"/>
    </xf>
    <xf numFmtId="0" fontId="18" fillId="0" borderId="0" xfId="25750" applyFill="1"/>
    <xf numFmtId="43" fontId="18" fillId="0" borderId="0" xfId="25742" applyFont="1" applyFill="1"/>
    <xf numFmtId="0" fontId="18" fillId="100" borderId="0" xfId="25750" applyFill="1"/>
    <xf numFmtId="0" fontId="18" fillId="0" borderId="0" xfId="25750"/>
    <xf numFmtId="0" fontId="18" fillId="101" borderId="0" xfId="25750" applyFill="1"/>
    <xf numFmtId="43" fontId="18" fillId="0" borderId="128" xfId="25742" applyFont="1" applyFill="1" applyBorder="1"/>
    <xf numFmtId="43" fontId="0" fillId="0" borderId="0" xfId="0" applyNumberFormat="1"/>
    <xf numFmtId="43" fontId="0" fillId="0" borderId="0" xfId="0" applyNumberFormat="1" applyFill="1"/>
    <xf numFmtId="44" fontId="0" fillId="0" borderId="85" xfId="25745" applyFont="1" applyFill="1" applyBorder="1"/>
    <xf numFmtId="44" fontId="0" fillId="0" borderId="0" xfId="25745" applyFont="1" applyFill="1" applyAlignment="1">
      <alignment horizontal="center"/>
    </xf>
    <xf numFmtId="0" fontId="0" fillId="0" borderId="0" xfId="0" applyAlignment="1">
      <alignment horizontal="left"/>
    </xf>
    <xf numFmtId="14" fontId="32" fillId="0" borderId="0" xfId="25794" applyNumberFormat="1" applyFont="1" applyFill="1" applyBorder="1"/>
    <xf numFmtId="0" fontId="0" fillId="0" borderId="0" xfId="0"/>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40" fillId="0" borderId="0" xfId="409" applyNumberFormat="1" applyFont="1" applyFill="1"/>
    <xf numFmtId="43" fontId="20" fillId="0" borderId="0" xfId="27902" applyFont="1" applyFill="1"/>
    <xf numFmtId="49" fontId="57" fillId="0" borderId="0" xfId="419" applyNumberFormat="1" applyFont="1" applyFill="1"/>
    <xf numFmtId="0" fontId="57" fillId="0" borderId="0" xfId="0" applyFont="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122" fillId="92" borderId="0" xfId="0" applyFont="1" applyFill="1" applyAlignment="1">
      <alignment vertical="center" wrapText="1"/>
    </xf>
    <xf numFmtId="166" fontId="0" fillId="0" borderId="0" xfId="0" applyNumberFormat="1"/>
    <xf numFmtId="41" fontId="32" fillId="87" borderId="14" xfId="25456" applyNumberFormat="1" applyFont="1" applyFill="1" applyBorder="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42" fillId="0" borderId="0" xfId="0" applyNumberFormat="1" applyFont="1" applyFill="1" applyAlignment="1">
      <alignment horizontal="center"/>
    </xf>
    <xf numFmtId="0" fontId="121" fillId="89" borderId="0" xfId="24690" applyFont="1" applyFill="1" applyBorder="1" applyAlignment="1"/>
    <xf numFmtId="43" fontId="32" fillId="0" borderId="141" xfId="25742" applyFont="1" applyFill="1" applyBorder="1"/>
    <xf numFmtId="6" fontId="122" fillId="0" borderId="85" xfId="0" applyNumberFormat="1" applyFont="1" applyFill="1" applyBorder="1"/>
    <xf numFmtId="6" fontId="124" fillId="0" borderId="53" xfId="0" applyNumberFormat="1" applyFont="1" applyFill="1" applyBorder="1"/>
    <xf numFmtId="43" fontId="32" fillId="86" borderId="14" xfId="25457" applyNumberFormat="1" applyFont="1" applyFill="1" applyBorder="1">
      <alignment horizontal="right"/>
    </xf>
    <xf numFmtId="0" fontId="121" fillId="0" borderId="0" xfId="27280" applyFont="1" applyFill="1" applyBorder="1" applyAlignment="1"/>
    <xf numFmtId="0" fontId="0" fillId="0" borderId="0" xfId="0"/>
    <xf numFmtId="43" fontId="32" fillId="0" borderId="146" xfId="25455" applyNumberFormat="1" applyFont="1" applyFill="1" applyBorder="1" applyAlignment="1">
      <alignment horizontal="center"/>
    </xf>
    <xf numFmtId="43" fontId="32" fillId="0" borderId="146" xfId="2574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6" xfId="25455" applyNumberFormat="1" applyFont="1" applyFill="1" applyBorder="1" applyAlignment="1">
      <alignment horizontal="center"/>
    </xf>
    <xf numFmtId="0" fontId="32" fillId="0" borderId="146" xfId="25455" applyFont="1" applyFill="1" applyBorder="1" applyAlignment="1">
      <alignment horizontal="center"/>
    </xf>
    <xf numFmtId="0" fontId="32" fillId="0" borderId="153"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37" fontId="121" fillId="0" borderId="79" xfId="25741" applyFont="1" applyFill="1" applyBorder="1" applyAlignment="1">
      <alignment horizontal="center"/>
    </xf>
    <xf numFmtId="4" fontId="122" fillId="0" borderId="154" xfId="0" applyNumberFormat="1" applyFont="1" applyFill="1" applyBorder="1"/>
    <xf numFmtId="4" fontId="122" fillId="0" borderId="141" xfId="0" applyNumberFormat="1" applyFont="1" applyFill="1" applyBorder="1"/>
    <xf numFmtId="204" fontId="122" fillId="0" borderId="0" xfId="0" applyNumberFormat="1" applyFont="1" applyFill="1"/>
    <xf numFmtId="200" fontId="122" fillId="0" borderId="0" xfId="0" applyNumberFormat="1" applyFont="1" applyFill="1"/>
    <xf numFmtId="166" fontId="32" fillId="0" borderId="14" xfId="25457" applyNumberFormat="1" applyFont="1" applyFill="1" applyBorder="1">
      <alignment horizontal="right"/>
    </xf>
    <xf numFmtId="44" fontId="0" fillId="0" borderId="79" xfId="25745" applyFont="1" applyBorder="1"/>
    <xf numFmtId="0" fontId="121" fillId="0" borderId="0" xfId="24690" applyFont="1" applyFill="1" applyBorder="1" applyAlignment="1">
      <alignment horizontal="center"/>
    </xf>
    <xf numFmtId="43" fontId="124" fillId="0" borderId="141" xfId="0" applyNumberFormat="1" applyFont="1" applyFill="1" applyBorder="1" applyAlignment="1">
      <alignment horizontal="center"/>
    </xf>
    <xf numFmtId="39" fontId="124" fillId="0" borderId="141" xfId="0" applyNumberFormat="1" applyFont="1" applyFill="1" applyBorder="1" applyAlignment="1">
      <alignment horizontal="center"/>
    </xf>
    <xf numFmtId="0" fontId="124" fillId="0" borderId="141" xfId="0" applyFont="1" applyFill="1" applyBorder="1" applyAlignment="1">
      <alignment horizontal="center"/>
    </xf>
    <xf numFmtId="0" fontId="0" fillId="0" borderId="0" xfId="0" applyBorder="1" applyAlignment="1">
      <alignment vertical="center"/>
    </xf>
    <xf numFmtId="4" fontId="122" fillId="0" borderId="49" xfId="0" applyNumberFormat="1" applyFont="1" applyBorder="1"/>
    <xf numFmtId="44" fontId="122" fillId="0" borderId="0" xfId="25745" applyFont="1"/>
    <xf numFmtId="44" fontId="122" fillId="0" borderId="79" xfId="25745" applyFont="1" applyBorder="1"/>
    <xf numFmtId="0" fontId="32" fillId="0" borderId="0" xfId="0" applyFont="1" applyAlignment="1">
      <alignment horizontal="left"/>
    </xf>
    <xf numFmtId="44" fontId="32" fillId="0" borderId="0" xfId="25745" applyFont="1" applyAlignment="1"/>
    <xf numFmtId="0" fontId="32" fillId="0" borderId="0" xfId="0" applyFont="1" applyBorder="1" applyAlignment="1">
      <alignment horizontal="left"/>
    </xf>
    <xf numFmtId="44" fontId="32" fillId="0" borderId="141" xfId="25745" applyFont="1" applyBorder="1" applyAlignment="1"/>
    <xf numFmtId="44" fontId="121" fillId="0" borderId="80" xfId="25745" applyFont="1" applyBorder="1" applyAlignment="1"/>
    <xf numFmtId="44" fontId="0" fillId="0" borderId="0" xfId="25745" applyFont="1" applyBorder="1"/>
    <xf numFmtId="10" fontId="57" fillId="0" borderId="0" xfId="25793" applyNumberFormat="1" applyFont="1" applyFill="1"/>
    <xf numFmtId="166" fontId="140" fillId="0" borderId="0" xfId="25742" applyNumberFormat="1" applyFont="1" applyBorder="1" applyAlignment="1">
      <alignment horizontal="center"/>
    </xf>
    <xf numFmtId="0" fontId="57" fillId="0" borderId="0" xfId="0" applyFont="1" applyBorder="1"/>
    <xf numFmtId="166" fontId="57" fillId="0" borderId="0" xfId="25742" applyNumberFormat="1" applyFont="1" applyBorder="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40" fillId="0" borderId="0" xfId="25742" applyNumberFormat="1" applyFont="1" applyFill="1" applyBorder="1"/>
    <xf numFmtId="0" fontId="140" fillId="0" borderId="0" xfId="0" applyFont="1" applyFill="1" applyBorder="1"/>
    <xf numFmtId="0" fontId="0" fillId="0" borderId="0" xfId="0" applyFill="1" applyBorder="1"/>
    <xf numFmtId="166" fontId="57" fillId="0" borderId="141" xfId="25742" applyNumberFormat="1" applyFont="1" applyBorder="1"/>
    <xf numFmtId="0" fontId="57" fillId="0" borderId="141" xfId="0" applyFont="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4"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3" xfId="1" applyFont="1" applyBorder="1"/>
    <xf numFmtId="0" fontId="32" fillId="0" borderId="141"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4" xfId="2" applyNumberFormat="1" applyFont="1" applyFill="1" applyBorder="1" applyProtection="1"/>
    <xf numFmtId="38" fontId="32" fillId="0" borderId="33" xfId="2" applyNumberFormat="1" applyFont="1" applyFill="1" applyBorder="1" applyProtection="1"/>
    <xf numFmtId="38" fontId="32" fillId="0" borderId="34" xfId="2" applyNumberFormat="1" applyFont="1" applyFill="1" applyBorder="1" applyProtection="1"/>
    <xf numFmtId="38" fontId="122" fillId="0" borderId="132" xfId="0" applyNumberFormat="1" applyFont="1" applyFill="1" applyBorder="1"/>
    <xf numFmtId="38" fontId="32" fillId="33" borderId="132" xfId="3" applyNumberFormat="1" applyFont="1" applyFill="1" applyBorder="1">
      <alignment horizontal="right"/>
    </xf>
    <xf numFmtId="38" fontId="32" fillId="0" borderId="132" xfId="2" applyNumberFormat="1" applyFont="1" applyFill="1" applyBorder="1"/>
    <xf numFmtId="10" fontId="32" fillId="0" borderId="132" xfId="4" applyNumberFormat="1" applyFont="1" applyFill="1" applyBorder="1"/>
    <xf numFmtId="0" fontId="121" fillId="0" borderId="141" xfId="1" applyFont="1" applyFill="1" applyBorder="1"/>
    <xf numFmtId="0" fontId="32" fillId="0" borderId="153" xfId="1" applyFont="1" applyFill="1" applyBorder="1"/>
    <xf numFmtId="10" fontId="32" fillId="0" borderId="154" xfId="4" applyNumberFormat="1" applyFont="1" applyFill="1" applyBorder="1"/>
    <xf numFmtId="10" fontId="32" fillId="0" borderId="141" xfId="4" applyNumberFormat="1" applyFont="1" applyFill="1" applyBorder="1"/>
    <xf numFmtId="10" fontId="32" fillId="0" borderId="146"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 fontId="32" fillId="0" borderId="0" xfId="0" quotePrefix="1" applyNumberFormat="1" applyFont="1" applyFill="1" applyAlignment="1">
      <alignment horizontal="center"/>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9" borderId="0" xfId="24690" applyFont="1" applyFill="1" applyBorder="1" applyAlignment="1">
      <alignment horizontal="center"/>
    </xf>
    <xf numFmtId="0" fontId="122" fillId="89" borderId="0" xfId="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9" fillId="0" borderId="76" xfId="0" applyFont="1" applyFill="1" applyBorder="1" applyAlignment="1">
      <alignment horizontal="left"/>
    </xf>
    <xf numFmtId="0" fontId="129" fillId="0" borderId="53" xfId="0" applyFont="1" applyFill="1" applyBorder="1" applyAlignment="1">
      <alignment horizontal="left"/>
    </xf>
    <xf numFmtId="0" fontId="122" fillId="33" borderId="0" xfId="0" applyFont="1" applyFill="1" applyBorder="1" applyAlignment="1">
      <alignment horizontal="right"/>
    </xf>
    <xf numFmtId="0" fontId="122" fillId="33" borderId="89" xfId="0" applyFont="1" applyFill="1" applyBorder="1" applyAlignment="1">
      <alignment horizontal="right"/>
    </xf>
    <xf numFmtId="0" fontId="137" fillId="99" borderId="91" xfId="0" applyFont="1" applyFill="1" applyBorder="1" applyAlignment="1">
      <alignment horizontal="center" vertical="center" wrapText="1"/>
    </xf>
    <xf numFmtId="0" fontId="137" fillId="99" borderId="92" xfId="0" applyFont="1" applyFill="1" applyBorder="1" applyAlignment="1">
      <alignment horizontal="center" vertical="center" wrapText="1"/>
    </xf>
    <xf numFmtId="0" fontId="137" fillId="99" borderId="93" xfId="0" applyFont="1" applyFill="1" applyBorder="1" applyAlignment="1">
      <alignment horizontal="center" vertical="center" wrapText="1"/>
    </xf>
    <xf numFmtId="0" fontId="137" fillId="99" borderId="88" xfId="0" applyFont="1" applyFill="1" applyBorder="1" applyAlignment="1">
      <alignment horizontal="center" vertical="center" wrapText="1"/>
    </xf>
    <xf numFmtId="0" fontId="137" fillId="99" borderId="0" xfId="0" applyFont="1" applyFill="1" applyBorder="1" applyAlignment="1">
      <alignment horizontal="center" vertical="center" wrapText="1"/>
    </xf>
    <xf numFmtId="0" fontId="137" fillId="99" borderId="89" xfId="0" applyFont="1" applyFill="1" applyBorder="1" applyAlignment="1">
      <alignment horizontal="center" vertical="center" wrapText="1"/>
    </xf>
    <xf numFmtId="0" fontId="130" fillId="0" borderId="88" xfId="0" applyFont="1" applyBorder="1" applyAlignment="1">
      <alignment horizontal="left"/>
    </xf>
    <xf numFmtId="0" fontId="130" fillId="0" borderId="0" xfId="0" applyFont="1" applyBorder="1" applyAlignment="1">
      <alignment horizontal="left"/>
    </xf>
    <xf numFmtId="0" fontId="130" fillId="0" borderId="89" xfId="0" applyFont="1" applyBorder="1" applyAlignment="1">
      <alignment horizontal="left"/>
    </xf>
    <xf numFmtId="0" fontId="137" fillId="0" borderId="91" xfId="0" applyFont="1" applyBorder="1" applyAlignment="1">
      <alignment horizontal="center" vertical="center" wrapText="1"/>
    </xf>
    <xf numFmtId="0" fontId="137" fillId="0" borderId="92" xfId="0" applyFont="1" applyBorder="1" applyAlignment="1">
      <alignment horizontal="center" vertical="center" wrapText="1"/>
    </xf>
    <xf numFmtId="0" fontId="137" fillId="0" borderId="93" xfId="0" applyFont="1" applyBorder="1" applyAlignment="1">
      <alignment horizontal="center" vertical="center" wrapText="1"/>
    </xf>
    <xf numFmtId="0" fontId="137" fillId="0" borderId="88" xfId="0" applyFont="1" applyBorder="1" applyAlignment="1">
      <alignment horizontal="center" vertical="center" wrapText="1"/>
    </xf>
    <xf numFmtId="0" fontId="137" fillId="0" borderId="0" xfId="0" applyFont="1" applyBorder="1" applyAlignment="1">
      <alignment horizontal="center" vertical="center" wrapText="1"/>
    </xf>
    <xf numFmtId="0" fontId="137" fillId="0" borderId="89" xfId="0" applyFont="1" applyBorder="1" applyAlignment="1">
      <alignment horizontal="center" vertical="center" wrapText="1"/>
    </xf>
    <xf numFmtId="0" fontId="137" fillId="0" borderId="94" xfId="0" applyFont="1" applyBorder="1" applyAlignment="1">
      <alignment horizontal="center" vertical="center" wrapText="1"/>
    </xf>
    <xf numFmtId="0" fontId="137" fillId="0" borderId="49" xfId="0" applyFont="1" applyBorder="1" applyAlignment="1">
      <alignment horizontal="center" vertical="center" wrapText="1"/>
    </xf>
    <xf numFmtId="0" fontId="137"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0" borderId="0" xfId="0" applyFont="1" applyAlignment="1">
      <alignment horizontal="center" wrapText="1"/>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33" fillId="0" borderId="0" xfId="25750" applyFont="1" applyAlignment="1">
      <alignment horizontal="center"/>
    </xf>
    <xf numFmtId="0" fontId="124" fillId="0" borderId="91" xfId="0" applyFont="1" applyBorder="1" applyAlignment="1">
      <alignment vertical="center"/>
    </xf>
    <xf numFmtId="0" fontId="124" fillId="0" borderId="92" xfId="0" applyFont="1" applyBorder="1" applyAlignment="1">
      <alignment vertical="center"/>
    </xf>
    <xf numFmtId="0" fontId="124" fillId="0" borderId="93" xfId="0" applyFont="1" applyBorder="1" applyAlignment="1">
      <alignment vertical="center"/>
    </xf>
    <xf numFmtId="0" fontId="124" fillId="0" borderId="88" xfId="0" applyFont="1" applyBorder="1" applyAlignment="1">
      <alignment vertical="center"/>
    </xf>
    <xf numFmtId="0" fontId="124" fillId="0" borderId="0" xfId="0" applyFont="1" applyBorder="1" applyAlignment="1">
      <alignment vertical="center"/>
    </xf>
    <xf numFmtId="0" fontId="124" fillId="0" borderId="89" xfId="0" applyFont="1" applyBorder="1" applyAlignment="1">
      <alignment vertical="center"/>
    </xf>
    <xf numFmtId="0" fontId="124" fillId="0" borderId="94" xfId="0" applyFont="1" applyBorder="1" applyAlignment="1">
      <alignment vertical="center"/>
    </xf>
    <xf numFmtId="0" fontId="124" fillId="0" borderId="49" xfId="0" applyFont="1" applyBorder="1" applyAlignment="1">
      <alignment vertical="center"/>
    </xf>
    <xf numFmtId="0" fontId="124" fillId="0" borderId="95" xfId="0" applyFont="1" applyBorder="1" applyAlignment="1">
      <alignment vertical="center"/>
    </xf>
    <xf numFmtId="0" fontId="57" fillId="0" borderId="0" xfId="0" applyFont="1" applyFill="1" applyAlignment="1">
      <alignment horizontal="left" wrapText="1"/>
    </xf>
  </cellXfs>
  <cellStyles count="30160">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Heavy 2 2" xfId="26877"/>
    <cellStyle name="Border Thin" xfId="545"/>
    <cellStyle name="Border Thin 2" xfId="24055"/>
    <cellStyle name="Border Thin 2 2" xfId="27048"/>
    <cellStyle name="Border Thin 2 3" xfId="29401"/>
    <cellStyle name="Border Thin 3" xfId="26039"/>
    <cellStyle name="Border Thin 4" xfId="29400"/>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2 2" xfId="27452"/>
    <cellStyle name="Calculation 2 2 2 2 3" xfId="29191"/>
    <cellStyle name="Calculation 2 2 2 2 4" xfId="26814"/>
    <cellStyle name="Calculation 2 2 2 2 5" xfId="29396"/>
    <cellStyle name="Calculation 2 2 2 3" xfId="25658"/>
    <cellStyle name="Calculation 2 2 2 3 2" xfId="27811"/>
    <cellStyle name="Calculation 2 2 2 3 3" xfId="29238"/>
    <cellStyle name="Calculation 2 2 2 3 4" xfId="26123"/>
    <cellStyle name="Calculation 2 2 2 3 5" xfId="29395"/>
    <cellStyle name="Calculation 2 2 2 4" xfId="27288"/>
    <cellStyle name="Calculation 2 2 2 5" xfId="26681"/>
    <cellStyle name="Calculation 2 2 2 6" xfId="26813"/>
    <cellStyle name="Calculation 2 2 2 7" xfId="29397"/>
    <cellStyle name="Calculation 2 2 3" xfId="25022"/>
    <cellStyle name="Calculation 2 2 3 2" xfId="25431"/>
    <cellStyle name="Calculation 2 2 3 2 2" xfId="27585"/>
    <cellStyle name="Calculation 2 2 3 2 3" xfId="29211"/>
    <cellStyle name="Calculation 2 2 3 2 4" xfId="26248"/>
    <cellStyle name="Calculation 2 2 3 2 5" xfId="29393"/>
    <cellStyle name="Calculation 2 2 3 3" xfId="25669"/>
    <cellStyle name="Calculation 2 2 3 3 2" xfId="27822"/>
    <cellStyle name="Calculation 2 2 3 3 3" xfId="29249"/>
    <cellStyle name="Calculation 2 2 3 3 4" xfId="26829"/>
    <cellStyle name="Calculation 2 2 3 3 5" xfId="29392"/>
    <cellStyle name="Calculation 2 2 3 4" xfId="27352"/>
    <cellStyle name="Calculation 2 2 3 5" xfId="26190"/>
    <cellStyle name="Calculation 2 2 3 6" xfId="26920"/>
    <cellStyle name="Calculation 2 2 3 7" xfId="29394"/>
    <cellStyle name="Calculation 2 2 4" xfId="25556"/>
    <cellStyle name="Calculation 2 2 4 2" xfId="27709"/>
    <cellStyle name="Calculation 2 2 4 3" xfId="29224"/>
    <cellStyle name="Calculation 2 2 4 4" xfId="26702"/>
    <cellStyle name="Calculation 2 2 4 5" xfId="29391"/>
    <cellStyle name="Calculation 2 2 5" xfId="27050"/>
    <cellStyle name="Calculation 2 2 6" xfId="26271"/>
    <cellStyle name="Calculation 2 2 7" xfId="26776"/>
    <cellStyle name="Calculation 2 2 8" xfId="29398"/>
    <cellStyle name="Calculation 2 3" xfId="24056"/>
    <cellStyle name="Calculation 2 3 2" xfId="25555"/>
    <cellStyle name="Calculation 2 3 2 2" xfId="27708"/>
    <cellStyle name="Calculation 2 3 2 3" xfId="29223"/>
    <cellStyle name="Calculation 2 3 2 4" xfId="26959"/>
    <cellStyle name="Calculation 2 3 2 5" xfId="29389"/>
    <cellStyle name="Calculation 2 3 3" xfId="27049"/>
    <cellStyle name="Calculation 2 3 4" xfId="26867"/>
    <cellStyle name="Calculation 2 3 5" xfId="26178"/>
    <cellStyle name="Calculation 2 3 6" xfId="29390"/>
    <cellStyle name="Calculation 2 4" xfId="24698"/>
    <cellStyle name="Calculation 2 4 2" xfId="25361"/>
    <cellStyle name="Calculation 2 4 2 2" xfId="27515"/>
    <cellStyle name="Calculation 2 4 2 3" xfId="29200"/>
    <cellStyle name="Calculation 2 4 2 4" xfId="26357"/>
    <cellStyle name="Calculation 2 4 2 5" xfId="29387"/>
    <cellStyle name="Calculation 2 4 3" xfId="25657"/>
    <cellStyle name="Calculation 2 4 3 2" xfId="27810"/>
    <cellStyle name="Calculation 2 4 3 3" xfId="29237"/>
    <cellStyle name="Calculation 2 4 3 4" xfId="26351"/>
    <cellStyle name="Calculation 2 4 3 5" xfId="29386"/>
    <cellStyle name="Calculation 2 4 4" xfId="27287"/>
    <cellStyle name="Calculation 2 4 5" xfId="26034"/>
    <cellStyle name="Calculation 2 4 6" xfId="27074"/>
    <cellStyle name="Calculation 2 4 7" xfId="29388"/>
    <cellStyle name="Calculation 2 5" xfId="25021"/>
    <cellStyle name="Calculation 2 5 2" xfId="25330"/>
    <cellStyle name="Calculation 2 5 2 2" xfId="27484"/>
    <cellStyle name="Calculation 2 5 2 3" xfId="29193"/>
    <cellStyle name="Calculation 2 5 2 4" xfId="26275"/>
    <cellStyle name="Calculation 2 5 2 5" xfId="29384"/>
    <cellStyle name="Calculation 2 5 3" xfId="25668"/>
    <cellStyle name="Calculation 2 5 3 2" xfId="27821"/>
    <cellStyle name="Calculation 2 5 3 3" xfId="29248"/>
    <cellStyle name="Calculation 2 5 3 4" xfId="26355"/>
    <cellStyle name="Calculation 2 5 3 5" xfId="29383"/>
    <cellStyle name="Calculation 2 5 4" xfId="27351"/>
    <cellStyle name="Calculation 2 5 5" xfId="26189"/>
    <cellStyle name="Calculation 2 5 6" xfId="27319"/>
    <cellStyle name="Calculation 2 5 7" xfId="29385"/>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2 2 2" xfId="27710"/>
    <cellStyle name="Calculation 3 2 2 3" xfId="29225"/>
    <cellStyle name="Calculation 3 2 2 4" xfId="26745"/>
    <cellStyle name="Calculation 3 2 2 5" xfId="29381"/>
    <cellStyle name="Calculation 3 2 3" xfId="27051"/>
    <cellStyle name="Calculation 3 2 4" xfId="26795"/>
    <cellStyle name="Calculation 3 2 5" xfId="27304"/>
    <cellStyle name="Calculation 3 2 6" xfId="29382"/>
    <cellStyle name="Calculation 3 3" xfId="24700"/>
    <cellStyle name="Calculation 3 3 2" xfId="25287"/>
    <cellStyle name="Calculation 3 3 2 2" xfId="27442"/>
    <cellStyle name="Calculation 3 3 2 3" xfId="29189"/>
    <cellStyle name="Calculation 3 3 2 4" xfId="27151"/>
    <cellStyle name="Calculation 3 3 2 5" xfId="29379"/>
    <cellStyle name="Calculation 3 3 3" xfId="25659"/>
    <cellStyle name="Calculation 3 3 3 2" xfId="27812"/>
    <cellStyle name="Calculation 3 3 3 3" xfId="29239"/>
    <cellStyle name="Calculation 3 3 3 4" xfId="26534"/>
    <cellStyle name="Calculation 3 3 3 5" xfId="29378"/>
    <cellStyle name="Calculation 3 3 4" xfId="27289"/>
    <cellStyle name="Calculation 3 3 5" xfId="26624"/>
    <cellStyle name="Calculation 3 3 6" xfId="27323"/>
    <cellStyle name="Calculation 3 3 7" xfId="29380"/>
    <cellStyle name="Calculation 3 4" xfId="25023"/>
    <cellStyle name="Calculation 3 4 2" xfId="25347"/>
    <cellStyle name="Calculation 3 4 2 2" xfId="27501"/>
    <cellStyle name="Calculation 3 4 2 3" xfId="29196"/>
    <cellStyle name="Calculation 3 4 2 4" xfId="26075"/>
    <cellStyle name="Calculation 3 4 2 5" xfId="29376"/>
    <cellStyle name="Calculation 3 4 3" xfId="25670"/>
    <cellStyle name="Calculation 3 4 3 2" xfId="27823"/>
    <cellStyle name="Calculation 3 4 3 3" xfId="29250"/>
    <cellStyle name="Calculation 3 4 3 4" xfId="26950"/>
    <cellStyle name="Calculation 3 4 3 5" xfId="29375"/>
    <cellStyle name="Calculation 3 4 4" xfId="27353"/>
    <cellStyle name="Calculation 3 4 5" xfId="26191"/>
    <cellStyle name="Calculation 3 4 6" xfId="26841"/>
    <cellStyle name="Calculation 3 4 7" xfId="29377"/>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2 2 2" xfId="27711"/>
    <cellStyle name="Calculation 4 2 2 3" xfId="29226"/>
    <cellStyle name="Calculation 4 2 2 4" xfId="27023"/>
    <cellStyle name="Calculation 4 2 2 5" xfId="29373"/>
    <cellStyle name="Calculation 4 2 3" xfId="27052"/>
    <cellStyle name="Calculation 4 2 4" xfId="26716"/>
    <cellStyle name="Calculation 4 2 5" xfId="26470"/>
    <cellStyle name="Calculation 4 2 6" xfId="29374"/>
    <cellStyle name="Calculation 4 3" xfId="24701"/>
    <cellStyle name="Calculation 4 3 2" xfId="25369"/>
    <cellStyle name="Calculation 4 3 2 2" xfId="27523"/>
    <cellStyle name="Calculation 4 3 2 3" xfId="29202"/>
    <cellStyle name="Calculation 4 3 2 4" xfId="27320"/>
    <cellStyle name="Calculation 4 3 2 5" xfId="29371"/>
    <cellStyle name="Calculation 4 3 3" xfId="25660"/>
    <cellStyle name="Calculation 4 3 3 2" xfId="27813"/>
    <cellStyle name="Calculation 4 3 3 3" xfId="29240"/>
    <cellStyle name="Calculation 4 3 3 4" xfId="26180"/>
    <cellStyle name="Calculation 4 3 3 5" xfId="29370"/>
    <cellStyle name="Calculation 4 3 4" xfId="27290"/>
    <cellStyle name="Calculation 4 3 5" xfId="27107"/>
    <cellStyle name="Calculation 4 3 6" xfId="26359"/>
    <cellStyle name="Calculation 4 3 7" xfId="29372"/>
    <cellStyle name="Calculation 4 4" xfId="25024"/>
    <cellStyle name="Calculation 4 4 2" xfId="25448"/>
    <cellStyle name="Calculation 4 4 2 2" xfId="27602"/>
    <cellStyle name="Calculation 4 4 2 3" xfId="29215"/>
    <cellStyle name="Calculation 4 4 2 4" xfId="26281"/>
    <cellStyle name="Calculation 4 4 2 5" xfId="29368"/>
    <cellStyle name="Calculation 4 4 3" xfId="25671"/>
    <cellStyle name="Calculation 4 4 3 2" xfId="27824"/>
    <cellStyle name="Calculation 4 4 3 3" xfId="29251"/>
    <cellStyle name="Calculation 4 4 3 4" xfId="26873"/>
    <cellStyle name="Calculation 4 4 3 5" xfId="29367"/>
    <cellStyle name="Calculation 4 4 4" xfId="27354"/>
    <cellStyle name="Calculation 4 4 5" xfId="26192"/>
    <cellStyle name="Calculation 4 4 6" xfId="26689"/>
    <cellStyle name="Calculation 4 4 7" xfId="29369"/>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2" builtinId="3"/>
    <cellStyle name="Comma  - Style1" xfId="12"/>
    <cellStyle name="Comma  - Style1 2" xfId="25800"/>
    <cellStyle name="Comma  - Style2" xfId="13"/>
    <cellStyle name="Comma  - Style2 2" xfId="25801"/>
    <cellStyle name="Comma  - Style3" xfId="14"/>
    <cellStyle name="Comma  - Style3 2" xfId="25802"/>
    <cellStyle name="Comma  - Style4" xfId="15"/>
    <cellStyle name="Comma  - Style4 2" xfId="25803"/>
    <cellStyle name="Comma  - Style5" xfId="16"/>
    <cellStyle name="Comma  - Style5 2" xfId="25804"/>
    <cellStyle name="Comma  - Style6" xfId="17"/>
    <cellStyle name="Comma  - Style6 2" xfId="25805"/>
    <cellStyle name="Comma  - Style7" xfId="18"/>
    <cellStyle name="Comma  - Style7 2" xfId="25806"/>
    <cellStyle name="Comma  - Style8" xfId="19"/>
    <cellStyle name="Comma  - Style8 2" xfId="25807"/>
    <cellStyle name="Comma (0)" xfId="20"/>
    <cellStyle name="Comma [0] 2" xfId="176"/>
    <cellStyle name="Comma [0] 2 2" xfId="2588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4"/>
    <cellStyle name="Comma 10 10 2" xfId="27894"/>
    <cellStyle name="Comma 10 11" xfId="28614"/>
    <cellStyle name="Comma 10 11 2" xfId="28856"/>
    <cellStyle name="Comma 10 12" xfId="28615"/>
    <cellStyle name="Comma 10 12 2" xfId="28857"/>
    <cellStyle name="Comma 10 13" xfId="28616"/>
    <cellStyle name="Comma 10 13 2" xfId="28858"/>
    <cellStyle name="Comma 10 2" xfId="281"/>
    <cellStyle name="Comma 10 2 2" xfId="25940"/>
    <cellStyle name="Comma 10 3" xfId="633"/>
    <cellStyle name="Comma 10 3 2" xfId="13905"/>
    <cellStyle name="Comma 10 3 2 2" xfId="28859"/>
    <cellStyle name="Comma 10 3 3" xfId="28617"/>
    <cellStyle name="Comma 10 4" xfId="28618"/>
    <cellStyle name="Comma 10 4 2" xfId="28860"/>
    <cellStyle name="Comma 10 5" xfId="28619"/>
    <cellStyle name="Comma 10 5 2" xfId="28861"/>
    <cellStyle name="Comma 10 6" xfId="28620"/>
    <cellStyle name="Comma 10 6 2" xfId="28862"/>
    <cellStyle name="Comma 10 7" xfId="28621"/>
    <cellStyle name="Comma 10 7 2" xfId="28863"/>
    <cellStyle name="Comma 10 8" xfId="28622"/>
    <cellStyle name="Comma 10 8 2" xfId="28864"/>
    <cellStyle name="Comma 10 9" xfId="28623"/>
    <cellStyle name="Comma 10 9 2" xfId="28865"/>
    <cellStyle name="Comma 11" xfId="178"/>
    <cellStyle name="Comma 11 10" xfId="28624"/>
    <cellStyle name="Comma 11 10 2" xfId="28866"/>
    <cellStyle name="Comma 11 11" xfId="28625"/>
    <cellStyle name="Comma 11 11 2" xfId="28867"/>
    <cellStyle name="Comma 11 12" xfId="28626"/>
    <cellStyle name="Comma 11 12 2" xfId="28868"/>
    <cellStyle name="Comma 11 13" xfId="28627"/>
    <cellStyle name="Comma 11 13 2" xfId="28869"/>
    <cellStyle name="Comma 11 2" xfId="634"/>
    <cellStyle name="Comma 11 2 2" xfId="28870"/>
    <cellStyle name="Comma 11 2 3" xfId="28628"/>
    <cellStyle name="Comma 11 3" xfId="23929"/>
    <cellStyle name="Comma 11 3 2" xfId="28871"/>
    <cellStyle name="Comma 11 3 3" xfId="28629"/>
    <cellStyle name="Comma 11 4" xfId="25887"/>
    <cellStyle name="Comma 11 4 2" xfId="28872"/>
    <cellStyle name="Comma 11 5" xfId="28630"/>
    <cellStyle name="Comma 11 5 2" xfId="28873"/>
    <cellStyle name="Comma 11 6" xfId="28631"/>
    <cellStyle name="Comma 11 6 2" xfId="28874"/>
    <cellStyle name="Comma 11 7" xfId="28632"/>
    <cellStyle name="Comma 11 7 2" xfId="28875"/>
    <cellStyle name="Comma 11 8" xfId="28633"/>
    <cellStyle name="Comma 11 8 2" xfId="28876"/>
    <cellStyle name="Comma 11 9" xfId="28634"/>
    <cellStyle name="Comma 11 9 2" xfId="28877"/>
    <cellStyle name="Comma 12" xfId="179"/>
    <cellStyle name="Comma 12 10" xfId="28635"/>
    <cellStyle name="Comma 12 10 2" xfId="28878"/>
    <cellStyle name="Comma 12 11" xfId="28636"/>
    <cellStyle name="Comma 12 11 2" xfId="28879"/>
    <cellStyle name="Comma 12 12" xfId="28637"/>
    <cellStyle name="Comma 12 12 2" xfId="28880"/>
    <cellStyle name="Comma 12 13" xfId="28638"/>
    <cellStyle name="Comma 12 13 2" xfId="28881"/>
    <cellStyle name="Comma 12 2" xfId="25888"/>
    <cellStyle name="Comma 12 2 2" xfId="28882"/>
    <cellStyle name="Comma 12 3" xfId="28639"/>
    <cellStyle name="Comma 12 3 2" xfId="28883"/>
    <cellStyle name="Comma 12 4" xfId="28640"/>
    <cellStyle name="Comma 12 4 2" xfId="28884"/>
    <cellStyle name="Comma 12 5" xfId="28641"/>
    <cellStyle name="Comma 12 5 2" xfId="28885"/>
    <cellStyle name="Comma 12 6" xfId="28642"/>
    <cellStyle name="Comma 12 6 2" xfId="28886"/>
    <cellStyle name="Comma 12 7" xfId="28643"/>
    <cellStyle name="Comma 12 7 2" xfId="28887"/>
    <cellStyle name="Comma 12 8" xfId="28644"/>
    <cellStyle name="Comma 12 8 2" xfId="28888"/>
    <cellStyle name="Comma 12 9" xfId="28645"/>
    <cellStyle name="Comma 12 9 2" xfId="28889"/>
    <cellStyle name="Comma 13" xfId="180"/>
    <cellStyle name="Comma 13 10" xfId="28646"/>
    <cellStyle name="Comma 13 10 2" xfId="28890"/>
    <cellStyle name="Comma 13 11" xfId="28647"/>
    <cellStyle name="Comma 13 11 2" xfId="28891"/>
    <cellStyle name="Comma 13 12" xfId="28648"/>
    <cellStyle name="Comma 13 12 2" xfId="28892"/>
    <cellStyle name="Comma 13 13" xfId="28649"/>
    <cellStyle name="Comma 13 13 2" xfId="28893"/>
    <cellStyle name="Comma 13 2" xfId="25889"/>
    <cellStyle name="Comma 13 2 2" xfId="28894"/>
    <cellStyle name="Comma 13 3" xfId="28650"/>
    <cellStyle name="Comma 13 3 2" xfId="28895"/>
    <cellStyle name="Comma 13 4" xfId="28651"/>
    <cellStyle name="Comma 13 4 2" xfId="28896"/>
    <cellStyle name="Comma 13 5" xfId="28652"/>
    <cellStyle name="Comma 13 5 2" xfId="28897"/>
    <cellStyle name="Comma 13 6" xfId="28653"/>
    <cellStyle name="Comma 13 6 2" xfId="28898"/>
    <cellStyle name="Comma 13 7" xfId="28654"/>
    <cellStyle name="Comma 13 7 2" xfId="28899"/>
    <cellStyle name="Comma 13 8" xfId="28655"/>
    <cellStyle name="Comma 13 8 2" xfId="28900"/>
    <cellStyle name="Comma 13 9" xfId="28656"/>
    <cellStyle name="Comma 13 9 2" xfId="28901"/>
    <cellStyle name="Comma 14" xfId="175"/>
    <cellStyle name="Comma 14 10" xfId="28657"/>
    <cellStyle name="Comma 14 10 2" xfId="28902"/>
    <cellStyle name="Comma 14 11" xfId="28658"/>
    <cellStyle name="Comma 14 11 2" xfId="28903"/>
    <cellStyle name="Comma 14 12" xfId="28659"/>
    <cellStyle name="Comma 14 12 2" xfId="28904"/>
    <cellStyle name="Comma 14 13" xfId="28660"/>
    <cellStyle name="Comma 14 13 2" xfId="28905"/>
    <cellStyle name="Comma 14 2" xfId="25885"/>
    <cellStyle name="Comma 14 2 2" xfId="28906"/>
    <cellStyle name="Comma 14 3" xfId="28661"/>
    <cellStyle name="Comma 14 3 2" xfId="28907"/>
    <cellStyle name="Comma 14 4" xfId="28662"/>
    <cellStyle name="Comma 14 4 2" xfId="28908"/>
    <cellStyle name="Comma 14 5" xfId="28663"/>
    <cellStyle name="Comma 14 5 2" xfId="28909"/>
    <cellStyle name="Comma 14 6" xfId="28664"/>
    <cellStyle name="Comma 14 6 2" xfId="28910"/>
    <cellStyle name="Comma 14 7" xfId="28665"/>
    <cellStyle name="Comma 14 7 2" xfId="28911"/>
    <cellStyle name="Comma 14 8" xfId="28666"/>
    <cellStyle name="Comma 14 8 2" xfId="28912"/>
    <cellStyle name="Comma 14 9" xfId="28667"/>
    <cellStyle name="Comma 14 9 2" xfId="28913"/>
    <cellStyle name="Comma 15" xfId="181"/>
    <cellStyle name="Comma 15 2" xfId="27900"/>
    <cellStyle name="Comma 15 3" xfId="25890"/>
    <cellStyle name="Comma 16" xfId="173"/>
    <cellStyle name="Comma 16 2" xfId="27903"/>
    <cellStyle name="Comma 16 3" xfId="25883"/>
    <cellStyle name="Comma 17" xfId="182"/>
    <cellStyle name="Comma 17 2" xfId="25891"/>
    <cellStyle name="Comma 18" xfId="174"/>
    <cellStyle name="Comma 18 2" xfId="27915"/>
    <cellStyle name="Comma 18 3" xfId="25884"/>
    <cellStyle name="Comma 19" xfId="283"/>
    <cellStyle name="Comma 19 2" xfId="25942"/>
    <cellStyle name="Comma 2" xfId="5"/>
    <cellStyle name="Comma 2 10" xfId="25766"/>
    <cellStyle name="Comma 2 2" xfId="21"/>
    <cellStyle name="Comma 2 2 2" xfId="398"/>
    <cellStyle name="Comma 2 2 2 2" xfId="637"/>
    <cellStyle name="Comma 2 2 2 3" xfId="636"/>
    <cellStyle name="Comma 2 2 2 4" xfId="25780"/>
    <cellStyle name="Comma 2 2 2 5" xfId="28915"/>
    <cellStyle name="Comma 2 2 3" xfId="374"/>
    <cellStyle name="Comma 2 2 3 2" xfId="638"/>
    <cellStyle name="Comma 2 2 3 3" xfId="25993"/>
    <cellStyle name="Comma 2 2 4" xfId="23898"/>
    <cellStyle name="Comma 2 2 5" xfId="25767"/>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2 5" xfId="28916"/>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3 8" xfId="28668"/>
    <cellStyle name="Comma 2 4" xfId="351"/>
    <cellStyle name="Comma 2 4 2" xfId="25781"/>
    <cellStyle name="Comma 2 4 2 2" xfId="28917"/>
    <cellStyle name="Comma 2 4 3" xfId="25768"/>
    <cellStyle name="Comma 2 4 4" xfId="27922"/>
    <cellStyle name="Comma 2 4 5" xfId="25988"/>
    <cellStyle name="Comma 2 5" xfId="373"/>
    <cellStyle name="Comma 2 5 2" xfId="25782"/>
    <cellStyle name="Comma 2 5 2 2" xfId="28918"/>
    <cellStyle name="Comma 2 5 3" xfId="25769"/>
    <cellStyle name="Comma 2 5 4" xfId="28669"/>
    <cellStyle name="Comma 2 6" xfId="635"/>
    <cellStyle name="Comma 2 6 2" xfId="13906"/>
    <cellStyle name="Comma 2 6 2 2" xfId="28919"/>
    <cellStyle name="Comma 2 6 3" xfId="25779"/>
    <cellStyle name="Comma 2 7" xfId="2588"/>
    <cellStyle name="Comma 2 7 2" xfId="28914"/>
    <cellStyle name="Comma 2 8" xfId="13603"/>
    <cellStyle name="Comma 2 8 2" xfId="26556"/>
    <cellStyle name="Comma 2 9" xfId="12600"/>
    <cellStyle name="Comma 20" xfId="282"/>
    <cellStyle name="Comma 20 2" xfId="27914"/>
    <cellStyle name="Comma 20 3" xfId="25941"/>
    <cellStyle name="Comma 21" xfId="290"/>
    <cellStyle name="Comma 21 2" xfId="369"/>
    <cellStyle name="Comma 21 2 2" xfId="25992"/>
    <cellStyle name="Comma 21 3" xfId="27913"/>
    <cellStyle name="Comma 21 4" xfId="25947"/>
    <cellStyle name="Comma 22" xfId="288"/>
    <cellStyle name="Comma 22 2" xfId="27912"/>
    <cellStyle name="Comma 22 3" xfId="25945"/>
    <cellStyle name="Comma 23" xfId="291"/>
    <cellStyle name="Comma 23 2" xfId="27911"/>
    <cellStyle name="Comma 23 3" xfId="25948"/>
    <cellStyle name="Comma 24" xfId="289"/>
    <cellStyle name="Comma 24 2" xfId="27910"/>
    <cellStyle name="Comma 24 3" xfId="25946"/>
    <cellStyle name="Comma 25" xfId="301"/>
    <cellStyle name="Comma 25 2" xfId="27902"/>
    <cellStyle name="Comma 25 3" xfId="25954"/>
    <cellStyle name="Comma 26" xfId="300"/>
    <cellStyle name="Comma 26 2" xfId="27909"/>
    <cellStyle name="Comma 26 3" xfId="25953"/>
    <cellStyle name="Comma 27" xfId="312"/>
    <cellStyle name="Comma 27 2" xfId="25962"/>
    <cellStyle name="Comma 28" xfId="311"/>
    <cellStyle name="Comma 28 2" xfId="25961"/>
    <cellStyle name="Comma 29" xfId="313"/>
    <cellStyle name="Comma 29 2" xfId="25963"/>
    <cellStyle name="Comma 3" xfId="10"/>
    <cellStyle name="Comma 3 10" xfId="23905"/>
    <cellStyle name="Comma 3 10 2" xfId="28920"/>
    <cellStyle name="Comma 3 10 3" xfId="28670"/>
    <cellStyle name="Comma 3 11" xfId="25777"/>
    <cellStyle name="Comma 3 11 2" xfId="28921"/>
    <cellStyle name="Comma 3 11 3" xfId="28671"/>
    <cellStyle name="Comma 3 12" xfId="25799"/>
    <cellStyle name="Comma 3 12 2" xfId="28922"/>
    <cellStyle name="Comma 3 13" xfId="28672"/>
    <cellStyle name="Comma 3 13 2" xfId="28923"/>
    <cellStyle name="Comma 3 14" xfId="30159"/>
    <cellStyle name="Comma 3 2" xfId="22"/>
    <cellStyle name="Comma 3 2 2" xfId="28924"/>
    <cellStyle name="Comma 3 2 3" xfId="28673"/>
    <cellStyle name="Comma 3 3" xfId="184"/>
    <cellStyle name="Comma 3 3 2" xfId="28925"/>
    <cellStyle name="Comma 3 3 3" xfId="28674"/>
    <cellStyle name="Comma 3 4" xfId="353"/>
    <cellStyle name="Comma 3 4 2" xfId="25990"/>
    <cellStyle name="Comma 3 5" xfId="397"/>
    <cellStyle name="Comma 3 5 2" xfId="26007"/>
    <cellStyle name="Comma 3 6" xfId="375"/>
    <cellStyle name="Comma 3 6 2" xfId="28926"/>
    <cellStyle name="Comma 3 6 3" xfId="28675"/>
    <cellStyle name="Comma 3 7" xfId="2589"/>
    <cellStyle name="Comma 3 7 2" xfId="28927"/>
    <cellStyle name="Comma 3 7 3" xfId="28676"/>
    <cellStyle name="Comma 3 8" xfId="13605"/>
    <cellStyle name="Comma 3 8 2" xfId="26558"/>
    <cellStyle name="Comma 3 9" xfId="13599"/>
    <cellStyle name="Comma 3 9 2" xfId="28928"/>
    <cellStyle name="Comma 3 9 3" xfId="28677"/>
    <cellStyle name="Comma 30" xfId="310"/>
    <cellStyle name="Comma 30 2" xfId="25960"/>
    <cellStyle name="Comma 31" xfId="314"/>
    <cellStyle name="Comma 31 2" xfId="27916"/>
    <cellStyle name="Comma 31 3" xfId="25964"/>
    <cellStyle name="Comma 32" xfId="308"/>
    <cellStyle name="Comma 32 2" xfId="27918"/>
    <cellStyle name="Comma 32 3" xfId="25959"/>
    <cellStyle name="Comma 33" xfId="315"/>
    <cellStyle name="Comma 33 2" xfId="25965"/>
    <cellStyle name="Comma 34" xfId="306"/>
    <cellStyle name="Comma 34 2" xfId="27908"/>
    <cellStyle name="Comma 34 3" xfId="25957"/>
    <cellStyle name="Comma 35" xfId="337"/>
    <cellStyle name="Comma 35 2" xfId="27917"/>
    <cellStyle name="Comma 35 3" xfId="25979"/>
    <cellStyle name="Comma 36" xfId="334"/>
    <cellStyle name="Comma 36 2" xfId="25976"/>
    <cellStyle name="Comma 37" xfId="338"/>
    <cellStyle name="Comma 37 2" xfId="25980"/>
    <cellStyle name="Comma 38" xfId="336"/>
    <cellStyle name="Comma 38 2" xfId="25978"/>
    <cellStyle name="Comma 39" xfId="394"/>
    <cellStyle name="Comma 39 2" xfId="26004"/>
    <cellStyle name="Comma 4" xfId="8"/>
    <cellStyle name="Comma 4 10" xfId="28678"/>
    <cellStyle name="Comma 4 10 2" xfId="28929"/>
    <cellStyle name="Comma 4 11" xfId="28679"/>
    <cellStyle name="Comma 4 11 2" xfId="28930"/>
    <cellStyle name="Comma 4 12" xfId="28680"/>
    <cellStyle name="Comma 4 12 2" xfId="28931"/>
    <cellStyle name="Comma 4 13" xfId="28681"/>
    <cellStyle name="Comma 4 13 2" xfId="28932"/>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2 5" xfId="28933"/>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2 7 2" xfId="27055"/>
    <cellStyle name="Comma 4 3" xfId="352"/>
    <cellStyle name="Comma 4 3 2" xfId="25989"/>
    <cellStyle name="Comma 4 4" xfId="640"/>
    <cellStyle name="Comma 4 4 2" xfId="28934"/>
    <cellStyle name="Comma 4 4 3" xfId="28682"/>
    <cellStyle name="Comma 4 5" xfId="3619"/>
    <cellStyle name="Comma 4 5 2" xfId="28935"/>
    <cellStyle name="Comma 4 5 3" xfId="28683"/>
    <cellStyle name="Comma 4 6" xfId="25790"/>
    <cellStyle name="Comma 4 6 2" xfId="28936"/>
    <cellStyle name="Comma 4 7" xfId="28684"/>
    <cellStyle name="Comma 4 7 2" xfId="28937"/>
    <cellStyle name="Comma 4 8" xfId="28685"/>
    <cellStyle name="Comma 4 8 2" xfId="28938"/>
    <cellStyle name="Comma 4 9" xfId="28686"/>
    <cellStyle name="Comma 4 9 2" xfId="28939"/>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4 2" xfId="26553"/>
    <cellStyle name="Comma 45" xfId="23886"/>
    <cellStyle name="Comma 46" xfId="23891"/>
    <cellStyle name="Comma 47" xfId="23895"/>
    <cellStyle name="Comma 48" xfId="23899"/>
    <cellStyle name="Comma 49" xfId="2"/>
    <cellStyle name="Comma 49 2" xfId="25796"/>
    <cellStyle name="Comma 5" xfId="23"/>
    <cellStyle name="Comma 5 10" xfId="28687"/>
    <cellStyle name="Comma 5 10 2" xfId="28940"/>
    <cellStyle name="Comma 5 11" xfId="28688"/>
    <cellStyle name="Comma 5 11 2" xfId="28941"/>
    <cellStyle name="Comma 5 12" xfId="28689"/>
    <cellStyle name="Comma 5 12 2" xfId="28942"/>
    <cellStyle name="Comma 5 13" xfId="28690"/>
    <cellStyle name="Comma 5 13 2" xfId="28943"/>
    <cellStyle name="Comma 5 2" xfId="24069"/>
    <cellStyle name="Comma 5 2 2" xfId="28944"/>
    <cellStyle name="Comma 5 2 3" xfId="28691"/>
    <cellStyle name="Comma 5 3" xfId="28692"/>
    <cellStyle name="Comma 5 3 2" xfId="28945"/>
    <cellStyle name="Comma 5 4" xfId="28693"/>
    <cellStyle name="Comma 5 4 2" xfId="28946"/>
    <cellStyle name="Comma 5 5" xfId="28694"/>
    <cellStyle name="Comma 5 5 2" xfId="28947"/>
    <cellStyle name="Comma 5 6" xfId="28695"/>
    <cellStyle name="Comma 5 6 2" xfId="28948"/>
    <cellStyle name="Comma 5 7" xfId="28696"/>
    <cellStyle name="Comma 5 7 2" xfId="28949"/>
    <cellStyle name="Comma 5 8" xfId="28697"/>
    <cellStyle name="Comma 5 8 2" xfId="28950"/>
    <cellStyle name="Comma 5 9" xfId="28698"/>
    <cellStyle name="Comma 5 9 2" xfId="28951"/>
    <cellStyle name="Comma 50" xfId="25277"/>
    <cellStyle name="Comma 50 2" xfId="27432"/>
    <cellStyle name="Comma 51" xfId="25294"/>
    <cellStyle name="Comma 51 2" xfId="27449"/>
    <cellStyle name="Comma 52" xfId="25456"/>
    <cellStyle name="Comma 52 2" xfId="27609"/>
    <cellStyle name="Comma 53" xfId="25747"/>
    <cellStyle name="Comma 54" xfId="25753"/>
    <cellStyle name="Comma 55" xfId="25754"/>
    <cellStyle name="Comma 56" xfId="25759"/>
    <cellStyle name="Comma 57" xfId="25760"/>
    <cellStyle name="Comma 58" xfId="28613"/>
    <cellStyle name="Comma 59" xfId="28843"/>
    <cellStyle name="Comma 6" xfId="24"/>
    <cellStyle name="Comma 6 10" xfId="28699"/>
    <cellStyle name="Comma 6 10 2" xfId="28952"/>
    <cellStyle name="Comma 6 11" xfId="28700"/>
    <cellStyle name="Comma 6 11 2" xfId="28953"/>
    <cellStyle name="Comma 6 12" xfId="28701"/>
    <cellStyle name="Comma 6 12 2" xfId="28954"/>
    <cellStyle name="Comma 6 13" xfId="28702"/>
    <cellStyle name="Comma 6 13 2" xfId="28955"/>
    <cellStyle name="Comma 6 2" xfId="399"/>
    <cellStyle name="Comma 6 2 2" xfId="24319"/>
    <cellStyle name="Comma 6 2 2 2" xfId="28956"/>
    <cellStyle name="Comma 6 2 3" xfId="24783"/>
    <cellStyle name="Comma 6 2 4" xfId="25150"/>
    <cellStyle name="Comma 6 2 5" xfId="26008"/>
    <cellStyle name="Comma 6 3" xfId="376"/>
    <cellStyle name="Comma 6 3 2" xfId="28957"/>
    <cellStyle name="Comma 6 3 3" xfId="28703"/>
    <cellStyle name="Comma 6 4" xfId="23931"/>
    <cellStyle name="Comma 6 4 2" xfId="28958"/>
    <cellStyle name="Comma 6 4 3" xfId="28704"/>
    <cellStyle name="Comma 6 5" xfId="24558"/>
    <cellStyle name="Comma 6 5 2" xfId="28959"/>
    <cellStyle name="Comma 6 5 3" xfId="28705"/>
    <cellStyle name="Comma 6 6" xfId="24948"/>
    <cellStyle name="Comma 6 6 2" xfId="28960"/>
    <cellStyle name="Comma 6 6 3" xfId="28706"/>
    <cellStyle name="Comma 6 7" xfId="25808"/>
    <cellStyle name="Comma 6 7 2" xfId="28961"/>
    <cellStyle name="Comma 6 8" xfId="28707"/>
    <cellStyle name="Comma 6 8 2" xfId="28962"/>
    <cellStyle name="Comma 6 9" xfId="28708"/>
    <cellStyle name="Comma 6 9 2" xfId="28963"/>
    <cellStyle name="Comma 60" xfId="29172"/>
    <cellStyle name="Comma 61" xfId="29171"/>
    <cellStyle name="Comma 62" xfId="29169"/>
    <cellStyle name="Comma 63" xfId="29176"/>
    <cellStyle name="Comma 64" xfId="29179"/>
    <cellStyle name="Comma 65" xfId="29177"/>
    <cellStyle name="Comma 66" xfId="29178"/>
    <cellStyle name="Comma 7" xfId="186"/>
    <cellStyle name="Comma 7 10" xfId="28709"/>
    <cellStyle name="Comma 7 10 2" xfId="28964"/>
    <cellStyle name="Comma 7 11" xfId="28710"/>
    <cellStyle name="Comma 7 11 2" xfId="28965"/>
    <cellStyle name="Comma 7 12" xfId="28711"/>
    <cellStyle name="Comma 7 12 2" xfId="28966"/>
    <cellStyle name="Comma 7 13" xfId="28712"/>
    <cellStyle name="Comma 7 13 2" xfId="28967"/>
    <cellStyle name="Comma 7 2" xfId="642"/>
    <cellStyle name="Comma 7 2 2" xfId="24406"/>
    <cellStyle name="Comma 7 2 2 2" xfId="28968"/>
    <cellStyle name="Comma 7 2 3" xfId="24858"/>
    <cellStyle name="Comma 7 2 4" xfId="25223"/>
    <cellStyle name="Comma 7 2 5" xfId="28713"/>
    <cellStyle name="Comma 7 3" xfId="24070"/>
    <cellStyle name="Comma 7 3 2" xfId="28969"/>
    <cellStyle name="Comma 7 3 3" xfId="28714"/>
    <cellStyle name="Comma 7 4" xfId="24703"/>
    <cellStyle name="Comma 7 4 2" xfId="28970"/>
    <cellStyle name="Comma 7 4 3" xfId="28715"/>
    <cellStyle name="Comma 7 5" xfId="25025"/>
    <cellStyle name="Comma 7 5 2" xfId="28971"/>
    <cellStyle name="Comma 7 5 3" xfId="28716"/>
    <cellStyle name="Comma 7 6" xfId="25892"/>
    <cellStyle name="Comma 7 6 2" xfId="28972"/>
    <cellStyle name="Comma 7 7" xfId="28717"/>
    <cellStyle name="Comma 7 7 2" xfId="28973"/>
    <cellStyle name="Comma 7 8" xfId="28718"/>
    <cellStyle name="Comma 7 8 2" xfId="28974"/>
    <cellStyle name="Comma 7 9" xfId="28719"/>
    <cellStyle name="Comma 7 9 2" xfId="28975"/>
    <cellStyle name="Comma 8" xfId="187"/>
    <cellStyle name="Comma 8 10" xfId="28720"/>
    <cellStyle name="Comma 8 10 2" xfId="28976"/>
    <cellStyle name="Comma 8 11" xfId="28721"/>
    <cellStyle name="Comma 8 11 2" xfId="28977"/>
    <cellStyle name="Comma 8 12" xfId="28722"/>
    <cellStyle name="Comma 8 12 2" xfId="28978"/>
    <cellStyle name="Comma 8 13" xfId="28723"/>
    <cellStyle name="Comma 8 13 2" xfId="28979"/>
    <cellStyle name="Comma 8 2" xfId="643"/>
    <cellStyle name="Comma 8 2 2" xfId="13908"/>
    <cellStyle name="Comma 8 2 2 2" xfId="28980"/>
    <cellStyle name="Comma 8 2 3" xfId="24481"/>
    <cellStyle name="Comma 8 2 4" xfId="24913"/>
    <cellStyle name="Comma 8 2 5" xfId="25273"/>
    <cellStyle name="Comma 8 2 6" xfId="28724"/>
    <cellStyle name="Comma 8 3" xfId="24295"/>
    <cellStyle name="Comma 8 3 2" xfId="28981"/>
    <cellStyle name="Comma 8 3 3" xfId="28725"/>
    <cellStyle name="Comma 8 4" xfId="24776"/>
    <cellStyle name="Comma 8 4 2" xfId="28982"/>
    <cellStyle name="Comma 8 4 3" xfId="28726"/>
    <cellStyle name="Comma 8 5" xfId="25145"/>
    <cellStyle name="Comma 8 5 2" xfId="28983"/>
    <cellStyle name="Comma 8 5 3" xfId="28727"/>
    <cellStyle name="Comma 8 6" xfId="25893"/>
    <cellStyle name="Comma 8 6 2" xfId="28984"/>
    <cellStyle name="Comma 8 7" xfId="28728"/>
    <cellStyle name="Comma 8 7 2" xfId="28985"/>
    <cellStyle name="Comma 8 8" xfId="28729"/>
    <cellStyle name="Comma 8 8 2" xfId="28986"/>
    <cellStyle name="Comma 8 9" xfId="28730"/>
    <cellStyle name="Comma 8 9 2" xfId="28987"/>
    <cellStyle name="Comma 9" xfId="188"/>
    <cellStyle name="Comma 9 10" xfId="28731"/>
    <cellStyle name="Comma 9 10 2" xfId="28988"/>
    <cellStyle name="Comma 9 11" xfId="28732"/>
    <cellStyle name="Comma 9 11 2" xfId="28989"/>
    <cellStyle name="Comma 9 12" xfId="28733"/>
    <cellStyle name="Comma 9 12 2" xfId="28990"/>
    <cellStyle name="Comma 9 13" xfId="28734"/>
    <cellStyle name="Comma 9 13 2" xfId="28991"/>
    <cellStyle name="Comma 9 2" xfId="24482"/>
    <cellStyle name="Comma 9 2 2" xfId="24914"/>
    <cellStyle name="Comma 9 2 2 2" xfId="28992"/>
    <cellStyle name="Comma 9 2 3" xfId="25274"/>
    <cellStyle name="Comma 9 2 4" xfId="28735"/>
    <cellStyle name="Comma 9 3" xfId="24296"/>
    <cellStyle name="Comma 9 3 2" xfId="28993"/>
    <cellStyle name="Comma 9 3 3" xfId="28736"/>
    <cellStyle name="Comma 9 4" xfId="24777"/>
    <cellStyle name="Comma 9 4 2" xfId="28994"/>
    <cellStyle name="Comma 9 4 3" xfId="28737"/>
    <cellStyle name="Comma 9 5" xfId="25146"/>
    <cellStyle name="Comma 9 5 2" xfId="28995"/>
    <cellStyle name="Comma 9 5 3" xfId="28738"/>
    <cellStyle name="Comma 9 6" xfId="25894"/>
    <cellStyle name="Comma 9 6 2" xfId="28996"/>
    <cellStyle name="Comma 9 7" xfId="28739"/>
    <cellStyle name="Comma 9 7 2" xfId="28997"/>
    <cellStyle name="Comma 9 8" xfId="28740"/>
    <cellStyle name="Comma 9 8 2" xfId="28998"/>
    <cellStyle name="Comma 9 9" xfId="28741"/>
    <cellStyle name="Comma 9 9 2" xfId="28999"/>
    <cellStyle name="Comma0" xfId="25"/>
    <cellStyle name="Comma0 - Style3" xfId="26"/>
    <cellStyle name="Comma0 - Style4" xfId="27"/>
    <cellStyle name="Comma0 10" xfId="461"/>
    <cellStyle name="Comma0 10 2" xfId="26026"/>
    <cellStyle name="Comma0 11" xfId="24411"/>
    <cellStyle name="Comma0 11 2" xfId="27161"/>
    <cellStyle name="Comma0 12" xfId="24399"/>
    <cellStyle name="Comma0 12 2" xfId="27152"/>
    <cellStyle name="Comma0 13" xfId="24503"/>
    <cellStyle name="Comma0 13 2" xfId="27191"/>
    <cellStyle name="Comma0 14" xfId="24400"/>
    <cellStyle name="Comma0 14 2" xfId="27153"/>
    <cellStyle name="Comma0 15" xfId="24496"/>
    <cellStyle name="Comma0 15 2" xfId="27185"/>
    <cellStyle name="Comma0 16" xfId="24474"/>
    <cellStyle name="Comma0 16 2" xfId="27170"/>
    <cellStyle name="Comma0 17" xfId="24497"/>
    <cellStyle name="Comma0 17 2" xfId="27186"/>
    <cellStyle name="Comma0 18" xfId="24402"/>
    <cellStyle name="Comma0 18 2" xfId="27155"/>
    <cellStyle name="Comma0 19" xfId="24477"/>
    <cellStyle name="Comma0 19 2" xfId="27172"/>
    <cellStyle name="Comma0 2" xfId="400"/>
    <cellStyle name="Comma0 2 2" xfId="24072"/>
    <cellStyle name="Comma0 2 2 2" xfId="27057"/>
    <cellStyle name="Comma0 20" xfId="24508"/>
    <cellStyle name="Comma0 20 2" xfId="27194"/>
    <cellStyle name="Comma0 21" xfId="24509"/>
    <cellStyle name="Comma0 21 2" xfId="27195"/>
    <cellStyle name="Comma0 22" xfId="24510"/>
    <cellStyle name="Comma0 22 2" xfId="27196"/>
    <cellStyle name="Comma0 23" xfId="24512"/>
    <cellStyle name="Comma0 23 2" xfId="27198"/>
    <cellStyle name="Comma0 24" xfId="24513"/>
    <cellStyle name="Comma0 24 2" xfId="27199"/>
    <cellStyle name="Comma0 25" xfId="24514"/>
    <cellStyle name="Comma0 25 2" xfId="27200"/>
    <cellStyle name="Comma0 26" xfId="24515"/>
    <cellStyle name="Comma0 26 2" xfId="27201"/>
    <cellStyle name="Comma0 27" xfId="24516"/>
    <cellStyle name="Comma0 27 2" xfId="27202"/>
    <cellStyle name="Comma0 28" xfId="24517"/>
    <cellStyle name="Comma0 28 2" xfId="27203"/>
    <cellStyle name="Comma0 29" xfId="23909"/>
    <cellStyle name="Comma0 29 2" xfId="27034"/>
    <cellStyle name="Comma0 3" xfId="377"/>
    <cellStyle name="Comma0 3 2" xfId="24073"/>
    <cellStyle name="Comma0 3 2 2" xfId="27058"/>
    <cellStyle name="Comma0 3 3" xfId="25994"/>
    <cellStyle name="Comma0 30" xfId="23926"/>
    <cellStyle name="Comma0 30 2" xfId="27040"/>
    <cellStyle name="Comma0 31" xfId="24531"/>
    <cellStyle name="Comma0 31 2" xfId="27210"/>
    <cellStyle name="Comma0 32" xfId="24012"/>
    <cellStyle name="Comma0 32 2" xfId="27046"/>
    <cellStyle name="Comma0 33" xfId="24540"/>
    <cellStyle name="Comma0 33 2" xfId="27216"/>
    <cellStyle name="Comma0 34" xfId="24102"/>
    <cellStyle name="Comma0 34 2" xfId="27066"/>
    <cellStyle name="Comma0 35" xfId="24032"/>
    <cellStyle name="Comma0 35 2" xfId="27047"/>
    <cellStyle name="Comma0 36" xfId="24071"/>
    <cellStyle name="Comma0 36 2" xfId="27056"/>
    <cellStyle name="Comma0 37" xfId="24533"/>
    <cellStyle name="Comma0 37 2" xfId="27211"/>
    <cellStyle name="Comma0 38" xfId="24535"/>
    <cellStyle name="Comma0 38 2" xfId="27213"/>
    <cellStyle name="Comma0 39" xfId="24524"/>
    <cellStyle name="Comma0 39 2" xfId="27205"/>
    <cellStyle name="Comma0 4" xfId="435"/>
    <cellStyle name="Comma0 4 2" xfId="26017"/>
    <cellStyle name="Comma0 40" xfId="24547"/>
    <cellStyle name="Comma0 40 2" xfId="27220"/>
    <cellStyle name="Comma0 41" xfId="24773"/>
    <cellStyle name="Comma0 41 2" xfId="27314"/>
    <cellStyle name="Comma0 42" xfId="24922"/>
    <cellStyle name="Comma0 42 2" xfId="27331"/>
    <cellStyle name="Comma0 43" xfId="24687"/>
    <cellStyle name="Comma0 43 2" xfId="27277"/>
    <cellStyle name="Comma0 44" xfId="24702"/>
    <cellStyle name="Comma0 44 2" xfId="27291"/>
    <cellStyle name="Comma0 45" xfId="24934"/>
    <cellStyle name="Comma0 45 2" xfId="27341"/>
    <cellStyle name="Comma0 46" xfId="24765"/>
    <cellStyle name="Comma0 46 2" xfId="27307"/>
    <cellStyle name="Comma0 47" xfId="24938"/>
    <cellStyle name="Comma0 47 2" xfId="27343"/>
    <cellStyle name="Comma0 48" xfId="24706"/>
    <cellStyle name="Comma0 48 2" xfId="27293"/>
    <cellStyle name="Comma0 49" xfId="24766"/>
    <cellStyle name="Comma0 49 2" xfId="27308"/>
    <cellStyle name="Comma0 5" xfId="430"/>
    <cellStyle name="Comma0 5 2" xfId="26014"/>
    <cellStyle name="Comma0 50" xfId="24546"/>
    <cellStyle name="Comma0 50 2" xfId="27219"/>
    <cellStyle name="Comma0 51" xfId="24761"/>
    <cellStyle name="Comma0 51 2" xfId="27306"/>
    <cellStyle name="Comma0 52" xfId="24923"/>
    <cellStyle name="Comma0 52 2" xfId="27332"/>
    <cellStyle name="Comma0 53" xfId="24942"/>
    <cellStyle name="Comma0 53 2" xfId="27346"/>
    <cellStyle name="Comma0 6" xfId="433"/>
    <cellStyle name="Comma0 6 2" xfId="26015"/>
    <cellStyle name="Comma0 7" xfId="455"/>
    <cellStyle name="Comma0 7 2" xfId="26020"/>
    <cellStyle name="Comma0 8" xfId="463"/>
    <cellStyle name="Comma0 8 2" xfId="26028"/>
    <cellStyle name="Comma0 9" xfId="456"/>
    <cellStyle name="Comma0 9 2" xfId="26021"/>
    <cellStyle name="Comma0_3.7 Revenue Correcting - Dec09" xfId="349"/>
    <cellStyle name="Comma1 - Style1" xfId="28"/>
    <cellStyle name="Currency" xfId="25745"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0 2" xfId="27136"/>
    <cellStyle name="Currency 11" xfId="24466"/>
    <cellStyle name="Currency 11 2" xfId="27167"/>
    <cellStyle name="Currency 12" xfId="3"/>
    <cellStyle name="Currency 12 2" xfId="25797"/>
    <cellStyle name="Currency 13" xfId="24305"/>
    <cellStyle name="Currency 13 2" xfId="27141"/>
    <cellStyle name="Currency 14" xfId="25278"/>
    <cellStyle name="Currency 14 2" xfId="27433"/>
    <cellStyle name="Currency 15" xfId="25293"/>
    <cellStyle name="Currency 15 2" xfId="27448"/>
    <cellStyle name="Currency 16" xfId="24306"/>
    <cellStyle name="Currency 16 2" xfId="27142"/>
    <cellStyle name="Currency 17" xfId="24307"/>
    <cellStyle name="Currency 17 2" xfId="27143"/>
    <cellStyle name="Currency 18" xfId="25457"/>
    <cellStyle name="Currency 18 2" xfId="27610"/>
    <cellStyle name="Currency 2" xfId="29"/>
    <cellStyle name="Currency 2 10" xfId="24077"/>
    <cellStyle name="Currency 2 11" xfId="25751"/>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2 5 2" xfId="27059"/>
    <cellStyle name="Currency 2 3" xfId="401"/>
    <cellStyle name="Currency 2 3 2" xfId="506"/>
    <cellStyle name="Currency 2 3 2 2" xfId="13869"/>
    <cellStyle name="Currency 2 3 3" xfId="13788"/>
    <cellStyle name="Currency 2 3 4" xfId="24079"/>
    <cellStyle name="Currency 2 3 4 2" xfId="27060"/>
    <cellStyle name="Currency 2 4" xfId="378"/>
    <cellStyle name="Currency 2 5" xfId="468"/>
    <cellStyle name="Currency 2 5 2" xfId="26031"/>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2 2 2" xfId="27138"/>
    <cellStyle name="Currency 3 3" xfId="379"/>
    <cellStyle name="Currency 3 3 2" xfId="25995"/>
    <cellStyle name="Currency 3 4" xfId="3620"/>
    <cellStyle name="Currency 3 5" xfId="24080"/>
    <cellStyle name="Currency 3 6" xfId="25791"/>
    <cellStyle name="Currency 4" xfId="168"/>
    <cellStyle name="Currency 4 2" xfId="25882"/>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2 5 2" xfId="27139"/>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6 2" xfId="27032"/>
    <cellStyle name="Currency 5 7" xfId="24081"/>
    <cellStyle name="Currency 5 8" xfId="24707"/>
    <cellStyle name="Currency 5 9" xfId="25026"/>
    <cellStyle name="Currency 6" xfId="395"/>
    <cellStyle name="Currency 6 2" xfId="24293"/>
    <cellStyle name="Currency 6 3" xfId="26005"/>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7 6" xfId="26146"/>
    <cellStyle name="Currency 8" xfId="13601"/>
    <cellStyle name="Currency 8 2" xfId="23904"/>
    <cellStyle name="Currency 8 2 2" xfId="27033"/>
    <cellStyle name="Currency 8 3" xfId="26554"/>
    <cellStyle name="Currency 9" xfId="23889"/>
    <cellStyle name="Currency 9 2" xfId="24299"/>
    <cellStyle name="Currency 9 2 2" xfId="27135"/>
    <cellStyle name="Currency No Comma" xfId="31"/>
    <cellStyle name="Currency(0)" xfId="32"/>
    <cellStyle name="Currency0" xfId="33"/>
    <cellStyle name="Currency0 2" xfId="403"/>
    <cellStyle name="Currency0 2 2" xfId="24082"/>
    <cellStyle name="Currency0 2 2 2" xfId="27061"/>
    <cellStyle name="Currency0 3" xfId="380"/>
    <cellStyle name="Currency0 3 2" xfId="25996"/>
    <cellStyle name="Currency0 4" xfId="23910"/>
    <cellStyle name="Currency0 4 2" xfId="27035"/>
    <cellStyle name="Currsmall" xfId="553"/>
    <cellStyle name="Data Link" xfId="554"/>
    <cellStyle name="Date" xfId="34"/>
    <cellStyle name="Date - Style3" xfId="35"/>
    <cellStyle name="Date (mm/dd/yy)" xfId="555"/>
    <cellStyle name="Date (mm/dd/yy) 2" xfId="26040"/>
    <cellStyle name="Date (mm/yy)" xfId="556"/>
    <cellStyle name="Date (mm/yy) 2" xfId="26041"/>
    <cellStyle name="Date (mmm/yy)" xfId="557"/>
    <cellStyle name="Date (mmm/yy) 2" xfId="26042"/>
    <cellStyle name="Date (Mon, Tues, etc)" xfId="558"/>
    <cellStyle name="Date (Mon, Tues, etc) 2" xfId="26043"/>
    <cellStyle name="Date (Monday, Tuesday, etc)" xfId="559"/>
    <cellStyle name="Date (Monday, Tuesday, etc) 2" xfId="26044"/>
    <cellStyle name="Date 10" xfId="460"/>
    <cellStyle name="Date 10 2" xfId="26025"/>
    <cellStyle name="Date 11" xfId="24408"/>
    <cellStyle name="Date 11 2" xfId="27159"/>
    <cellStyle name="Date 12" xfId="24401"/>
    <cellStyle name="Date 12 2" xfId="27154"/>
    <cellStyle name="Date 13" xfId="24409"/>
    <cellStyle name="Date 13 2" xfId="27160"/>
    <cellStyle name="Date 14" xfId="24405"/>
    <cellStyle name="Date 14 2" xfId="27158"/>
    <cellStyle name="Date 15" xfId="24502"/>
    <cellStyle name="Date 15 2" xfId="27190"/>
    <cellStyle name="Date 16" xfId="24404"/>
    <cellStyle name="Date 16 2" xfId="27157"/>
    <cellStyle name="Date 17" xfId="24495"/>
    <cellStyle name="Date 17 2" xfId="27184"/>
    <cellStyle name="Date 18" xfId="24315"/>
    <cellStyle name="Date 18 2" xfId="27146"/>
    <cellStyle name="Date 19" xfId="24493"/>
    <cellStyle name="Date 19 2" xfId="27182"/>
    <cellStyle name="Date 2" xfId="404"/>
    <cellStyle name="Date 2 2" xfId="24083"/>
    <cellStyle name="Date 2 2 2" xfId="27062"/>
    <cellStyle name="Date 20" xfId="24317"/>
    <cellStyle name="Date 20 2" xfId="27147"/>
    <cellStyle name="Date 21" xfId="24489"/>
    <cellStyle name="Date 21 2" xfId="27179"/>
    <cellStyle name="Date 22" xfId="24483"/>
    <cellStyle name="Date 22 2" xfId="27175"/>
    <cellStyle name="Date 23" xfId="24491"/>
    <cellStyle name="Date 23 2" xfId="27181"/>
    <cellStyle name="Date 24" xfId="24403"/>
    <cellStyle name="Date 24 2" xfId="27156"/>
    <cellStyle name="Date 25" xfId="24488"/>
    <cellStyle name="Date 25 2" xfId="27178"/>
    <cellStyle name="Date 26" xfId="24507"/>
    <cellStyle name="Date 26 2" xfId="27193"/>
    <cellStyle name="Date 27" xfId="23911"/>
    <cellStyle name="Date 27 2" xfId="27036"/>
    <cellStyle name="Date 28" xfId="23925"/>
    <cellStyle name="Date 28 2" xfId="27039"/>
    <cellStyle name="Date 29" xfId="24530"/>
    <cellStyle name="Date 29 2" xfId="27209"/>
    <cellStyle name="Date 3" xfId="381"/>
    <cellStyle name="Date 3 2" xfId="25997"/>
    <cellStyle name="Date 30" xfId="24007"/>
    <cellStyle name="Date 30 2" xfId="27045"/>
    <cellStyle name="Date 31" xfId="24539"/>
    <cellStyle name="Date 31 2" xfId="27215"/>
    <cellStyle name="Date 32" xfId="24520"/>
    <cellStyle name="Date 32 2" xfId="27204"/>
    <cellStyle name="Date 33" xfId="24084"/>
    <cellStyle name="Date 33 2" xfId="27063"/>
    <cellStyle name="Date 34" xfId="24527"/>
    <cellStyle name="Date 34 2" xfId="27207"/>
    <cellStyle name="Date 35" xfId="24538"/>
    <cellStyle name="Date 35 2" xfId="27214"/>
    <cellStyle name="Date 36" xfId="24097"/>
    <cellStyle name="Date 36 2" xfId="27065"/>
    <cellStyle name="Date 37" xfId="24534"/>
    <cellStyle name="Date 37 2" xfId="27212"/>
    <cellStyle name="Date 38" xfId="24548"/>
    <cellStyle name="Date 38 2" xfId="27221"/>
    <cellStyle name="Date 39" xfId="24772"/>
    <cellStyle name="Date 39 2" xfId="27313"/>
    <cellStyle name="Date 4" xfId="434"/>
    <cellStyle name="Date 4 2" xfId="26016"/>
    <cellStyle name="Date 40" xfId="24635"/>
    <cellStyle name="Date 40 2" xfId="27229"/>
    <cellStyle name="Date 41" xfId="24916"/>
    <cellStyle name="Date 41 2" xfId="27327"/>
    <cellStyle name="Date 42" xfId="24932"/>
    <cellStyle name="Date 42 2" xfId="27339"/>
    <cellStyle name="Date 43" xfId="24856"/>
    <cellStyle name="Date 43 2" xfId="27317"/>
    <cellStyle name="Date 44" xfId="24760"/>
    <cellStyle name="Date 44 2" xfId="27305"/>
    <cellStyle name="Date 45" xfId="24930"/>
    <cellStyle name="Date 45 2" xfId="27338"/>
    <cellStyle name="Date 46" xfId="24925"/>
    <cellStyle name="Date 46 2" xfId="27334"/>
    <cellStyle name="Date 47" xfId="24939"/>
    <cellStyle name="Date 47 2" xfId="27344"/>
    <cellStyle name="Date 48" xfId="24921"/>
    <cellStyle name="Date 48 2" xfId="27330"/>
    <cellStyle name="Date 49" xfId="24928"/>
    <cellStyle name="Date 49 2" xfId="27337"/>
    <cellStyle name="Date 5" xfId="436"/>
    <cellStyle name="Date 5 2" xfId="26018"/>
    <cellStyle name="Date 50" xfId="24908"/>
    <cellStyle name="Date 50 2" xfId="27326"/>
    <cellStyle name="Date 51" xfId="24943"/>
    <cellStyle name="Date 51 2" xfId="27347"/>
    <cellStyle name="Date 6" xfId="389"/>
    <cellStyle name="Date 6 2" xfId="26000"/>
    <cellStyle name="Date 7" xfId="457"/>
    <cellStyle name="Date 7 2" xfId="26022"/>
    <cellStyle name="Date 8" xfId="462"/>
    <cellStyle name="Date 8 2" xfId="26027"/>
    <cellStyle name="Date 9" xfId="458"/>
    <cellStyle name="Date 9 2" xfId="26023"/>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2 2 2" xfId="27064"/>
    <cellStyle name="Fixed 3" xfId="382"/>
    <cellStyle name="Fixed 3 2" xfId="25998"/>
    <cellStyle name="Fixed 4" xfId="23919"/>
    <cellStyle name="Fixed 4 2" xfId="27037"/>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1 2" xfId="25809"/>
    <cellStyle name="Header2" xfId="41"/>
    <cellStyle name="Header2 2" xfId="383"/>
    <cellStyle name="Header2 2 2" xfId="13782"/>
    <cellStyle name="Header2 2 2 2" xfId="25376"/>
    <cellStyle name="Header2 2 2 2 2" xfId="27530"/>
    <cellStyle name="Header2 2 2 2 3" xfId="29204"/>
    <cellStyle name="Header2 2 2 2 4" xfId="26314"/>
    <cellStyle name="Header2 2 2 2 5" xfId="29362"/>
    <cellStyle name="Header2 2 2 3" xfId="29363"/>
    <cellStyle name="Header2 2 3" xfId="25280"/>
    <cellStyle name="Header2 2 3 2" xfId="27435"/>
    <cellStyle name="Header2 2 3 3" xfId="29186"/>
    <cellStyle name="Header2 2 3 4" xfId="26735"/>
    <cellStyle name="Header2 2 3 5" xfId="29361"/>
    <cellStyle name="Header2 2 4" xfId="29364"/>
    <cellStyle name="Header2 3" xfId="13607"/>
    <cellStyle name="Header2 3 2" xfId="25374"/>
    <cellStyle name="Header2 3 2 2" xfId="27528"/>
    <cellStyle name="Header2 3 2 3" xfId="29203"/>
    <cellStyle name="Header2 3 2 4" xfId="26953"/>
    <cellStyle name="Header2 3 2 5" xfId="29359"/>
    <cellStyle name="Header2 3 3" xfId="29360"/>
    <cellStyle name="Header2 4" xfId="24857"/>
    <cellStyle name="Header2 4 2" xfId="27318"/>
    <cellStyle name="Header2 4 3" xfId="26315"/>
    <cellStyle name="Header2 4 4" xfId="26952"/>
    <cellStyle name="Header2 4 5" xfId="29404"/>
    <cellStyle name="Header2 4 6" xfId="29358"/>
    <cellStyle name="Header2 5" xfId="29365"/>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2 2 2" xfId="27713"/>
    <cellStyle name="Input 2 2 2 2 3" xfId="29228"/>
    <cellStyle name="Input 2 2 2 2 4" xfId="26097"/>
    <cellStyle name="Input 2 2 2 2 5" xfId="29355"/>
    <cellStyle name="Input 2 2 2 3" xfId="27068"/>
    <cellStyle name="Input 2 2 2 4" xfId="26796"/>
    <cellStyle name="Input 2 2 2 5" xfId="27324"/>
    <cellStyle name="Input 2 2 2 6" xfId="29356"/>
    <cellStyle name="Input 2 2 3" xfId="24710"/>
    <cellStyle name="Input 2 2 3 2" xfId="25356"/>
    <cellStyle name="Input 2 2 3 2 2" xfId="27510"/>
    <cellStyle name="Input 2 2 3 2 3" xfId="29199"/>
    <cellStyle name="Input 2 2 3 2 4" xfId="26713"/>
    <cellStyle name="Input 2 2 3 2 5" xfId="29353"/>
    <cellStyle name="Input 2 2 3 3" xfId="25662"/>
    <cellStyle name="Input 2 2 3 3 2" xfId="27815"/>
    <cellStyle name="Input 2 2 3 3 3" xfId="29242"/>
    <cellStyle name="Input 2 2 3 3 4" xfId="26954"/>
    <cellStyle name="Input 2 2 3 3 5" xfId="29352"/>
    <cellStyle name="Input 2 2 3 4" xfId="27295"/>
    <cellStyle name="Input 2 2 3 5" xfId="26038"/>
    <cellStyle name="Input 2 2 3 6" xfId="26143"/>
    <cellStyle name="Input 2 2 3 7" xfId="29354"/>
    <cellStyle name="Input 2 2 4" xfId="25028"/>
    <cellStyle name="Input 2 2 4 2" xfId="25368"/>
    <cellStyle name="Input 2 2 4 2 2" xfId="27522"/>
    <cellStyle name="Input 2 2 4 2 3" xfId="29201"/>
    <cellStyle name="Input 2 2 4 2 4" xfId="26536"/>
    <cellStyle name="Input 2 2 4 2 5" xfId="29350"/>
    <cellStyle name="Input 2 2 4 3" xfId="25673"/>
    <cellStyle name="Input 2 2 4 3 2" xfId="27826"/>
    <cellStyle name="Input 2 2 4 3 3" xfId="29253"/>
    <cellStyle name="Input 2 2 4 3 4" xfId="27428"/>
    <cellStyle name="Input 2 2 4 3 5" xfId="29349"/>
    <cellStyle name="Input 2 2 4 4" xfId="27356"/>
    <cellStyle name="Input 2 2 4 5" xfId="26193"/>
    <cellStyle name="Input 2 2 4 6" xfId="26544"/>
    <cellStyle name="Input 2 2 4 7" xfId="29351"/>
    <cellStyle name="Input 2 3" xfId="13610"/>
    <cellStyle name="Input 2 4" xfId="24120"/>
    <cellStyle name="Input 2 4 2" xfId="25559"/>
    <cellStyle name="Input 2 4 2 2" xfId="27712"/>
    <cellStyle name="Input 2 4 2 3" xfId="29227"/>
    <cellStyle name="Input 2 4 2 4" xfId="27004"/>
    <cellStyle name="Input 2 4 2 5" xfId="29347"/>
    <cellStyle name="Input 2 4 3" xfId="27067"/>
    <cellStyle name="Input 2 4 4" xfId="26272"/>
    <cellStyle name="Input 2 4 5" xfId="26322"/>
    <cellStyle name="Input 2 4 6" xfId="29348"/>
    <cellStyle name="Input 2 5" xfId="24709"/>
    <cellStyle name="Input 2 5 2" xfId="25439"/>
    <cellStyle name="Input 2 5 2 2" xfId="27593"/>
    <cellStyle name="Input 2 5 2 3" xfId="29212"/>
    <cellStyle name="Input 2 5 2 4" xfId="26974"/>
    <cellStyle name="Input 2 5 2 5" xfId="29345"/>
    <cellStyle name="Input 2 5 3" xfId="25661"/>
    <cellStyle name="Input 2 5 3 2" xfId="27814"/>
    <cellStyle name="Input 2 5 3 3" xfId="29241"/>
    <cellStyle name="Input 2 5 3 4" xfId="26916"/>
    <cellStyle name="Input 2 5 3 5" xfId="29344"/>
    <cellStyle name="Input 2 5 4" xfId="27294"/>
    <cellStyle name="Input 2 5 5" xfId="26673"/>
    <cellStyle name="Input 2 5 6" xfId="26283"/>
    <cellStyle name="Input 2 5 7" xfId="29346"/>
    <cellStyle name="Input 2 6" xfId="25027"/>
    <cellStyle name="Input 2 6 2" xfId="25285"/>
    <cellStyle name="Input 2 6 2 2" xfId="27440"/>
    <cellStyle name="Input 2 6 2 3" xfId="29187"/>
    <cellStyle name="Input 2 6 2 4" xfId="26415"/>
    <cellStyle name="Input 2 6 2 5" xfId="29342"/>
    <cellStyle name="Input 2 6 3" xfId="25672"/>
    <cellStyle name="Input 2 6 3 2" xfId="27825"/>
    <cellStyle name="Input 2 6 3 3" xfId="29252"/>
    <cellStyle name="Input 2 6 3 4" xfId="26307"/>
    <cellStyle name="Input 2 6 3 5" xfId="29341"/>
    <cellStyle name="Input 2 6 4" xfId="27355"/>
    <cellStyle name="Input 2 6 5" xfId="27134"/>
    <cellStyle name="Input 2 6 6" xfId="26082"/>
    <cellStyle name="Input 2 6 7" xfId="29343"/>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4 2 2" xfId="27714"/>
    <cellStyle name="Input 3 4 2 3" xfId="29229"/>
    <cellStyle name="Input 3 4 2 4" xfId="26770"/>
    <cellStyle name="Input 3 4 2 5" xfId="29339"/>
    <cellStyle name="Input 3 4 3" xfId="27069"/>
    <cellStyle name="Input 3 4 4" xfId="26717"/>
    <cellStyle name="Input 3 4 5" xfId="26292"/>
    <cellStyle name="Input 3 4 6" xfId="29340"/>
    <cellStyle name="Input 3 5" xfId="24711"/>
    <cellStyle name="Input 3 5 2" xfId="25390"/>
    <cellStyle name="Input 3 5 2 2" xfId="27544"/>
    <cellStyle name="Input 3 5 2 3" xfId="29207"/>
    <cellStyle name="Input 3 5 2 4" xfId="27162"/>
    <cellStyle name="Input 3 5 2 5" xfId="29337"/>
    <cellStyle name="Input 3 5 3" xfId="25663"/>
    <cellStyle name="Input 3 5 3 2" xfId="27816"/>
    <cellStyle name="Input 3 5 3 3" xfId="29243"/>
    <cellStyle name="Input 3 5 3 4" xfId="26710"/>
    <cellStyle name="Input 3 5 3 5" xfId="29336"/>
    <cellStyle name="Input 3 5 4" xfId="27296"/>
    <cellStyle name="Input 3 5 5" xfId="26683"/>
    <cellStyle name="Input 3 5 6" xfId="26215"/>
    <cellStyle name="Input 3 5 7" xfId="29338"/>
    <cellStyle name="Input 3 6" xfId="25029"/>
    <cellStyle name="Input 3 6 2" xfId="25382"/>
    <cellStyle name="Input 3 6 2 2" xfId="27536"/>
    <cellStyle name="Input 3 6 2 3" xfId="29205"/>
    <cellStyle name="Input 3 6 2 4" xfId="26949"/>
    <cellStyle name="Input 3 6 2 5" xfId="29334"/>
    <cellStyle name="Input 3 6 3" xfId="25674"/>
    <cellStyle name="Input 3 6 3 2" xfId="27827"/>
    <cellStyle name="Input 3 6 3 3" xfId="29254"/>
    <cellStyle name="Input 3 6 3 4" xfId="26984"/>
    <cellStyle name="Input 3 6 3 5" xfId="29333"/>
    <cellStyle name="Input 3 6 4" xfId="27357"/>
    <cellStyle name="Input 3 6 5" xfId="26194"/>
    <cellStyle name="Input 3 6 6" xfId="26729"/>
    <cellStyle name="Input 3 6 7" xfId="29335"/>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4 2 2" xfId="27715"/>
    <cellStyle name="Input 4 4 2 3" xfId="29230"/>
    <cellStyle name="Input 4 4 2 4" xfId="26159"/>
    <cellStyle name="Input 4 4 2 5" xfId="29331"/>
    <cellStyle name="Input 4 4 3" xfId="27070"/>
    <cellStyle name="Input 4 4 4" xfId="26551"/>
    <cellStyle name="Input 4 4 5" xfId="26842"/>
    <cellStyle name="Input 4 4 6" xfId="29332"/>
    <cellStyle name="Input 4 5" xfId="24712"/>
    <cellStyle name="Input 4 5 2" xfId="25404"/>
    <cellStyle name="Input 4 5 2 2" xfId="27558"/>
    <cellStyle name="Input 4 5 2 3" xfId="29210"/>
    <cellStyle name="Input 4 5 2 4" xfId="26258"/>
    <cellStyle name="Input 4 5 2 5" xfId="29329"/>
    <cellStyle name="Input 4 5 3" xfId="25664"/>
    <cellStyle name="Input 4 5 3 2" xfId="27817"/>
    <cellStyle name="Input 4 5 3 3" xfId="29244"/>
    <cellStyle name="Input 4 5 3 4" xfId="26694"/>
    <cellStyle name="Input 4 5 3 5" xfId="29328"/>
    <cellStyle name="Input 4 5 4" xfId="27297"/>
    <cellStyle name="Input 4 5 5" xfId="26665"/>
    <cellStyle name="Input 4 5 6" xfId="27027"/>
    <cellStyle name="Input 4 5 7" xfId="29330"/>
    <cellStyle name="Input 4 6" xfId="25030"/>
    <cellStyle name="Input 4 6 2" xfId="25397"/>
    <cellStyle name="Input 4 6 2 2" xfId="27551"/>
    <cellStyle name="Input 4 6 2 3" xfId="29208"/>
    <cellStyle name="Input 4 6 2 4" xfId="26908"/>
    <cellStyle name="Input 4 6 2 5" xfId="29326"/>
    <cellStyle name="Input 4 6 3" xfId="25675"/>
    <cellStyle name="Input 4 6 3 2" xfId="27828"/>
    <cellStyle name="Input 4 6 3 3" xfId="29255"/>
    <cellStyle name="Input 4 6 3 4" xfId="26476"/>
    <cellStyle name="Input 4 6 3 5" xfId="29325"/>
    <cellStyle name="Input 4 6 4" xfId="27358"/>
    <cellStyle name="Input 4 6 5" xfId="26195"/>
    <cellStyle name="Input 4 6 6" xfId="26405"/>
    <cellStyle name="Input 4 6 7" xfId="29327"/>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2 2 2" xfId="27466"/>
    <cellStyle name="Input2 2 2 3" xfId="26207"/>
    <cellStyle name="Input2 2 2 4" xfId="29408"/>
    <cellStyle name="Input2 2 3" xfId="27071"/>
    <cellStyle name="Input2 2 4" xfId="29407"/>
    <cellStyle name="Input2 3" xfId="25454"/>
    <cellStyle name="Input2 3 2" xfId="27608"/>
    <cellStyle name="Input2 3 3" xfId="26064"/>
    <cellStyle name="Input2 3 4" xfId="29409"/>
    <cellStyle name="Input2 4" xfId="26045"/>
    <cellStyle name="Input2 5" xfId="29406"/>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arathon 2" xfId="25810"/>
    <cellStyle name="MCP" xfId="47"/>
    <cellStyle name="Multiple" xfId="574"/>
    <cellStyle name="Multiple [1]" xfId="575"/>
    <cellStyle name="Multiple [1] 2" xfId="26047"/>
    <cellStyle name="Multiple 10" xfId="30152"/>
    <cellStyle name="Multiple 11" xfId="29366"/>
    <cellStyle name="Multiple 12" xfId="29402"/>
    <cellStyle name="Multiple 13" xfId="30154"/>
    <cellStyle name="Multiple 14" xfId="29399"/>
    <cellStyle name="Multiple 15" xfId="29273"/>
    <cellStyle name="Multiple 16" xfId="29421"/>
    <cellStyle name="Multiple 17" xfId="29275"/>
    <cellStyle name="Multiple 18" xfId="29419"/>
    <cellStyle name="Multiple 19" xfId="29277"/>
    <cellStyle name="Multiple 2" xfId="26046"/>
    <cellStyle name="Multiple 20" xfId="29417"/>
    <cellStyle name="Multiple 21" xfId="29303"/>
    <cellStyle name="Multiple 22" xfId="29415"/>
    <cellStyle name="Multiple 23" xfId="29317"/>
    <cellStyle name="Multiple 24" xfId="30156"/>
    <cellStyle name="Multiple 25" xfId="29319"/>
    <cellStyle name="Multiple 26" xfId="29413"/>
    <cellStyle name="Multiple 27" xfId="29321"/>
    <cellStyle name="Multiple 28" xfId="30155"/>
    <cellStyle name="Multiple 29" xfId="29323"/>
    <cellStyle name="Multiple 3" xfId="27000"/>
    <cellStyle name="Multiple 30" xfId="29405"/>
    <cellStyle name="Multiple 31" xfId="29265"/>
    <cellStyle name="Multiple 32" xfId="29428"/>
    <cellStyle name="Multiple 33" xfId="29274"/>
    <cellStyle name="Multiple 34" xfId="29420"/>
    <cellStyle name="Multiple 35" xfId="29276"/>
    <cellStyle name="Multiple 36" xfId="29418"/>
    <cellStyle name="Multiple 37" xfId="29284"/>
    <cellStyle name="Multiple 38" xfId="29416"/>
    <cellStyle name="Multiple 39" xfId="29316"/>
    <cellStyle name="Multiple 4" xfId="26719"/>
    <cellStyle name="Multiple 40" xfId="29414"/>
    <cellStyle name="Multiple 41" xfId="29318"/>
    <cellStyle name="Multiple 42" xfId="30153"/>
    <cellStyle name="Multiple 43" xfId="29320"/>
    <cellStyle name="Multiple 44" xfId="29412"/>
    <cellStyle name="Multiple 45" xfId="29322"/>
    <cellStyle name="Multiple 5" xfId="29235"/>
    <cellStyle name="Multiple 6" xfId="29410"/>
    <cellStyle name="Multiple 7" xfId="29324"/>
    <cellStyle name="Multiple 8" xfId="29403"/>
    <cellStyle name="Multiple 9" xfId="29357"/>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 Style1 2" xfId="25811"/>
    <cellStyle name="Normal 10" xfId="309"/>
    <cellStyle name="Normal 10 10" xfId="25764"/>
    <cellStyle name="Normal 10 10 2" xfId="29000"/>
    <cellStyle name="Normal 10 11" xfId="25789"/>
    <cellStyle name="Normal 10 11 2" xfId="29001"/>
    <cellStyle name="Normal 10 11 3" xfId="28742"/>
    <cellStyle name="Normal 10 12" xfId="28743"/>
    <cellStyle name="Normal 10 12 2" xfId="29002"/>
    <cellStyle name="Normal 10 13" xfId="28744"/>
    <cellStyle name="Normal 10 13 2" xfId="29003"/>
    <cellStyle name="Normal 10 2" xfId="646"/>
    <cellStyle name="Normal 10 2 2" xfId="12453"/>
    <cellStyle name="Normal 10 2 2 2" xfId="23741"/>
    <cellStyle name="Normal 10 2 2 3" xfId="29004"/>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2 7 2" xfId="27075"/>
    <cellStyle name="Normal 10 3" xfId="11456"/>
    <cellStyle name="Normal 10 3 2" xfId="22744"/>
    <cellStyle name="Normal 10 3 2 2" xfId="29005"/>
    <cellStyle name="Normal 10 3 3" xfId="28745"/>
    <cellStyle name="Normal 10 4" xfId="9462"/>
    <cellStyle name="Normal 10 4 2" xfId="20750"/>
    <cellStyle name="Normal 10 4 2 2" xfId="29006"/>
    <cellStyle name="Normal 10 4 3" xfId="28746"/>
    <cellStyle name="Normal 10 5" xfId="7468"/>
    <cellStyle name="Normal 10 5 2" xfId="18756"/>
    <cellStyle name="Normal 10 5 2 2" xfId="29007"/>
    <cellStyle name="Normal 10 5 3" xfId="28747"/>
    <cellStyle name="Normal 10 6" xfId="5474"/>
    <cellStyle name="Normal 10 6 2" xfId="16762"/>
    <cellStyle name="Normal 10 6 2 2" xfId="29008"/>
    <cellStyle name="Normal 10 6 3" xfId="28748"/>
    <cellStyle name="Normal 10 7" xfId="3237"/>
    <cellStyle name="Normal 10 7 2" xfId="14768"/>
    <cellStyle name="Normal 10 7 2 2" xfId="29009"/>
    <cellStyle name="Normal 10 7 3" xfId="28749"/>
    <cellStyle name="Normal 10 8" xfId="13746"/>
    <cellStyle name="Normal 10 8 2" xfId="26658"/>
    <cellStyle name="Normal 10 8 2 2" xfId="29010"/>
    <cellStyle name="Normal 10 9" xfId="13454"/>
    <cellStyle name="Normal 10 9 2" xfId="29011"/>
    <cellStyle name="Normal 10 9 3" xfId="28750"/>
    <cellStyle name="Normal 100" xfId="25761"/>
    <cellStyle name="Normal 100 2" xfId="27899"/>
    <cellStyle name="Normal 101" xfId="25795"/>
    <cellStyle name="Normal 101 2" xfId="29411"/>
    <cellStyle name="Normal 102" xfId="28612"/>
    <cellStyle name="Normal 103" xfId="27901"/>
    <cellStyle name="Normal 104" xfId="29170"/>
    <cellStyle name="Normal 105" xfId="29173"/>
    <cellStyle name="Normal 106" xfId="29174"/>
    <cellStyle name="Normal 107" xfId="29175"/>
    <cellStyle name="Normal 108" xfId="29180"/>
    <cellStyle name="Normal 109" xfId="27920"/>
    <cellStyle name="Normal 11" xfId="167"/>
    <cellStyle name="Normal 11 10" xfId="25881"/>
    <cellStyle name="Normal 11 10 2" xfId="29012"/>
    <cellStyle name="Normal 11 11" xfId="28751"/>
    <cellStyle name="Normal 11 11 2" xfId="29013"/>
    <cellStyle name="Normal 11 12" xfId="28752"/>
    <cellStyle name="Normal 11 12 2" xfId="29014"/>
    <cellStyle name="Normal 11 13" xfId="28753"/>
    <cellStyle name="Normal 11 13 2" xfId="29015"/>
    <cellStyle name="Normal 11 2" xfId="647"/>
    <cellStyle name="Normal 11 2 2" xfId="12454"/>
    <cellStyle name="Normal 11 2 2 2" xfId="23742"/>
    <cellStyle name="Normal 11 2 2 3" xfId="29016"/>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2 7" xfId="28754"/>
    <cellStyle name="Normal 11 3" xfId="11457"/>
    <cellStyle name="Normal 11 3 2" xfId="22745"/>
    <cellStyle name="Normal 11 3 2 2" xfId="29017"/>
    <cellStyle name="Normal 11 3 3" xfId="28755"/>
    <cellStyle name="Normal 11 4" xfId="9463"/>
    <cellStyle name="Normal 11 4 2" xfId="20751"/>
    <cellStyle name="Normal 11 4 2 2" xfId="29018"/>
    <cellStyle name="Normal 11 4 3" xfId="28756"/>
    <cellStyle name="Normal 11 5" xfId="7469"/>
    <cellStyle name="Normal 11 5 2" xfId="18757"/>
    <cellStyle name="Normal 11 5 2 2" xfId="29019"/>
    <cellStyle name="Normal 11 5 3" xfId="28757"/>
    <cellStyle name="Normal 11 6" xfId="5475"/>
    <cellStyle name="Normal 11 6 2" xfId="16763"/>
    <cellStyle name="Normal 11 6 2 2" xfId="29020"/>
    <cellStyle name="Normal 11 6 3" xfId="28758"/>
    <cellStyle name="Normal 11 7" xfId="3238"/>
    <cellStyle name="Normal 11 7 2" xfId="14769"/>
    <cellStyle name="Normal 11 7 2 2" xfId="29021"/>
    <cellStyle name="Normal 11 7 3" xfId="28759"/>
    <cellStyle name="Normal 11 8" xfId="13683"/>
    <cellStyle name="Normal 11 8 2" xfId="26623"/>
    <cellStyle name="Normal 11 8 2 2" xfId="29022"/>
    <cellStyle name="Normal 11 9" xfId="13455"/>
    <cellStyle name="Normal 11 9 2" xfId="29023"/>
    <cellStyle name="Normal 11 9 3" xfId="28760"/>
    <cellStyle name="Normal 110" xfId="27921"/>
    <cellStyle name="Normal 12" xfId="307"/>
    <cellStyle name="Normal 12 10" xfId="24136"/>
    <cellStyle name="Normal 12 10 2" xfId="29024"/>
    <cellStyle name="Normal 12 10 3" xfId="28761"/>
    <cellStyle name="Normal 12 11" xfId="25958"/>
    <cellStyle name="Normal 12 11 2" xfId="29025"/>
    <cellStyle name="Normal 12 12" xfId="28762"/>
    <cellStyle name="Normal 12 12 2" xfId="29026"/>
    <cellStyle name="Normal 12 13" xfId="28763"/>
    <cellStyle name="Normal 12 13 2" xfId="29027"/>
    <cellStyle name="Normal 12 2" xfId="648"/>
    <cellStyle name="Normal 12 2 2" xfId="12455"/>
    <cellStyle name="Normal 12 2 2 2" xfId="23743"/>
    <cellStyle name="Normal 12 2 2 3" xfId="29028"/>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2 8" xfId="28764"/>
    <cellStyle name="Normal 12 3" xfId="11458"/>
    <cellStyle name="Normal 12 3 2" xfId="22746"/>
    <cellStyle name="Normal 12 3 2 2" xfId="29029"/>
    <cellStyle name="Normal 12 3 3" xfId="24301"/>
    <cellStyle name="Normal 12 3 3 2" xfId="27137"/>
    <cellStyle name="Normal 12 4" xfId="9464"/>
    <cellStyle name="Normal 12 4 2" xfId="20752"/>
    <cellStyle name="Normal 12 4 2 2" xfId="29030"/>
    <cellStyle name="Normal 12 4 3" xfId="28765"/>
    <cellStyle name="Normal 12 5" xfId="7470"/>
    <cellStyle name="Normal 12 5 2" xfId="18758"/>
    <cellStyle name="Normal 12 5 2 2" xfId="29031"/>
    <cellStyle name="Normal 12 5 3" xfId="28766"/>
    <cellStyle name="Normal 12 6" xfId="5476"/>
    <cellStyle name="Normal 12 6 2" xfId="16764"/>
    <cellStyle name="Normal 12 6 2 2" xfId="29032"/>
    <cellStyle name="Normal 12 6 3" xfId="28767"/>
    <cellStyle name="Normal 12 7" xfId="3239"/>
    <cellStyle name="Normal 12 7 2" xfId="14770"/>
    <cellStyle name="Normal 12 7 2 2" xfId="29033"/>
    <cellStyle name="Normal 12 7 3" xfId="28768"/>
    <cellStyle name="Normal 12 8" xfId="13745"/>
    <cellStyle name="Normal 12 8 2" xfId="26657"/>
    <cellStyle name="Normal 12 8 2 2" xfId="29034"/>
    <cellStyle name="Normal 12 9" xfId="13456"/>
    <cellStyle name="Normal 12 9 2" xfId="29035"/>
    <cellStyle name="Normal 12 9 3" xfId="28769"/>
    <cellStyle name="Normal 13" xfId="324"/>
    <cellStyle name="Normal 13 10" xfId="23930"/>
    <cellStyle name="Normal 13 10 2" xfId="29036"/>
    <cellStyle name="Normal 13 10 3" xfId="28770"/>
    <cellStyle name="Normal 13 11" xfId="24557"/>
    <cellStyle name="Normal 13 11 2" xfId="29037"/>
    <cellStyle name="Normal 13 11 3" xfId="28771"/>
    <cellStyle name="Normal 13 12" xfId="24947"/>
    <cellStyle name="Normal 13 12 2" xfId="29038"/>
    <cellStyle name="Normal 13 12 3" xfId="28772"/>
    <cellStyle name="Normal 13 13" xfId="25966"/>
    <cellStyle name="Normal 13 13 2" xfId="29039"/>
    <cellStyle name="Normal 13 2" xfId="649"/>
    <cellStyle name="Normal 13 2 10" xfId="28773"/>
    <cellStyle name="Normal 13 2 2" xfId="12456"/>
    <cellStyle name="Normal 13 2 2 2" xfId="23744"/>
    <cellStyle name="Normal 13 2 2 3" xfId="29040"/>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3 2 2" xfId="29041"/>
    <cellStyle name="Normal 13 3 3" xfId="28774"/>
    <cellStyle name="Normal 13 4" xfId="9465"/>
    <cellStyle name="Normal 13 4 2" xfId="20753"/>
    <cellStyle name="Normal 13 4 2 2" xfId="29042"/>
    <cellStyle name="Normal 13 4 3" xfId="28775"/>
    <cellStyle name="Normal 13 5" xfId="7471"/>
    <cellStyle name="Normal 13 5 2" xfId="18759"/>
    <cellStyle name="Normal 13 5 2 2" xfId="29043"/>
    <cellStyle name="Normal 13 5 3" xfId="28776"/>
    <cellStyle name="Normal 13 6" xfId="5477"/>
    <cellStyle name="Normal 13 6 2" xfId="16765"/>
    <cellStyle name="Normal 13 6 2 2" xfId="29044"/>
    <cellStyle name="Normal 13 6 3" xfId="28777"/>
    <cellStyle name="Normal 13 7" xfId="3240"/>
    <cellStyle name="Normal 13 7 2" xfId="14771"/>
    <cellStyle name="Normal 13 7 2 2" xfId="29045"/>
    <cellStyle name="Normal 13 7 3" xfId="28778"/>
    <cellStyle name="Normal 13 8" xfId="13755"/>
    <cellStyle name="Normal 13 8 2" xfId="26659"/>
    <cellStyle name="Normal 13 8 2 2" xfId="29046"/>
    <cellStyle name="Normal 13 9" xfId="13457"/>
    <cellStyle name="Normal 13 9 2" xfId="29047"/>
    <cellStyle name="Normal 13 9 3" xfId="28779"/>
    <cellStyle name="Normal 14" xfId="333"/>
    <cellStyle name="Normal 14 10" xfId="24138"/>
    <cellStyle name="Normal 14 11" xfId="24714"/>
    <cellStyle name="Normal 14 12" xfId="25031"/>
    <cellStyle name="Normal 14 13" xfId="27919"/>
    <cellStyle name="Normal 14 14" xfId="25975"/>
    <cellStyle name="Normal 14 2" xfId="650"/>
    <cellStyle name="Normal 14 2 10" xfId="29048"/>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8 2" xfId="26660"/>
    <cellStyle name="Normal 14 9" xfId="13458"/>
    <cellStyle name="Normal 15" xfId="166"/>
    <cellStyle name="Normal 15 10" xfId="28780"/>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2 7" xfId="29049"/>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11" xfId="25977"/>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2 7" xfId="29050"/>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8 2" xfId="26661"/>
    <cellStyle name="Normal 16 9" xfId="13460"/>
    <cellStyle name="Normal 17" xfId="343"/>
    <cellStyle name="Normal 17 10" xfId="23928"/>
    <cellStyle name="Normal 17 11" xfId="24556"/>
    <cellStyle name="Normal 17 12" xfId="24946"/>
    <cellStyle name="Normal 17 13" xfId="27906"/>
    <cellStyle name="Normal 17 14" xfId="25981"/>
    <cellStyle name="Normal 17 2" xfId="4481"/>
    <cellStyle name="Normal 17 2 10" xfId="2905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8 2" xfId="26662"/>
    <cellStyle name="Normal 17 9" xfId="13461"/>
    <cellStyle name="Normal 18" xfId="350"/>
    <cellStyle name="Normal 18 10" xfId="25987"/>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2 7" xfId="29052"/>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8 2" xfId="26663"/>
    <cellStyle name="Normal 18 9" xfId="13462"/>
    <cellStyle name="Normal 19" xfId="359"/>
    <cellStyle name="Normal 19 10" xfId="27905"/>
    <cellStyle name="Normal 19 11" xfId="25991"/>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2 7" xfId="29053"/>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8 2" xfId="26664"/>
    <cellStyle name="Normal 19 9" xfId="13463"/>
    <cellStyle name="Normal 2" xfId="9"/>
    <cellStyle name="Normal 2 10" xfId="24139"/>
    <cellStyle name="Normal 2 10 2" xfId="29054"/>
    <cellStyle name="Normal 2 10 3" xfId="28781"/>
    <cellStyle name="Normal 2 11" xfId="25750"/>
    <cellStyle name="Normal 2 11 2" xfId="29055"/>
    <cellStyle name="Normal 2 12" xfId="28782"/>
    <cellStyle name="Normal 2 12 2" xfId="29056"/>
    <cellStyle name="Normal 2 13" xfId="28783"/>
    <cellStyle name="Normal 2 13 2" xfId="29057"/>
    <cellStyle name="Normal 2 14" xfId="28784"/>
    <cellStyle name="Normal 2 15" xfId="28855"/>
    <cellStyle name="Normal 2 2" xfId="51"/>
    <cellStyle name="Normal 2 2 2" xfId="202"/>
    <cellStyle name="Normal 2 2 2 2" xfId="348"/>
    <cellStyle name="Normal 2 2 2 2 2" xfId="654"/>
    <cellStyle name="Normal 2 2 2 2 3" xfId="653"/>
    <cellStyle name="Normal 2 2 2 2 4" xfId="25986"/>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2 8" xfId="29059"/>
    <cellStyle name="Normal 2 2 3" xfId="406"/>
    <cellStyle name="Normal 2 2 4" xfId="384"/>
    <cellStyle name="Normal 2 3" xfId="165"/>
    <cellStyle name="Normal 2 3 2" xfId="421"/>
    <cellStyle name="Normal 2 3 2 2" xfId="25783"/>
    <cellStyle name="Normal 2 3 2 3" xfId="29060"/>
    <cellStyle name="Normal 2 3 3" xfId="385"/>
    <cellStyle name="Normal 2 3 3 2" xfId="25999"/>
    <cellStyle name="Normal 2 3 3 3" xfId="30157"/>
    <cellStyle name="Normal 2 3 4" xfId="655"/>
    <cellStyle name="Normal 2 3 4 2" xfId="13910"/>
    <cellStyle name="Normal 2 4" xfId="656"/>
    <cellStyle name="Normal 2 4 2" xfId="3248"/>
    <cellStyle name="Normal 2 4 2 2" xfId="25784"/>
    <cellStyle name="Normal 2 4 2 3" xfId="29061"/>
    <cellStyle name="Normal 2 4 3" xfId="25770"/>
    <cellStyle name="Normal 2 4 4" xfId="26053"/>
    <cellStyle name="Normal 2 5" xfId="657"/>
    <cellStyle name="Normal 2 5 2" xfId="11466"/>
    <cellStyle name="Normal 2 5 2 2" xfId="22754"/>
    <cellStyle name="Normal 2 5 2 3" xfId="29062"/>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5 7 2" xfId="27076"/>
    <cellStyle name="Normal 2 6" xfId="4484"/>
    <cellStyle name="Normal 2 6 2" xfId="12463"/>
    <cellStyle name="Normal 2 6 2 2" xfId="23751"/>
    <cellStyle name="Normal 2 6 2 3" xfId="29063"/>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7 2" xfId="27077"/>
    <cellStyle name="Normal 2 6 8" xfId="25778"/>
    <cellStyle name="Normal 2 7" xfId="3247"/>
    <cellStyle name="Normal 2 7 2" xfId="24142"/>
    <cellStyle name="Normal 2 7 2 2" xfId="27078"/>
    <cellStyle name="Normal 2 7 2 2 2" xfId="29064"/>
    <cellStyle name="Normal 2 8" xfId="13604"/>
    <cellStyle name="Normal 2 8 2" xfId="26557"/>
    <cellStyle name="Normal 2 8 2 2" xfId="29065"/>
    <cellStyle name="Normal 2 9" xfId="23906"/>
    <cellStyle name="Normal 2 9 2" xfId="29066"/>
    <cellStyle name="Normal 2 9 3" xfId="28785"/>
    <cellStyle name="Normal 20" xfId="393"/>
    <cellStyle name="Normal 20 10" xfId="27904"/>
    <cellStyle name="Normal 20 11" xfId="2600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2 7" xfId="29067"/>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8 2" xfId="26667"/>
    <cellStyle name="Normal 20 9" xfId="13464"/>
    <cellStyle name="Normal 21" xfId="370"/>
    <cellStyle name="Normal 21 10" xfId="24130"/>
    <cellStyle name="Normal 21 10 2" xfId="27072"/>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2 8" xfId="29068"/>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10 2" xfId="27145"/>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2 8" xfId="29069"/>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10 2" xfId="27173"/>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2 7" xfId="29070"/>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10 2" xfId="27188"/>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2 8" xfId="29071"/>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10 2" xfId="27171"/>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2 8" xfId="29072"/>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10" xfId="26019"/>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8 2" xfId="26675"/>
    <cellStyle name="Normal 26 9" xfId="13470"/>
    <cellStyle name="Normal 27" xfId="465"/>
    <cellStyle name="Normal 27 10" xfId="26030"/>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2 7" xfId="2907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8 2" xfId="26678"/>
    <cellStyle name="Normal 27 9" xfId="13471"/>
    <cellStyle name="Normal 28" xfId="469"/>
    <cellStyle name="Normal 28 10" xfId="26032"/>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8 2" xfId="26679"/>
    <cellStyle name="Normal 28 9" xfId="13472"/>
    <cellStyle name="Normal 29" xfId="464"/>
    <cellStyle name="Normal 29 10" xfId="26029"/>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8 2" xfId="26677"/>
    <cellStyle name="Normal 29 9" xfId="13473"/>
    <cellStyle name="Normal 3" xfId="53"/>
    <cellStyle name="Normal 3 10" xfId="24143"/>
    <cellStyle name="Normal 3 10 2" xfId="29074"/>
    <cellStyle name="Normal 3 10 3" xfId="28786"/>
    <cellStyle name="Normal 3 11" xfId="25771"/>
    <cellStyle name="Normal 3 11 2" xfId="29075"/>
    <cellStyle name="Normal 3 12" xfId="28787"/>
    <cellStyle name="Normal 3 12 2" xfId="29076"/>
    <cellStyle name="Normal 3 13" xfId="28788"/>
    <cellStyle name="Normal 3 13 2" xfId="29077"/>
    <cellStyle name="Normal 3 14" xfId="29058"/>
    <cellStyle name="Normal 3 15" xfId="30158"/>
    <cellStyle name="Normal 3 2" xfId="54"/>
    <cellStyle name="Normal 3 2 2" xfId="11477"/>
    <cellStyle name="Normal 3 2 2 2" xfId="22765"/>
    <cellStyle name="Normal 3 2 2 3" xfId="29078"/>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5"/>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2 5" xfId="29079"/>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3 8 2" xfId="27079"/>
    <cellStyle name="Normal 3 4" xfId="407"/>
    <cellStyle name="Normal 3 4 2" xfId="507"/>
    <cellStyle name="Normal 3 4 2 2" xfId="13870"/>
    <cellStyle name="Normal 3 4 2 3" xfId="24419"/>
    <cellStyle name="Normal 3 4 2 4" xfId="24863"/>
    <cellStyle name="Normal 3 4 2 5" xfId="25226"/>
    <cellStyle name="Normal 3 4 2 6" xfId="29080"/>
    <cellStyle name="Normal 3 4 3" xfId="13789"/>
    <cellStyle name="Normal 3 4 4" xfId="24145"/>
    <cellStyle name="Normal 3 4 5" xfId="24716"/>
    <cellStyle name="Normal 3 4 6" xfId="25032"/>
    <cellStyle name="Normal 3 4 7" xfId="28789"/>
    <cellStyle name="Normal 3 5" xfId="386"/>
    <cellStyle name="Normal 3 5 2" xfId="29081"/>
    <cellStyle name="Normal 3 5 3" xfId="28790"/>
    <cellStyle name="Normal 3 6" xfId="472"/>
    <cellStyle name="Normal 3 6 2" xfId="13835"/>
    <cellStyle name="Normal 3 6 2 2" xfId="29082"/>
    <cellStyle name="Normal 3 6 3" xfId="28791"/>
    <cellStyle name="Normal 3 7" xfId="658"/>
    <cellStyle name="Normal 3 7 2" xfId="13911"/>
    <cellStyle name="Normal 3 7 2 2" xfId="29083"/>
    <cellStyle name="Normal 3 7 3" xfId="28792"/>
    <cellStyle name="Normal 3 8" xfId="13612"/>
    <cellStyle name="Normal 3 8 2" xfId="29084"/>
    <cellStyle name="Normal 3 8 3" xfId="28793"/>
    <cellStyle name="Normal 3 9" xfId="12599"/>
    <cellStyle name="Normal 3 9 2" xfId="29085"/>
    <cellStyle name="Normal 3 9 3" xfId="28794"/>
    <cellStyle name="Normal 30" xfId="470"/>
    <cellStyle name="Normal 30 10" xfId="27907"/>
    <cellStyle name="Normal 30 11" xfId="26033"/>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2 7" xfId="29086"/>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8 2" xfId="26680"/>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2 7" xfId="29087"/>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1 9 2" xfId="27169"/>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2 7" xfId="29088"/>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2 9 2" xfId="27150"/>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2 7" xfId="29089"/>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3 9 2" xfId="2717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2 7" xfId="29090"/>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4 9 2" xfId="27168"/>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2 7" xfId="29091"/>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5 9 2" xfId="27189"/>
    <cellStyle name="Normal 36" xfId="3267"/>
    <cellStyle name="Normal 36 10" xfId="28795"/>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6 9 2" xfId="27176"/>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7 9 2" xfId="27187"/>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8 9 2" xfId="27165"/>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39 9 2" xfId="27183"/>
    <cellStyle name="Normal 4" xfId="55"/>
    <cellStyle name="Normal 4 10" xfId="24146"/>
    <cellStyle name="Normal 4 10 2" xfId="29092"/>
    <cellStyle name="Normal 4 10 3" xfId="28796"/>
    <cellStyle name="Normal 4 11" xfId="24717"/>
    <cellStyle name="Normal 4 11 2" xfId="29093"/>
    <cellStyle name="Normal 4 11 3" xfId="28797"/>
    <cellStyle name="Normal 4 12" xfId="25033"/>
    <cellStyle name="Normal 4 12 2" xfId="29094"/>
    <cellStyle name="Normal 4 12 3" xfId="28798"/>
    <cellStyle name="Normal 4 13" xfId="25772"/>
    <cellStyle name="Normal 4 13 2" xfId="29095"/>
    <cellStyle name="Normal 4 14" xfId="29164"/>
    <cellStyle name="Normal 4 2" xfId="164"/>
    <cellStyle name="Normal 4 2 10" xfId="25786"/>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2 6" xfId="26013"/>
    <cellStyle name="Normal 4 2 2 6 2" xfId="29096"/>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10" xfId="28799"/>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2 8" xfId="2909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2 4" xfId="29098"/>
    <cellStyle name="Normal 4 4 3" xfId="488"/>
    <cellStyle name="Normal 4 4 3 2" xfId="13851"/>
    <cellStyle name="Normal 4 4 4" xfId="9494"/>
    <cellStyle name="Normal 4 4 4 2" xfId="20782"/>
    <cellStyle name="Normal 4 4 5" xfId="13766"/>
    <cellStyle name="Normal 4 4 6" xfId="24151"/>
    <cellStyle name="Normal 4 4 6 2" xfId="27080"/>
    <cellStyle name="Normal 4 5" xfId="473"/>
    <cellStyle name="Normal 4 5 2" xfId="7500"/>
    <cellStyle name="Normal 4 5 2 2" xfId="18788"/>
    <cellStyle name="Normal 4 5 2 3" xfId="29099"/>
    <cellStyle name="Normal 4 5 3" xfId="13836"/>
    <cellStyle name="Normal 4 5 4" xfId="24152"/>
    <cellStyle name="Normal 4 5 4 2" xfId="27081"/>
    <cellStyle name="Normal 4 6" xfId="659"/>
    <cellStyle name="Normal 4 6 2" xfId="5506"/>
    <cellStyle name="Normal 4 6 2 2" xfId="16794"/>
    <cellStyle name="Normal 4 6 2 3" xfId="24425"/>
    <cellStyle name="Normal 4 6 2 4" xfId="24869"/>
    <cellStyle name="Normal 4 6 2 5" xfId="25232"/>
    <cellStyle name="Normal 4 6 2 6" xfId="29100"/>
    <cellStyle name="Normal 4 6 3" xfId="13912"/>
    <cellStyle name="Normal 4 6 4" xfId="24153"/>
    <cellStyle name="Normal 4 6 5" xfId="24722"/>
    <cellStyle name="Normal 4 6 6" xfId="25038"/>
    <cellStyle name="Normal 4 6 7" xfId="28800"/>
    <cellStyle name="Normal 4 7" xfId="3271"/>
    <cellStyle name="Normal 4 7 2" xfId="14800"/>
    <cellStyle name="Normal 4 7 2 2" xfId="29101"/>
    <cellStyle name="Normal 4 7 3" xfId="24420"/>
    <cellStyle name="Normal 4 7 4" xfId="24864"/>
    <cellStyle name="Normal 4 7 5" xfId="25227"/>
    <cellStyle name="Normal 4 7 6" xfId="28801"/>
    <cellStyle name="Normal 4 8" xfId="13613"/>
    <cellStyle name="Normal 4 8 2" xfId="29102"/>
    <cellStyle name="Normal 4 8 3" xfId="28802"/>
    <cellStyle name="Normal 4 9" xfId="13484"/>
    <cellStyle name="Normal 4 9 2" xfId="29103"/>
    <cellStyle name="Normal 4 9 3" xfId="28803"/>
    <cellStyle name="Normal 40" xfId="3272"/>
    <cellStyle name="Normal 40 10" xfId="24479"/>
    <cellStyle name="Normal 40 10 2" xfId="27174"/>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1 9 2" xfId="2718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2 9 2" xfId="27192"/>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3 9 2" xfId="27197"/>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0 2" xfId="29104"/>
    <cellStyle name="Normal 5 10 3" xfId="28804"/>
    <cellStyle name="Normal 5 11" xfId="24154"/>
    <cellStyle name="Normal 5 11 2" xfId="29105"/>
    <cellStyle name="Normal 5 11 3" xfId="28805"/>
    <cellStyle name="Normal 5 12" xfId="24723"/>
    <cellStyle name="Normal 5 12 2" xfId="29106"/>
    <cellStyle name="Normal 5 12 3" xfId="28806"/>
    <cellStyle name="Normal 5 13" xfId="25039"/>
    <cellStyle name="Normal 5 13 2" xfId="29107"/>
    <cellStyle name="Normal 5 13 3" xfId="28807"/>
    <cellStyle name="Normal 5 14" xfId="25773"/>
    <cellStyle name="Normal 5 15" xfId="29165"/>
    <cellStyle name="Normal 5 2" xfId="203"/>
    <cellStyle name="Normal 5 2 10" xfId="25787"/>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2 6" xfId="29108"/>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2 7" xfId="29109"/>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3 9" xfId="28808"/>
    <cellStyle name="Normal 5 4" xfId="408"/>
    <cellStyle name="Normal 5 4 2" xfId="508"/>
    <cellStyle name="Normal 5 4 2 2" xfId="13871"/>
    <cellStyle name="Normal 5 4 2 3" xfId="24431"/>
    <cellStyle name="Normal 5 4 2 4" xfId="24875"/>
    <cellStyle name="Normal 5 4 2 5" xfId="25238"/>
    <cellStyle name="Normal 5 4 2 6" xfId="29110"/>
    <cellStyle name="Normal 5 4 3" xfId="9506"/>
    <cellStyle name="Normal 5 4 3 2" xfId="20794"/>
    <cellStyle name="Normal 5 4 4" xfId="13790"/>
    <cellStyle name="Normal 5 4 5" xfId="24159"/>
    <cellStyle name="Normal 5 4 6" xfId="24728"/>
    <cellStyle name="Normal 5 4 7" xfId="25044"/>
    <cellStyle name="Normal 5 4 8" xfId="28809"/>
    <cellStyle name="Normal 5 5" xfId="392"/>
    <cellStyle name="Normal 5 5 2" xfId="7512"/>
    <cellStyle name="Normal 5 5 2 2" xfId="18800"/>
    <cellStyle name="Normal 5 5 2 3" xfId="29111"/>
    <cellStyle name="Normal 5 5 3" xfId="24426"/>
    <cellStyle name="Normal 5 5 4" xfId="24870"/>
    <cellStyle name="Normal 5 5 5" xfId="25233"/>
    <cellStyle name="Normal 5 5 6" xfId="26002"/>
    <cellStyle name="Normal 5 6" xfId="474"/>
    <cellStyle name="Normal 5 6 2" xfId="5518"/>
    <cellStyle name="Normal 5 6 2 2" xfId="16806"/>
    <cellStyle name="Normal 5 6 2 3" xfId="29112"/>
    <cellStyle name="Normal 5 6 3" xfId="13837"/>
    <cellStyle name="Normal 5 6 4" xfId="28810"/>
    <cellStyle name="Normal 5 7" xfId="660"/>
    <cellStyle name="Normal 5 7 2" xfId="13913"/>
    <cellStyle name="Normal 5 7 2 2" xfId="29113"/>
    <cellStyle name="Normal 5 7 3" xfId="28811"/>
    <cellStyle name="Normal 5 8" xfId="3283"/>
    <cellStyle name="Normal 5 8 2" xfId="14812"/>
    <cellStyle name="Normal 5 8 2 2" xfId="29114"/>
    <cellStyle name="Normal 5 8 3" xfId="28812"/>
    <cellStyle name="Normal 5 9" xfId="13614"/>
    <cellStyle name="Normal 5 9 2" xfId="29115"/>
    <cellStyle name="Normal 5 9 3" xfId="28813"/>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4"/>
    <cellStyle name="Normal 6 10 2" xfId="29116"/>
    <cellStyle name="Normal 6 11" xfId="28814"/>
    <cellStyle name="Normal 6 11 2" xfId="29117"/>
    <cellStyle name="Normal 6 12" xfId="28815"/>
    <cellStyle name="Normal 6 12 2" xfId="29118"/>
    <cellStyle name="Normal 6 13" xfId="28816"/>
    <cellStyle name="Normal 6 13 2" xfId="29119"/>
    <cellStyle name="Normal 6 14" xfId="29166"/>
    <cellStyle name="Normal 6 2" xfId="204"/>
    <cellStyle name="Normal 6 2 10" xfId="25046"/>
    <cellStyle name="Normal 6 2 11" xfId="25788"/>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2 9" xfId="29120"/>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10" xfId="28817"/>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2 6" xfId="29121"/>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2 4" xfId="29122"/>
    <cellStyle name="Normal 6 4 3" xfId="24165"/>
    <cellStyle name="Normal 6 4 4" xfId="24734"/>
    <cellStyle name="Normal 6 4 5" xfId="25050"/>
    <cellStyle name="Normal 6 4 6" xfId="26181"/>
    <cellStyle name="Normal 6 5" xfId="13615"/>
    <cellStyle name="Normal 6 5 2" xfId="24432"/>
    <cellStyle name="Normal 6 5 2 2" xfId="29123"/>
    <cellStyle name="Normal 6 5 3" xfId="24876"/>
    <cellStyle name="Normal 6 5 4" xfId="25239"/>
    <cellStyle name="Normal 6 5 5" xfId="28818"/>
    <cellStyle name="Normal 6 6" xfId="13508"/>
    <cellStyle name="Normal 6 6 2" xfId="29124"/>
    <cellStyle name="Normal 6 6 3" xfId="28819"/>
    <cellStyle name="Normal 6 7" xfId="24160"/>
    <cellStyle name="Normal 6 7 2" xfId="29125"/>
    <cellStyle name="Normal 6 7 3" xfId="28820"/>
    <cellStyle name="Normal 6 8" xfId="24729"/>
    <cellStyle name="Normal 6 8 2" xfId="29126"/>
    <cellStyle name="Normal 6 8 3" xfId="28821"/>
    <cellStyle name="Normal 6 9" xfId="25045"/>
    <cellStyle name="Normal 6 9 2" xfId="29127"/>
    <cellStyle name="Normal 6 9 3" xfId="28822"/>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4"/>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0 2" xfId="29128"/>
    <cellStyle name="Normal 7 10 3" xfId="28823"/>
    <cellStyle name="Normal 7 11" xfId="24735"/>
    <cellStyle name="Normal 7 11 2" xfId="29129"/>
    <cellStyle name="Normal 7 11 3" xfId="28824"/>
    <cellStyle name="Normal 7 12" xfId="25051"/>
    <cellStyle name="Normal 7 12 2" xfId="29130"/>
    <cellStyle name="Normal 7 12 3" xfId="28825"/>
    <cellStyle name="Normal 7 13" xfId="25775"/>
    <cellStyle name="Normal 7 13 2" xfId="29131"/>
    <cellStyle name="Normal 7 14" xfId="29167"/>
    <cellStyle name="Normal 7 2" xfId="4543"/>
    <cellStyle name="Normal 7 2 10" xfId="28826"/>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2 6" xfId="29132"/>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2 6" xfId="29133"/>
    <cellStyle name="Normal 7 3 3" xfId="24441"/>
    <cellStyle name="Normal 7 3 3 2" xfId="24885"/>
    <cellStyle name="Normal 7 3 3 3" xfId="25248"/>
    <cellStyle name="Normal 7 3 4" xfId="24169"/>
    <cellStyle name="Normal 7 3 5" xfId="24738"/>
    <cellStyle name="Normal 7 3 6" xfId="25054"/>
    <cellStyle name="Normal 7 3 7" xfId="28827"/>
    <cellStyle name="Normal 7 4" xfId="9531"/>
    <cellStyle name="Normal 7 4 2" xfId="20819"/>
    <cellStyle name="Normal 7 4 2 2" xfId="24443"/>
    <cellStyle name="Normal 7 4 2 3" xfId="24887"/>
    <cellStyle name="Normal 7 4 2 4" xfId="25250"/>
    <cellStyle name="Normal 7 4 2 5" xfId="29134"/>
    <cellStyle name="Normal 7 4 3" xfId="24171"/>
    <cellStyle name="Normal 7 4 4" xfId="24740"/>
    <cellStyle name="Normal 7 4 5" xfId="25056"/>
    <cellStyle name="Normal 7 4 6" xfId="28828"/>
    <cellStyle name="Normal 7 5" xfId="7537"/>
    <cellStyle name="Normal 7 5 2" xfId="18825"/>
    <cellStyle name="Normal 7 5 2 2" xfId="29135"/>
    <cellStyle name="Normal 7 5 3" xfId="24438"/>
    <cellStyle name="Normal 7 5 4" xfId="24882"/>
    <cellStyle name="Normal 7 5 5" xfId="25245"/>
    <cellStyle name="Normal 7 5 6" xfId="28829"/>
    <cellStyle name="Normal 7 6" xfId="5543"/>
    <cellStyle name="Normal 7 6 2" xfId="16831"/>
    <cellStyle name="Normal 7 6 2 2" xfId="29136"/>
    <cellStyle name="Normal 7 6 3" xfId="28830"/>
    <cellStyle name="Normal 7 7" xfId="3309"/>
    <cellStyle name="Normal 7 7 2" xfId="14837"/>
    <cellStyle name="Normal 7 7 2 2" xfId="29137"/>
    <cellStyle name="Normal 7 7 3" xfId="28831"/>
    <cellStyle name="Normal 7 8" xfId="13616"/>
    <cellStyle name="Normal 7 8 2" xfId="29138"/>
    <cellStyle name="Normal 7 8 3" xfId="28832"/>
    <cellStyle name="Normal 7 9" xfId="13521"/>
    <cellStyle name="Normal 7 9 2" xfId="29139"/>
    <cellStyle name="Normal 7 9 3" xfId="28833"/>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2 2" xfId="26684"/>
    <cellStyle name="Normal 72 3" xfId="13597"/>
    <cellStyle name="Normal 72 4" xfId="26054"/>
    <cellStyle name="Normal 73" xfId="23888"/>
    <cellStyle name="Normal 74" xfId="23893"/>
    <cellStyle name="Normal 75" xfId="12598"/>
    <cellStyle name="Normal 75 2" xfId="26519"/>
    <cellStyle name="Normal 76" xfId="23900"/>
    <cellStyle name="Normal 76 2" xfId="27029"/>
    <cellStyle name="Normal 77" xfId="23901"/>
    <cellStyle name="Normal 77 2" xfId="27030"/>
    <cellStyle name="Normal 78" xfId="23902"/>
    <cellStyle name="Normal 78 2" xfId="27031"/>
    <cellStyle name="Normal 79" xfId="24543"/>
    <cellStyle name="Normal 79 2" xfId="27217"/>
    <cellStyle name="Normal 8" xfId="59"/>
    <cellStyle name="Normal 8 10" xfId="24172"/>
    <cellStyle name="Normal 8 10 2" xfId="29140"/>
    <cellStyle name="Normal 8 10 3" xfId="28834"/>
    <cellStyle name="Normal 8 11" xfId="24741"/>
    <cellStyle name="Normal 8 11 2" xfId="29141"/>
    <cellStyle name="Normal 8 11 3" xfId="28835"/>
    <cellStyle name="Normal 8 12" xfId="25057"/>
    <cellStyle name="Normal 8 12 2" xfId="29142"/>
    <cellStyle name="Normal 8 12 3" xfId="28836"/>
    <cellStyle name="Normal 8 13" xfId="25776"/>
    <cellStyle name="Normal 8 13 2" xfId="29143"/>
    <cellStyle name="Normal 8 14" xfId="29168"/>
    <cellStyle name="Normal 8 2" xfId="4546"/>
    <cellStyle name="Normal 8 2 10" xfId="28837"/>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2 6" xfId="29144"/>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2 6" xfId="29145"/>
    <cellStyle name="Normal 8 3 3" xfId="24447"/>
    <cellStyle name="Normal 8 3 3 2" xfId="24891"/>
    <cellStyle name="Normal 8 3 3 3" xfId="25254"/>
    <cellStyle name="Normal 8 3 4" xfId="24175"/>
    <cellStyle name="Normal 8 3 5" xfId="24744"/>
    <cellStyle name="Normal 8 3 6" xfId="25060"/>
    <cellStyle name="Normal 8 3 7" xfId="28838"/>
    <cellStyle name="Normal 8 4" xfId="9534"/>
    <cellStyle name="Normal 8 4 2" xfId="20822"/>
    <cellStyle name="Normal 8 4 2 2" xfId="24449"/>
    <cellStyle name="Normal 8 4 2 3" xfId="24893"/>
    <cellStyle name="Normal 8 4 2 4" xfId="25256"/>
    <cellStyle name="Normal 8 4 2 5" xfId="29146"/>
    <cellStyle name="Normal 8 4 3" xfId="24177"/>
    <cellStyle name="Normal 8 4 4" xfId="24746"/>
    <cellStyle name="Normal 8 4 5" xfId="25062"/>
    <cellStyle name="Normal 8 4 6" xfId="28839"/>
    <cellStyle name="Normal 8 5" xfId="7540"/>
    <cellStyle name="Normal 8 5 2" xfId="18828"/>
    <cellStyle name="Normal 8 5 2 2" xfId="29147"/>
    <cellStyle name="Normal 8 5 3" xfId="24444"/>
    <cellStyle name="Normal 8 5 4" xfId="24888"/>
    <cellStyle name="Normal 8 5 5" xfId="25251"/>
    <cellStyle name="Normal 8 5 6" xfId="28840"/>
    <cellStyle name="Normal 8 6" xfId="5546"/>
    <cellStyle name="Normal 8 6 2" xfId="16834"/>
    <cellStyle name="Normal 8 6 2 2" xfId="29148"/>
    <cellStyle name="Normal 8 6 3" xfId="28841"/>
    <cellStyle name="Normal 8 7" xfId="3312"/>
    <cellStyle name="Normal 8 7 2" xfId="14840"/>
    <cellStyle name="Normal 8 7 2 2" xfId="29149"/>
    <cellStyle name="Normal 8 7 3" xfId="28842"/>
    <cellStyle name="Normal 8 8" xfId="13617"/>
    <cellStyle name="Normal 8 8 2" xfId="26560"/>
    <cellStyle name="Normal 8 8 2 2" xfId="29150"/>
    <cellStyle name="Normal 8 9" xfId="13524"/>
    <cellStyle name="Normal 8 9 2" xfId="29151"/>
    <cellStyle name="Normal 8 9 3" xfId="28844"/>
    <cellStyle name="Normal 80" xfId="24554"/>
    <cellStyle name="Normal 80 2" xfId="27222"/>
    <cellStyle name="Normal 81" xfId="24767"/>
    <cellStyle name="Normal 81 2" xfId="27309"/>
    <cellStyle name="Normal 82" xfId="24903"/>
    <cellStyle name="Normal 82 2" xfId="27325"/>
    <cellStyle name="Normal 83" xfId="24935"/>
    <cellStyle name="Normal 83 2" xfId="27342"/>
    <cellStyle name="Normal 84" xfId="24705"/>
    <cellStyle name="Normal 84 2" xfId="27292"/>
    <cellStyle name="Normal 85" xfId="24926"/>
    <cellStyle name="Normal 85 2" xfId="27335"/>
    <cellStyle name="Normal 86" xfId="24768"/>
    <cellStyle name="Normal 86 2" xfId="27310"/>
    <cellStyle name="Normal 87" xfId="24933"/>
    <cellStyle name="Normal 87 2" xfId="27340"/>
    <cellStyle name="Normal 88" xfId="24689"/>
    <cellStyle name="Normal 88 2" xfId="27279"/>
    <cellStyle name="Normal 89" xfId="24690"/>
    <cellStyle name="Normal 89 2" xfId="27280"/>
    <cellStyle name="Normal 9" xfId="60"/>
    <cellStyle name="Normal 9 10" xfId="24178"/>
    <cellStyle name="Normal 9 10 2" xfId="29152"/>
    <cellStyle name="Normal 9 10 3" xfId="28845"/>
    <cellStyle name="Normal 9 11" xfId="24747"/>
    <cellStyle name="Normal 9 11 2" xfId="29153"/>
    <cellStyle name="Normal 9 11 3" xfId="28846"/>
    <cellStyle name="Normal 9 12" xfId="25063"/>
    <cellStyle name="Normal 9 12 2" xfId="29154"/>
    <cellStyle name="Normal 9 12 3" xfId="28847"/>
    <cellStyle name="Normal 9 13" xfId="25812"/>
    <cellStyle name="Normal 9 13 2" xfId="29155"/>
    <cellStyle name="Normal 9 14" xfId="25765"/>
    <cellStyle name="Normal 9 2" xfId="4547"/>
    <cellStyle name="Normal 9 2 10" xfId="28848"/>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2 6" xfId="29156"/>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2 6" xfId="29157"/>
    <cellStyle name="Normal 9 3 3" xfId="24453"/>
    <cellStyle name="Normal 9 3 3 2" xfId="24897"/>
    <cellStyle name="Normal 9 3 3 3" xfId="25260"/>
    <cellStyle name="Normal 9 3 4" xfId="24181"/>
    <cellStyle name="Normal 9 3 5" xfId="24750"/>
    <cellStyle name="Normal 9 3 6" xfId="25066"/>
    <cellStyle name="Normal 9 3 7" xfId="28849"/>
    <cellStyle name="Normal 9 4" xfId="9535"/>
    <cellStyle name="Normal 9 4 2" xfId="20823"/>
    <cellStyle name="Normal 9 4 2 2" xfId="24455"/>
    <cellStyle name="Normal 9 4 2 3" xfId="24899"/>
    <cellStyle name="Normal 9 4 2 4" xfId="25262"/>
    <cellStyle name="Normal 9 4 2 5" xfId="29158"/>
    <cellStyle name="Normal 9 4 3" xfId="24183"/>
    <cellStyle name="Normal 9 4 4" xfId="24752"/>
    <cellStyle name="Normal 9 4 5" xfId="25068"/>
    <cellStyle name="Normal 9 4 6" xfId="28850"/>
    <cellStyle name="Normal 9 5" xfId="7541"/>
    <cellStyle name="Normal 9 5 2" xfId="18829"/>
    <cellStyle name="Normal 9 5 2 2" xfId="29159"/>
    <cellStyle name="Normal 9 5 3" xfId="24450"/>
    <cellStyle name="Normal 9 5 4" xfId="24894"/>
    <cellStyle name="Normal 9 5 5" xfId="25257"/>
    <cellStyle name="Normal 9 5 6" xfId="28851"/>
    <cellStyle name="Normal 9 6" xfId="5547"/>
    <cellStyle name="Normal 9 6 2" xfId="16835"/>
    <cellStyle name="Normal 9 6 2 2" xfId="29160"/>
    <cellStyle name="Normal 9 6 3" xfId="28852"/>
    <cellStyle name="Normal 9 7" xfId="3313"/>
    <cellStyle name="Normal 9 7 2" xfId="14841"/>
    <cellStyle name="Normal 9 7 2 2" xfId="29161"/>
    <cellStyle name="Normal 9 7 3" xfId="28853"/>
    <cellStyle name="Normal 9 8" xfId="13618"/>
    <cellStyle name="Normal 9 8 2" xfId="26561"/>
    <cellStyle name="Normal 9 8 2 2" xfId="29162"/>
    <cellStyle name="Normal 9 9" xfId="13525"/>
    <cellStyle name="Normal 9 9 2" xfId="29163"/>
    <cellStyle name="Normal 9 9 3" xfId="28854"/>
    <cellStyle name="Normal 90" xfId="24941"/>
    <cellStyle name="Normal 90 2" xfId="27345"/>
    <cellStyle name="Normal 91" xfId="24545"/>
    <cellStyle name="Normal 91 2" xfId="27218"/>
    <cellStyle name="Normal 92" xfId="1"/>
    <cellStyle name="Normal 93" xfId="25276"/>
    <cellStyle name="Normal 94" xfId="25295"/>
    <cellStyle name="Normal 95" xfId="25455"/>
    <cellStyle name="Normal 96" xfId="25746"/>
    <cellStyle name="Normal 96 2" xfId="27895"/>
    <cellStyle name="Normal 97" xfId="25752"/>
    <cellStyle name="Normal 97 2" xfId="27896"/>
    <cellStyle name="Normal 98" xfId="25755"/>
    <cellStyle name="Normal 98 2" xfId="27897"/>
    <cellStyle name="Normal 99" xfId="25757"/>
    <cellStyle name="Normal 99 2" xfId="27898"/>
    <cellStyle name="Normal(0)" xfId="61"/>
    <cellStyle name="Normal_Jan 08" xfId="25743"/>
    <cellStyle name="Normal_vcap1299" xfId="25741"/>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2 2" xfId="27550"/>
    <cellStyle name="Note 2 10 2 3" xfId="26995"/>
    <cellStyle name="Note 2 10 2 4" xfId="27022"/>
    <cellStyle name="Note 2 10 2 5" xfId="29314"/>
    <cellStyle name="Note 2 10 3" xfId="25676"/>
    <cellStyle name="Note 2 10 3 2" xfId="27829"/>
    <cellStyle name="Note 2 10 3 3" xfId="26488"/>
    <cellStyle name="Note 2 10 3 4" xfId="26208"/>
    <cellStyle name="Note 2 10 3 5" xfId="29313"/>
    <cellStyle name="Note 2 10 4" xfId="27363"/>
    <cellStyle name="Note 2 10 5" xfId="26412"/>
    <cellStyle name="Note 2 10 6" xfId="26234"/>
    <cellStyle name="Note 2 10 7" xfId="29315"/>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2 2" xfId="27567"/>
    <cellStyle name="Note 2 2 7 2 3" xfId="26449"/>
    <cellStyle name="Note 2 2 7 2 4" xfId="26692"/>
    <cellStyle name="Note 2 2 7 2 5" xfId="29311"/>
    <cellStyle name="Note 2 2 7 3" xfId="25564"/>
    <cellStyle name="Note 2 2 7 3 2" xfId="27717"/>
    <cellStyle name="Note 2 2 7 3 3" xfId="26725"/>
    <cellStyle name="Note 2 2 7 3 4" xfId="26483"/>
    <cellStyle name="Note 2 2 7 3 5" xfId="29310"/>
    <cellStyle name="Note 2 2 7 4" xfId="27089"/>
    <cellStyle name="Note 2 2 7 5" xfId="26967"/>
    <cellStyle name="Note 2 2 7 6" xfId="26787"/>
    <cellStyle name="Note 2 2 7 7" xfId="29312"/>
    <cellStyle name="Note 2 2 8" xfId="25073"/>
    <cellStyle name="Note 2 2 8 2" xfId="25305"/>
    <cellStyle name="Note 2 2 8 2 2" xfId="27459"/>
    <cellStyle name="Note 2 2 8 2 3" xfId="26276"/>
    <cellStyle name="Note 2 2 8 2 4" xfId="26501"/>
    <cellStyle name="Note 2 2 8 2 5" xfId="29308"/>
    <cellStyle name="Note 2 2 8 3" xfId="25677"/>
    <cellStyle name="Note 2 2 8 3 2" xfId="27830"/>
    <cellStyle name="Note 2 2 8 3 3" xfId="26871"/>
    <cellStyle name="Note 2 2 8 3 4" xfId="26439"/>
    <cellStyle name="Note 2 2 8 3 5" xfId="29307"/>
    <cellStyle name="Note 2 2 8 4" xfId="27364"/>
    <cellStyle name="Note 2 2 8 5" xfId="26802"/>
    <cellStyle name="Note 2 2 8 6" xfId="26854"/>
    <cellStyle name="Note 2 2 8 7" xfId="29309"/>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2 2" xfId="27465"/>
    <cellStyle name="Note 2 9 2 3" xfId="26837"/>
    <cellStyle name="Note 2 9 2 4" xfId="26293"/>
    <cellStyle name="Note 2 9 2 5" xfId="29305"/>
    <cellStyle name="Note 2 9 3" xfId="25563"/>
    <cellStyle name="Note 2 9 3 2" xfId="27716"/>
    <cellStyle name="Note 2 9 3 3" xfId="26310"/>
    <cellStyle name="Note 2 9 3 4" xfId="26463"/>
    <cellStyle name="Note 2 9 3 5" xfId="29304"/>
    <cellStyle name="Note 2 9 4" xfId="27088"/>
    <cellStyle name="Note 2 9 5" xfId="26236"/>
    <cellStyle name="Note 2 9 6" xfId="26328"/>
    <cellStyle name="Note 2 9 7" xfId="29306"/>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2 2" xfId="27562"/>
    <cellStyle name="Note 3 10 2 3" xfId="26759"/>
    <cellStyle name="Note 3 10 2 4" xfId="26423"/>
    <cellStyle name="Note 3 10 2 5" xfId="29301"/>
    <cellStyle name="Note 3 10 3" xfId="25678"/>
    <cellStyle name="Note 3 10 3 2" xfId="27831"/>
    <cellStyle name="Note 3 10 3 3" xfId="26235"/>
    <cellStyle name="Note 3 10 3 4" xfId="26944"/>
    <cellStyle name="Note 3 10 3 5" xfId="29300"/>
    <cellStyle name="Note 3 10 4" xfId="27365"/>
    <cellStyle name="Note 3 10 5" xfId="26690"/>
    <cellStyle name="Note 3 10 6" xfId="26707"/>
    <cellStyle name="Note 3 10 7" xfId="29302"/>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2 2" xfId="27581"/>
    <cellStyle name="Note 3 2 7 2 3" xfId="26937"/>
    <cellStyle name="Note 3 2 7 2 4" xfId="26806"/>
    <cellStyle name="Note 3 2 7 2 5" xfId="29298"/>
    <cellStyle name="Note 3 2 7 3" xfId="25566"/>
    <cellStyle name="Note 3 2 7 3 2" xfId="27719"/>
    <cellStyle name="Note 3 2 7 3 3" xfId="26411"/>
    <cellStyle name="Note 3 2 7 3 4" xfId="26970"/>
    <cellStyle name="Note 3 2 7 3 5" xfId="29297"/>
    <cellStyle name="Note 3 2 7 4" xfId="27091"/>
    <cellStyle name="Note 3 2 7 5" xfId="26345"/>
    <cellStyle name="Note 3 2 7 6" xfId="26209"/>
    <cellStyle name="Note 3 2 7 7" xfId="29299"/>
    <cellStyle name="Note 3 2 8" xfId="25075"/>
    <cellStyle name="Note 3 2 8 2" xfId="25321"/>
    <cellStyle name="Note 3 2 8 2 2" xfId="27475"/>
    <cellStyle name="Note 3 2 8 2 3" xfId="26487"/>
    <cellStyle name="Note 3 2 8 2 4" xfId="26930"/>
    <cellStyle name="Note 3 2 8 2 5" xfId="29295"/>
    <cellStyle name="Note 3 2 8 3" xfId="25679"/>
    <cellStyle name="Note 3 2 8 3 2" xfId="27832"/>
    <cellStyle name="Note 3 2 8 3 3" xfId="26202"/>
    <cellStyle name="Note 3 2 8 3 4" xfId="26131"/>
    <cellStyle name="Note 3 2 8 3 5" xfId="29294"/>
    <cellStyle name="Note 3 2 8 4" xfId="27366"/>
    <cellStyle name="Note 3 2 8 5" xfId="26994"/>
    <cellStyle name="Note 3 2 8 6" xfId="26790"/>
    <cellStyle name="Note 3 2 8 7" xfId="29296"/>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2 2" xfId="27480"/>
    <cellStyle name="Note 3 9 2 3" xfId="26724"/>
    <cellStyle name="Note 3 9 2 4" xfId="26217"/>
    <cellStyle name="Note 3 9 2 5" xfId="29292"/>
    <cellStyle name="Note 3 9 3" xfId="25565"/>
    <cellStyle name="Note 3 9 3 2" xfId="27718"/>
    <cellStyle name="Note 3 9 3 3" xfId="26801"/>
    <cellStyle name="Note 3 9 3 4" xfId="26742"/>
    <cellStyle name="Note 3 9 3 5" xfId="29291"/>
    <cellStyle name="Note 3 9 4" xfId="27090"/>
    <cellStyle name="Note 3 9 5" xfId="26448"/>
    <cellStyle name="Note 3 9 6" xfId="26263"/>
    <cellStyle name="Note 3 9 7" xfId="29293"/>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2 2" xfId="27575"/>
    <cellStyle name="Note 4 10 2 3" xfId="26966"/>
    <cellStyle name="Note 4 10 2 4" xfId="26134"/>
    <cellStyle name="Note 4 10 2 5" xfId="29289"/>
    <cellStyle name="Note 4 10 3" xfId="25680"/>
    <cellStyle name="Note 4 10 3 2" xfId="27833"/>
    <cellStyle name="Note 4 10 3 3" xfId="26447"/>
    <cellStyle name="Note 4 10 3 4" xfId="26354"/>
    <cellStyle name="Note 4 10 3 5" xfId="29288"/>
    <cellStyle name="Note 4 10 4" xfId="27367"/>
    <cellStyle name="Note 4 10 5" xfId="26380"/>
    <cellStyle name="Note 4 10 6" xfId="26280"/>
    <cellStyle name="Note 4 10 7" xfId="2929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2 2" xfId="27497"/>
    <cellStyle name="Note 4 9 2 3" xfId="26723"/>
    <cellStyle name="Note 4 9 2 4" xfId="26386"/>
    <cellStyle name="Note 4 9 2 5" xfId="29286"/>
    <cellStyle name="Note 4 9 3" xfId="25567"/>
    <cellStyle name="Note 4 9 3 2" xfId="27720"/>
    <cellStyle name="Note 4 9 3 3" xfId="26800"/>
    <cellStyle name="Note 4 9 3 4" xfId="26524"/>
    <cellStyle name="Note 4 9 3 5" xfId="29285"/>
    <cellStyle name="Note 4 9 4" xfId="27092"/>
    <cellStyle name="Note 4 9 5" xfId="26446"/>
    <cellStyle name="Note 4 9 6" xfId="26752"/>
    <cellStyle name="Note 4 9 7" xfId="2928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2 2" xfId="27492"/>
    <cellStyle name="Note 5 10 2 3" xfId="26965"/>
    <cellStyle name="Note 5 10 2 4" xfId="26913"/>
    <cellStyle name="Note 5 10 2 5" xfId="29282"/>
    <cellStyle name="Note 5 10 3" xfId="25681"/>
    <cellStyle name="Note 5 10 3 2" xfId="27834"/>
    <cellStyle name="Note 5 10 3 3" xfId="26445"/>
    <cellStyle name="Note 5 10 3 4" xfId="26179"/>
    <cellStyle name="Note 5 10 3 5" xfId="29281"/>
    <cellStyle name="Note 5 10 4" xfId="27368"/>
    <cellStyle name="Note 5 10 5" xfId="26379"/>
    <cellStyle name="Note 5 10 6" xfId="26480"/>
    <cellStyle name="Note 5 10 7" xfId="29283"/>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2 2" xfId="27598"/>
    <cellStyle name="Note 5 9 2 3" xfId="26722"/>
    <cellStyle name="Note 5 9 2 4" xfId="26753"/>
    <cellStyle name="Note 5 9 2 5" xfId="29279"/>
    <cellStyle name="Note 5 9 3" xfId="25568"/>
    <cellStyle name="Note 5 9 3 2" xfId="27721"/>
    <cellStyle name="Note 5 9 3 3" xfId="26799"/>
    <cellStyle name="Note 5 9 3 4" xfId="26325"/>
    <cellStyle name="Note 5 9 3 5" xfId="29278"/>
    <cellStyle name="Note 5 9 4" xfId="27093"/>
    <cellStyle name="Note 5 9 5" xfId="26444"/>
    <cellStyle name="Note 5 9 6" xfId="26459"/>
    <cellStyle name="Note 5 9 7" xfId="29280"/>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2 2" xfId="27502"/>
    <cellStyle name="Output 2 2 2 2 3" xfId="26899"/>
    <cellStyle name="Output 2 2 2 2 4" xfId="27429"/>
    <cellStyle name="Output 2 2 2 2 5" xfId="29431"/>
    <cellStyle name="Output 2 2 2 3" xfId="25655"/>
    <cellStyle name="Output 2 2 2 3 2" xfId="27808"/>
    <cellStyle name="Output 2 2 2 3 3" xfId="26373"/>
    <cellStyle name="Output 2 2 2 3 4" xfId="26493"/>
    <cellStyle name="Output 2 2 2 3 5" xfId="29432"/>
    <cellStyle name="Output 2 2 2 4" xfId="27285"/>
    <cellStyle name="Output 2 2 2 5" xfId="26305"/>
    <cellStyle name="Output 2 2 2 6" xfId="26113"/>
    <cellStyle name="Output 2 2 2 7" xfId="29430"/>
    <cellStyle name="Output 2 2 3" xfId="25083"/>
    <cellStyle name="Output 2 2 3 2" xfId="25416"/>
    <cellStyle name="Output 2 2 3 2 2" xfId="27570"/>
    <cellStyle name="Output 2 2 3 2 3" xfId="26442"/>
    <cellStyle name="Output 2 2 3 2 4" xfId="27020"/>
    <cellStyle name="Output 2 2 3 2 5" xfId="29434"/>
    <cellStyle name="Output 2 2 3 3" xfId="25683"/>
    <cellStyle name="Output 2 2 3 3 2" xfId="27836"/>
    <cellStyle name="Output 2 2 3 3 3" xfId="26720"/>
    <cellStyle name="Output 2 2 3 3 4" xfId="26435"/>
    <cellStyle name="Output 2 2 3 3 5" xfId="29435"/>
    <cellStyle name="Output 2 2 3 4" xfId="27370"/>
    <cellStyle name="Output 2 2 3 5" xfId="26961"/>
    <cellStyle name="Output 2 2 3 6" xfId="26821"/>
    <cellStyle name="Output 2 2 3 7" xfId="29433"/>
    <cellStyle name="Output 2 2 4" xfId="25364"/>
    <cellStyle name="Output 2 2 4 2" xfId="27518"/>
    <cellStyle name="Output 2 2 4 3" xfId="26797"/>
    <cellStyle name="Output 2 2 4 4" xfId="26975"/>
    <cellStyle name="Output 2 2 4 5" xfId="29436"/>
    <cellStyle name="Output 2 2 5" xfId="25570"/>
    <cellStyle name="Output 2 2 5 2" xfId="27723"/>
    <cellStyle name="Output 2 2 5 3" xfId="26274"/>
    <cellStyle name="Output 2 2 5 4" xfId="26859"/>
    <cellStyle name="Output 2 2 5 5" xfId="29437"/>
    <cellStyle name="Output 2 2 6" xfId="27095"/>
    <cellStyle name="Output 2 2 7" xfId="26833"/>
    <cellStyle name="Output 2 2 8" xfId="26177"/>
    <cellStyle name="Output 2 2 9" xfId="29429"/>
    <cellStyle name="Output 2 3" xfId="24202"/>
    <cellStyle name="Output 2 3 2" xfId="25453"/>
    <cellStyle name="Output 2 3 2 2" xfId="27607"/>
    <cellStyle name="Output 2 3 2 3" xfId="26342"/>
    <cellStyle name="Output 2 3 2 4" xfId="27085"/>
    <cellStyle name="Output 2 3 2 5" xfId="29439"/>
    <cellStyle name="Output 2 3 3" xfId="25569"/>
    <cellStyle name="Output 2 3 3 2" xfId="27722"/>
    <cellStyle name="Output 2 3 3 3" xfId="26935"/>
    <cellStyle name="Output 2 3 3 4" xfId="26255"/>
    <cellStyle name="Output 2 3 3 5" xfId="29440"/>
    <cellStyle name="Output 2 3 4" xfId="27094"/>
    <cellStyle name="Output 2 3 5" xfId="26869"/>
    <cellStyle name="Output 2 3 6" xfId="26773"/>
    <cellStyle name="Output 2 3 7" xfId="29438"/>
    <cellStyle name="Output 2 4" xfId="24697"/>
    <cellStyle name="Output 2 4 2" xfId="25449"/>
    <cellStyle name="Output 2 4 2 2" xfId="27603"/>
    <cellStyle name="Output 2 4 2 3" xfId="26992"/>
    <cellStyle name="Output 2 4 2 4" xfId="26102"/>
    <cellStyle name="Output 2 4 2 5" xfId="29442"/>
    <cellStyle name="Output 2 4 3" xfId="25656"/>
    <cellStyle name="Output 2 4 3 2" xfId="27809"/>
    <cellStyle name="Output 2 4 3 3" xfId="26485"/>
    <cellStyle name="Output 2 4 3 4" xfId="26957"/>
    <cellStyle name="Output 2 4 3 5" xfId="29443"/>
    <cellStyle name="Output 2 4 4" xfId="27286"/>
    <cellStyle name="Output 2 4 5" xfId="26409"/>
    <cellStyle name="Output 2 4 6" xfId="26847"/>
    <cellStyle name="Output 2 4 7" xfId="29441"/>
    <cellStyle name="Output 2 5" xfId="25082"/>
    <cellStyle name="Output 2 5 2" xfId="25315"/>
    <cellStyle name="Output 2 5 2 2" xfId="27469"/>
    <cellStyle name="Output 2 5 2 3" xfId="26058"/>
    <cellStyle name="Output 2 5 2 4" xfId="26212"/>
    <cellStyle name="Output 2 5 2 5" xfId="29445"/>
    <cellStyle name="Output 2 5 3" xfId="25682"/>
    <cellStyle name="Output 2 5 3 2" xfId="27835"/>
    <cellStyle name="Output 2 5 3 3" xfId="26523"/>
    <cellStyle name="Output 2 5 3 4" xfId="26392"/>
    <cellStyle name="Output 2 5 3 5" xfId="29446"/>
    <cellStyle name="Output 2 5 4" xfId="27369"/>
    <cellStyle name="Output 2 5 5" xfId="26200"/>
    <cellStyle name="Output 2 5 6" xfId="26703"/>
    <cellStyle name="Output 2 5 7" xfId="29444"/>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2 2" xfId="27485"/>
    <cellStyle name="Output 3 2 2 2 3" xfId="26341"/>
    <cellStyle name="Output 3 2 2 2 4" xfId="26432"/>
    <cellStyle name="Output 3 2 2 2 5" xfId="29449"/>
    <cellStyle name="Output 3 2 2 3" xfId="25653"/>
    <cellStyle name="Output 3 2 2 3 2" xfId="27806"/>
    <cellStyle name="Output 3 2 2 3 3" xfId="26934"/>
    <cellStyle name="Output 3 2 2 3 4" xfId="26399"/>
    <cellStyle name="Output 3 2 2 3 5" xfId="29450"/>
    <cellStyle name="Output 3 2 2 4" xfId="27283"/>
    <cellStyle name="Output 3 2 2 5" xfId="26868"/>
    <cellStyle name="Output 3 2 2 6" xfId="26265"/>
    <cellStyle name="Output 3 2 2 7" xfId="29448"/>
    <cellStyle name="Output 3 2 3" xfId="25085"/>
    <cellStyle name="Output 3 2 3 2" xfId="25430"/>
    <cellStyle name="Output 3 2 3 2 2" xfId="27584"/>
    <cellStyle name="Output 3 2 3 2 3" xfId="26991"/>
    <cellStyle name="Output 3 2 3 2 4" xfId="26165"/>
    <cellStyle name="Output 3 2 3 2 5" xfId="29452"/>
    <cellStyle name="Output 3 2 3 3" xfId="25685"/>
    <cellStyle name="Output 3 2 3 3 2" xfId="27838"/>
    <cellStyle name="Output 3 2 3 3 3" xfId="26484"/>
    <cellStyle name="Output 3 2 3 3 4" xfId="26767"/>
    <cellStyle name="Output 3 2 3 3 5" xfId="29453"/>
    <cellStyle name="Output 3 2 3 4" xfId="27372"/>
    <cellStyle name="Output 3 2 3 5" xfId="26408"/>
    <cellStyle name="Output 3 2 3 6" xfId="26420"/>
    <cellStyle name="Output 3 2 3 7" xfId="29451"/>
    <cellStyle name="Output 3 2 4" xfId="25291"/>
    <cellStyle name="Output 3 2 4 2" xfId="27446"/>
    <cellStyle name="Output 3 2 4 3" xfId="26199"/>
    <cellStyle name="Output 3 2 4 4" xfId="26296"/>
    <cellStyle name="Output 3 2 4 5" xfId="29454"/>
    <cellStyle name="Output 3 2 5" xfId="25572"/>
    <cellStyle name="Output 3 2 5 2" xfId="27725"/>
    <cellStyle name="Output 3 2 5 3" xfId="26057"/>
    <cellStyle name="Output 3 2 5 4" xfId="26825"/>
    <cellStyle name="Output 3 2 5 5" xfId="29455"/>
    <cellStyle name="Output 3 2 6" xfId="27097"/>
    <cellStyle name="Output 3 2 7" xfId="26273"/>
    <cellStyle name="Output 3 2 8" xfId="27087"/>
    <cellStyle name="Output 3 2 9" xfId="29447"/>
    <cellStyle name="Output 3 3" xfId="24204"/>
    <cellStyle name="Output 3 3 2" xfId="25301"/>
    <cellStyle name="Output 3 3 2 2" xfId="27455"/>
    <cellStyle name="Output 3 3 2 3" xfId="26687"/>
    <cellStyle name="Output 3 3 2 4" xfId="26316"/>
    <cellStyle name="Output 3 3 2 5" xfId="29457"/>
    <cellStyle name="Output 3 3 3" xfId="25571"/>
    <cellStyle name="Output 3 3 3 2" xfId="27724"/>
    <cellStyle name="Output 3 3 3 3" xfId="26757"/>
    <cellStyle name="Output 3 3 3 4" xfId="26348"/>
    <cellStyle name="Output 3 3 3 5" xfId="29458"/>
    <cellStyle name="Output 3 3 4" xfId="27096"/>
    <cellStyle name="Output 3 3 5" xfId="26522"/>
    <cellStyle name="Output 3 3 6" xfId="26466"/>
    <cellStyle name="Output 3 3 7" xfId="29456"/>
    <cellStyle name="Output 3 4" xfId="24695"/>
    <cellStyle name="Output 3 4 2" xfId="25432"/>
    <cellStyle name="Output 3 4 2 2" xfId="27586"/>
    <cellStyle name="Output 3 4 2 3" xfId="26832"/>
    <cellStyle name="Output 3 4 2 4" xfId="27301"/>
    <cellStyle name="Output 3 4 2 5" xfId="29460"/>
    <cellStyle name="Output 3 4 3" xfId="25654"/>
    <cellStyle name="Output 3 4 3 2" xfId="27807"/>
    <cellStyle name="Output 3 4 3 3" xfId="26304"/>
    <cellStyle name="Output 3 4 3 4" xfId="26986"/>
    <cellStyle name="Output 3 4 3 5" xfId="29461"/>
    <cellStyle name="Output 3 4 4" xfId="27284"/>
    <cellStyle name="Output 3 4 5" xfId="26232"/>
    <cellStyle name="Output 3 4 6" xfId="26211"/>
    <cellStyle name="Output 3 4 7" xfId="29459"/>
    <cellStyle name="Output 3 5" xfId="25084"/>
    <cellStyle name="Output 3 5 2" xfId="25329"/>
    <cellStyle name="Output 3 5 2 2" xfId="27483"/>
    <cellStyle name="Output 3 5 2 3" xfId="26372"/>
    <cellStyle name="Output 3 5 2 4" xfId="26492"/>
    <cellStyle name="Output 3 5 2 5" xfId="29463"/>
    <cellStyle name="Output 3 5 3" xfId="25684"/>
    <cellStyle name="Output 3 5 3 2" xfId="27837"/>
    <cellStyle name="Output 3 5 3 3" xfId="26960"/>
    <cellStyle name="Output 3 5 3 4" xfId="26791"/>
    <cellStyle name="Output 3 5 3 5" xfId="29464"/>
    <cellStyle name="Output 3 5 4" xfId="27371"/>
    <cellStyle name="Output 3 5 5" xfId="26898"/>
    <cellStyle name="Output 3 5 6" xfId="26512"/>
    <cellStyle name="Output 3 5 7" xfId="29462"/>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2 2" xfId="27527"/>
    <cellStyle name="Output 4 2 2 3" xfId="26521"/>
    <cellStyle name="Output 4 2 2 4" xfId="26505"/>
    <cellStyle name="Output 4 2 2 5" xfId="29466"/>
    <cellStyle name="Output 4 2 3" xfId="25573"/>
    <cellStyle name="Output 4 2 3 2" xfId="27726"/>
    <cellStyle name="Output 4 2 3 3" xfId="26686"/>
    <cellStyle name="Output 4 2 3 4" xfId="26731"/>
    <cellStyle name="Output 4 2 3 5" xfId="29467"/>
    <cellStyle name="Output 4 2 4" xfId="27098"/>
    <cellStyle name="Output 4 2 5" xfId="26056"/>
    <cellStyle name="Output 4 2 6" xfId="26431"/>
    <cellStyle name="Output 4 2 7" xfId="29465"/>
    <cellStyle name="Output 4 3" xfId="24693"/>
    <cellStyle name="Output 4 3 2" xfId="25417"/>
    <cellStyle name="Output 4 3 2 2" xfId="27571"/>
    <cellStyle name="Output 4 3 2 3" xfId="26231"/>
    <cellStyle name="Output 4 3 2 4" xfId="26510"/>
    <cellStyle name="Output 4 3 2 5" xfId="29469"/>
    <cellStyle name="Output 4 3 3" xfId="25652"/>
    <cellStyle name="Output 4 3 3 2" xfId="27805"/>
    <cellStyle name="Output 4 3 3 3" xfId="26831"/>
    <cellStyle name="Output 4 3 3 4" xfId="26471"/>
    <cellStyle name="Output 4 3 3 5" xfId="29470"/>
    <cellStyle name="Output 4 3 4" xfId="27282"/>
    <cellStyle name="Output 4 3 5" xfId="26756"/>
    <cellStyle name="Output 4 3 6" xfId="26509"/>
    <cellStyle name="Output 4 3 7" xfId="29468"/>
    <cellStyle name="Output 4 4" xfId="25086"/>
    <cellStyle name="Output 4 4 2" xfId="25346"/>
    <cellStyle name="Output 4 4 2 2" xfId="27500"/>
    <cellStyle name="Output 4 4 2 3" xfId="26902"/>
    <cellStyle name="Output 4 4 2 4" xfId="26169"/>
    <cellStyle name="Output 4 4 2 5" xfId="29472"/>
    <cellStyle name="Output 4 4 3" xfId="25686"/>
    <cellStyle name="Output 4 4 3 2" xfId="27839"/>
    <cellStyle name="Output 4 4 3 3" xfId="26376"/>
    <cellStyle name="Output 4 4 3 4" xfId="26091"/>
    <cellStyle name="Output 4 4 3 5" xfId="29473"/>
    <cellStyle name="Output 4 4 4" xfId="27373"/>
    <cellStyle name="Output 4 4 5" xfId="26303"/>
    <cellStyle name="Output 4 4 6" xfId="26112"/>
    <cellStyle name="Output 4 4 7" xfId="29471"/>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2 2" xfId="27540"/>
    <cellStyle name="Output 5 2 2 3" xfId="26055"/>
    <cellStyle name="Output 5 2 2 4" xfId="26105"/>
    <cellStyle name="Output 5 2 2 5" xfId="29475"/>
    <cellStyle name="Output 5 2 3" xfId="25574"/>
    <cellStyle name="Output 5 2 3 2" xfId="27727"/>
    <cellStyle name="Output 5 2 3 3" xfId="26520"/>
    <cellStyle name="Output 5 2 3 4" xfId="26128"/>
    <cellStyle name="Output 5 2 3 5" xfId="29476"/>
    <cellStyle name="Output 5 2 4" xfId="27099"/>
    <cellStyle name="Output 5 2 5" xfId="26198"/>
    <cellStyle name="Output 5 2 6" xfId="26973"/>
    <cellStyle name="Output 5 2 7" xfId="29474"/>
    <cellStyle name="Output 5 3" xfId="24692"/>
    <cellStyle name="Output 5 3 2" xfId="25316"/>
    <cellStyle name="Output 5 3 2 2" xfId="27470"/>
    <cellStyle name="Output 5 3 2 3" xfId="26755"/>
    <cellStyle name="Output 5 3 2 4" xfId="26139"/>
    <cellStyle name="Output 5 3 2 5" xfId="29478"/>
    <cellStyle name="Output 5 3 3" xfId="25651"/>
    <cellStyle name="Output 5 3 3 2" xfId="27804"/>
    <cellStyle name="Output 5 3 3 3" xfId="26230"/>
    <cellStyle name="Output 5 3 3 4" xfId="26835"/>
    <cellStyle name="Output 5 3 3 5" xfId="29479"/>
    <cellStyle name="Output 5 3 4" xfId="27281"/>
    <cellStyle name="Output 5 3 5" xfId="26685"/>
    <cellStyle name="Output 5 3 6" xfId="26851"/>
    <cellStyle name="Output 5 3 7" xfId="29477"/>
    <cellStyle name="Output 5 4" xfId="25087"/>
    <cellStyle name="Output 5 4 2" xfId="25447"/>
    <cellStyle name="Output 5 4 2 2" xfId="27601"/>
    <cellStyle name="Output 5 4 2 3" xfId="26302"/>
    <cellStyle name="Output 5 4 2 4" xfId="26297"/>
    <cellStyle name="Output 5 4 2 5" xfId="29481"/>
    <cellStyle name="Output 5 4 3" xfId="25687"/>
    <cellStyle name="Output 5 4 3 2" xfId="27840"/>
    <cellStyle name="Output 5 4 3 3" xfId="26897"/>
    <cellStyle name="Output 5 4 3 4" xfId="26977"/>
    <cellStyle name="Output 5 4 3 5" xfId="29482"/>
    <cellStyle name="Output 5 4 4" xfId="27374"/>
    <cellStyle name="Output 5 4 5" xfId="26830"/>
    <cellStyle name="Output 5 4 6" xfId="26697"/>
    <cellStyle name="Output 5 4 7" xfId="29480"/>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assword 2 2" xfId="27923"/>
    <cellStyle name="pct_sub" xfId="584"/>
    <cellStyle name="Percen - Style1" xfId="64"/>
    <cellStyle name="Percen - Style2" xfId="65"/>
    <cellStyle name="Percent" xfId="25793" builtinId="5"/>
    <cellStyle name="Percent (0)" xfId="585"/>
    <cellStyle name="Percent (0) 2" xfId="26048"/>
    <cellStyle name="Percent [1]" xfId="586"/>
    <cellStyle name="Percent [2]" xfId="66"/>
    <cellStyle name="Percent [2] 2" xfId="25814"/>
    <cellStyle name="Percent 10" xfId="205"/>
    <cellStyle name="Percent 10 2" xfId="25895"/>
    <cellStyle name="Percent 11" xfId="206"/>
    <cellStyle name="Percent 11 2" xfId="25896"/>
    <cellStyle name="Percent 12" xfId="207"/>
    <cellStyle name="Percent 12 2" xfId="25897"/>
    <cellStyle name="Percent 13" xfId="208"/>
    <cellStyle name="Percent 13 2" xfId="25898"/>
    <cellStyle name="Percent 14" xfId="209"/>
    <cellStyle name="Percent 14 2" xfId="25899"/>
    <cellStyle name="Percent 15" xfId="210"/>
    <cellStyle name="Percent 15 2" xfId="25900"/>
    <cellStyle name="Percent 16" xfId="211"/>
    <cellStyle name="Percent 16 2" xfId="25901"/>
    <cellStyle name="Percent 17" xfId="212"/>
    <cellStyle name="Percent 17 2" xfId="25902"/>
    <cellStyle name="Percent 18" xfId="286"/>
    <cellStyle name="Percent 18 2" xfId="25943"/>
    <cellStyle name="Percent 19" xfId="287"/>
    <cellStyle name="Percent 19 2" xfId="25944"/>
    <cellStyle name="Percent 2" xfId="67"/>
    <cellStyle name="Percent 2 10" xfId="12601"/>
    <cellStyle name="Percent 2 11" xfId="24210"/>
    <cellStyle name="Percent 2 12" xfId="25748"/>
    <cellStyle name="Percent 2 2" xfId="213"/>
    <cellStyle name="Percent 2 2 2" xfId="467"/>
    <cellStyle name="Percent 2 2 2 2" xfId="13831"/>
    <cellStyle name="Percent 2 2 3" xfId="663"/>
    <cellStyle name="Percent 2 2 4" xfId="23897"/>
    <cellStyle name="Percent 2 2 5" xfId="25903"/>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3 5 2" xfId="27101"/>
    <cellStyle name="Percent 2 4" xfId="410"/>
    <cellStyle name="Percent 2 4 2" xfId="510"/>
    <cellStyle name="Percent 2 4 2 2" xfId="13873"/>
    <cellStyle name="Percent 2 4 3" xfId="13792"/>
    <cellStyle name="Percent 2 4 4" xfId="24212"/>
    <cellStyle name="Percent 2 4 4 2" xfId="27102"/>
    <cellStyle name="Percent 2 5" xfId="466"/>
    <cellStyle name="Percent 2 5 2" xfId="13830"/>
    <cellStyle name="Percent 2 5 3" xfId="24213"/>
    <cellStyle name="Percent 2 5 3 2" xfId="27103"/>
    <cellStyle name="Percent 2 6" xfId="475"/>
    <cellStyle name="Percent 2 6 2" xfId="13838"/>
    <cellStyle name="Percent 2 6 3" xfId="24214"/>
    <cellStyle name="Percent 2 6 3 2" xfId="27104"/>
    <cellStyle name="Percent 2 7" xfId="662"/>
    <cellStyle name="Percent 2 7 2" xfId="13914"/>
    <cellStyle name="Percent 2 7 3" xfId="24215"/>
    <cellStyle name="Percent 2 7 3 2" xfId="27105"/>
    <cellStyle name="Percent 2 8" xfId="3461"/>
    <cellStyle name="Percent 2 8 2" xfId="24216"/>
    <cellStyle name="Percent 2 8 2 2" xfId="27106"/>
    <cellStyle name="Percent 2 9" xfId="13619"/>
    <cellStyle name="Percent 20" xfId="296"/>
    <cellStyle name="Percent 20 2" xfId="25949"/>
    <cellStyle name="Percent 21" xfId="297"/>
    <cellStyle name="Percent 21 2" xfId="25950"/>
    <cellStyle name="Percent 22" xfId="298"/>
    <cellStyle name="Percent 22 2" xfId="25951"/>
    <cellStyle name="Percent 23" xfId="299"/>
    <cellStyle name="Percent 23 2" xfId="25952"/>
    <cellStyle name="Percent 24" xfId="304"/>
    <cellStyle name="Percent 24 2" xfId="25955"/>
    <cellStyle name="Percent 25" xfId="305"/>
    <cellStyle name="Percent 25 2" xfId="25956"/>
    <cellStyle name="Percent 26" xfId="325"/>
    <cellStyle name="Percent 26 2" xfId="25967"/>
    <cellStyle name="Percent 27" xfId="326"/>
    <cellStyle name="Percent 27 2" xfId="25968"/>
    <cellStyle name="Percent 28" xfId="327"/>
    <cellStyle name="Percent 28 2" xfId="25969"/>
    <cellStyle name="Percent 29" xfId="328"/>
    <cellStyle name="Percent 29 2" xfId="25970"/>
    <cellStyle name="Percent 3" xfId="68"/>
    <cellStyle name="Percent 3 10" xfId="25088"/>
    <cellStyle name="Percent 3 11" xfId="25815"/>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5 2" xfId="26562"/>
    <cellStyle name="Percent 3 6" xfId="13598"/>
    <cellStyle name="Percent 3 7" xfId="23907"/>
    <cellStyle name="Percent 3 8" xfId="24217"/>
    <cellStyle name="Percent 3 9" xfId="24762"/>
    <cellStyle name="Percent 30" xfId="329"/>
    <cellStyle name="Percent 30 2" xfId="25971"/>
    <cellStyle name="Percent 31" xfId="330"/>
    <cellStyle name="Percent 31 2" xfId="25972"/>
    <cellStyle name="Percent 32" xfId="331"/>
    <cellStyle name="Percent 32 2" xfId="25973"/>
    <cellStyle name="Percent 33" xfId="332"/>
    <cellStyle name="Percent 33 2" xfId="25974"/>
    <cellStyle name="Percent 34" xfId="344"/>
    <cellStyle name="Percent 34 2" xfId="25982"/>
    <cellStyle name="Percent 35" xfId="345"/>
    <cellStyle name="Percent 35 2" xfId="25983"/>
    <cellStyle name="Percent 36" xfId="346"/>
    <cellStyle name="Percent 36 2" xfId="25984"/>
    <cellStyle name="Percent 37" xfId="347"/>
    <cellStyle name="Percent 37 2" xfId="25985"/>
    <cellStyle name="Percent 38" xfId="396"/>
    <cellStyle name="Percent 38 2" xfId="26006"/>
    <cellStyle name="Percent 39" xfId="372"/>
    <cellStyle name="Percent 39 2" xfId="502"/>
    <cellStyle name="Percent 39 2 2" xfId="13865"/>
    <cellStyle name="Percent 39 3" xfId="13781"/>
    <cellStyle name="Percent 4" xfId="69"/>
    <cellStyle name="Percent 4 2" xfId="24304"/>
    <cellStyle name="Percent 4 2 2" xfId="27140"/>
    <cellStyle name="Percent 4 3" xfId="24219"/>
    <cellStyle name="Percent 4 4" xfId="25792"/>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3 2" xfId="26555"/>
    <cellStyle name="Percent 44" xfId="23887"/>
    <cellStyle name="Percent 45" xfId="23890"/>
    <cellStyle name="Percent 46" xfId="23894"/>
    <cellStyle name="Percent 47" xfId="4"/>
    <cellStyle name="Percent 47 2" xfId="25798"/>
    <cellStyle name="Percent 48" xfId="25279"/>
    <cellStyle name="Percent 48 2" xfId="27434"/>
    <cellStyle name="Percent 49" xfId="25292"/>
    <cellStyle name="Percent 49 2" xfId="27447"/>
    <cellStyle name="Percent 5" xfId="70"/>
    <cellStyle name="Percent 5 2" xfId="24292"/>
    <cellStyle name="Percent 5 3" xfId="25816"/>
    <cellStyle name="Percent 50" xfId="25458"/>
    <cellStyle name="Percent 50 2" xfId="27611"/>
    <cellStyle name="Percent 51" xfId="25749"/>
    <cellStyle name="Percent 52" xfId="25756"/>
    <cellStyle name="Percent 53" xfId="25758"/>
    <cellStyle name="Percent 54" xfId="25762"/>
    <cellStyle name="Percent 55" xfId="25763"/>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6 6" xfId="25904"/>
    <cellStyle name="Percent 7" xfId="216"/>
    <cellStyle name="Percent 7 2" xfId="25905"/>
    <cellStyle name="Percent 8" xfId="217"/>
    <cellStyle name="Percent 8 2" xfId="25906"/>
    <cellStyle name="Percent 9" xfId="218"/>
    <cellStyle name="Percent 9 2" xfId="25907"/>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2 2 2" xfId="27612"/>
    <cellStyle name="SAPBEXaggData 2 2 3" xfId="27933"/>
    <cellStyle name="SAPBEXaggData 2 2 4" xfId="26086"/>
    <cellStyle name="SAPBEXaggData 2 2 5" xfId="29485"/>
    <cellStyle name="SAPBEXaggData 2 3" xfId="26563"/>
    <cellStyle name="SAPBEXaggData 2 4" xfId="27932"/>
    <cellStyle name="SAPBEXaggData 2 5" xfId="26182"/>
    <cellStyle name="SAPBEXaggData 2 6" xfId="29484"/>
    <cellStyle name="SAPBEXaggData 3" xfId="24686"/>
    <cellStyle name="SAPBEXaggData 3 2" xfId="25423"/>
    <cellStyle name="SAPBEXaggData 3 2 2" xfId="27577"/>
    <cellStyle name="SAPBEXaggData 3 2 3" xfId="27935"/>
    <cellStyle name="SAPBEXaggData 3 2 4" xfId="26481"/>
    <cellStyle name="SAPBEXaggData 3 2 5" xfId="29487"/>
    <cellStyle name="SAPBEXaggData 3 3" xfId="25649"/>
    <cellStyle name="SAPBEXaggData 3 3 2" xfId="27802"/>
    <cellStyle name="SAPBEXaggData 3 3 3" xfId="27936"/>
    <cellStyle name="SAPBEXaggData 3 3 4" xfId="26358"/>
    <cellStyle name="SAPBEXaggData 3 3 5" xfId="29488"/>
    <cellStyle name="SAPBEXaggData 3 4" xfId="27276"/>
    <cellStyle name="SAPBEXaggData 3 5" xfId="27934"/>
    <cellStyle name="SAPBEXaggData 3 6" xfId="27002"/>
    <cellStyle name="SAPBEXaggData 3 7" xfId="29486"/>
    <cellStyle name="SAPBEXaggData 4" xfId="25090"/>
    <cellStyle name="SAPBEXaggData 4 2" xfId="25284"/>
    <cellStyle name="SAPBEXaggData 4 2 2" xfId="27439"/>
    <cellStyle name="SAPBEXaggData 4 2 3" xfId="27938"/>
    <cellStyle name="SAPBEXaggData 4 2 4" xfId="26504"/>
    <cellStyle name="SAPBEXaggData 4 2 5" xfId="29490"/>
    <cellStyle name="SAPBEXaggData 4 3" xfId="25688"/>
    <cellStyle name="SAPBEXaggData 4 3 2" xfId="27841"/>
    <cellStyle name="SAPBEXaggData 4 3 3" xfId="27939"/>
    <cellStyle name="SAPBEXaggData 4 3 4" xfId="26153"/>
    <cellStyle name="SAPBEXaggData 4 3 5" xfId="29491"/>
    <cellStyle name="SAPBEXaggData 4 4" xfId="27375"/>
    <cellStyle name="SAPBEXaggData 4 5" xfId="27937"/>
    <cellStyle name="SAPBEXaggData 4 6" xfId="26340"/>
    <cellStyle name="SAPBEXaggData 4 7" xfId="29489"/>
    <cellStyle name="SAPBEXaggData 5" xfId="25817"/>
    <cellStyle name="SAPBEXaggData 6" xfId="27931"/>
    <cellStyle name="SAPBEXaggData 7" xfId="26998"/>
    <cellStyle name="SAPBEXaggData 8" xfId="29483"/>
    <cellStyle name="SAPBEXaggDataEmph" xfId="73"/>
    <cellStyle name="SAPBEXaggDataEmph 2" xfId="13622"/>
    <cellStyle name="SAPBEXaggDataEmph 2 2" xfId="25460"/>
    <cellStyle name="SAPBEXaggDataEmph 2 2 2" xfId="27613"/>
    <cellStyle name="SAPBEXaggDataEmph 2 2 3" xfId="27942"/>
    <cellStyle name="SAPBEXaggDataEmph 2 2 4" xfId="26454"/>
    <cellStyle name="SAPBEXaggDataEmph 2 2 5" xfId="29494"/>
    <cellStyle name="SAPBEXaggDataEmph 2 3" xfId="26564"/>
    <cellStyle name="SAPBEXaggDataEmph 2 4" xfId="27941"/>
    <cellStyle name="SAPBEXaggDataEmph 2 5" xfId="26221"/>
    <cellStyle name="SAPBEXaggDataEmph 2 6" xfId="29493"/>
    <cellStyle name="SAPBEXaggDataEmph 3" xfId="24685"/>
    <cellStyle name="SAPBEXaggDataEmph 3 2" xfId="25322"/>
    <cellStyle name="SAPBEXaggDataEmph 3 2 2" xfId="27476"/>
    <cellStyle name="SAPBEXaggDataEmph 3 2 3" xfId="27944"/>
    <cellStyle name="SAPBEXaggDataEmph 3 2 4" xfId="26909"/>
    <cellStyle name="SAPBEXaggDataEmph 3 2 5" xfId="29496"/>
    <cellStyle name="SAPBEXaggDataEmph 3 3" xfId="25648"/>
    <cellStyle name="SAPBEXaggDataEmph 3 3 2" xfId="27801"/>
    <cellStyle name="SAPBEXaggDataEmph 3 3 3" xfId="27945"/>
    <cellStyle name="SAPBEXaggDataEmph 3 3 4" xfId="26754"/>
    <cellStyle name="SAPBEXaggDataEmph 3 3 5" xfId="29497"/>
    <cellStyle name="SAPBEXaggDataEmph 3 4" xfId="27275"/>
    <cellStyle name="SAPBEXaggDataEmph 3 5" xfId="27943"/>
    <cellStyle name="SAPBEXaggDataEmph 3 6" xfId="26335"/>
    <cellStyle name="SAPBEXaggDataEmph 3 7" xfId="29495"/>
    <cellStyle name="SAPBEXaggDataEmph 4" xfId="25091"/>
    <cellStyle name="SAPBEXaggDataEmph 4 2" xfId="25367"/>
    <cellStyle name="SAPBEXaggDataEmph 4 2 2" xfId="27521"/>
    <cellStyle name="SAPBEXaggDataEmph 4 2 3" xfId="27947"/>
    <cellStyle name="SAPBEXaggDataEmph 4 2 4" xfId="26168"/>
    <cellStyle name="SAPBEXaggDataEmph 4 2 5" xfId="29499"/>
    <cellStyle name="SAPBEXaggDataEmph 4 3" xfId="25689"/>
    <cellStyle name="SAPBEXaggDataEmph 4 3 2" xfId="27842"/>
    <cellStyle name="SAPBEXaggDataEmph 4 3 3" xfId="27948"/>
    <cellStyle name="SAPBEXaggDataEmph 4 3 4" xfId="26948"/>
    <cellStyle name="SAPBEXaggDataEmph 4 3 5" xfId="29500"/>
    <cellStyle name="SAPBEXaggDataEmph 4 4" xfId="27376"/>
    <cellStyle name="SAPBEXaggDataEmph 4 5" xfId="27946"/>
    <cellStyle name="SAPBEXaggDataEmph 4 6" xfId="26469"/>
    <cellStyle name="SAPBEXaggDataEmph 4 7" xfId="29498"/>
    <cellStyle name="SAPBEXaggDataEmph 5" xfId="25818"/>
    <cellStyle name="SAPBEXaggDataEmph 6" xfId="27940"/>
    <cellStyle name="SAPBEXaggDataEmph 7" xfId="26491"/>
    <cellStyle name="SAPBEXaggDataEmph 8" xfId="29492"/>
    <cellStyle name="SAPBEXaggItem" xfId="74"/>
    <cellStyle name="SAPBEXaggItem 10" xfId="24684"/>
    <cellStyle name="SAPBEXaggItem 10 2" xfId="25409"/>
    <cellStyle name="SAPBEXaggItem 10 2 2" xfId="27563"/>
    <cellStyle name="SAPBEXaggItem 10 2 3" xfId="27951"/>
    <cellStyle name="SAPBEXaggItem 10 2 4" xfId="26166"/>
    <cellStyle name="SAPBEXaggItem 10 2 5" xfId="29503"/>
    <cellStyle name="SAPBEXaggItem 10 3" xfId="25647"/>
    <cellStyle name="SAPBEXaggItem 10 3 2" xfId="27800"/>
    <cellStyle name="SAPBEXaggItem 10 3 3" xfId="27952"/>
    <cellStyle name="SAPBEXaggItem 10 3 4" xfId="26882"/>
    <cellStyle name="SAPBEXaggItem 10 3 5" xfId="29504"/>
    <cellStyle name="SAPBEXaggItem 10 4" xfId="27274"/>
    <cellStyle name="SAPBEXaggItem 10 5" xfId="27950"/>
    <cellStyle name="SAPBEXaggItem 10 6" xfId="26857"/>
    <cellStyle name="SAPBEXaggItem 10 7" xfId="29502"/>
    <cellStyle name="SAPBEXaggItem 11" xfId="25092"/>
    <cellStyle name="SAPBEXaggItem 11 2" xfId="25381"/>
    <cellStyle name="SAPBEXaggItem 11 2 2" xfId="27535"/>
    <cellStyle name="SAPBEXaggItem 11 2 3" xfId="27954"/>
    <cellStyle name="SAPBEXaggItem 11 2 4" xfId="26406"/>
    <cellStyle name="SAPBEXaggItem 11 2 5" xfId="29506"/>
    <cellStyle name="SAPBEXaggItem 11 3" xfId="25690"/>
    <cellStyle name="SAPBEXaggItem 11 3 2" xfId="27843"/>
    <cellStyle name="SAPBEXaggItem 11 3 3" xfId="27955"/>
    <cellStyle name="SAPBEXaggItem 11 3 4" xfId="26301"/>
    <cellStyle name="SAPBEXaggItem 11 3 5" xfId="29507"/>
    <cellStyle name="SAPBEXaggItem 11 4" xfId="27377"/>
    <cellStyle name="SAPBEXaggItem 11 5" xfId="27953"/>
    <cellStyle name="SAPBEXaggItem 11 6" xfId="26383"/>
    <cellStyle name="SAPBEXaggItem 11 7" xfId="29505"/>
    <cellStyle name="SAPBEXaggItem 12" xfId="25819"/>
    <cellStyle name="SAPBEXaggItem 13" xfId="27949"/>
    <cellStyle name="SAPBEXaggItem 14" xfId="26205"/>
    <cellStyle name="SAPBEXaggItem 15" xfId="29501"/>
    <cellStyle name="SAPBEXaggItem 2" xfId="75"/>
    <cellStyle name="SAPBEXaggItem 2 2" xfId="13624"/>
    <cellStyle name="SAPBEXaggItem 2 2 2" xfId="25462"/>
    <cellStyle name="SAPBEXaggItem 2 2 2 2" xfId="27615"/>
    <cellStyle name="SAPBEXaggItem 2 2 2 3" xfId="27958"/>
    <cellStyle name="SAPBEXaggItem 2 2 2 4" xfId="26317"/>
    <cellStyle name="SAPBEXaggItem 2 2 2 5" xfId="29510"/>
    <cellStyle name="SAPBEXaggItem 2 2 3" xfId="26566"/>
    <cellStyle name="SAPBEXaggItem 2 2 4" xfId="27957"/>
    <cellStyle name="SAPBEXaggItem 2 2 5" xfId="26904"/>
    <cellStyle name="SAPBEXaggItem 2 2 6" xfId="29509"/>
    <cellStyle name="SAPBEXaggItem 2 3" xfId="25820"/>
    <cellStyle name="SAPBEXaggItem 2 4" xfId="27956"/>
    <cellStyle name="SAPBEXaggItem 2 5" xfId="26062"/>
    <cellStyle name="SAPBEXaggItem 2 6" xfId="29508"/>
    <cellStyle name="SAPBEXaggItem 3" xfId="219"/>
    <cellStyle name="SAPBEXaggItem 3 2" xfId="13705"/>
    <cellStyle name="SAPBEXaggItem 3 2 2" xfId="25519"/>
    <cellStyle name="SAPBEXaggItem 3 2 2 2" xfId="27672"/>
    <cellStyle name="SAPBEXaggItem 3 2 2 3" xfId="27961"/>
    <cellStyle name="SAPBEXaggItem 3 2 2 4" xfId="26391"/>
    <cellStyle name="SAPBEXaggItem 3 2 2 5" xfId="29513"/>
    <cellStyle name="SAPBEXaggItem 3 2 3" xfId="26625"/>
    <cellStyle name="SAPBEXaggItem 3 2 4" xfId="27960"/>
    <cellStyle name="SAPBEXaggItem 3 2 5" xfId="26266"/>
    <cellStyle name="SAPBEXaggItem 3 2 6" xfId="29512"/>
    <cellStyle name="SAPBEXaggItem 3 3" xfId="25908"/>
    <cellStyle name="SAPBEXaggItem 3 4" xfId="27959"/>
    <cellStyle name="SAPBEXaggItem 3 5" xfId="26052"/>
    <cellStyle name="SAPBEXaggItem 3 6" xfId="29511"/>
    <cellStyle name="SAPBEXaggItem 4" xfId="220"/>
    <cellStyle name="SAPBEXaggItem 4 2" xfId="13706"/>
    <cellStyle name="SAPBEXaggItem 4 2 2" xfId="25520"/>
    <cellStyle name="SAPBEXaggItem 4 2 2 2" xfId="27673"/>
    <cellStyle name="SAPBEXaggItem 4 2 2 3" xfId="27964"/>
    <cellStyle name="SAPBEXaggItem 4 2 2 4" xfId="27163"/>
    <cellStyle name="SAPBEXaggItem 4 2 2 5" xfId="29516"/>
    <cellStyle name="SAPBEXaggItem 4 2 3" xfId="26626"/>
    <cellStyle name="SAPBEXaggItem 4 2 4" xfId="27963"/>
    <cellStyle name="SAPBEXaggItem 4 2 5" xfId="26768"/>
    <cellStyle name="SAPBEXaggItem 4 2 6" xfId="29515"/>
    <cellStyle name="SAPBEXaggItem 4 3" xfId="25909"/>
    <cellStyle name="SAPBEXaggItem 4 4" xfId="27962"/>
    <cellStyle name="SAPBEXaggItem 4 5" xfId="26183"/>
    <cellStyle name="SAPBEXaggItem 4 6" xfId="29514"/>
    <cellStyle name="SAPBEXaggItem 5" xfId="221"/>
    <cellStyle name="SAPBEXaggItem 5 2" xfId="13707"/>
    <cellStyle name="SAPBEXaggItem 5 2 2" xfId="25521"/>
    <cellStyle name="SAPBEXaggItem 5 2 2 2" xfId="27674"/>
    <cellStyle name="SAPBEXaggItem 5 2 2 3" xfId="27967"/>
    <cellStyle name="SAPBEXaggItem 5 2 2 4" xfId="26981"/>
    <cellStyle name="SAPBEXaggItem 5 2 2 5" xfId="29519"/>
    <cellStyle name="SAPBEXaggItem 5 2 3" xfId="26627"/>
    <cellStyle name="SAPBEXaggItem 5 2 4" xfId="27966"/>
    <cellStyle name="SAPBEXaggItem 5 2 5" xfId="26119"/>
    <cellStyle name="SAPBEXaggItem 5 2 6" xfId="29518"/>
    <cellStyle name="SAPBEXaggItem 5 3" xfId="25910"/>
    <cellStyle name="SAPBEXaggItem 5 4" xfId="27965"/>
    <cellStyle name="SAPBEXaggItem 5 5" xfId="26306"/>
    <cellStyle name="SAPBEXaggItem 5 6" xfId="29517"/>
    <cellStyle name="SAPBEXaggItem 6" xfId="222"/>
    <cellStyle name="SAPBEXaggItem 6 2" xfId="13708"/>
    <cellStyle name="SAPBEXaggItem 6 2 2" xfId="25522"/>
    <cellStyle name="SAPBEXaggItem 6 2 2 2" xfId="27675"/>
    <cellStyle name="SAPBEXaggItem 6 2 2 3" xfId="27970"/>
    <cellStyle name="SAPBEXaggItem 6 2 2 4" xfId="26906"/>
    <cellStyle name="SAPBEXaggItem 6 2 2 5" xfId="29522"/>
    <cellStyle name="SAPBEXaggItem 6 2 3" xfId="26628"/>
    <cellStyle name="SAPBEXaggItem 6 2 4" xfId="27969"/>
    <cellStyle name="SAPBEXaggItem 6 2 5" xfId="26461"/>
    <cellStyle name="SAPBEXaggItem 6 2 6" xfId="29521"/>
    <cellStyle name="SAPBEXaggItem 6 3" xfId="25911"/>
    <cellStyle name="SAPBEXaggItem 6 4" xfId="27968"/>
    <cellStyle name="SAPBEXaggItem 6 5" xfId="28548"/>
    <cellStyle name="SAPBEXaggItem 6 6" xfId="29520"/>
    <cellStyle name="SAPBEXaggItem 7" xfId="223"/>
    <cellStyle name="SAPBEXaggItem 7 2" xfId="13709"/>
    <cellStyle name="SAPBEXaggItem 7 2 2" xfId="25523"/>
    <cellStyle name="SAPBEXaggItem 7 2 2 2" xfId="27676"/>
    <cellStyle name="SAPBEXaggItem 7 2 2 3" xfId="27973"/>
    <cellStyle name="SAPBEXaggItem 7 2 2 4" xfId="26186"/>
    <cellStyle name="SAPBEXaggItem 7 2 2 5" xfId="29525"/>
    <cellStyle name="SAPBEXaggItem 7 2 3" xfId="26629"/>
    <cellStyle name="SAPBEXaggItem 7 2 4" xfId="27972"/>
    <cellStyle name="SAPBEXaggItem 7 2 5" xfId="26674"/>
    <cellStyle name="SAPBEXaggItem 7 2 6" xfId="29524"/>
    <cellStyle name="SAPBEXaggItem 7 3" xfId="25912"/>
    <cellStyle name="SAPBEXaggItem 7 4" xfId="27971"/>
    <cellStyle name="SAPBEXaggItem 7 5" xfId="26552"/>
    <cellStyle name="SAPBEXaggItem 7 6" xfId="29523"/>
    <cellStyle name="SAPBEXaggItem 8" xfId="411"/>
    <cellStyle name="SAPBEXaggItem 8 2" xfId="13793"/>
    <cellStyle name="SAPBEXaggItem 8 2 2" xfId="25551"/>
    <cellStyle name="SAPBEXaggItem 8 2 2 2" xfId="27704"/>
    <cellStyle name="SAPBEXaggItem 8 2 2 3" xfId="27976"/>
    <cellStyle name="SAPBEXaggItem 8 2 2 4" xfId="26749"/>
    <cellStyle name="SAPBEXaggItem 8 2 2 5" xfId="29528"/>
    <cellStyle name="SAPBEXaggItem 8 2 3" xfId="26668"/>
    <cellStyle name="SAPBEXaggItem 8 2 4" xfId="27975"/>
    <cellStyle name="SAPBEXaggItem 8 2 5" xfId="26268"/>
    <cellStyle name="SAPBEXaggItem 8 2 6" xfId="29527"/>
    <cellStyle name="SAPBEXaggItem 8 3" xfId="26009"/>
    <cellStyle name="SAPBEXaggItem 8 4" xfId="27974"/>
    <cellStyle name="SAPBEXaggItem 8 5" xfId="29181"/>
    <cellStyle name="SAPBEXaggItem 8 6" xfId="29526"/>
    <cellStyle name="SAPBEXaggItem 9" xfId="13623"/>
    <cellStyle name="SAPBEXaggItem 9 2" xfId="25461"/>
    <cellStyle name="SAPBEXaggItem 9 2 2" xfId="27614"/>
    <cellStyle name="SAPBEXaggItem 9 2 3" xfId="27978"/>
    <cellStyle name="SAPBEXaggItem 9 2 4" xfId="26932"/>
    <cellStyle name="SAPBEXaggItem 9 2 5" xfId="29530"/>
    <cellStyle name="SAPBEXaggItem 9 3" xfId="26565"/>
    <cellStyle name="SAPBEXaggItem 9 4" xfId="27977"/>
    <cellStyle name="SAPBEXaggItem 9 5" xfId="26693"/>
    <cellStyle name="SAPBEXaggItem 9 6" xfId="29529"/>
    <cellStyle name="SAPBEXaggItem_Copy of xSAPtemp5457" xfId="224"/>
    <cellStyle name="SAPBEXaggItemX" xfId="76"/>
    <cellStyle name="SAPBEXaggItemX 2" xfId="13625"/>
    <cellStyle name="SAPBEXaggItemX 2 2" xfId="25463"/>
    <cellStyle name="SAPBEXaggItemX 2 2 2" xfId="27616"/>
    <cellStyle name="SAPBEXaggItemX 2 2 3" xfId="27981"/>
    <cellStyle name="SAPBEXaggItemX 2 2 4" xfId="26133"/>
    <cellStyle name="SAPBEXaggItemX 2 2 5" xfId="29533"/>
    <cellStyle name="SAPBEXaggItemX 2 3" xfId="26567"/>
    <cellStyle name="SAPBEXaggItemX 2 4" xfId="27980"/>
    <cellStyle name="SAPBEXaggItemX 2 5" xfId="26518"/>
    <cellStyle name="SAPBEXaggItemX 2 6" xfId="29532"/>
    <cellStyle name="SAPBEXaggItemX 3" xfId="24683"/>
    <cellStyle name="SAPBEXaggItemX 3 2" xfId="25307"/>
    <cellStyle name="SAPBEXaggItemX 3 2 2" xfId="27461"/>
    <cellStyle name="SAPBEXaggItemX 3 2 3" xfId="27983"/>
    <cellStyle name="SAPBEXaggItemX 3 2 4" xfId="26219"/>
    <cellStyle name="SAPBEXaggItemX 3 2 5" xfId="29535"/>
    <cellStyle name="SAPBEXaggItemX 3 3" xfId="25646"/>
    <cellStyle name="SAPBEXaggItemX 3 3 2" xfId="27799"/>
    <cellStyle name="SAPBEXaggItemX 3 3 3" xfId="27984"/>
    <cellStyle name="SAPBEXaggItemX 3 3 4" xfId="26155"/>
    <cellStyle name="SAPBEXaggItemX 3 3 5" xfId="29536"/>
    <cellStyle name="SAPBEXaggItemX 3 4" xfId="27273"/>
    <cellStyle name="SAPBEXaggItemX 3 5" xfId="27982"/>
    <cellStyle name="SAPBEXaggItemX 3 6" xfId="26397"/>
    <cellStyle name="SAPBEXaggItemX 3 7" xfId="29534"/>
    <cellStyle name="SAPBEXaggItemX 4" xfId="25093"/>
    <cellStyle name="SAPBEXaggItemX 4 2" xfId="25395"/>
    <cellStyle name="SAPBEXaggItemX 4 2 2" xfId="27549"/>
    <cellStyle name="SAPBEXaggItemX 4 2 3" xfId="27986"/>
    <cellStyle name="SAPBEXaggItemX 4 2 4" xfId="26434"/>
    <cellStyle name="SAPBEXaggItemX 4 2 5" xfId="29538"/>
    <cellStyle name="SAPBEXaggItemX 4 3" xfId="25691"/>
    <cellStyle name="SAPBEXaggItemX 4 3 2" xfId="27844"/>
    <cellStyle name="SAPBEXaggItemX 4 3 3" xfId="27987"/>
    <cellStyle name="SAPBEXaggItemX 4 3 4" xfId="26430"/>
    <cellStyle name="SAPBEXaggItemX 4 3 5" xfId="29539"/>
    <cellStyle name="SAPBEXaggItemX 4 4" xfId="27378"/>
    <cellStyle name="SAPBEXaggItemX 4 5" xfId="27985"/>
    <cellStyle name="SAPBEXaggItemX 4 6" xfId="26836"/>
    <cellStyle name="SAPBEXaggItemX 4 7" xfId="29537"/>
    <cellStyle name="SAPBEXaggItemX 5" xfId="25821"/>
    <cellStyle name="SAPBEXaggItemX 6" xfId="27979"/>
    <cellStyle name="SAPBEXaggItemX 7" xfId="26526"/>
    <cellStyle name="SAPBEXaggItemX 8" xfId="29531"/>
    <cellStyle name="SAPBEXchaText" xfId="6"/>
    <cellStyle name="SAPBEXchaText 2" xfId="77"/>
    <cellStyle name="SAPBEXchaText 2 2" xfId="459"/>
    <cellStyle name="SAPBEXchaText 2 2 2" xfId="13827"/>
    <cellStyle name="SAPBEXchaText 2 2 2 2" xfId="25377"/>
    <cellStyle name="SAPBEXchaText 2 2 2 2 2" xfId="27531"/>
    <cellStyle name="SAPBEXchaText 2 2 2 2 3" xfId="27991"/>
    <cellStyle name="SAPBEXchaText 2 2 2 2 4" xfId="26793"/>
    <cellStyle name="SAPBEXchaText 2 2 2 2 5" xfId="29543"/>
    <cellStyle name="SAPBEXchaText 2 2 2 3" xfId="26676"/>
    <cellStyle name="SAPBEXchaText 2 2 2 4" xfId="27990"/>
    <cellStyle name="SAPBEXchaText 2 2 2 5" xfId="29542"/>
    <cellStyle name="SAPBEXchaText 2 2 3" xfId="26024"/>
    <cellStyle name="SAPBEXchaText 2 2 4" xfId="27989"/>
    <cellStyle name="SAPBEXchaText 2 2 5" xfId="29541"/>
    <cellStyle name="SAPBEXchaText 2 3" xfId="13626"/>
    <cellStyle name="SAPBEXchaText 2 3 2" xfId="25464"/>
    <cellStyle name="SAPBEXchaText 2 3 2 2" xfId="27617"/>
    <cellStyle name="SAPBEXchaText 2 3 2 3" xfId="27993"/>
    <cellStyle name="SAPBEXchaText 2 3 2 4" xfId="26286"/>
    <cellStyle name="SAPBEXchaText 2 3 2 5" xfId="29545"/>
    <cellStyle name="SAPBEXchaText 2 3 3" xfId="26568"/>
    <cellStyle name="SAPBEXchaText 2 3 4" xfId="27992"/>
    <cellStyle name="SAPBEXchaText 2 3 5" xfId="26254"/>
    <cellStyle name="SAPBEXchaText 2 3 6" xfId="29544"/>
    <cellStyle name="SAPBEXchaText 2 4" xfId="25822"/>
    <cellStyle name="SAPBEXchaText 2 5" xfId="27988"/>
    <cellStyle name="SAPBEXchaText 2 6" xfId="26197"/>
    <cellStyle name="SAPBEXchaText 2 7" xfId="29540"/>
    <cellStyle name="SAPBEXchaText 3" xfId="78"/>
    <cellStyle name="SAPBEXchaText 3 2" xfId="225"/>
    <cellStyle name="SAPBEXchaText 3 2 2" xfId="13710"/>
    <cellStyle name="SAPBEXchaText 3 2 2 2" xfId="25524"/>
    <cellStyle name="SAPBEXchaText 3 2 2 2 2" xfId="27677"/>
    <cellStyle name="SAPBEXchaText 3 2 2 2 3" xfId="27996"/>
    <cellStyle name="SAPBEXchaText 3 2 2 2 4" xfId="27166"/>
    <cellStyle name="SAPBEXchaText 3 2 2 2 5" xfId="29548"/>
    <cellStyle name="SAPBEXchaText 3 2 2 3" xfId="26630"/>
    <cellStyle name="SAPBEXchaText 3 2 2 4" xfId="27995"/>
    <cellStyle name="SAPBEXchaText 3 2 2 5" xfId="26428"/>
    <cellStyle name="SAPBEXchaText 3 2 2 6" xfId="29547"/>
    <cellStyle name="SAPBEXchaText 3 2 3" xfId="25913"/>
    <cellStyle name="SAPBEXchaText 3 2 4" xfId="27994"/>
    <cellStyle name="SAPBEXchaText 3 2 5" xfId="26718"/>
    <cellStyle name="SAPBEXchaText 3 2 6" xfId="29546"/>
    <cellStyle name="SAPBEXchaText 4" xfId="226"/>
    <cellStyle name="SAPBEXchaText 4 2" xfId="13711"/>
    <cellStyle name="SAPBEXchaText 4 2 2" xfId="25525"/>
    <cellStyle name="SAPBEXchaText 4 2 2 2" xfId="27678"/>
    <cellStyle name="SAPBEXchaText 4 2 2 3" xfId="27999"/>
    <cellStyle name="SAPBEXchaText 4 2 2 4" xfId="27223"/>
    <cellStyle name="SAPBEXchaText 4 2 2 5" xfId="29551"/>
    <cellStyle name="SAPBEXchaText 4 2 3" xfId="26631"/>
    <cellStyle name="SAPBEXchaText 4 2 4" xfId="27998"/>
    <cellStyle name="SAPBEXchaText 4 2 5" xfId="26270"/>
    <cellStyle name="SAPBEXchaText 4 2 6" xfId="29550"/>
    <cellStyle name="SAPBEXchaText 4 3" xfId="25914"/>
    <cellStyle name="SAPBEXchaText 4 4" xfId="27997"/>
    <cellStyle name="SAPBEXchaText 4 5" xfId="26375"/>
    <cellStyle name="SAPBEXchaText 4 6" xfId="29549"/>
    <cellStyle name="SAPBEXchaText 5" xfId="227"/>
    <cellStyle name="SAPBEXchaText 5 2" xfId="13712"/>
    <cellStyle name="SAPBEXchaText 5 2 2" xfId="25526"/>
    <cellStyle name="SAPBEXchaText 5 2 2 2" xfId="27679"/>
    <cellStyle name="SAPBEXchaText 5 2 2 3" xfId="28002"/>
    <cellStyle name="SAPBEXchaText 5 2 2 4" xfId="26253"/>
    <cellStyle name="SAPBEXchaText 5 2 2 5" xfId="29554"/>
    <cellStyle name="SAPBEXchaText 5 2 3" xfId="26632"/>
    <cellStyle name="SAPBEXchaText 5 2 4" xfId="28001"/>
    <cellStyle name="SAPBEXchaText 5 2 5" xfId="26781"/>
    <cellStyle name="SAPBEXchaText 5 2 6" xfId="29553"/>
    <cellStyle name="SAPBEXchaText 5 3" xfId="25915"/>
    <cellStyle name="SAPBEXchaText 5 4" xfId="28000"/>
    <cellStyle name="SAPBEXchaText 5 5" xfId="26962"/>
    <cellStyle name="SAPBEXchaText 5 6" xfId="29552"/>
    <cellStyle name="SAPBEXchaText 6" xfId="228"/>
    <cellStyle name="SAPBEXchaText 6 2" xfId="13713"/>
    <cellStyle name="SAPBEXchaText 6 2 2" xfId="25527"/>
    <cellStyle name="SAPBEXchaText 6 2 2 2" xfId="27680"/>
    <cellStyle name="SAPBEXchaText 6 2 2 3" xfId="28005"/>
    <cellStyle name="SAPBEXchaText 6 2 2 4" xfId="26706"/>
    <cellStyle name="SAPBEXchaText 6 2 2 5" xfId="29557"/>
    <cellStyle name="SAPBEXchaText 6 2 3" xfId="26633"/>
    <cellStyle name="SAPBEXchaText 6 2 4" xfId="28004"/>
    <cellStyle name="SAPBEXchaText 6 2 5" xfId="26313"/>
    <cellStyle name="SAPBEXchaText 6 2 6" xfId="29556"/>
    <cellStyle name="SAPBEXchaText 6 3" xfId="25916"/>
    <cellStyle name="SAPBEXchaText 6 4" xfId="28003"/>
    <cellStyle name="SAPBEXchaText 6 5" xfId="26443"/>
    <cellStyle name="SAPBEXchaText 6 6" xfId="29555"/>
    <cellStyle name="SAPBEXchaText 7" xfId="229"/>
    <cellStyle name="SAPBEXchaText 7 2" xfId="485"/>
    <cellStyle name="SAPBEXchaText 7 2 2" xfId="13848"/>
    <cellStyle name="SAPBEXchaText 7 2 2 2" xfId="25378"/>
    <cellStyle name="SAPBEXchaText 7 2 2 2 2" xfId="27532"/>
    <cellStyle name="SAPBEXchaText 7 2 2 2 3" xfId="28009"/>
    <cellStyle name="SAPBEXchaText 7 2 2 2 4" xfId="26695"/>
    <cellStyle name="SAPBEXchaText 7 2 2 2 5" xfId="29561"/>
    <cellStyle name="SAPBEXchaText 7 2 2 3" xfId="26682"/>
    <cellStyle name="SAPBEXchaText 7 2 2 4" xfId="28008"/>
    <cellStyle name="SAPBEXchaText 7 2 2 5" xfId="29560"/>
    <cellStyle name="SAPBEXchaText 7 2 3" xfId="25281"/>
    <cellStyle name="SAPBEXchaText 7 2 3 2" xfId="27436"/>
    <cellStyle name="SAPBEXchaText 7 2 3 3" xfId="28010"/>
    <cellStyle name="SAPBEXchaText 7 2 3 4" xfId="26172"/>
    <cellStyle name="SAPBEXchaText 7 2 3 5" xfId="29562"/>
    <cellStyle name="SAPBEXchaText 7 2 4" xfId="26035"/>
    <cellStyle name="SAPBEXchaText 7 2 5" xfId="28007"/>
    <cellStyle name="SAPBEXchaText 7 2 6" xfId="29559"/>
    <cellStyle name="SAPBEXchaText 7 3" xfId="13714"/>
    <cellStyle name="SAPBEXchaText 7 3 2" xfId="25375"/>
    <cellStyle name="SAPBEXchaText 7 3 2 2" xfId="27529"/>
    <cellStyle name="SAPBEXchaText 7 3 2 3" xfId="28012"/>
    <cellStyle name="SAPBEXchaText 7 3 2 4" xfId="26437"/>
    <cellStyle name="SAPBEXchaText 7 3 2 5" xfId="29564"/>
    <cellStyle name="SAPBEXchaText 7 3 3" xfId="26634"/>
    <cellStyle name="SAPBEXchaText 7 3 4" xfId="28011"/>
    <cellStyle name="SAPBEXchaText 7 3 5" xfId="29563"/>
    <cellStyle name="SAPBEXchaText 7 4" xfId="25917"/>
    <cellStyle name="SAPBEXchaText 7 5" xfId="28006"/>
    <cellStyle name="SAPBEXchaText 7 6" xfId="29558"/>
    <cellStyle name="SAPBEXchaText_Copy of xSAPtemp5457" xfId="230"/>
    <cellStyle name="SAPBEXexcBad7" xfId="79"/>
    <cellStyle name="SAPBEXexcBad7 2" xfId="13627"/>
    <cellStyle name="SAPBEXexcBad7 2 2" xfId="25465"/>
    <cellStyle name="SAPBEXexcBad7 2 2 2" xfId="27618"/>
    <cellStyle name="SAPBEXexcBad7 2 2 3" xfId="28015"/>
    <cellStyle name="SAPBEXexcBad7 2 2 4" xfId="26828"/>
    <cellStyle name="SAPBEXexcBad7 2 2 5" xfId="29567"/>
    <cellStyle name="SAPBEXexcBad7 2 3" xfId="26569"/>
    <cellStyle name="SAPBEXexcBad7 2 4" xfId="28014"/>
    <cellStyle name="SAPBEXexcBad7 2 5" xfId="26331"/>
    <cellStyle name="SAPBEXexcBad7 2 6" xfId="29566"/>
    <cellStyle name="SAPBEXexcBad7 3" xfId="24682"/>
    <cellStyle name="SAPBEXexcBad7 3 2" xfId="25399"/>
    <cellStyle name="SAPBEXexcBad7 3 2 2" xfId="27553"/>
    <cellStyle name="SAPBEXexcBad7 3 2 3" xfId="28017"/>
    <cellStyle name="SAPBEXexcBad7 3 2 4" xfId="26769"/>
    <cellStyle name="SAPBEXexcBad7 3 2 5" xfId="29569"/>
    <cellStyle name="SAPBEXexcBad7 3 3" xfId="25645"/>
    <cellStyle name="SAPBEXexcBad7 3 3 2" xfId="27798"/>
    <cellStyle name="SAPBEXexcBad7 3 3 3" xfId="28018"/>
    <cellStyle name="SAPBEXexcBad7 3 3 4" xfId="26911"/>
    <cellStyle name="SAPBEXexcBad7 3 3 5" xfId="29570"/>
    <cellStyle name="SAPBEXexcBad7 3 4" xfId="27272"/>
    <cellStyle name="SAPBEXexcBad7 3 5" xfId="28016"/>
    <cellStyle name="SAPBEXexcBad7 3 6" xfId="26377"/>
    <cellStyle name="SAPBEXexcBad7 3 7" xfId="29568"/>
    <cellStyle name="SAPBEXexcBad7 4" xfId="25094"/>
    <cellStyle name="SAPBEXexcBad7 4 2" xfId="25304"/>
    <cellStyle name="SAPBEXexcBad7 4 2 2" xfId="27458"/>
    <cellStyle name="SAPBEXexcBad7 4 2 3" xfId="28020"/>
    <cellStyle name="SAPBEXexcBad7 4 2 4" xfId="26171"/>
    <cellStyle name="SAPBEXexcBad7 4 2 5" xfId="29572"/>
    <cellStyle name="SAPBEXexcBad7 4 3" xfId="25692"/>
    <cellStyle name="SAPBEXexcBad7 4 3 2" xfId="27845"/>
    <cellStyle name="SAPBEXexcBad7 4 3 3" xfId="28021"/>
    <cellStyle name="SAPBEXexcBad7 4 3 4" xfId="26347"/>
    <cellStyle name="SAPBEXexcBad7 4 3 5" xfId="29573"/>
    <cellStyle name="SAPBEXexcBad7 4 4" xfId="27379"/>
    <cellStyle name="SAPBEXexcBad7 4 5" xfId="28019"/>
    <cellStyle name="SAPBEXexcBad7 4 6" xfId="26326"/>
    <cellStyle name="SAPBEXexcBad7 4 7" xfId="29571"/>
    <cellStyle name="SAPBEXexcBad7 5" xfId="25823"/>
    <cellStyle name="SAPBEXexcBad7 6" xfId="28013"/>
    <cellStyle name="SAPBEXexcBad7 7" xfId="26762"/>
    <cellStyle name="SAPBEXexcBad7 8" xfId="29565"/>
    <cellStyle name="SAPBEXexcBad8" xfId="80"/>
    <cellStyle name="SAPBEXexcBad8 2" xfId="13628"/>
    <cellStyle name="SAPBEXexcBad8 2 2" xfId="25466"/>
    <cellStyle name="SAPBEXexcBad8 2 2 2" xfId="27619"/>
    <cellStyle name="SAPBEXexcBad8 2 2 3" xfId="28024"/>
    <cellStyle name="SAPBEXexcBad8 2 2 4" xfId="26218"/>
    <cellStyle name="SAPBEXexcBad8 2 2 5" xfId="29576"/>
    <cellStyle name="SAPBEXexcBad8 2 3" xfId="26570"/>
    <cellStyle name="SAPBEXexcBad8 2 4" xfId="28023"/>
    <cellStyle name="SAPBEXexcBad8 2 5" xfId="27149"/>
    <cellStyle name="SAPBEXexcBad8 2 6" xfId="29575"/>
    <cellStyle name="SAPBEXexcBad8 3" xfId="24681"/>
    <cellStyle name="SAPBEXexcBad8 3 2" xfId="25383"/>
    <cellStyle name="SAPBEXexcBad8 3 2 2" xfId="27537"/>
    <cellStyle name="SAPBEXexcBad8 3 2 3" xfId="28026"/>
    <cellStyle name="SAPBEXexcBad8 3 2 4" xfId="26788"/>
    <cellStyle name="SAPBEXexcBad8 3 2 5" xfId="29578"/>
    <cellStyle name="SAPBEXexcBad8 3 3" xfId="25644"/>
    <cellStyle name="SAPBEXexcBad8 3 3 2" xfId="27797"/>
    <cellStyle name="SAPBEXexcBad8 3 3 3" xfId="28027"/>
    <cellStyle name="SAPBEXexcBad8 3 3 4" xfId="26093"/>
    <cellStyle name="SAPBEXexcBad8 3 3 5" xfId="29579"/>
    <cellStyle name="SAPBEXexcBad8 3 4" xfId="27271"/>
    <cellStyle name="SAPBEXexcBad8 3 5" xfId="28025"/>
    <cellStyle name="SAPBEXexcBad8 3 6" xfId="26453"/>
    <cellStyle name="SAPBEXexcBad8 3 7" xfId="29577"/>
    <cellStyle name="SAPBEXexcBad8 4" xfId="25095"/>
    <cellStyle name="SAPBEXexcBad8 4 2" xfId="25407"/>
    <cellStyle name="SAPBEXexcBad8 4 2 2" xfId="27561"/>
    <cellStyle name="SAPBEXexcBad8 4 2 3" xfId="28029"/>
    <cellStyle name="SAPBEXexcBad8 4 2 4" xfId="26104"/>
    <cellStyle name="SAPBEXexcBad8 4 2 5" xfId="29581"/>
    <cellStyle name="SAPBEXexcBad8 4 3" xfId="25693"/>
    <cellStyle name="SAPBEXexcBad8 4 3 2" xfId="27846"/>
    <cellStyle name="SAPBEXexcBad8 4 3 3" xfId="28030"/>
    <cellStyle name="SAPBEXexcBad8 4 3 4" xfId="26900"/>
    <cellStyle name="SAPBEXexcBad8 4 3 5" xfId="29582"/>
    <cellStyle name="SAPBEXexcBad8 4 4" xfId="27380"/>
    <cellStyle name="SAPBEXexcBad8 4 5" xfId="28028"/>
    <cellStyle name="SAPBEXexcBad8 4 6" xfId="26785"/>
    <cellStyle name="SAPBEXexcBad8 4 7" xfId="29580"/>
    <cellStyle name="SAPBEXexcBad8 5" xfId="25824"/>
    <cellStyle name="SAPBEXexcBad8 6" xfId="28022"/>
    <cellStyle name="SAPBEXexcBad8 7" xfId="26238"/>
    <cellStyle name="SAPBEXexcBad8 8" xfId="29574"/>
    <cellStyle name="SAPBEXexcBad9" xfId="81"/>
    <cellStyle name="SAPBEXexcBad9 2" xfId="13629"/>
    <cellStyle name="SAPBEXexcBad9 2 2" xfId="25467"/>
    <cellStyle name="SAPBEXexcBad9 2 2 2" xfId="27620"/>
    <cellStyle name="SAPBEXexcBad9 2 2 3" xfId="28033"/>
    <cellStyle name="SAPBEXexcBad9 2 2 4" xfId="26927"/>
    <cellStyle name="SAPBEXexcBad9 2 2 5" xfId="29585"/>
    <cellStyle name="SAPBEXexcBad9 2 3" xfId="26571"/>
    <cellStyle name="SAPBEXexcBad9 2 4" xfId="28032"/>
    <cellStyle name="SAPBEXexcBad9 2 5" xfId="26418"/>
    <cellStyle name="SAPBEXexcBad9 2 6" xfId="29584"/>
    <cellStyle name="SAPBEXexcBad9 3" xfId="24680"/>
    <cellStyle name="SAPBEXexcBad9 3 2" xfId="25370"/>
    <cellStyle name="SAPBEXexcBad9 3 2 2" xfId="27524"/>
    <cellStyle name="SAPBEXexcBad9 3 2 3" xfId="28035"/>
    <cellStyle name="SAPBEXexcBad9 3 2 4" xfId="26704"/>
    <cellStyle name="SAPBEXexcBad9 3 2 5" xfId="29587"/>
    <cellStyle name="SAPBEXexcBad9 3 3" xfId="25643"/>
    <cellStyle name="SAPBEXexcBad9 3 3 2" xfId="27796"/>
    <cellStyle name="SAPBEXexcBad9 3 3 3" xfId="28036"/>
    <cellStyle name="SAPBEXexcBad9 3 3 4" xfId="26530"/>
    <cellStyle name="SAPBEXexcBad9 3 3 5" xfId="29588"/>
    <cellStyle name="SAPBEXexcBad9 3 4" xfId="27270"/>
    <cellStyle name="SAPBEXexcBad9 3 5" xfId="28034"/>
    <cellStyle name="SAPBEXexcBad9 3 6" xfId="26886"/>
    <cellStyle name="SAPBEXexcBad9 3 7" xfId="29586"/>
    <cellStyle name="SAPBEXexcBad9 4" xfId="25096"/>
    <cellStyle name="SAPBEXexcBad9 4 2" xfId="25320"/>
    <cellStyle name="SAPBEXexcBad9 4 2 2" xfId="27474"/>
    <cellStyle name="SAPBEXexcBad9 4 2 3" xfId="28038"/>
    <cellStyle name="SAPBEXexcBad9 4 2 4" xfId="26083"/>
    <cellStyle name="SAPBEXexcBad9 4 2 5" xfId="29590"/>
    <cellStyle name="SAPBEXexcBad9 4 3" xfId="25694"/>
    <cellStyle name="SAPBEXexcBad9 4 3 2" xfId="27847"/>
    <cellStyle name="SAPBEXexcBad9 4 3 3" xfId="28039"/>
    <cellStyle name="SAPBEXexcBad9 4 3 4" xfId="27316"/>
    <cellStyle name="SAPBEXexcBad9 4 3 5" xfId="29591"/>
    <cellStyle name="SAPBEXexcBad9 4 4" xfId="27381"/>
    <cellStyle name="SAPBEXexcBad9 4 5" xfId="28037"/>
    <cellStyle name="SAPBEXexcBad9 4 6" xfId="26261"/>
    <cellStyle name="SAPBEXexcBad9 4 7" xfId="29589"/>
    <cellStyle name="SAPBEXexcBad9 5" xfId="25825"/>
    <cellStyle name="SAPBEXexcBad9 6" xfId="28031"/>
    <cellStyle name="SAPBEXexcBad9 7" xfId="26839"/>
    <cellStyle name="SAPBEXexcBad9 8" xfId="29583"/>
    <cellStyle name="SAPBEXexcCritical4" xfId="82"/>
    <cellStyle name="SAPBEXexcCritical4 2" xfId="13630"/>
    <cellStyle name="SAPBEXexcCritical4 2 2" xfId="25468"/>
    <cellStyle name="SAPBEXexcCritical4 2 2 2" xfId="27621"/>
    <cellStyle name="SAPBEXexcCritical4 2 2 3" xfId="28042"/>
    <cellStyle name="SAPBEXexcCritical4 2 2 4" xfId="26891"/>
    <cellStyle name="SAPBEXexcCritical4 2 2 5" xfId="29594"/>
    <cellStyle name="SAPBEXexcCritical4 2 3" xfId="26572"/>
    <cellStyle name="SAPBEXexcCritical4 2 4" xfId="28041"/>
    <cellStyle name="SAPBEXexcCritical4 2 5" xfId="26440"/>
    <cellStyle name="SAPBEXexcCritical4 2 6" xfId="29593"/>
    <cellStyle name="SAPBEXexcCritical4 3" xfId="24679"/>
    <cellStyle name="SAPBEXexcCritical4 3 2" xfId="25288"/>
    <cellStyle name="SAPBEXexcCritical4 3 2 2" xfId="27443"/>
    <cellStyle name="SAPBEXexcCritical4 3 2 3" xfId="28044"/>
    <cellStyle name="SAPBEXexcCritical4 3 2 4" xfId="26721"/>
    <cellStyle name="SAPBEXexcCritical4 3 2 5" xfId="29596"/>
    <cellStyle name="SAPBEXexcCritical4 3 3" xfId="25642"/>
    <cellStyle name="SAPBEXexcCritical4 3 3 2" xfId="27795"/>
    <cellStyle name="SAPBEXexcCritical4 3 3 3" xfId="28045"/>
    <cellStyle name="SAPBEXexcCritical4 3 3 4" xfId="26545"/>
    <cellStyle name="SAPBEXexcCritical4 3 3 5" xfId="29597"/>
    <cellStyle name="SAPBEXexcCritical4 3 4" xfId="27269"/>
    <cellStyle name="SAPBEXexcCritical4 3 5" xfId="28043"/>
    <cellStyle name="SAPBEXexcCritical4 3 6" xfId="27431"/>
    <cellStyle name="SAPBEXexcCritical4 3 7" xfId="29595"/>
    <cellStyle name="SAPBEXexcCritical4 4" xfId="25097"/>
    <cellStyle name="SAPBEXexcCritical4 4 2" xfId="25419"/>
    <cellStyle name="SAPBEXexcCritical4 4 2 2" xfId="27573"/>
    <cellStyle name="SAPBEXexcCritical4 4 2 3" xfId="28047"/>
    <cellStyle name="SAPBEXexcCritical4 4 2 4" xfId="26864"/>
    <cellStyle name="SAPBEXexcCritical4 4 2 5" xfId="29599"/>
    <cellStyle name="SAPBEXexcCritical4 4 3" xfId="25695"/>
    <cellStyle name="SAPBEXexcCritical4 4 3 2" xfId="27848"/>
    <cellStyle name="SAPBEXexcCritical4 4 3 3" xfId="28048"/>
    <cellStyle name="SAPBEXexcCritical4 4 3 4" xfId="26473"/>
    <cellStyle name="SAPBEXexcCritical4 4 3 5" xfId="29600"/>
    <cellStyle name="SAPBEXexcCritical4 4 4" xfId="27382"/>
    <cellStyle name="SAPBEXexcCritical4 4 5" xfId="28046"/>
    <cellStyle name="SAPBEXexcCritical4 4 6" xfId="26875"/>
    <cellStyle name="SAPBEXexcCritical4 4 7" xfId="29598"/>
    <cellStyle name="SAPBEXexcCritical4 5" xfId="25826"/>
    <cellStyle name="SAPBEXexcCritical4 6" xfId="28040"/>
    <cellStyle name="SAPBEXexcCritical4 7" xfId="28544"/>
    <cellStyle name="SAPBEXexcCritical4 8" xfId="29592"/>
    <cellStyle name="SAPBEXexcCritical5" xfId="83"/>
    <cellStyle name="SAPBEXexcCritical5 2" xfId="13631"/>
    <cellStyle name="SAPBEXexcCritical5 2 2" xfId="25469"/>
    <cellStyle name="SAPBEXexcCritical5 2 2 2" xfId="27622"/>
    <cellStyle name="SAPBEXexcCritical5 2 2 3" xfId="28051"/>
    <cellStyle name="SAPBEXexcCritical5 2 2 4" xfId="26876"/>
    <cellStyle name="SAPBEXexcCritical5 2 2 5" xfId="29603"/>
    <cellStyle name="SAPBEXexcCritical5 2 3" xfId="26573"/>
    <cellStyle name="SAPBEXexcCritical5 2 4" xfId="28050"/>
    <cellStyle name="SAPBEXexcCritical5 2 5" xfId="26879"/>
    <cellStyle name="SAPBEXexcCritical5 2 6" xfId="29602"/>
    <cellStyle name="SAPBEXexcCritical5 3" xfId="24678"/>
    <cellStyle name="SAPBEXexcCritical5 3 2" xfId="25299"/>
    <cellStyle name="SAPBEXexcCritical5 3 2 2" xfId="27453"/>
    <cellStyle name="SAPBEXexcCritical5 3 2 3" xfId="28053"/>
    <cellStyle name="SAPBEXexcCritical5 3 2 4" xfId="27224"/>
    <cellStyle name="SAPBEXexcCritical5 3 2 5" xfId="29605"/>
    <cellStyle name="SAPBEXexcCritical5 3 3" xfId="25641"/>
    <cellStyle name="SAPBEXexcCritical5 3 3 2" xfId="27794"/>
    <cellStyle name="SAPBEXexcCritical5 3 3 3" xfId="28054"/>
    <cellStyle name="SAPBEXexcCritical5 3 3 4" xfId="26362"/>
    <cellStyle name="SAPBEXexcCritical5 3 3 5" xfId="29606"/>
    <cellStyle name="SAPBEXexcCritical5 3 4" xfId="27268"/>
    <cellStyle name="SAPBEXexcCritical5 3 5" xfId="28052"/>
    <cellStyle name="SAPBEXexcCritical5 3 6" xfId="26740"/>
    <cellStyle name="SAPBEXexcCritical5 3 7" xfId="29604"/>
    <cellStyle name="SAPBEXexcCritical5 4" xfId="25098"/>
    <cellStyle name="SAPBEXexcCritical5 4 2" xfId="25336"/>
    <cellStyle name="SAPBEXexcCritical5 4 2 2" xfId="27490"/>
    <cellStyle name="SAPBEXexcCritical5 4 2 3" xfId="28056"/>
    <cellStyle name="SAPBEXexcCritical5 4 2 4" xfId="26070"/>
    <cellStyle name="SAPBEXexcCritical5 4 2 5" xfId="29608"/>
    <cellStyle name="SAPBEXexcCritical5 4 3" xfId="25696"/>
    <cellStyle name="SAPBEXexcCritical5 4 3 2" xfId="27849"/>
    <cellStyle name="SAPBEXexcCritical5 4 3 3" xfId="28057"/>
    <cellStyle name="SAPBEXexcCritical5 4 3 4" xfId="26746"/>
    <cellStyle name="SAPBEXexcCritical5 4 3 5" xfId="29609"/>
    <cellStyle name="SAPBEXexcCritical5 4 4" xfId="27383"/>
    <cellStyle name="SAPBEXexcCritical5 4 5" xfId="28055"/>
    <cellStyle name="SAPBEXexcCritical5 4 6" xfId="26750"/>
    <cellStyle name="SAPBEXexcCritical5 4 7" xfId="29607"/>
    <cellStyle name="SAPBEXexcCritical5 5" xfId="25827"/>
    <cellStyle name="SAPBEXexcCritical5 6" xfId="28049"/>
    <cellStyle name="SAPBEXexcCritical5 7" xfId="28545"/>
    <cellStyle name="SAPBEXexcCritical5 8" xfId="29601"/>
    <cellStyle name="SAPBEXexcCritical6" xfId="84"/>
    <cellStyle name="SAPBEXexcCritical6 2" xfId="13632"/>
    <cellStyle name="SAPBEXexcCritical6 2 2" xfId="25470"/>
    <cellStyle name="SAPBEXexcCritical6 2 2 2" xfId="27623"/>
    <cellStyle name="SAPBEXexcCritical6 2 2 3" xfId="28060"/>
    <cellStyle name="SAPBEXexcCritical6 2 2 4" xfId="26101"/>
    <cellStyle name="SAPBEXexcCritical6 2 2 5" xfId="29612"/>
    <cellStyle name="SAPBEXexcCritical6 2 3" xfId="26574"/>
    <cellStyle name="SAPBEXexcCritical6 2 4" xfId="28059"/>
    <cellStyle name="SAPBEXexcCritical6 2 5" xfId="26150"/>
    <cellStyle name="SAPBEXexcCritical6 2 6" xfId="29611"/>
    <cellStyle name="SAPBEXexcCritical6 3" xfId="24677"/>
    <cellStyle name="SAPBEXexcCritical6 3 2" xfId="25362"/>
    <cellStyle name="SAPBEXexcCritical6 3 2 2" xfId="27516"/>
    <cellStyle name="SAPBEXexcCritical6 3 2 3" xfId="28062"/>
    <cellStyle name="SAPBEXexcCritical6 3 2 4" xfId="26708"/>
    <cellStyle name="SAPBEXexcCritical6 3 2 5" xfId="29614"/>
    <cellStyle name="SAPBEXexcCritical6 3 3" xfId="25640"/>
    <cellStyle name="SAPBEXexcCritical6 3 3 2" xfId="27793"/>
    <cellStyle name="SAPBEXexcCritical6 3 3 3" xfId="28063"/>
    <cellStyle name="SAPBEXexcCritical6 3 3 4" xfId="26323"/>
    <cellStyle name="SAPBEXexcCritical6 3 3 5" xfId="29615"/>
    <cellStyle name="SAPBEXexcCritical6 3 4" xfId="27267"/>
    <cellStyle name="SAPBEXexcCritical6 3 5" xfId="28061"/>
    <cellStyle name="SAPBEXexcCritical6 3 6" xfId="27073"/>
    <cellStyle name="SAPBEXexcCritical6 3 7" xfId="29613"/>
    <cellStyle name="SAPBEXexcCritical6 4" xfId="25099"/>
    <cellStyle name="SAPBEXexcCritical6 4 2" xfId="25438"/>
    <cellStyle name="SAPBEXexcCritical6 4 2 2" xfId="27592"/>
    <cellStyle name="SAPBEXexcCritical6 4 2 3" xfId="28065"/>
    <cellStyle name="SAPBEXexcCritical6 4 2 4" xfId="26224"/>
    <cellStyle name="SAPBEXexcCritical6 4 2 5" xfId="29617"/>
    <cellStyle name="SAPBEXexcCritical6 4 3" xfId="25697"/>
    <cellStyle name="SAPBEXexcCritical6 4 3 2" xfId="27850"/>
    <cellStyle name="SAPBEXexcCritical6 4 3 3" xfId="28066"/>
    <cellStyle name="SAPBEXexcCritical6 4 3 4" xfId="26065"/>
    <cellStyle name="SAPBEXexcCritical6 4 3 5" xfId="29618"/>
    <cellStyle name="SAPBEXexcCritical6 4 4" xfId="27384"/>
    <cellStyle name="SAPBEXexcCritical6 4 5" xfId="28064"/>
    <cellStyle name="SAPBEXexcCritical6 4 6" xfId="26457"/>
    <cellStyle name="SAPBEXexcCritical6 4 7" xfId="29616"/>
    <cellStyle name="SAPBEXexcCritical6 5" xfId="25828"/>
    <cellStyle name="SAPBEXexcCritical6 6" xfId="28058"/>
    <cellStyle name="SAPBEXexcCritical6 7" xfId="28546"/>
    <cellStyle name="SAPBEXexcCritical6 8" xfId="29610"/>
    <cellStyle name="SAPBEXexcGood1" xfId="85"/>
    <cellStyle name="SAPBEXexcGood1 2" xfId="13633"/>
    <cellStyle name="SAPBEXexcGood1 2 2" xfId="25471"/>
    <cellStyle name="SAPBEXexcGood1 2 2 2" xfId="27624"/>
    <cellStyle name="SAPBEXexcGood1 2 2 3" xfId="28069"/>
    <cellStyle name="SAPBEXexcGood1 2 2 4" xfId="26213"/>
    <cellStyle name="SAPBEXexcGood1 2 2 5" xfId="29621"/>
    <cellStyle name="SAPBEXexcGood1 2 3" xfId="26575"/>
    <cellStyle name="SAPBEXexcGood1 2 4" xfId="28068"/>
    <cellStyle name="SAPBEXexcGood1 2 5" xfId="26074"/>
    <cellStyle name="SAPBEXexcGood1 2 6" xfId="29620"/>
    <cellStyle name="SAPBEXexcGood1 3" xfId="24676"/>
    <cellStyle name="SAPBEXexcGood1 3 2" xfId="25450"/>
    <cellStyle name="SAPBEXexcGood1 3 2 2" xfId="27604"/>
    <cellStyle name="SAPBEXexcGood1 3 2 3" xfId="28071"/>
    <cellStyle name="SAPBEXexcGood1 3 2 4" xfId="26498"/>
    <cellStyle name="SAPBEXexcGood1 3 2 5" xfId="29623"/>
    <cellStyle name="SAPBEXexcGood1 3 3" xfId="25639"/>
    <cellStyle name="SAPBEXexcGood1 3 3 2" xfId="27792"/>
    <cellStyle name="SAPBEXexcGood1 3 3 3" xfId="28072"/>
    <cellStyle name="SAPBEXexcGood1 3 3 4" xfId="26228"/>
    <cellStyle name="SAPBEXexcGood1 3 3 5" xfId="29624"/>
    <cellStyle name="SAPBEXexcGood1 3 4" xfId="27266"/>
    <cellStyle name="SAPBEXexcGood1 3 5" xfId="28070"/>
    <cellStyle name="SAPBEXexcGood1 3 6" xfId="26246"/>
    <cellStyle name="SAPBEXexcGood1 3 7" xfId="29622"/>
    <cellStyle name="SAPBEXexcGood1 4" xfId="25100"/>
    <cellStyle name="SAPBEXexcGood1 4 2" xfId="25355"/>
    <cellStyle name="SAPBEXexcGood1 4 2 2" xfId="27509"/>
    <cellStyle name="SAPBEXexcGood1 4 2 3" xfId="28074"/>
    <cellStyle name="SAPBEXexcGood1 4 2 4" xfId="26843"/>
    <cellStyle name="SAPBEXexcGood1 4 2 5" xfId="29626"/>
    <cellStyle name="SAPBEXexcGood1 4 3" xfId="25698"/>
    <cellStyle name="SAPBEXexcGood1 4 3 2" xfId="27851"/>
    <cellStyle name="SAPBEXexcGood1 4 3 3" xfId="28075"/>
    <cellStyle name="SAPBEXexcGood1 4 3 4" xfId="27024"/>
    <cellStyle name="SAPBEXexcGood1 4 3 5" xfId="29627"/>
    <cellStyle name="SAPBEXexcGood1 4 4" xfId="27385"/>
    <cellStyle name="SAPBEXexcGood1 4 5" xfId="28073"/>
    <cellStyle name="SAPBEXexcGood1 4 6" xfId="26142"/>
    <cellStyle name="SAPBEXexcGood1 4 7" xfId="29625"/>
    <cellStyle name="SAPBEXexcGood1 5" xfId="25829"/>
    <cellStyle name="SAPBEXexcGood1 6" xfId="28067"/>
    <cellStyle name="SAPBEXexcGood1 7" xfId="26896"/>
    <cellStyle name="SAPBEXexcGood1 8" xfId="29619"/>
    <cellStyle name="SAPBEXexcGood2" xfId="86"/>
    <cellStyle name="SAPBEXexcGood2 2" xfId="13634"/>
    <cellStyle name="SAPBEXexcGood2 2 2" xfId="25472"/>
    <cellStyle name="SAPBEXexcGood2 2 2 2" xfId="27625"/>
    <cellStyle name="SAPBEXexcGood2 2 2 3" xfId="28078"/>
    <cellStyle name="SAPBEXexcGood2 2 2 4" xfId="26163"/>
    <cellStyle name="SAPBEXexcGood2 2 2 5" xfId="29630"/>
    <cellStyle name="SAPBEXexcGood2 2 3" xfId="26576"/>
    <cellStyle name="SAPBEXexcGood2 2 4" xfId="28077"/>
    <cellStyle name="SAPBEXexcGood2 2 5" xfId="27298"/>
    <cellStyle name="SAPBEXexcGood2 2 6" xfId="29629"/>
    <cellStyle name="SAPBEXexcGood2 3" xfId="24675"/>
    <cellStyle name="SAPBEXexcGood2 3 2" xfId="25349"/>
    <cellStyle name="SAPBEXexcGood2 3 2 2" xfId="27503"/>
    <cellStyle name="SAPBEXexcGood2 3 2 3" xfId="28080"/>
    <cellStyle name="SAPBEXexcGood2 3 2 4" xfId="26538"/>
    <cellStyle name="SAPBEXexcGood2 3 2 5" xfId="29632"/>
    <cellStyle name="SAPBEXexcGood2 3 3" xfId="25638"/>
    <cellStyle name="SAPBEXexcGood2 3 3 2" xfId="27791"/>
    <cellStyle name="SAPBEXexcGood2 3 3 3" xfId="28081"/>
    <cellStyle name="SAPBEXexcGood2 3 3 4" xfId="26774"/>
    <cellStyle name="SAPBEXexcGood2 3 3 5" xfId="29633"/>
    <cellStyle name="SAPBEXexcGood2 3 4" xfId="27265"/>
    <cellStyle name="SAPBEXexcGood2 3 5" xfId="28079"/>
    <cellStyle name="SAPBEXexcGood2 3 6" xfId="26114"/>
    <cellStyle name="SAPBEXexcGood2 3 7" xfId="29631"/>
    <cellStyle name="SAPBEXexcGood2 4" xfId="25101"/>
    <cellStyle name="SAPBEXexcGood2 4 2" xfId="25389"/>
    <cellStyle name="SAPBEXexcGood2 4 2 2" xfId="27543"/>
    <cellStyle name="SAPBEXexcGood2 4 2 3" xfId="28083"/>
    <cellStyle name="SAPBEXexcGood2 4 2 4" xfId="26701"/>
    <cellStyle name="SAPBEXexcGood2 4 2 5" xfId="29635"/>
    <cellStyle name="SAPBEXexcGood2 4 3" xfId="25699"/>
    <cellStyle name="SAPBEXexcGood2 4 3 2" xfId="27852"/>
    <cellStyle name="SAPBEXexcGood2 4 3 3" xfId="28084"/>
    <cellStyle name="SAPBEXexcGood2 4 3 4" xfId="26422"/>
    <cellStyle name="SAPBEXexcGood2 4 3 5" xfId="29636"/>
    <cellStyle name="SAPBEXexcGood2 4 4" xfId="27386"/>
    <cellStyle name="SAPBEXexcGood2 4 5" xfId="28082"/>
    <cellStyle name="SAPBEXexcGood2 4 6" xfId="26425"/>
    <cellStyle name="SAPBEXexcGood2 4 7" xfId="29634"/>
    <cellStyle name="SAPBEXexcGood2 5" xfId="25830"/>
    <cellStyle name="SAPBEXexcGood2 6" xfId="28076"/>
    <cellStyle name="SAPBEXexcGood2 7" xfId="26834"/>
    <cellStyle name="SAPBEXexcGood2 8" xfId="29628"/>
    <cellStyle name="SAPBEXexcGood3" xfId="87"/>
    <cellStyle name="SAPBEXexcGood3 2" xfId="13635"/>
    <cellStyle name="SAPBEXexcGood3 2 2" xfId="25473"/>
    <cellStyle name="SAPBEXexcGood3 2 2 2" xfId="27626"/>
    <cellStyle name="SAPBEXexcGood3 2 2 3" xfId="28087"/>
    <cellStyle name="SAPBEXexcGood3 2 2 4" xfId="26321"/>
    <cellStyle name="SAPBEXexcGood3 2 2 5" xfId="29639"/>
    <cellStyle name="SAPBEXexcGood3 2 3" xfId="26577"/>
    <cellStyle name="SAPBEXexcGood3 2 4" xfId="28086"/>
    <cellStyle name="SAPBEXexcGood3 2 5" xfId="26918"/>
    <cellStyle name="SAPBEXexcGood3 2 6" xfId="29638"/>
    <cellStyle name="SAPBEXexcGood3 3" xfId="24674"/>
    <cellStyle name="SAPBEXexcGood3 3 2" xfId="25433"/>
    <cellStyle name="SAPBEXexcGood3 3 2 2" xfId="27587"/>
    <cellStyle name="SAPBEXexcGood3 3 2 3" xfId="28089"/>
    <cellStyle name="SAPBEXexcGood3 3 2 4" xfId="26852"/>
    <cellStyle name="SAPBEXexcGood3 3 2 5" xfId="29641"/>
    <cellStyle name="SAPBEXexcGood3 3 3" xfId="25637"/>
    <cellStyle name="SAPBEXexcGood3 3 3 2" xfId="27790"/>
    <cellStyle name="SAPBEXexcGood3 3 3 3" xfId="28090"/>
    <cellStyle name="SAPBEXexcGood3 3 3 4" xfId="26122"/>
    <cellStyle name="SAPBEXexcGood3 3 3 5" xfId="29642"/>
    <cellStyle name="SAPBEXexcGood3 3 4" xfId="27264"/>
    <cellStyle name="SAPBEXexcGood3 3 5" xfId="28088"/>
    <cellStyle name="SAPBEXexcGood3 3 6" xfId="26497"/>
    <cellStyle name="SAPBEXexcGood3 3 7" xfId="29640"/>
    <cellStyle name="SAPBEXexcGood3 4" xfId="25102"/>
    <cellStyle name="SAPBEXexcGood3 4 2" xfId="25403"/>
    <cellStyle name="SAPBEXexcGood3 4 2 2" xfId="27557"/>
    <cellStyle name="SAPBEXexcGood3 4 2 3" xfId="28092"/>
    <cellStyle name="SAPBEXexcGood3 4 2 4" xfId="26429"/>
    <cellStyle name="SAPBEXexcGood3 4 2 5" xfId="29644"/>
    <cellStyle name="SAPBEXexcGood3 4 3" xfId="25700"/>
    <cellStyle name="SAPBEXexcGood3 4 3 2" xfId="27853"/>
    <cellStyle name="SAPBEXexcGood3 4 3 3" xfId="28093"/>
    <cellStyle name="SAPBEXexcGood3 4 3 4" xfId="27053"/>
    <cellStyle name="SAPBEXexcGood3 4 3 5" xfId="29645"/>
    <cellStyle name="SAPBEXexcGood3 4 4" xfId="27387"/>
    <cellStyle name="SAPBEXexcGood3 4 5" xfId="28091"/>
    <cellStyle name="SAPBEXexcGood3 4 6" xfId="26366"/>
    <cellStyle name="SAPBEXexcGood3 4 7" xfId="29643"/>
    <cellStyle name="SAPBEXexcGood3 5" xfId="25831"/>
    <cellStyle name="SAPBEXexcGood3 6" xfId="28085"/>
    <cellStyle name="SAPBEXexcGood3 7" xfId="28547"/>
    <cellStyle name="SAPBEXexcGood3 8" xfId="29637"/>
    <cellStyle name="SAPBEXfilterDrill" xfId="88"/>
    <cellStyle name="SAPBEXfilterDrill 2" xfId="25832"/>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2 2 2" xfId="27627"/>
    <cellStyle name="SAPBEXformats 2 2 3" xfId="28096"/>
    <cellStyle name="SAPBEXformats 2 2 4" xfId="27430"/>
    <cellStyle name="SAPBEXformats 2 2 5" xfId="29648"/>
    <cellStyle name="SAPBEXformats 2 3" xfId="26578"/>
    <cellStyle name="SAPBEXformats 2 4" xfId="28095"/>
    <cellStyle name="SAPBEXformats 2 5" xfId="29185"/>
    <cellStyle name="SAPBEXformats 2 6" xfId="29647"/>
    <cellStyle name="SAPBEXformats 3" xfId="24673"/>
    <cellStyle name="SAPBEXformats 3 2" xfId="25332"/>
    <cellStyle name="SAPBEXformats 3 2 2" xfId="27486"/>
    <cellStyle name="SAPBEXformats 3 2 3" xfId="28098"/>
    <cellStyle name="SAPBEXformats 3 2 4" xfId="26887"/>
    <cellStyle name="SAPBEXformats 3 2 5" xfId="29650"/>
    <cellStyle name="SAPBEXformats 3 3" xfId="25636"/>
    <cellStyle name="SAPBEXformats 3 3 2" xfId="27789"/>
    <cellStyle name="SAPBEXformats 3 3 3" xfId="28099"/>
    <cellStyle name="SAPBEXformats 3 3 4" xfId="26878"/>
    <cellStyle name="SAPBEXformats 3 3 5" xfId="29651"/>
    <cellStyle name="SAPBEXformats 3 4" xfId="27263"/>
    <cellStyle name="SAPBEXformats 3 5" xfId="28097"/>
    <cellStyle name="SAPBEXformats 3 6" xfId="26792"/>
    <cellStyle name="SAPBEXformats 3 7" xfId="29649"/>
    <cellStyle name="SAPBEXformats 4" xfId="25103"/>
    <cellStyle name="SAPBEXformats 4 2" xfId="25314"/>
    <cellStyle name="SAPBEXformats 4 2 2" xfId="27468"/>
    <cellStyle name="SAPBEXformats 4 2 3" xfId="28101"/>
    <cellStyle name="SAPBEXformats 4 2 4" xfId="26088"/>
    <cellStyle name="SAPBEXformats 4 2 5" xfId="29653"/>
    <cellStyle name="SAPBEXformats 4 3" xfId="25701"/>
    <cellStyle name="SAPBEXformats 4 3 2" xfId="27854"/>
    <cellStyle name="SAPBEXformats 4 3 3" xfId="28102"/>
    <cellStyle name="SAPBEXformats 4 3 4" xfId="26699"/>
    <cellStyle name="SAPBEXformats 4 3 5" xfId="29654"/>
    <cellStyle name="SAPBEXformats 4 4" xfId="27388"/>
    <cellStyle name="SAPBEXformats 4 5" xfId="28100"/>
    <cellStyle name="SAPBEXformats 4 6" xfId="26778"/>
    <cellStyle name="SAPBEXformats 4 7" xfId="29652"/>
    <cellStyle name="SAPBEXformats 5" xfId="25833"/>
    <cellStyle name="SAPBEXformats 6" xfId="28094"/>
    <cellStyle name="SAPBEXformats 7" xfId="26969"/>
    <cellStyle name="SAPBEXformats 8" xfId="29646"/>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10" xfId="28103"/>
    <cellStyle name="SAPBEXHLevel0 11" xfId="26997"/>
    <cellStyle name="SAPBEXHLevel0 12" xfId="29655"/>
    <cellStyle name="SAPBEXHLevel0 2" xfId="104"/>
    <cellStyle name="SAPBEXHLevel0 2 2" xfId="13638"/>
    <cellStyle name="SAPBEXHLevel0 2 2 2" xfId="25476"/>
    <cellStyle name="SAPBEXHLevel0 2 2 2 2" xfId="27629"/>
    <cellStyle name="SAPBEXHLevel0 2 2 2 3" xfId="28106"/>
    <cellStyle name="SAPBEXHLevel0 2 2 2 4" xfId="26840"/>
    <cellStyle name="SAPBEXHLevel0 2 2 2 5" xfId="29658"/>
    <cellStyle name="SAPBEXHLevel0 2 2 3" xfId="26580"/>
    <cellStyle name="SAPBEXHLevel0 2 2 4" xfId="28105"/>
    <cellStyle name="SAPBEXHLevel0 2 2 5" xfId="26371"/>
    <cellStyle name="SAPBEXHLevel0 2 2 6" xfId="29657"/>
    <cellStyle name="SAPBEXHLevel0 2 3" xfId="24253"/>
    <cellStyle name="SAPBEXHLevel0 2 3 2" xfId="25575"/>
    <cellStyle name="SAPBEXHLevel0 2 3 2 2" xfId="27728"/>
    <cellStyle name="SAPBEXHLevel0 2 3 2 3" xfId="28108"/>
    <cellStyle name="SAPBEXHLevel0 2 3 2 4" xfId="27010"/>
    <cellStyle name="SAPBEXHLevel0 2 3 2 5" xfId="29660"/>
    <cellStyle name="SAPBEXHLevel0 2 3 3" xfId="27108"/>
    <cellStyle name="SAPBEXHLevel0 2 3 4" xfId="28107"/>
    <cellStyle name="SAPBEXHLevel0 2 3 5" xfId="26929"/>
    <cellStyle name="SAPBEXHLevel0 2 3 6" xfId="29659"/>
    <cellStyle name="SAPBEXHLevel0 2 4" xfId="24668"/>
    <cellStyle name="SAPBEXHLevel0 2 4 2" xfId="25357"/>
    <cellStyle name="SAPBEXHLevel0 2 4 2 2" xfId="27511"/>
    <cellStyle name="SAPBEXHLevel0 2 4 2 3" xfId="28110"/>
    <cellStyle name="SAPBEXHLevel0 2 4 2 4" xfId="26532"/>
    <cellStyle name="SAPBEXHLevel0 2 4 2 5" xfId="29662"/>
    <cellStyle name="SAPBEXHLevel0 2 4 3" xfId="25634"/>
    <cellStyle name="SAPBEXHLevel0 2 4 3 2" xfId="27787"/>
    <cellStyle name="SAPBEXHLevel0 2 4 3 3" xfId="28111"/>
    <cellStyle name="SAPBEXHLevel0 2 4 3 4" xfId="27001"/>
    <cellStyle name="SAPBEXHLevel0 2 4 3 5" xfId="29663"/>
    <cellStyle name="SAPBEXHLevel0 2 4 4" xfId="27261"/>
    <cellStyle name="SAPBEXHLevel0 2 4 5" xfId="28109"/>
    <cellStyle name="SAPBEXHLevel0 2 4 6" xfId="26144"/>
    <cellStyle name="SAPBEXHLevel0 2 4 7" xfId="29661"/>
    <cellStyle name="SAPBEXHLevel0 2 5" xfId="25105"/>
    <cellStyle name="SAPBEXHLevel0 2 5 2" xfId="25328"/>
    <cellStyle name="SAPBEXHLevel0 2 5 2 2" xfId="27482"/>
    <cellStyle name="SAPBEXHLevel0 2 5 2 3" xfId="28113"/>
    <cellStyle name="SAPBEXHLevel0 2 5 2 4" xfId="26078"/>
    <cellStyle name="SAPBEXHLevel0 2 5 2 5" xfId="29665"/>
    <cellStyle name="SAPBEXHLevel0 2 5 3" xfId="25703"/>
    <cellStyle name="SAPBEXHLevel0 2 5 3 2" xfId="27856"/>
    <cellStyle name="SAPBEXHLevel0 2 5 3 3" xfId="28114"/>
    <cellStyle name="SAPBEXHLevel0 2 5 3 4" xfId="26980"/>
    <cellStyle name="SAPBEXHLevel0 2 5 3 5" xfId="29666"/>
    <cellStyle name="SAPBEXHLevel0 2 5 4" xfId="27390"/>
    <cellStyle name="SAPBEXHLevel0 2 5 5" xfId="28112"/>
    <cellStyle name="SAPBEXHLevel0 2 5 6" xfId="26226"/>
    <cellStyle name="SAPBEXHLevel0 2 5 7" xfId="29664"/>
    <cellStyle name="SAPBEXHLevel0 2 6" xfId="25835"/>
    <cellStyle name="SAPBEXHLevel0 2 7" xfId="28104"/>
    <cellStyle name="SAPBEXHLevel0 2 8" xfId="26490"/>
    <cellStyle name="SAPBEXHLevel0 2 9" xfId="29656"/>
    <cellStyle name="SAPBEXHLevel0 3" xfId="105"/>
    <cellStyle name="SAPBEXHLevel0 3 2" xfId="13639"/>
    <cellStyle name="SAPBEXHLevel0 3 2 2" xfId="25477"/>
    <cellStyle name="SAPBEXHLevel0 3 2 2 2" xfId="27630"/>
    <cellStyle name="SAPBEXHLevel0 3 2 2 3" xfId="28117"/>
    <cellStyle name="SAPBEXHLevel0 3 2 2 4" xfId="26201"/>
    <cellStyle name="SAPBEXHLevel0 3 2 2 5" xfId="29669"/>
    <cellStyle name="SAPBEXHLevel0 3 2 3" xfId="26581"/>
    <cellStyle name="SAPBEXHLevel0 3 2 4" xfId="28116"/>
    <cellStyle name="SAPBEXHLevel0 3 2 5" xfId="26085"/>
    <cellStyle name="SAPBEXHLevel0 3 2 6" xfId="29668"/>
    <cellStyle name="SAPBEXHLevel0 3 3" xfId="24254"/>
    <cellStyle name="SAPBEXHLevel0 3 3 2" xfId="25576"/>
    <cellStyle name="SAPBEXHLevel0 3 3 2 2" xfId="27729"/>
    <cellStyle name="SAPBEXHLevel0 3 3 2 3" xfId="28119"/>
    <cellStyle name="SAPBEXHLevel0 3 3 2 4" xfId="26441"/>
    <cellStyle name="SAPBEXHLevel0 3 3 2 5" xfId="29671"/>
    <cellStyle name="SAPBEXHLevel0 3 3 3" xfId="27109"/>
    <cellStyle name="SAPBEXHLevel0 3 3 4" xfId="28118"/>
    <cellStyle name="SAPBEXHLevel0 3 3 5" xfId="26529"/>
    <cellStyle name="SAPBEXHLevel0 3 3 6" xfId="29670"/>
    <cellStyle name="SAPBEXHLevel0 3 4" xfId="24667"/>
    <cellStyle name="SAPBEXHLevel0 3 4 2" xfId="25441"/>
    <cellStyle name="SAPBEXHLevel0 3 4 2 2" xfId="27595"/>
    <cellStyle name="SAPBEXHLevel0 3 4 2 3" xfId="28121"/>
    <cellStyle name="SAPBEXHLevel0 3 4 2 4" xfId="26845"/>
    <cellStyle name="SAPBEXHLevel0 3 4 2 5" xfId="29673"/>
    <cellStyle name="SAPBEXHLevel0 3 4 3" xfId="25633"/>
    <cellStyle name="SAPBEXHLevel0 3 4 3 2" xfId="27786"/>
    <cellStyle name="SAPBEXHLevel0 3 4 3 3" xfId="28122"/>
    <cellStyle name="SAPBEXHLevel0 3 4 3 4" xfId="26402"/>
    <cellStyle name="SAPBEXHLevel0 3 4 3 5" xfId="29674"/>
    <cellStyle name="SAPBEXHLevel0 3 4 4" xfId="27260"/>
    <cellStyle name="SAPBEXHLevel0 3 4 5" xfId="28120"/>
    <cellStyle name="SAPBEXHLevel0 3 4 6" xfId="26733"/>
    <cellStyle name="SAPBEXHLevel0 3 4 7" xfId="29672"/>
    <cellStyle name="SAPBEXHLevel0 3 5" xfId="25106"/>
    <cellStyle name="SAPBEXHLevel0 3 5 2" xfId="25429"/>
    <cellStyle name="SAPBEXHLevel0 3 5 2 2" xfId="27583"/>
    <cellStyle name="SAPBEXHLevel0 3 5 2 3" xfId="28124"/>
    <cellStyle name="SAPBEXHLevel0 3 5 2 4" xfId="27009"/>
    <cellStyle name="SAPBEXHLevel0 3 5 2 5" xfId="29676"/>
    <cellStyle name="SAPBEXHLevel0 3 5 3" xfId="25704"/>
    <cellStyle name="SAPBEXHLevel0 3 5 3 2" xfId="27857"/>
    <cellStyle name="SAPBEXHLevel0 3 5 3 3" xfId="28125"/>
    <cellStyle name="SAPBEXHLevel0 3 5 3 4" xfId="27021"/>
    <cellStyle name="SAPBEXHLevel0 3 5 3 5" xfId="29677"/>
    <cellStyle name="SAPBEXHLevel0 3 5 4" xfId="27391"/>
    <cellStyle name="SAPBEXHLevel0 3 5 5" xfId="28123"/>
    <cellStyle name="SAPBEXHLevel0 3 5 6" xfId="27005"/>
    <cellStyle name="SAPBEXHLevel0 3 5 7" xfId="29675"/>
    <cellStyle name="SAPBEXHLevel0 3 6" xfId="25836"/>
    <cellStyle name="SAPBEXHLevel0 3 7" xfId="28115"/>
    <cellStyle name="SAPBEXHLevel0 3 8" xfId="26204"/>
    <cellStyle name="SAPBEXHLevel0 3 9" xfId="29667"/>
    <cellStyle name="SAPBEXHLevel0 4" xfId="106"/>
    <cellStyle name="SAPBEXHLevel0 4 2" xfId="13640"/>
    <cellStyle name="SAPBEXHLevel0 4 2 2" xfId="25478"/>
    <cellStyle name="SAPBEXHLevel0 4 2 2 2" xfId="27631"/>
    <cellStyle name="SAPBEXHLevel0 4 2 2 3" xfId="28128"/>
    <cellStyle name="SAPBEXHLevel0 4 2 2 4" xfId="26705"/>
    <cellStyle name="SAPBEXHLevel0 4 2 2 5" xfId="29680"/>
    <cellStyle name="SAPBEXHLevel0 4 2 3" xfId="26582"/>
    <cellStyle name="SAPBEXHLevel0 4 2 4" xfId="28127"/>
    <cellStyle name="SAPBEXHLevel0 4 2 5" xfId="26547"/>
    <cellStyle name="SAPBEXHLevel0 4 2 6" xfId="29679"/>
    <cellStyle name="SAPBEXHLevel0 4 3" xfId="25837"/>
    <cellStyle name="SAPBEXHLevel0 4 4" xfId="28126"/>
    <cellStyle name="SAPBEXHLevel0 4 5" xfId="26061"/>
    <cellStyle name="SAPBEXHLevel0 4 6" xfId="29678"/>
    <cellStyle name="SAPBEXHLevel0 5" xfId="250"/>
    <cellStyle name="SAPBEXHLevel0 5 2" xfId="13715"/>
    <cellStyle name="SAPBEXHLevel0 5 2 2" xfId="25528"/>
    <cellStyle name="SAPBEXHLevel0 5 2 2 2" xfId="27681"/>
    <cellStyle name="SAPBEXHLevel0 5 2 2 3" xfId="28131"/>
    <cellStyle name="SAPBEXHLevel0 5 2 2 4" xfId="26789"/>
    <cellStyle name="SAPBEXHLevel0 5 2 2 5" xfId="29683"/>
    <cellStyle name="SAPBEXHLevel0 5 2 3" xfId="26635"/>
    <cellStyle name="SAPBEXHLevel0 5 2 4" xfId="28130"/>
    <cellStyle name="SAPBEXHLevel0 5 2 5" xfId="26398"/>
    <cellStyle name="SAPBEXHLevel0 5 2 6" xfId="29682"/>
    <cellStyle name="SAPBEXHLevel0 5 3" xfId="25918"/>
    <cellStyle name="SAPBEXHLevel0 5 4" xfId="28129"/>
    <cellStyle name="SAPBEXHLevel0 5 5" xfId="29190"/>
    <cellStyle name="SAPBEXHLevel0 5 6" xfId="29681"/>
    <cellStyle name="SAPBEXHLevel0 6" xfId="13637"/>
    <cellStyle name="SAPBEXHLevel0 6 2" xfId="25475"/>
    <cellStyle name="SAPBEXHLevel0 6 2 2" xfId="27628"/>
    <cellStyle name="SAPBEXHLevel0 6 2 3" xfId="28133"/>
    <cellStyle name="SAPBEXHLevel0 6 2 4" xfId="26919"/>
    <cellStyle name="SAPBEXHLevel0 6 2 5" xfId="29685"/>
    <cellStyle name="SAPBEXHLevel0 6 3" xfId="26579"/>
    <cellStyle name="SAPBEXHLevel0 6 4" xfId="28132"/>
    <cellStyle name="SAPBEXHLevel0 6 5" xfId="27144"/>
    <cellStyle name="SAPBEXHLevel0 6 6" xfId="29684"/>
    <cellStyle name="SAPBEXHLevel0 7" xfId="24669"/>
    <cellStyle name="SAPBEXHLevel0 7 2" xfId="25391"/>
    <cellStyle name="SAPBEXHLevel0 7 2 2" xfId="27545"/>
    <cellStyle name="SAPBEXHLevel0 7 2 3" xfId="28135"/>
    <cellStyle name="SAPBEXHLevel0 7 2 4" xfId="26780"/>
    <cellStyle name="SAPBEXHLevel0 7 2 5" xfId="29687"/>
    <cellStyle name="SAPBEXHLevel0 7 3" xfId="25635"/>
    <cellStyle name="SAPBEXHLevel0 7 3 2" xfId="27788"/>
    <cellStyle name="SAPBEXHLevel0 7 3 3" xfId="28136"/>
    <cellStyle name="SAPBEXHLevel0 7 3 4" xfId="26365"/>
    <cellStyle name="SAPBEXHLevel0 7 3 5" xfId="29688"/>
    <cellStyle name="SAPBEXHLevel0 7 4" xfId="27262"/>
    <cellStyle name="SAPBEXHLevel0 7 5" xfId="28134"/>
    <cellStyle name="SAPBEXHLevel0 7 6" xfId="27012"/>
    <cellStyle name="SAPBEXHLevel0 7 7" xfId="29686"/>
    <cellStyle name="SAPBEXHLevel0 8" xfId="25104"/>
    <cellStyle name="SAPBEXHLevel0 8 2" xfId="25415"/>
    <cellStyle name="SAPBEXHLevel0 8 2 2" xfId="27569"/>
    <cellStyle name="SAPBEXHLevel0 8 2 3" xfId="28138"/>
    <cellStyle name="SAPBEXHLevel0 8 2 4" xfId="26080"/>
    <cellStyle name="SAPBEXHLevel0 8 2 5" xfId="29690"/>
    <cellStyle name="SAPBEXHLevel0 8 3" xfId="25702"/>
    <cellStyle name="SAPBEXHLevel0 8 3 2" xfId="27855"/>
    <cellStyle name="SAPBEXHLevel0 8 3 3" xfId="28139"/>
    <cellStyle name="SAPBEXHLevel0 8 3 4" xfId="26549"/>
    <cellStyle name="SAPBEXHLevel0 8 3 5" xfId="29691"/>
    <cellStyle name="SAPBEXHLevel0 8 4" xfId="27389"/>
    <cellStyle name="SAPBEXHLevel0 8 5" xfId="28137"/>
    <cellStyle name="SAPBEXHLevel0 8 6" xfId="26295"/>
    <cellStyle name="SAPBEXHLevel0 8 7" xfId="29689"/>
    <cellStyle name="SAPBEXHLevel0 9" xfId="25834"/>
    <cellStyle name="SAPBEXHLevel0X" xfId="107"/>
    <cellStyle name="SAPBEXHLevel0X 10" xfId="28140"/>
    <cellStyle name="SAPBEXHLevel0X 11" xfId="26525"/>
    <cellStyle name="SAPBEXHLevel0X 12" xfId="29692"/>
    <cellStyle name="SAPBEXHLevel0X 2" xfId="108"/>
    <cellStyle name="SAPBEXHLevel0X 2 2" xfId="13642"/>
    <cellStyle name="SAPBEXHLevel0X 2 2 2" xfId="25480"/>
    <cellStyle name="SAPBEXHLevel0X 2 2 2 2" xfId="27633"/>
    <cellStyle name="SAPBEXHLevel0X 2 2 2 3" xfId="28143"/>
    <cellStyle name="SAPBEXHLevel0X 2 2 2 4" xfId="26543"/>
    <cellStyle name="SAPBEXHLevel0X 2 2 2 5" xfId="29695"/>
    <cellStyle name="SAPBEXHLevel0X 2 2 3" xfId="26584"/>
    <cellStyle name="SAPBEXHLevel0X 2 2 4" xfId="28142"/>
    <cellStyle name="SAPBEXHLevel0X 2 2 5" xfId="26121"/>
    <cellStyle name="SAPBEXHLevel0X 2 2 6" xfId="29694"/>
    <cellStyle name="SAPBEXHLevel0X 2 3" xfId="24255"/>
    <cellStyle name="SAPBEXHLevel0X 2 3 2" xfId="25577"/>
    <cellStyle name="SAPBEXHLevel0X 2 3 2 2" xfId="27730"/>
    <cellStyle name="SAPBEXHLevel0X 2 3 2 3" xfId="28145"/>
    <cellStyle name="SAPBEXHLevel0X 2 3 2 4" xfId="26777"/>
    <cellStyle name="SAPBEXHLevel0X 2 3 2 5" xfId="29697"/>
    <cellStyle name="SAPBEXHLevel0X 2 3 3" xfId="27110"/>
    <cellStyle name="SAPBEXHLevel0X 2 3 4" xfId="28144"/>
    <cellStyle name="SAPBEXHLevel0X 2 3 5" xfId="26893"/>
    <cellStyle name="SAPBEXHLevel0X 2 3 6" xfId="29696"/>
    <cellStyle name="SAPBEXHLevel0X 2 4" xfId="24665"/>
    <cellStyle name="SAPBEXHLevel0X 2 4 2" xfId="25424"/>
    <cellStyle name="SAPBEXHLevel0X 2 4 2 2" xfId="27578"/>
    <cellStyle name="SAPBEXHLevel0X 2 4 2 3" xfId="28147"/>
    <cellStyle name="SAPBEXHLevel0X 2 4 2 4" xfId="27016"/>
    <cellStyle name="SAPBEXHLevel0X 2 4 2 5" xfId="29699"/>
    <cellStyle name="SAPBEXHLevel0X 2 4 3" xfId="25631"/>
    <cellStyle name="SAPBEXHLevel0X 2 4 3 2" xfId="27784"/>
    <cellStyle name="SAPBEXHLevel0X 2 4 3 3" xfId="28148"/>
    <cellStyle name="SAPBEXHLevel0X 2 4 3 4" xfId="26982"/>
    <cellStyle name="SAPBEXHLevel0X 2 4 3 5" xfId="29700"/>
    <cellStyle name="SAPBEXHLevel0X 2 4 4" xfId="27258"/>
    <cellStyle name="SAPBEXHLevel0X 2 4 5" xfId="28146"/>
    <cellStyle name="SAPBEXHLevel0X 2 4 6" xfId="26417"/>
    <cellStyle name="SAPBEXHLevel0X 2 4 7" xfId="29698"/>
    <cellStyle name="SAPBEXHLevel0X 2 5" xfId="25108"/>
    <cellStyle name="SAPBEXHLevel0X 2 5 2" xfId="25446"/>
    <cellStyle name="SAPBEXHLevel0X 2 5 2 2" xfId="27600"/>
    <cellStyle name="SAPBEXHLevel0X 2 5 2 3" xfId="28150"/>
    <cellStyle name="SAPBEXHLevel0X 2 5 2 4" xfId="26332"/>
    <cellStyle name="SAPBEXHLevel0X 2 5 2 5" xfId="29702"/>
    <cellStyle name="SAPBEXHLevel0X 2 5 3" xfId="25706"/>
    <cellStyle name="SAPBEXHLevel0X 2 5 3 2" xfId="27859"/>
    <cellStyle name="SAPBEXHLevel0X 2 5 3 3" xfId="28151"/>
    <cellStyle name="SAPBEXHLevel0X 2 5 3 4" xfId="26241"/>
    <cellStyle name="SAPBEXHLevel0X 2 5 3 5" xfId="29703"/>
    <cellStyle name="SAPBEXHLevel0X 2 5 4" xfId="27393"/>
    <cellStyle name="SAPBEXHLevel0X 2 5 5" xfId="28149"/>
    <cellStyle name="SAPBEXHLevel0X 2 5 6" xfId="26771"/>
    <cellStyle name="SAPBEXHLevel0X 2 5 7" xfId="29701"/>
    <cellStyle name="SAPBEXHLevel0X 2 6" xfId="25839"/>
    <cellStyle name="SAPBEXHLevel0X 2 7" xfId="28141"/>
    <cellStyle name="SAPBEXHLevel0X 2 8" xfId="26196"/>
    <cellStyle name="SAPBEXHLevel0X 2 9" xfId="29693"/>
    <cellStyle name="SAPBEXHLevel0X 3" xfId="109"/>
    <cellStyle name="SAPBEXHLevel0X 3 2" xfId="13643"/>
    <cellStyle name="SAPBEXHLevel0X 3 2 2" xfId="25481"/>
    <cellStyle name="SAPBEXHLevel0X 3 2 2 2" xfId="27634"/>
    <cellStyle name="SAPBEXHLevel0X 3 2 2 3" xfId="28154"/>
    <cellStyle name="SAPBEXHLevel0X 3 2 2 4" xfId="26728"/>
    <cellStyle name="SAPBEXHLevel0X 3 2 2 5" xfId="29706"/>
    <cellStyle name="SAPBEXHLevel0X 3 2 3" xfId="26585"/>
    <cellStyle name="SAPBEXHLevel0X 3 2 4" xfId="28153"/>
    <cellStyle name="SAPBEXHLevel0X 3 2 5" xfId="26912"/>
    <cellStyle name="SAPBEXHLevel0X 3 2 6" xfId="29705"/>
    <cellStyle name="SAPBEXHLevel0X 3 3" xfId="24256"/>
    <cellStyle name="SAPBEXHLevel0X 3 3 2" xfId="25578"/>
    <cellStyle name="SAPBEXHLevel0X 3 3 2 2" xfId="27731"/>
    <cellStyle name="SAPBEXHLevel0X 3 3 2 3" xfId="28156"/>
    <cellStyle name="SAPBEXHLevel0X 3 3 2 4" xfId="26820"/>
    <cellStyle name="SAPBEXHLevel0X 3 3 2 5" xfId="29708"/>
    <cellStyle name="SAPBEXHLevel0X 3 3 3" xfId="27111"/>
    <cellStyle name="SAPBEXHLevel0X 3 3 4" xfId="28155"/>
    <cellStyle name="SAPBEXHLevel0X 3 3 5" xfId="26284"/>
    <cellStyle name="SAPBEXHLevel0X 3 3 6" xfId="29707"/>
    <cellStyle name="SAPBEXHLevel0X 3 4" xfId="24664"/>
    <cellStyle name="SAPBEXHLevel0X 3 4 2" xfId="25323"/>
    <cellStyle name="SAPBEXHLevel0X 3 4 2 2" xfId="27477"/>
    <cellStyle name="SAPBEXHLevel0X 3 4 2 3" xfId="28158"/>
    <cellStyle name="SAPBEXHLevel0X 3 4 2 4" xfId="26108"/>
    <cellStyle name="SAPBEXHLevel0X 3 4 2 5" xfId="29710"/>
    <cellStyle name="SAPBEXHLevel0X 3 4 3" xfId="25630"/>
    <cellStyle name="SAPBEXHLevel0X 3 4 3 2" xfId="27783"/>
    <cellStyle name="SAPBEXHLevel0X 3 4 3 3" xfId="28159"/>
    <cellStyle name="SAPBEXHLevel0X 3 4 3 4" xfId="26233"/>
    <cellStyle name="SAPBEXHLevel0X 3 4 3 5" xfId="29711"/>
    <cellStyle name="SAPBEXHLevel0X 3 4 4" xfId="27257"/>
    <cellStyle name="SAPBEXHLevel0X 3 4 5" xfId="28157"/>
    <cellStyle name="SAPBEXHLevel0X 3 4 6" xfId="26861"/>
    <cellStyle name="SAPBEXHLevel0X 3 4 7" xfId="29709"/>
    <cellStyle name="SAPBEXHLevel0X 3 5" xfId="25109"/>
    <cellStyle name="SAPBEXHLevel0X 3 5 2" xfId="25360"/>
    <cellStyle name="SAPBEXHLevel0X 3 5 2 2" xfId="27514"/>
    <cellStyle name="SAPBEXHLevel0X 3 5 2 3" xfId="28161"/>
    <cellStyle name="SAPBEXHLevel0X 3 5 2 4" xfId="26933"/>
    <cellStyle name="SAPBEXHLevel0X 3 5 2 5" xfId="29713"/>
    <cellStyle name="SAPBEXHLevel0X 3 5 3" xfId="25707"/>
    <cellStyle name="SAPBEXHLevel0X 3 5 3 2" xfId="27860"/>
    <cellStyle name="SAPBEXHLevel0X 3 5 3 3" xfId="28162"/>
    <cellStyle name="SAPBEXHLevel0X 3 5 3 4" xfId="26090"/>
    <cellStyle name="SAPBEXHLevel0X 3 5 3 5" xfId="29714"/>
    <cellStyle name="SAPBEXHLevel0X 3 5 4" xfId="27394"/>
    <cellStyle name="SAPBEXHLevel0X 3 5 5" xfId="28160"/>
    <cellStyle name="SAPBEXHLevel0X 3 5 6" xfId="26174"/>
    <cellStyle name="SAPBEXHLevel0X 3 5 7" xfId="29712"/>
    <cellStyle name="SAPBEXHLevel0X 3 6" xfId="25840"/>
    <cellStyle name="SAPBEXHLevel0X 3 7" xfId="28152"/>
    <cellStyle name="SAPBEXHLevel0X 3 8" xfId="26691"/>
    <cellStyle name="SAPBEXHLevel0X 3 9" xfId="29704"/>
    <cellStyle name="SAPBEXHLevel0X 4" xfId="110"/>
    <cellStyle name="SAPBEXHLevel0X 4 2" xfId="13644"/>
    <cellStyle name="SAPBEXHLevel0X 4 2 2" xfId="25482"/>
    <cellStyle name="SAPBEXHLevel0X 4 2 2 2" xfId="27635"/>
    <cellStyle name="SAPBEXHLevel0X 4 2 2 3" xfId="28165"/>
    <cellStyle name="SAPBEXHLevel0X 4 2 2 4" xfId="26404"/>
    <cellStyle name="SAPBEXHLevel0X 4 2 2 5" xfId="29717"/>
    <cellStyle name="SAPBEXHLevel0X 4 2 3" xfId="26586"/>
    <cellStyle name="SAPBEXHLevel0X 4 2 4" xfId="28164"/>
    <cellStyle name="SAPBEXHLevel0X 4 2 5" xfId="26515"/>
    <cellStyle name="SAPBEXHLevel0X 4 2 6" xfId="29716"/>
    <cellStyle name="SAPBEXHLevel0X 4 3" xfId="25841"/>
    <cellStyle name="SAPBEXHLevel0X 4 4" xfId="28163"/>
    <cellStyle name="SAPBEXHLevel0X 4 5" xfId="26761"/>
    <cellStyle name="SAPBEXHLevel0X 4 6" xfId="29715"/>
    <cellStyle name="SAPBEXHLevel0X 5" xfId="251"/>
    <cellStyle name="SAPBEXHLevel0X 5 2" xfId="13716"/>
    <cellStyle name="SAPBEXHLevel0X 5 2 2" xfId="25529"/>
    <cellStyle name="SAPBEXHLevel0X 5 2 2 2" xfId="27682"/>
    <cellStyle name="SAPBEXHLevel0X 5 2 2 3" xfId="28168"/>
    <cellStyle name="SAPBEXHLevel0X 5 2 2 4" xfId="26279"/>
    <cellStyle name="SAPBEXHLevel0X 5 2 2 5" xfId="29720"/>
    <cellStyle name="SAPBEXHLevel0X 5 2 3" xfId="26636"/>
    <cellStyle name="SAPBEXHLevel0X 5 2 4" xfId="28167"/>
    <cellStyle name="SAPBEXHLevel0X 5 2 5" xfId="26474"/>
    <cellStyle name="SAPBEXHLevel0X 5 2 6" xfId="29719"/>
    <cellStyle name="SAPBEXHLevel0X 5 3" xfId="25919"/>
    <cellStyle name="SAPBEXHLevel0X 5 4" xfId="28166"/>
    <cellStyle name="SAPBEXHLevel0X 5 5" xfId="27100"/>
    <cellStyle name="SAPBEXHLevel0X 5 6" xfId="29718"/>
    <cellStyle name="SAPBEXHLevel0X 6" xfId="13641"/>
    <cellStyle name="SAPBEXHLevel0X 6 2" xfId="25479"/>
    <cellStyle name="SAPBEXHLevel0X 6 2 2" xfId="27632"/>
    <cellStyle name="SAPBEXHLevel0X 6 2 3" xfId="28170"/>
    <cellStyle name="SAPBEXHLevel0X 6 2 4" xfId="26081"/>
    <cellStyle name="SAPBEXHLevel0X 6 2 5" xfId="29722"/>
    <cellStyle name="SAPBEXHLevel0X 6 3" xfId="26583"/>
    <cellStyle name="SAPBEXHLevel0X 6 4" xfId="28169"/>
    <cellStyle name="SAPBEXHLevel0X 6 5" xfId="26069"/>
    <cellStyle name="SAPBEXHLevel0X 6 6" xfId="29721"/>
    <cellStyle name="SAPBEXHLevel0X 7" xfId="24666"/>
    <cellStyle name="SAPBEXHLevel0X 7 2" xfId="25340"/>
    <cellStyle name="SAPBEXHLevel0X 7 2 2" xfId="27494"/>
    <cellStyle name="SAPBEXHLevel0X 7 2 3" xfId="28172"/>
    <cellStyle name="SAPBEXHLevel0X 7 2 4" xfId="26884"/>
    <cellStyle name="SAPBEXHLevel0X 7 2 5" xfId="29724"/>
    <cellStyle name="SAPBEXHLevel0X 7 3" xfId="25632"/>
    <cellStyle name="SAPBEXHLevel0X 7 3 2" xfId="27785"/>
    <cellStyle name="SAPBEXHLevel0X 7 3 3" xfId="28173"/>
    <cellStyle name="SAPBEXHLevel0X 7 3 4" xfId="26925"/>
    <cellStyle name="SAPBEXHLevel0X 7 3 5" xfId="29725"/>
    <cellStyle name="SAPBEXHLevel0X 7 4" xfId="27259"/>
    <cellStyle name="SAPBEXHLevel0X 7 5" xfId="28171"/>
    <cellStyle name="SAPBEXHLevel0X 7 6" xfId="26827"/>
    <cellStyle name="SAPBEXHLevel0X 7 7" xfId="29723"/>
    <cellStyle name="SAPBEXHLevel0X 8" xfId="25107"/>
    <cellStyle name="SAPBEXHLevel0X 8 2" xfId="25345"/>
    <cellStyle name="SAPBEXHLevel0X 8 2 2" xfId="27499"/>
    <cellStyle name="SAPBEXHLevel0X 8 2 3" xfId="28175"/>
    <cellStyle name="SAPBEXHLevel0X 8 2 4" xfId="26880"/>
    <cellStyle name="SAPBEXHLevel0X 8 2 5" xfId="29727"/>
    <cellStyle name="SAPBEXHLevel0X 8 3" xfId="25705"/>
    <cellStyle name="SAPBEXHLevel0X 8 3 2" xfId="27858"/>
    <cellStyle name="SAPBEXHLevel0X 8 3 3" xfId="28176"/>
    <cellStyle name="SAPBEXHLevel0X 8 3 4" xfId="26264"/>
    <cellStyle name="SAPBEXHLevel0X 8 3 5" xfId="29728"/>
    <cellStyle name="SAPBEXHLevel0X 8 4" xfId="27392"/>
    <cellStyle name="SAPBEXHLevel0X 8 5" xfId="28174"/>
    <cellStyle name="SAPBEXHLevel0X 8 6" xfId="26111"/>
    <cellStyle name="SAPBEXHLevel0X 8 7" xfId="29726"/>
    <cellStyle name="SAPBEXHLevel0X 9" xfId="25838"/>
    <cellStyle name="SAPBEXHLevel1" xfId="111"/>
    <cellStyle name="SAPBEXHLevel1 10" xfId="28177"/>
    <cellStyle name="SAPBEXHLevel1 11" xfId="26237"/>
    <cellStyle name="SAPBEXHLevel1 12" xfId="29729"/>
    <cellStyle name="SAPBEXHLevel1 2" xfId="112"/>
    <cellStyle name="SAPBEXHLevel1 2 2" xfId="13646"/>
    <cellStyle name="SAPBEXHLevel1 2 2 2" xfId="25484"/>
    <cellStyle name="SAPBEXHLevel1 2 2 2 2" xfId="27637"/>
    <cellStyle name="SAPBEXHLevel1 2 2 2 3" xfId="28180"/>
    <cellStyle name="SAPBEXHLevel1 2 2 2 4" xfId="26132"/>
    <cellStyle name="SAPBEXHLevel1 2 2 2 5" xfId="29732"/>
    <cellStyle name="SAPBEXHLevel1 2 2 3" xfId="26588"/>
    <cellStyle name="SAPBEXHLevel1 2 2 4" xfId="28179"/>
    <cellStyle name="SAPBEXHLevel1 2 2 5" xfId="26550"/>
    <cellStyle name="SAPBEXHLevel1 2 2 6" xfId="29731"/>
    <cellStyle name="SAPBEXHLevel1 2 3" xfId="24257"/>
    <cellStyle name="SAPBEXHLevel1 2 3 2" xfId="25579"/>
    <cellStyle name="SAPBEXHLevel1 2 3 2 2" xfId="27732"/>
    <cellStyle name="SAPBEXHLevel1 2 3 2 3" xfId="28182"/>
    <cellStyle name="SAPBEXHLevel1 2 3 2 4" xfId="26511"/>
    <cellStyle name="SAPBEXHLevel1 2 3 2 5" xfId="29734"/>
    <cellStyle name="SAPBEXHLevel1 2 3 3" xfId="27112"/>
    <cellStyle name="SAPBEXHLevel1 2 3 4" xfId="28181"/>
    <cellStyle name="SAPBEXHLevel1 2 3 5" xfId="26037"/>
    <cellStyle name="SAPBEXHLevel1 2 3 6" xfId="29733"/>
    <cellStyle name="SAPBEXHLevel1 2 4" xfId="24662"/>
    <cellStyle name="SAPBEXHLevel1 2 4 2" xfId="25308"/>
    <cellStyle name="SAPBEXHLevel1 2 4 2 2" xfId="27462"/>
    <cellStyle name="SAPBEXHLevel1 2 4 2 3" xfId="28184"/>
    <cellStyle name="SAPBEXHLevel1 2 4 2 4" xfId="26999"/>
    <cellStyle name="SAPBEXHLevel1 2 4 2 5" xfId="29736"/>
    <cellStyle name="SAPBEXHLevel1 2 4 3" xfId="25628"/>
    <cellStyle name="SAPBEXHLevel1 2 4 3 2" xfId="27781"/>
    <cellStyle name="SAPBEXHLevel1 2 4 3 3" xfId="28185"/>
    <cellStyle name="SAPBEXHLevel1 2 4 3 4" xfId="26885"/>
    <cellStyle name="SAPBEXHLevel1 2 4 3 5" xfId="29737"/>
    <cellStyle name="SAPBEXHLevel1 2 4 4" xfId="27255"/>
    <cellStyle name="SAPBEXHLevel1 2 4 5" xfId="28183"/>
    <cellStyle name="SAPBEXHLevel1 2 4 6" xfId="26924"/>
    <cellStyle name="SAPBEXHLevel1 2 4 7" xfId="29735"/>
    <cellStyle name="SAPBEXHLevel1 2 5" xfId="25111"/>
    <cellStyle name="SAPBEXHLevel1 2 5 2" xfId="25283"/>
    <cellStyle name="SAPBEXHLevel1 2 5 2 2" xfId="27438"/>
    <cellStyle name="SAPBEXHLevel1 2 5 2 3" xfId="28187"/>
    <cellStyle name="SAPBEXHLevel1 2 5 2 4" xfId="27360"/>
    <cellStyle name="SAPBEXHLevel1 2 5 2 5" xfId="29739"/>
    <cellStyle name="SAPBEXHLevel1 2 5 3" xfId="25709"/>
    <cellStyle name="SAPBEXHLevel1 2 5 3 2" xfId="27862"/>
    <cellStyle name="SAPBEXHLevel1 2 5 3 3" xfId="28188"/>
    <cellStyle name="SAPBEXHLevel1 2 5 3 4" xfId="26152"/>
    <cellStyle name="SAPBEXHLevel1 2 5 3 5" xfId="29740"/>
    <cellStyle name="SAPBEXHLevel1 2 5 4" xfId="27396"/>
    <cellStyle name="SAPBEXHLevel1 2 5 5" xfId="28186"/>
    <cellStyle name="SAPBEXHLevel1 2 5 6" xfId="27362"/>
    <cellStyle name="SAPBEXHLevel1 2 5 7" xfId="29738"/>
    <cellStyle name="SAPBEXHLevel1 2 6" xfId="25843"/>
    <cellStyle name="SAPBEXHLevel1 2 7" xfId="28178"/>
    <cellStyle name="SAPBEXHLevel1 2 8" xfId="26838"/>
    <cellStyle name="SAPBEXHLevel1 2 9" xfId="29730"/>
    <cellStyle name="SAPBEXHLevel1 3" xfId="113"/>
    <cellStyle name="SAPBEXHLevel1 3 2" xfId="13647"/>
    <cellStyle name="SAPBEXHLevel1 3 2 2" xfId="25485"/>
    <cellStyle name="SAPBEXHLevel1 3 2 2 2" xfId="27638"/>
    <cellStyle name="SAPBEXHLevel1 3 2 2 3" xfId="28191"/>
    <cellStyle name="SAPBEXHLevel1 3 2 2 4" xfId="26881"/>
    <cellStyle name="SAPBEXHLevel1 3 2 2 5" xfId="29743"/>
    <cellStyle name="SAPBEXHLevel1 3 2 3" xfId="26589"/>
    <cellStyle name="SAPBEXHLevel1 3 2 4" xfId="28190"/>
    <cellStyle name="SAPBEXHLevel1 3 2 5" xfId="26079"/>
    <cellStyle name="SAPBEXHLevel1 3 2 6" xfId="29742"/>
    <cellStyle name="SAPBEXHLevel1 3 3" xfId="24258"/>
    <cellStyle name="SAPBEXHLevel1 3 3 2" xfId="25580"/>
    <cellStyle name="SAPBEXHLevel1 3 3 2 2" xfId="27733"/>
    <cellStyle name="SAPBEXHLevel1 3 3 2 3" xfId="28193"/>
    <cellStyle name="SAPBEXHLevel1 3 3 2 4" xfId="26495"/>
    <cellStyle name="SAPBEXHLevel1 3 3 2 5" xfId="29745"/>
    <cellStyle name="SAPBEXHLevel1 3 3 3" xfId="27113"/>
    <cellStyle name="SAPBEXHLevel1 3 3 4" xfId="28192"/>
    <cellStyle name="SAPBEXHLevel1 3 3 5" xfId="26216"/>
    <cellStyle name="SAPBEXHLevel1 3 3 6" xfId="29744"/>
    <cellStyle name="SAPBEXHLevel1 3 4" xfId="24661"/>
    <cellStyle name="SAPBEXHLevel1 3 4 2" xfId="25400"/>
    <cellStyle name="SAPBEXHLevel1 3 4 2 2" xfId="27554"/>
    <cellStyle name="SAPBEXHLevel1 3 4 2 3" xfId="28195"/>
    <cellStyle name="SAPBEXHLevel1 3 4 2 4" xfId="26135"/>
    <cellStyle name="SAPBEXHLevel1 3 4 2 5" xfId="29747"/>
    <cellStyle name="SAPBEXHLevel1 3 4 3" xfId="25627"/>
    <cellStyle name="SAPBEXHLevel1 3 4 3 2" xfId="27780"/>
    <cellStyle name="SAPBEXHLevel1 3 4 3 3" xfId="28196"/>
    <cellStyle name="SAPBEXHLevel1 3 4 3 4" xfId="27083"/>
    <cellStyle name="SAPBEXHLevel1 3 4 3 5" xfId="29748"/>
    <cellStyle name="SAPBEXHLevel1 3 4 4" xfId="27254"/>
    <cellStyle name="SAPBEXHLevel1 3 4 5" xfId="28194"/>
    <cellStyle name="SAPBEXHLevel1 3 4 6" xfId="26903"/>
    <cellStyle name="SAPBEXHLevel1 3 4 7" xfId="29746"/>
    <cellStyle name="SAPBEXHLevel1 3 5" xfId="25112"/>
    <cellStyle name="SAPBEXHLevel1 3 5 2" xfId="25366"/>
    <cellStyle name="SAPBEXHLevel1 3 5 2 2" xfId="27520"/>
    <cellStyle name="SAPBEXHLevel1 3 5 2 3" xfId="28198"/>
    <cellStyle name="SAPBEXHLevel1 3 5 2 4" xfId="26353"/>
    <cellStyle name="SAPBEXHLevel1 3 5 2 5" xfId="29750"/>
    <cellStyle name="SAPBEXHLevel1 3 5 3" xfId="25710"/>
    <cellStyle name="SAPBEXHLevel1 3 5 3 2" xfId="27863"/>
    <cellStyle name="SAPBEXHLevel1 3 5 3 3" xfId="28199"/>
    <cellStyle name="SAPBEXHLevel1 3 5 3 4" xfId="26427"/>
    <cellStyle name="SAPBEXHLevel1 3 5 3 5" xfId="29751"/>
    <cellStyle name="SAPBEXHLevel1 3 5 4" xfId="27397"/>
    <cellStyle name="SAPBEXHLevel1 3 5 5" xfId="28197"/>
    <cellStyle name="SAPBEXHLevel1 3 5 6" xfId="26743"/>
    <cellStyle name="SAPBEXHLevel1 3 5 7" xfId="29749"/>
    <cellStyle name="SAPBEXHLevel1 3 6" xfId="25844"/>
    <cellStyle name="SAPBEXHLevel1 3 7" xfId="28189"/>
    <cellStyle name="SAPBEXHLevel1 3 8" xfId="26311"/>
    <cellStyle name="SAPBEXHLevel1 3 9" xfId="29741"/>
    <cellStyle name="SAPBEXHLevel1 4" xfId="114"/>
    <cellStyle name="SAPBEXHLevel1 4 2" xfId="13648"/>
    <cellStyle name="SAPBEXHLevel1 4 2 2" xfId="25486"/>
    <cellStyle name="SAPBEXHLevel1 4 2 2 2" xfId="27639"/>
    <cellStyle name="SAPBEXHLevel1 4 2 2 3" xfId="28202"/>
    <cellStyle name="SAPBEXHLevel1 4 2 2 4" xfId="26300"/>
    <cellStyle name="SAPBEXHLevel1 4 2 2 5" xfId="29754"/>
    <cellStyle name="SAPBEXHLevel1 4 2 3" xfId="26590"/>
    <cellStyle name="SAPBEXHLevel1 4 2 4" xfId="28201"/>
    <cellStyle name="SAPBEXHLevel1 4 2 5" xfId="26765"/>
    <cellStyle name="SAPBEXHLevel1 4 2 6" xfId="29753"/>
    <cellStyle name="SAPBEXHLevel1 4 3" xfId="25845"/>
    <cellStyle name="SAPBEXHLevel1 4 4" xfId="28200"/>
    <cellStyle name="SAPBEXHLevel1 4 5" xfId="26905"/>
    <cellStyle name="SAPBEXHLevel1 4 6" xfId="29752"/>
    <cellStyle name="SAPBEXHLevel1 5" xfId="252"/>
    <cellStyle name="SAPBEXHLevel1 5 2" xfId="13717"/>
    <cellStyle name="SAPBEXHLevel1 5 2 2" xfId="25530"/>
    <cellStyle name="SAPBEXHLevel1 5 2 2 2" xfId="27683"/>
    <cellStyle name="SAPBEXHLevel1 5 2 2 3" xfId="28205"/>
    <cellStyle name="SAPBEXHLevel1 5 2 2 4" xfId="26479"/>
    <cellStyle name="SAPBEXHLevel1 5 2 2 5" xfId="29757"/>
    <cellStyle name="SAPBEXHLevel1 5 2 3" xfId="26637"/>
    <cellStyle name="SAPBEXHLevel1 5 2 4" xfId="28204"/>
    <cellStyle name="SAPBEXHLevel1 5 2 5" xfId="26890"/>
    <cellStyle name="SAPBEXHLevel1 5 2 6" xfId="29756"/>
    <cellStyle name="SAPBEXHLevel1 5 3" xfId="25920"/>
    <cellStyle name="SAPBEXHLevel1 5 4" xfId="28203"/>
    <cellStyle name="SAPBEXHLevel1 5 5" xfId="29218"/>
    <cellStyle name="SAPBEXHLevel1 5 6" xfId="29755"/>
    <cellStyle name="SAPBEXHLevel1 6" xfId="13645"/>
    <cellStyle name="SAPBEXHLevel1 6 2" xfId="25483"/>
    <cellStyle name="SAPBEXHLevel1 6 2 2" xfId="27636"/>
    <cellStyle name="SAPBEXHLevel1 6 2 3" xfId="28207"/>
    <cellStyle name="SAPBEXHLevel1 6 2 4" xfId="26910"/>
    <cellStyle name="SAPBEXHLevel1 6 2 5" xfId="29759"/>
    <cellStyle name="SAPBEXHLevel1 6 3" xfId="26587"/>
    <cellStyle name="SAPBEXHLevel1 6 4" xfId="28206"/>
    <cellStyle name="SAPBEXHLevel1 6 5" xfId="26883"/>
    <cellStyle name="SAPBEXHLevel1 6 6" xfId="29758"/>
    <cellStyle name="SAPBEXHLevel1 7" xfId="24663"/>
    <cellStyle name="SAPBEXHLevel1 7 2" xfId="25410"/>
    <cellStyle name="SAPBEXHLevel1 7 2 2" xfId="27564"/>
    <cellStyle name="SAPBEXHLevel1 7 2 3" xfId="28209"/>
    <cellStyle name="SAPBEXHLevel1 7 2 4" xfId="26775"/>
    <cellStyle name="SAPBEXHLevel1 7 2 5" xfId="29761"/>
    <cellStyle name="SAPBEXHLevel1 7 3" xfId="25629"/>
    <cellStyle name="SAPBEXHLevel1 7 3 2" xfId="27782"/>
    <cellStyle name="SAPBEXHLevel1 7 3 3" xfId="28210"/>
    <cellStyle name="SAPBEXHLevel1 7 3 4" xfId="26804"/>
    <cellStyle name="SAPBEXHLevel1 7 3 5" xfId="29762"/>
    <cellStyle name="SAPBEXHLevel1 7 4" xfId="27256"/>
    <cellStyle name="SAPBEXHLevel1 7 5" xfId="28208"/>
    <cellStyle name="SAPBEXHLevel1 7 6" xfId="26257"/>
    <cellStyle name="SAPBEXHLevel1 7 7" xfId="29760"/>
    <cellStyle name="SAPBEXHLevel1 8" xfId="25110"/>
    <cellStyle name="SAPBEXHLevel1 8 2" xfId="25297"/>
    <cellStyle name="SAPBEXHLevel1 8 2 2" xfId="27451"/>
    <cellStyle name="SAPBEXHLevel1 8 2 3" xfId="28212"/>
    <cellStyle name="SAPBEXHLevel1 8 2 4" xfId="26269"/>
    <cellStyle name="SAPBEXHLevel1 8 2 5" xfId="29764"/>
    <cellStyle name="SAPBEXHLevel1 8 3" xfId="25708"/>
    <cellStyle name="SAPBEXHLevel1 8 3 2" xfId="27861"/>
    <cellStyle name="SAPBEXHLevel1 8 3 3" xfId="28213"/>
    <cellStyle name="SAPBEXHLevel1 8 3 4" xfId="26460"/>
    <cellStyle name="SAPBEXHLevel1 8 3 5" xfId="29765"/>
    <cellStyle name="SAPBEXHLevel1 8 4" xfId="27395"/>
    <cellStyle name="SAPBEXHLevel1 8 5" xfId="28211"/>
    <cellStyle name="SAPBEXHLevel1 8 6" xfId="26464"/>
    <cellStyle name="SAPBEXHLevel1 8 7" xfId="29763"/>
    <cellStyle name="SAPBEXHLevel1 9" xfId="25842"/>
    <cellStyle name="SAPBEXHLevel1X" xfId="115"/>
    <cellStyle name="SAPBEXHLevel1X 10" xfId="28214"/>
    <cellStyle name="SAPBEXHLevel1X 11" xfId="26381"/>
    <cellStyle name="SAPBEXHLevel1X 12" xfId="29766"/>
    <cellStyle name="SAPBEXHLevel1X 2" xfId="116"/>
    <cellStyle name="SAPBEXHLevel1X 2 2" xfId="13650"/>
    <cellStyle name="SAPBEXHLevel1X 2 2 2" xfId="25488"/>
    <cellStyle name="SAPBEXHLevel1X 2 2 2 2" xfId="27641"/>
    <cellStyle name="SAPBEXHLevel1X 2 2 2 3" xfId="28217"/>
    <cellStyle name="SAPBEXHLevel1X 2 2 2 4" xfId="26401"/>
    <cellStyle name="SAPBEXHLevel1X 2 2 2 5" xfId="29769"/>
    <cellStyle name="SAPBEXHLevel1X 2 2 3" xfId="26592"/>
    <cellStyle name="SAPBEXHLevel1X 2 2 4" xfId="28216"/>
    <cellStyle name="SAPBEXHLevel1X 2 2 5" xfId="26184"/>
    <cellStyle name="SAPBEXHLevel1X 2 2 6" xfId="29768"/>
    <cellStyle name="SAPBEXHLevel1X 2 3" xfId="24259"/>
    <cellStyle name="SAPBEXHLevel1X 2 3 2" xfId="25581"/>
    <cellStyle name="SAPBEXHLevel1X 2 3 2 2" xfId="27734"/>
    <cellStyle name="SAPBEXHLevel1X 2 3 2 3" xfId="28219"/>
    <cellStyle name="SAPBEXHLevel1X 2 3 2 4" xfId="26096"/>
    <cellStyle name="SAPBEXHLevel1X 2 3 2 5" xfId="29771"/>
    <cellStyle name="SAPBEXHLevel1X 2 3 3" xfId="27114"/>
    <cellStyle name="SAPBEXHLevel1X 2 3 4" xfId="28218"/>
    <cellStyle name="SAPBEXHLevel1X 2 3 5" xfId="27028"/>
    <cellStyle name="SAPBEXHLevel1X 2 3 6" xfId="29770"/>
    <cellStyle name="SAPBEXHLevel1X 2 4" xfId="24659"/>
    <cellStyle name="SAPBEXHLevel1X 2 4 2" xfId="25371"/>
    <cellStyle name="SAPBEXHLevel1X 2 4 2 2" xfId="27525"/>
    <cellStyle name="SAPBEXHLevel1X 2 4 2 3" xfId="28221"/>
    <cellStyle name="SAPBEXHLevel1X 2 4 2 4" xfId="26063"/>
    <cellStyle name="SAPBEXHLevel1X 2 4 2 5" xfId="29773"/>
    <cellStyle name="SAPBEXHLevel1X 2 4 3" xfId="25625"/>
    <cellStyle name="SAPBEXHLevel1X 2 4 3 2" xfId="27778"/>
    <cellStyle name="SAPBEXHLevel1X 2 4 3 3" xfId="28222"/>
    <cellStyle name="SAPBEXHLevel1X 2 4 3 4" xfId="26156"/>
    <cellStyle name="SAPBEXHLevel1X 2 4 3 5" xfId="29774"/>
    <cellStyle name="SAPBEXHLevel1X 2 4 4" xfId="27252"/>
    <cellStyle name="SAPBEXHLevel1X 2 4 5" xfId="28220"/>
    <cellStyle name="SAPBEXHLevel1X 2 4 6" xfId="26291"/>
    <cellStyle name="SAPBEXHLevel1X 2 4 7" xfId="29772"/>
    <cellStyle name="SAPBEXHLevel1X 2 5" xfId="25114"/>
    <cellStyle name="SAPBEXHLevel1X 2 5 2" xfId="25394"/>
    <cellStyle name="SAPBEXHLevel1X 2 5 2 2" xfId="27548"/>
    <cellStyle name="SAPBEXHLevel1X 2 5 2 3" xfId="28224"/>
    <cellStyle name="SAPBEXHLevel1X 2 5 2 4" xfId="26222"/>
    <cellStyle name="SAPBEXHLevel1X 2 5 2 5" xfId="29776"/>
    <cellStyle name="SAPBEXHLevel1X 2 5 3" xfId="25712"/>
    <cellStyle name="SAPBEXHLevel1X 2 5 3 2" xfId="27865"/>
    <cellStyle name="SAPBEXHLevel1X 2 5 3 3" xfId="28225"/>
    <cellStyle name="SAPBEXHLevel1X 2 5 3 4" xfId="27017"/>
    <cellStyle name="SAPBEXHLevel1X 2 5 3 5" xfId="29777"/>
    <cellStyle name="SAPBEXHLevel1X 2 5 4" xfId="27399"/>
    <cellStyle name="SAPBEXHLevel1X 2 5 5" xfId="28223"/>
    <cellStyle name="SAPBEXHLevel1X 2 5 6" xfId="26308"/>
    <cellStyle name="SAPBEXHLevel1X 2 5 7" xfId="29775"/>
    <cellStyle name="SAPBEXHLevel1X 2 6" xfId="25847"/>
    <cellStyle name="SAPBEXHLevel1X 2 7" xfId="28215"/>
    <cellStyle name="SAPBEXHLevel1X 2 8" xfId="26968"/>
    <cellStyle name="SAPBEXHLevel1X 2 9" xfId="29767"/>
    <cellStyle name="SAPBEXHLevel1X 3" xfId="117"/>
    <cellStyle name="SAPBEXHLevel1X 3 2" xfId="13651"/>
    <cellStyle name="SAPBEXHLevel1X 3 2 2" xfId="25489"/>
    <cellStyle name="SAPBEXHLevel1X 3 2 2 2" xfId="27642"/>
    <cellStyle name="SAPBEXHLevel1X 3 2 2 3" xfId="28228"/>
    <cellStyle name="SAPBEXHLevel1X 3 2 2 4" xfId="26364"/>
    <cellStyle name="SAPBEXHLevel1X 3 2 2 5" xfId="29780"/>
    <cellStyle name="SAPBEXHLevel1X 3 2 3" xfId="26593"/>
    <cellStyle name="SAPBEXHLevel1X 3 2 4" xfId="28227"/>
    <cellStyle name="SAPBEXHLevel1X 3 2 5" xfId="26378"/>
    <cellStyle name="SAPBEXHLevel1X 3 2 6" xfId="29779"/>
    <cellStyle name="SAPBEXHLevel1X 3 3" xfId="24260"/>
    <cellStyle name="SAPBEXHLevel1X 3 3 2" xfId="25582"/>
    <cellStyle name="SAPBEXHLevel1X 3 3 2 2" xfId="27735"/>
    <cellStyle name="SAPBEXHLevel1X 3 3 2 3" xfId="28230"/>
    <cellStyle name="SAPBEXHLevel1X 3 3 2 4" xfId="26244"/>
    <cellStyle name="SAPBEXHLevel1X 3 3 2 5" xfId="29782"/>
    <cellStyle name="SAPBEXHLevel1X 3 3 3" xfId="27115"/>
    <cellStyle name="SAPBEXHLevel1X 3 3 4" xfId="28229"/>
    <cellStyle name="SAPBEXHLevel1X 3 3 5" xfId="26324"/>
    <cellStyle name="SAPBEXHLevel1X 3 3 6" xfId="29781"/>
    <cellStyle name="SAPBEXHLevel1X 3 4" xfId="24658"/>
    <cellStyle name="SAPBEXHLevel1X 3 4 2" xfId="25289"/>
    <cellStyle name="SAPBEXHLevel1X 3 4 2 2" xfId="27444"/>
    <cellStyle name="SAPBEXHLevel1X 3 4 2 3" xfId="28232"/>
    <cellStyle name="SAPBEXHLevel1X 3 4 2 4" xfId="26360"/>
    <cellStyle name="SAPBEXHLevel1X 3 4 2 5" xfId="29784"/>
    <cellStyle name="SAPBEXHLevel1X 3 4 3" xfId="25624"/>
    <cellStyle name="SAPBEXHLevel1X 3 4 3 2" xfId="27777"/>
    <cellStyle name="SAPBEXHLevel1X 3 4 3 3" xfId="28233"/>
    <cellStyle name="SAPBEXHLevel1X 3 4 3 4" xfId="26318"/>
    <cellStyle name="SAPBEXHLevel1X 3 4 3 5" xfId="29785"/>
    <cellStyle name="SAPBEXHLevel1X 3 4 4" xfId="27251"/>
    <cellStyle name="SAPBEXHLevel1X 3 4 5" xfId="28231"/>
    <cellStyle name="SAPBEXHLevel1X 3 4 6" xfId="27086"/>
    <cellStyle name="SAPBEXHLevel1X 3 4 7" xfId="29783"/>
    <cellStyle name="SAPBEXHLevel1X 3 5" xfId="25115"/>
    <cellStyle name="SAPBEXHLevel1X 3 5 2" xfId="25303"/>
    <cellStyle name="SAPBEXHLevel1X 3 5 2 2" xfId="27457"/>
    <cellStyle name="SAPBEXHLevel1X 3 5 2 3" xfId="28235"/>
    <cellStyle name="SAPBEXHLevel1X 3 5 2 4" xfId="26810"/>
    <cellStyle name="SAPBEXHLevel1X 3 5 2 5" xfId="29787"/>
    <cellStyle name="SAPBEXHLevel1X 3 5 3" xfId="25713"/>
    <cellStyle name="SAPBEXHLevel1X 3 5 3 2" xfId="27866"/>
    <cellStyle name="SAPBEXHLevel1X 3 5 3 3" xfId="28236"/>
    <cellStyle name="SAPBEXHLevel1X 3 5 3 4" xfId="26939"/>
    <cellStyle name="SAPBEXHLevel1X 3 5 3 5" xfId="29788"/>
    <cellStyle name="SAPBEXHLevel1X 3 5 4" xfId="27400"/>
    <cellStyle name="SAPBEXHLevel1X 3 5 5" xfId="28234"/>
    <cellStyle name="SAPBEXHLevel1X 3 5 6" xfId="26923"/>
    <cellStyle name="SAPBEXHLevel1X 3 5 7" xfId="29786"/>
    <cellStyle name="SAPBEXHLevel1X 3 6" xfId="25848"/>
    <cellStyle name="SAPBEXHLevel1X 3 7" xfId="28226"/>
    <cellStyle name="SAPBEXHLevel1X 3 8" xfId="26450"/>
    <cellStyle name="SAPBEXHLevel1X 3 9" xfId="29778"/>
    <cellStyle name="SAPBEXHLevel1X 4" xfId="118"/>
    <cellStyle name="SAPBEXHLevel1X 4 2" xfId="13652"/>
    <cellStyle name="SAPBEXHLevel1X 4 2 2" xfId="25490"/>
    <cellStyle name="SAPBEXHLevel1X 4 2 2 2" xfId="27643"/>
    <cellStyle name="SAPBEXHLevel1X 4 2 2 3" xfId="28239"/>
    <cellStyle name="SAPBEXHLevel1X 4 2 2 4" xfId="26350"/>
    <cellStyle name="SAPBEXHLevel1X 4 2 2 5" xfId="29791"/>
    <cellStyle name="SAPBEXHLevel1X 4 2 3" xfId="26594"/>
    <cellStyle name="SAPBEXHLevel1X 4 2 4" xfId="28238"/>
    <cellStyle name="SAPBEXHLevel1X 4 2 5" xfId="26855"/>
    <cellStyle name="SAPBEXHLevel1X 4 2 6" xfId="29790"/>
    <cellStyle name="SAPBEXHLevel1X 4 3" xfId="25849"/>
    <cellStyle name="SAPBEXHLevel1X 4 4" xfId="28237"/>
    <cellStyle name="SAPBEXHLevel1X 4 5" xfId="29257"/>
    <cellStyle name="SAPBEXHLevel1X 4 6" xfId="29789"/>
    <cellStyle name="SAPBEXHLevel1X 5" xfId="253"/>
    <cellStyle name="SAPBEXHLevel1X 5 2" xfId="13718"/>
    <cellStyle name="SAPBEXHLevel1X 5 2 2" xfId="25531"/>
    <cellStyle name="SAPBEXHLevel1X 5 2 2 2" xfId="27684"/>
    <cellStyle name="SAPBEXHLevel1X 5 2 2 3" xfId="28242"/>
    <cellStyle name="SAPBEXHLevel1X 5 2 2 4" xfId="26976"/>
    <cellStyle name="SAPBEXHLevel1X 5 2 2 5" xfId="29794"/>
    <cellStyle name="SAPBEXHLevel1X 5 2 3" xfId="26638"/>
    <cellStyle name="SAPBEXHLevel1X 5 2 4" xfId="28241"/>
    <cellStyle name="SAPBEXHLevel1X 5 2 5" xfId="26066"/>
    <cellStyle name="SAPBEXHLevel1X 5 2 6" xfId="29793"/>
    <cellStyle name="SAPBEXHLevel1X 5 3" xfId="25921"/>
    <cellStyle name="SAPBEXHLevel1X 5 4" xfId="28240"/>
    <cellStyle name="SAPBEXHLevel1X 5 5" xfId="26472"/>
    <cellStyle name="SAPBEXHLevel1X 5 6" xfId="29792"/>
    <cellStyle name="SAPBEXHLevel1X 6" xfId="13649"/>
    <cellStyle name="SAPBEXHLevel1X 6 2" xfId="25487"/>
    <cellStyle name="SAPBEXHLevel1X 6 2 2" xfId="27640"/>
    <cellStyle name="SAPBEXHLevel1X 6 2 3" xfId="28244"/>
    <cellStyle name="SAPBEXHLevel1X 6 2 4" xfId="26077"/>
    <cellStyle name="SAPBEXHLevel1X 6 2 5" xfId="29796"/>
    <cellStyle name="SAPBEXHLevel1X 6 3" xfId="26591"/>
    <cellStyle name="SAPBEXHLevel1X 6 4" xfId="28243"/>
    <cellStyle name="SAPBEXHLevel1X 6 5" xfId="26188"/>
    <cellStyle name="SAPBEXHLevel1X 6 6" xfId="29795"/>
    <cellStyle name="SAPBEXHLevel1X 7" xfId="24660"/>
    <cellStyle name="SAPBEXHLevel1X 7 2" xfId="25384"/>
    <cellStyle name="SAPBEXHLevel1X 7 2 2" xfId="27538"/>
    <cellStyle name="SAPBEXHLevel1X 7 2 3" xfId="28246"/>
    <cellStyle name="SAPBEXHLevel1X 7 2 4" xfId="26478"/>
    <cellStyle name="SAPBEXHLevel1X 7 2 5" xfId="29798"/>
    <cellStyle name="SAPBEXHLevel1X 7 3" xfId="25626"/>
    <cellStyle name="SAPBEXHLevel1X 7 3 2" xfId="27779"/>
    <cellStyle name="SAPBEXHLevel1X 7 3 3" xfId="28247"/>
    <cellStyle name="SAPBEXHLevel1X 7 3 4" xfId="26287"/>
    <cellStyle name="SAPBEXHLevel1X 7 3 5" xfId="29799"/>
    <cellStyle name="SAPBEXHLevel1X 7 4" xfId="27253"/>
    <cellStyle name="SAPBEXHLevel1X 7 5" xfId="28245"/>
    <cellStyle name="SAPBEXHLevel1X 7 6" xfId="26972"/>
    <cellStyle name="SAPBEXHLevel1X 7 7" xfId="29797"/>
    <cellStyle name="SAPBEXHLevel1X 8" xfId="25113"/>
    <cellStyle name="SAPBEXHLevel1X 8 2" xfId="25380"/>
    <cellStyle name="SAPBEXHLevel1X 8 2 2" xfId="27534"/>
    <cellStyle name="SAPBEXHLevel1X 8 2 3" xfId="28249"/>
    <cellStyle name="SAPBEXHLevel1X 8 2 4" xfId="26978"/>
    <cellStyle name="SAPBEXHLevel1X 8 2 5" xfId="29801"/>
    <cellStyle name="SAPBEXHLevel1X 8 3" xfId="25711"/>
    <cellStyle name="SAPBEXHLevel1X 8 3 2" xfId="27864"/>
    <cellStyle name="SAPBEXHLevel1X 8 3 3" xfId="28250"/>
    <cellStyle name="SAPBEXHLevel1X 8 3 4" xfId="26895"/>
    <cellStyle name="SAPBEXHLevel1X 8 3 5" xfId="29802"/>
    <cellStyle name="SAPBEXHLevel1X 8 4" xfId="27398"/>
    <cellStyle name="SAPBEXHLevel1X 8 5" xfId="28248"/>
    <cellStyle name="SAPBEXHLevel1X 8 6" xfId="26971"/>
    <cellStyle name="SAPBEXHLevel1X 8 7" xfId="29800"/>
    <cellStyle name="SAPBEXHLevel1X 9" xfId="25846"/>
    <cellStyle name="SAPBEXHLevel2" xfId="119"/>
    <cellStyle name="SAPBEXHLevel2 10" xfId="28251"/>
    <cellStyle name="SAPBEXHLevel2 11" xfId="29206"/>
    <cellStyle name="SAPBEXHLevel2 12" xfId="29803"/>
    <cellStyle name="SAPBEXHLevel2 2" xfId="120"/>
    <cellStyle name="SAPBEXHLevel2 2 2" xfId="13654"/>
    <cellStyle name="SAPBEXHLevel2 2 2 2" xfId="25492"/>
    <cellStyle name="SAPBEXHLevel2 2 2 2 2" xfId="27645"/>
    <cellStyle name="SAPBEXHLevel2 2 2 2 3" xfId="28254"/>
    <cellStyle name="SAPBEXHLevel2 2 2 2 4" xfId="26071"/>
    <cellStyle name="SAPBEXHLevel2 2 2 2 5" xfId="29806"/>
    <cellStyle name="SAPBEXHLevel2 2 2 3" xfId="26596"/>
    <cellStyle name="SAPBEXHLevel2 2 2 4" xfId="28253"/>
    <cellStyle name="SAPBEXHLevel2 2 2 5" xfId="26747"/>
    <cellStyle name="SAPBEXHLevel2 2 2 6" xfId="29805"/>
    <cellStyle name="SAPBEXHLevel2 2 3" xfId="24262"/>
    <cellStyle name="SAPBEXHLevel2 2 3 2" xfId="25583"/>
    <cellStyle name="SAPBEXHLevel2 2 3 2 2" xfId="27736"/>
    <cellStyle name="SAPBEXHLevel2 2 3 2 3" xfId="28256"/>
    <cellStyle name="SAPBEXHLevel2 2 3 2 4" xfId="26158"/>
    <cellStyle name="SAPBEXHLevel2 2 3 2 5" xfId="29808"/>
    <cellStyle name="SAPBEXHLevel2 2 3 3" xfId="27116"/>
    <cellStyle name="SAPBEXHLevel2 2 3 4" xfId="28255"/>
    <cellStyle name="SAPBEXHLevel2 2 3 5" xfId="26337"/>
    <cellStyle name="SAPBEXHLevel2 2 3 6" xfId="29807"/>
    <cellStyle name="SAPBEXHLevel2 2 4" xfId="24656"/>
    <cellStyle name="SAPBEXHLevel2 2 4 2" xfId="25363"/>
    <cellStyle name="SAPBEXHLevel2 2 4 2 2" xfId="27517"/>
    <cellStyle name="SAPBEXHLevel2 2 4 2 3" xfId="28258"/>
    <cellStyle name="SAPBEXHLevel2 2 4 2 4" xfId="26987"/>
    <cellStyle name="SAPBEXHLevel2 2 4 2 5" xfId="29810"/>
    <cellStyle name="SAPBEXHLevel2 2 4 3" xfId="25622"/>
    <cellStyle name="SAPBEXHLevel2 2 4 3 2" xfId="27775"/>
    <cellStyle name="SAPBEXHLevel2 2 4 3 3" xfId="28259"/>
    <cellStyle name="SAPBEXHLevel2 2 4 3 4" xfId="26067"/>
    <cellStyle name="SAPBEXHLevel2 2 4 3 5" xfId="29811"/>
    <cellStyle name="SAPBEXHLevel2 2 4 4" xfId="27249"/>
    <cellStyle name="SAPBEXHLevel2 2 4 5" xfId="28257"/>
    <cellStyle name="SAPBEXHLevel2 2 4 6" xfId="26175"/>
    <cellStyle name="SAPBEXHLevel2 2 4 7" xfId="29809"/>
    <cellStyle name="SAPBEXHLevel2 2 5" xfId="25117"/>
    <cellStyle name="SAPBEXHLevel2 2 5 2" xfId="25319"/>
    <cellStyle name="SAPBEXHLevel2 2 5 2 2" xfId="27473"/>
    <cellStyle name="SAPBEXHLevel2 2 5 2 3" xfId="28261"/>
    <cellStyle name="SAPBEXHLevel2 2 5 2 4" xfId="26289"/>
    <cellStyle name="SAPBEXHLevel2 2 5 2 5" xfId="29813"/>
    <cellStyle name="SAPBEXHLevel2 2 5 3" xfId="25715"/>
    <cellStyle name="SAPBEXHLevel2 2 5 3 2" xfId="27868"/>
    <cellStyle name="SAPBEXHLevel2 2 5 3 3" xfId="28262"/>
    <cellStyle name="SAPBEXHLevel2 2 5 3 4" xfId="27148"/>
    <cellStyle name="SAPBEXHLevel2 2 5 3 5" xfId="29814"/>
    <cellStyle name="SAPBEXHLevel2 2 5 4" xfId="27402"/>
    <cellStyle name="SAPBEXHLevel2 2 5 5" xfId="28260"/>
    <cellStyle name="SAPBEXHLevel2 2 5 6" xfId="26860"/>
    <cellStyle name="SAPBEXHLevel2 2 5 7" xfId="29812"/>
    <cellStyle name="SAPBEXHLevel2 2 6" xfId="25851"/>
    <cellStyle name="SAPBEXHLevel2 2 7" xfId="28252"/>
    <cellStyle name="SAPBEXHLevel2 2 8" xfId="29183"/>
    <cellStyle name="SAPBEXHLevel2 2 9" xfId="29804"/>
    <cellStyle name="SAPBEXHLevel2 3" xfId="121"/>
    <cellStyle name="SAPBEXHLevel2 3 2" xfId="13655"/>
    <cellStyle name="SAPBEXHLevel2 3 2 2" xfId="25493"/>
    <cellStyle name="SAPBEXHLevel2 3 2 2 2" xfId="27646"/>
    <cellStyle name="SAPBEXHLevel2 3 2 2 3" xfId="28265"/>
    <cellStyle name="SAPBEXHLevel2 3 2 2 4" xfId="26162"/>
    <cellStyle name="SAPBEXHLevel2 3 2 2 5" xfId="29817"/>
    <cellStyle name="SAPBEXHLevel2 3 2 3" xfId="26597"/>
    <cellStyle name="SAPBEXHLevel2 3 2 4" xfId="28264"/>
    <cellStyle name="SAPBEXHLevel2 3 2 5" xfId="27003"/>
    <cellStyle name="SAPBEXHLevel2 3 2 6" xfId="29816"/>
    <cellStyle name="SAPBEXHLevel2 3 3" xfId="24263"/>
    <cellStyle name="SAPBEXHLevel2 3 3 2" xfId="25584"/>
    <cellStyle name="SAPBEXHLevel2 3 3 2 2" xfId="27737"/>
    <cellStyle name="SAPBEXHLevel2 3 3 2 3" xfId="28267"/>
    <cellStyle name="SAPBEXHLevel2 3 3 2 4" xfId="26738"/>
    <cellStyle name="SAPBEXHLevel2 3 3 2 5" xfId="29819"/>
    <cellStyle name="SAPBEXHLevel2 3 3 3" xfId="27117"/>
    <cellStyle name="SAPBEXHLevel2 3 3 4" xfId="28266"/>
    <cellStyle name="SAPBEXHLevel2 3 3 5" xfId="26068"/>
    <cellStyle name="SAPBEXHLevel2 3 3 6" xfId="29818"/>
    <cellStyle name="SAPBEXHLevel2 3 4" xfId="24655"/>
    <cellStyle name="SAPBEXHLevel2 3 4 2" xfId="25451"/>
    <cellStyle name="SAPBEXHLevel2 3 4 2 2" xfId="27605"/>
    <cellStyle name="SAPBEXHLevel2 3 4 2 3" xfId="28269"/>
    <cellStyle name="SAPBEXHLevel2 3 4 2 4" xfId="26164"/>
    <cellStyle name="SAPBEXHLevel2 3 4 2 5" xfId="29821"/>
    <cellStyle name="SAPBEXHLevel2 3 4 3" xfId="25621"/>
    <cellStyle name="SAPBEXHLevel2 3 4 3 2" xfId="27774"/>
    <cellStyle name="SAPBEXHLevel2 3 4 3 3" xfId="28270"/>
    <cellStyle name="SAPBEXHLevel2 3 4 3 4" xfId="26087"/>
    <cellStyle name="SAPBEXHLevel2 3 4 3 5" xfId="29822"/>
    <cellStyle name="SAPBEXHLevel2 3 4 4" xfId="27248"/>
    <cellStyle name="SAPBEXHLevel2 3 4 5" xfId="28268"/>
    <cellStyle name="SAPBEXHLevel2 3 4 6" xfId="26772"/>
    <cellStyle name="SAPBEXHLevel2 3 4 7" xfId="29820"/>
    <cellStyle name="SAPBEXHLevel2 3 5" xfId="25118"/>
    <cellStyle name="SAPBEXHLevel2 3 5 2" xfId="25420"/>
    <cellStyle name="SAPBEXHLevel2 3 5 2 2" xfId="27574"/>
    <cellStyle name="SAPBEXHLevel2 3 5 2 3" xfId="28272"/>
    <cellStyle name="SAPBEXHLevel2 3 5 2 4" xfId="26243"/>
    <cellStyle name="SAPBEXHLevel2 3 5 2 5" xfId="29824"/>
    <cellStyle name="SAPBEXHLevel2 3 5 3" xfId="25716"/>
    <cellStyle name="SAPBEXHLevel2 3 5 3 2" xfId="27869"/>
    <cellStyle name="SAPBEXHLevel2 3 5 3 3" xfId="28273"/>
    <cellStyle name="SAPBEXHLevel2 3 5 3 4" xfId="26744"/>
    <cellStyle name="SAPBEXHLevel2 3 5 3 5" xfId="29825"/>
    <cellStyle name="SAPBEXHLevel2 3 5 4" xfId="27403"/>
    <cellStyle name="SAPBEXHLevel2 3 5 5" xfId="28271"/>
    <cellStyle name="SAPBEXHLevel2 3 5 6" xfId="26349"/>
    <cellStyle name="SAPBEXHLevel2 3 5 7" xfId="29823"/>
    <cellStyle name="SAPBEXHLevel2 3 6" xfId="25852"/>
    <cellStyle name="SAPBEXHLevel2 3 7" xfId="28263"/>
    <cellStyle name="SAPBEXHLevel2 3 8" xfId="29247"/>
    <cellStyle name="SAPBEXHLevel2 3 9" xfId="29815"/>
    <cellStyle name="SAPBEXHLevel2 4" xfId="122"/>
    <cellStyle name="SAPBEXHLevel2 4 2" xfId="13656"/>
    <cellStyle name="SAPBEXHLevel2 4 2 2" xfId="25494"/>
    <cellStyle name="SAPBEXHLevel2 4 2 2 2" xfId="27647"/>
    <cellStyle name="SAPBEXHLevel2 4 2 2 3" xfId="28276"/>
    <cellStyle name="SAPBEXHLevel2 4 2 2 4" xfId="26915"/>
    <cellStyle name="SAPBEXHLevel2 4 2 2 5" xfId="29828"/>
    <cellStyle name="SAPBEXHLevel2 4 2 3" xfId="26598"/>
    <cellStyle name="SAPBEXHLevel2 4 2 4" xfId="28275"/>
    <cellStyle name="SAPBEXHLevel2 4 2 5" xfId="27025"/>
    <cellStyle name="SAPBEXHLevel2 4 2 6" xfId="29827"/>
    <cellStyle name="SAPBEXHLevel2 4 3" xfId="25853"/>
    <cellStyle name="SAPBEXHLevel2 4 4" xfId="28274"/>
    <cellStyle name="SAPBEXHLevel2 4 5" xfId="29192"/>
    <cellStyle name="SAPBEXHLevel2 4 6" xfId="29826"/>
    <cellStyle name="SAPBEXHLevel2 5" xfId="254"/>
    <cellStyle name="SAPBEXHLevel2 5 2" xfId="13719"/>
    <cellStyle name="SAPBEXHLevel2 5 2 2" xfId="25532"/>
    <cellStyle name="SAPBEXHLevel2 5 2 2 2" xfId="27685"/>
    <cellStyle name="SAPBEXHLevel2 5 2 2 3" xfId="28279"/>
    <cellStyle name="SAPBEXHLevel2 5 2 2 4" xfId="26126"/>
    <cellStyle name="SAPBEXHLevel2 5 2 2 5" xfId="29831"/>
    <cellStyle name="SAPBEXHLevel2 5 2 3" xfId="26639"/>
    <cellStyle name="SAPBEXHLevel2 5 2 4" xfId="28278"/>
    <cellStyle name="SAPBEXHLevel2 5 2 5" xfId="27350"/>
    <cellStyle name="SAPBEXHLevel2 5 2 6" xfId="29830"/>
    <cellStyle name="SAPBEXHLevel2 5 3" xfId="25922"/>
    <cellStyle name="SAPBEXHLevel2 5 4" xfId="28277"/>
    <cellStyle name="SAPBEXHLevel2 5 5" xfId="28567"/>
    <cellStyle name="SAPBEXHLevel2 5 6" xfId="29829"/>
    <cellStyle name="SAPBEXHLevel2 6" xfId="13653"/>
    <cellStyle name="SAPBEXHLevel2 6 2" xfId="25491"/>
    <cellStyle name="SAPBEXHLevel2 6 2 2" xfId="27644"/>
    <cellStyle name="SAPBEXHLevel2 6 2 3" xfId="28281"/>
    <cellStyle name="SAPBEXHLevel2 6 2 4" xfId="26100"/>
    <cellStyle name="SAPBEXHLevel2 6 2 5" xfId="29833"/>
    <cellStyle name="SAPBEXHLevel2 6 3" xfId="26595"/>
    <cellStyle name="SAPBEXHLevel2 6 4" xfId="28280"/>
    <cellStyle name="SAPBEXHLevel2 6 5" xfId="26926"/>
    <cellStyle name="SAPBEXHLevel2 6 6" xfId="29832"/>
    <cellStyle name="SAPBEXHLevel2 7" xfId="24657"/>
    <cellStyle name="SAPBEXHLevel2 7 2" xfId="25300"/>
    <cellStyle name="SAPBEXHLevel2 7 2 2" xfId="27454"/>
    <cellStyle name="SAPBEXHLevel2 7 2 3" xfId="28283"/>
    <cellStyle name="SAPBEXHLevel2 7 2 4" xfId="26336"/>
    <cellStyle name="SAPBEXHLevel2 7 2 5" xfId="29835"/>
    <cellStyle name="SAPBEXHLevel2 7 3" xfId="25623"/>
    <cellStyle name="SAPBEXHLevel2 7 3 2" xfId="27776"/>
    <cellStyle name="SAPBEXHLevel2 7 3 3" xfId="28284"/>
    <cellStyle name="SAPBEXHLevel2 7 3 4" xfId="26094"/>
    <cellStyle name="SAPBEXHLevel2 7 3 5" xfId="29836"/>
    <cellStyle name="SAPBEXHLevel2 7 4" xfId="27250"/>
    <cellStyle name="SAPBEXHLevel2 7 5" xfId="28282"/>
    <cellStyle name="SAPBEXHLevel2 7 6" xfId="26465"/>
    <cellStyle name="SAPBEXHLevel2 7 7" xfId="29834"/>
    <cellStyle name="SAPBEXHLevel2 8" xfId="25116"/>
    <cellStyle name="SAPBEXHLevel2 8 2" xfId="25406"/>
    <cellStyle name="SAPBEXHLevel2 8 2 2" xfId="27560"/>
    <cellStyle name="SAPBEXHLevel2 8 2 3" xfId="28286"/>
    <cellStyle name="SAPBEXHLevel2 8 2 4" xfId="26730"/>
    <cellStyle name="SAPBEXHLevel2 8 2 5" xfId="29838"/>
    <cellStyle name="SAPBEXHLevel2 8 3" xfId="25714"/>
    <cellStyle name="SAPBEXHLevel2 8 3 2" xfId="27867"/>
    <cellStyle name="SAPBEXHLevel2 8 3 3" xfId="28287"/>
    <cellStyle name="SAPBEXHLevel2 8 3 4" xfId="26374"/>
    <cellStyle name="SAPBEXHLevel2 8 3 5" xfId="29839"/>
    <cellStyle name="SAPBEXHLevel2 8 4" xfId="27401"/>
    <cellStyle name="SAPBEXHLevel2 8 5" xfId="28285"/>
    <cellStyle name="SAPBEXHLevel2 8 6" xfId="26256"/>
    <cellStyle name="SAPBEXHLevel2 8 7" xfId="29837"/>
    <cellStyle name="SAPBEXHLevel2 9" xfId="25850"/>
    <cellStyle name="SAPBEXHLevel2X" xfId="123"/>
    <cellStyle name="SAPBEXHLevel2X 10" xfId="28288"/>
    <cellStyle name="SAPBEXHLevel2X 11" xfId="26051"/>
    <cellStyle name="SAPBEXHLevel2X 12" xfId="29840"/>
    <cellStyle name="SAPBEXHLevel2X 2" xfId="124"/>
    <cellStyle name="SAPBEXHLevel2X 2 2" xfId="13658"/>
    <cellStyle name="SAPBEXHLevel2X 2 2 2" xfId="25496"/>
    <cellStyle name="SAPBEXHLevel2X 2 2 2 2" xfId="27649"/>
    <cellStyle name="SAPBEXHLevel2X 2 2 2 3" xfId="28291"/>
    <cellStyle name="SAPBEXHLevel2X 2 2 2 4" xfId="26394"/>
    <cellStyle name="SAPBEXHLevel2X 2 2 2 5" xfId="29843"/>
    <cellStyle name="SAPBEXHLevel2X 2 2 3" xfId="26600"/>
    <cellStyle name="SAPBEXHLevel2X 2 2 4" xfId="28290"/>
    <cellStyle name="SAPBEXHLevel2X 2 2 5" xfId="26149"/>
    <cellStyle name="SAPBEXHLevel2X 2 2 6" xfId="29842"/>
    <cellStyle name="SAPBEXHLevel2X 2 3" xfId="24264"/>
    <cellStyle name="SAPBEXHLevel2X 2 3 2" xfId="25585"/>
    <cellStyle name="SAPBEXHLevel2X 2 3 2 2" xfId="27738"/>
    <cellStyle name="SAPBEXHLevel2X 2 3 2 3" xfId="28293"/>
    <cellStyle name="SAPBEXHLevel2X 2 3 2 4" xfId="27359"/>
    <cellStyle name="SAPBEXHLevel2X 2 3 2 5" xfId="29845"/>
    <cellStyle name="SAPBEXHLevel2X 2 3 3" xfId="27118"/>
    <cellStyle name="SAPBEXHLevel2X 2 3 4" xfId="28292"/>
    <cellStyle name="SAPBEXHLevel2X 2 3 5" xfId="26117"/>
    <cellStyle name="SAPBEXHLevel2X 2 3 6" xfId="29844"/>
    <cellStyle name="SAPBEXHLevel2X 2 4" xfId="24653"/>
    <cellStyle name="SAPBEXHLevel2X 2 4 2" xfId="25434"/>
    <cellStyle name="SAPBEXHLevel2X 2 4 2 2" xfId="27588"/>
    <cellStyle name="SAPBEXHLevel2X 2 4 2 3" xfId="28295"/>
    <cellStyle name="SAPBEXHLevel2X 2 4 2 4" xfId="26763"/>
    <cellStyle name="SAPBEXHLevel2X 2 4 2 5" xfId="29847"/>
    <cellStyle name="SAPBEXHLevel2X 2 4 3" xfId="25619"/>
    <cellStyle name="SAPBEXHLevel2X 2 4 3 2" xfId="27772"/>
    <cellStyle name="SAPBEXHLevel2X 2 4 3 3" xfId="28296"/>
    <cellStyle name="SAPBEXHLevel2X 2 4 3 4" xfId="26850"/>
    <cellStyle name="SAPBEXHLevel2X 2 4 3 5" xfId="29848"/>
    <cellStyle name="SAPBEXHLevel2X 2 4 4" xfId="27246"/>
    <cellStyle name="SAPBEXHLevel2X 2 4 5" xfId="28294"/>
    <cellStyle name="SAPBEXHLevel2X 2 4 6" xfId="27006"/>
    <cellStyle name="SAPBEXHLevel2X 2 4 7" xfId="29846"/>
    <cellStyle name="SAPBEXHLevel2X 2 5" xfId="25120"/>
    <cellStyle name="SAPBEXHLevel2X 2 5 2" xfId="25437"/>
    <cellStyle name="SAPBEXHLevel2X 2 5 2 2" xfId="27591"/>
    <cellStyle name="SAPBEXHLevel2X 2 5 2 3" xfId="28298"/>
    <cellStyle name="SAPBEXHLevel2X 2 5 2 4" xfId="26507"/>
    <cellStyle name="SAPBEXHLevel2X 2 5 2 5" xfId="29850"/>
    <cellStyle name="SAPBEXHLevel2X 2 5 3" xfId="25718"/>
    <cellStyle name="SAPBEXHLevel2X 2 5 3 2" xfId="27871"/>
    <cellStyle name="SAPBEXHLevel2X 2 5 3 3" xfId="28299"/>
    <cellStyle name="SAPBEXHLevel2X 2 5 3 4" xfId="26528"/>
    <cellStyle name="SAPBEXHLevel2X 2 5 3 5" xfId="29851"/>
    <cellStyle name="SAPBEXHLevel2X 2 5 4" xfId="27405"/>
    <cellStyle name="SAPBEXHLevel2X 2 5 5" xfId="28297"/>
    <cellStyle name="SAPBEXHLevel2X 2 5 6" xfId="26732"/>
    <cellStyle name="SAPBEXHLevel2X 2 5 7" xfId="29849"/>
    <cellStyle name="SAPBEXHLevel2X 2 6" xfId="25855"/>
    <cellStyle name="SAPBEXHLevel2X 2 7" xfId="28289"/>
    <cellStyle name="SAPBEXHLevel2X 2 8" xfId="29232"/>
    <cellStyle name="SAPBEXHLevel2X 2 9" xfId="29841"/>
    <cellStyle name="SAPBEXHLevel2X 3" xfId="125"/>
    <cellStyle name="SAPBEXHLevel2X 3 2" xfId="13659"/>
    <cellStyle name="SAPBEXHLevel2X 3 2 2" xfId="25497"/>
    <cellStyle name="SAPBEXHLevel2X 3 2 2 2" xfId="27650"/>
    <cellStyle name="SAPBEXHLevel2X 3 2 2 3" xfId="28302"/>
    <cellStyle name="SAPBEXHLevel2X 3 2 2 4" xfId="26312"/>
    <cellStyle name="SAPBEXHLevel2X 3 2 2 5" xfId="29854"/>
    <cellStyle name="SAPBEXHLevel2X 3 2 3" xfId="26601"/>
    <cellStyle name="SAPBEXHLevel2X 3 2 4" xfId="28301"/>
    <cellStyle name="SAPBEXHLevel2X 3 2 5" xfId="26535"/>
    <cellStyle name="SAPBEXHLevel2X 3 2 6" xfId="29853"/>
    <cellStyle name="SAPBEXHLevel2X 3 3" xfId="24265"/>
    <cellStyle name="SAPBEXHLevel2X 3 3 2" xfId="25586"/>
    <cellStyle name="SAPBEXHLevel2X 3 3 2 2" xfId="27739"/>
    <cellStyle name="SAPBEXHLevel2X 3 3 2 3" xfId="28304"/>
    <cellStyle name="SAPBEXHLevel2X 3 3 2 4" xfId="26815"/>
    <cellStyle name="SAPBEXHLevel2X 3 3 2 5" xfId="29856"/>
    <cellStyle name="SAPBEXHLevel2X 3 3 3" xfId="27119"/>
    <cellStyle name="SAPBEXHLevel2X 3 3 4" xfId="28303"/>
    <cellStyle name="SAPBEXHLevel2X 3 3 5" xfId="26319"/>
    <cellStyle name="SAPBEXHLevel2X 3 3 6" xfId="29855"/>
    <cellStyle name="SAPBEXHLevel2X 3 4" xfId="24652"/>
    <cellStyle name="SAPBEXHLevel2X 3 4 2" xfId="25333"/>
    <cellStyle name="SAPBEXHLevel2X 3 4 2 2" xfId="27487"/>
    <cellStyle name="SAPBEXHLevel2X 3 4 2 3" xfId="28306"/>
    <cellStyle name="SAPBEXHLevel2X 3 4 2 4" xfId="26363"/>
    <cellStyle name="SAPBEXHLevel2X 3 4 2 5" xfId="29858"/>
    <cellStyle name="SAPBEXHLevel2X 3 4 3" xfId="25618"/>
    <cellStyle name="SAPBEXHLevel2X 3 4 3 2" xfId="27771"/>
    <cellStyle name="SAPBEXHLevel2X 3 4 3 3" xfId="28307"/>
    <cellStyle name="SAPBEXHLevel2X 3 4 3 4" xfId="26516"/>
    <cellStyle name="SAPBEXHLevel2X 3 4 3 5" xfId="29859"/>
    <cellStyle name="SAPBEXHLevel2X 3 4 4" xfId="27245"/>
    <cellStyle name="SAPBEXHLevel2X 3 4 5" xfId="28305"/>
    <cellStyle name="SAPBEXHLevel2X 3 4 6" xfId="26711"/>
    <cellStyle name="SAPBEXHLevel2X 3 4 7" xfId="29857"/>
    <cellStyle name="SAPBEXHLevel2X 3 5" xfId="25121"/>
    <cellStyle name="SAPBEXHLevel2X 3 5 2" xfId="25354"/>
    <cellStyle name="SAPBEXHLevel2X 3 5 2 2" xfId="27508"/>
    <cellStyle name="SAPBEXHLevel2X 3 5 2 3" xfId="28309"/>
    <cellStyle name="SAPBEXHLevel2X 3 5 2 4" xfId="26955"/>
    <cellStyle name="SAPBEXHLevel2X 3 5 2 5" xfId="29861"/>
    <cellStyle name="SAPBEXHLevel2X 3 5 3" xfId="25719"/>
    <cellStyle name="SAPBEXHLevel2X 3 5 3 2" xfId="27872"/>
    <cellStyle name="SAPBEXHLevel2X 3 5 3 3" xfId="28310"/>
    <cellStyle name="SAPBEXHLevel2X 3 5 3 4" xfId="26513"/>
    <cellStyle name="SAPBEXHLevel2X 3 5 3 5" xfId="29862"/>
    <cellStyle name="SAPBEXHLevel2X 3 5 4" xfId="27406"/>
    <cellStyle name="SAPBEXHLevel2X 3 5 5" xfId="28308"/>
    <cellStyle name="SAPBEXHLevel2X 3 5 6" xfId="26141"/>
    <cellStyle name="SAPBEXHLevel2X 3 5 7" xfId="29860"/>
    <cellStyle name="SAPBEXHLevel2X 3 6" xfId="25856"/>
    <cellStyle name="SAPBEXHLevel2X 3 7" xfId="28300"/>
    <cellStyle name="SAPBEXHLevel2X 3 8" xfId="29214"/>
    <cellStyle name="SAPBEXHLevel2X 3 9" xfId="29852"/>
    <cellStyle name="SAPBEXHLevel2X 4" xfId="126"/>
    <cellStyle name="SAPBEXHLevel2X 4 2" xfId="13660"/>
    <cellStyle name="SAPBEXHLevel2X 4 2 2" xfId="25498"/>
    <cellStyle name="SAPBEXHLevel2X 4 2 2 2" xfId="27651"/>
    <cellStyle name="SAPBEXHLevel2X 4 2 2 3" xfId="28313"/>
    <cellStyle name="SAPBEXHLevel2X 4 2 2 4" xfId="27348"/>
    <cellStyle name="SAPBEXHLevel2X 4 2 2 5" xfId="29865"/>
    <cellStyle name="SAPBEXHLevel2X 4 2 3" xfId="26602"/>
    <cellStyle name="SAPBEXHLevel2X 4 2 4" xfId="28312"/>
    <cellStyle name="SAPBEXHLevel2X 4 2 5" xfId="27082"/>
    <cellStyle name="SAPBEXHLevel2X 4 2 6" xfId="29864"/>
    <cellStyle name="SAPBEXHLevel2X 4 3" xfId="25857"/>
    <cellStyle name="SAPBEXHLevel2X 4 4" xfId="28311"/>
    <cellStyle name="SAPBEXHLevel2X 4 5" xfId="26370"/>
    <cellStyle name="SAPBEXHLevel2X 4 6" xfId="29863"/>
    <cellStyle name="SAPBEXHLevel2X 5" xfId="255"/>
    <cellStyle name="SAPBEXHLevel2X 5 2" xfId="13720"/>
    <cellStyle name="SAPBEXHLevel2X 5 2 2" xfId="25533"/>
    <cellStyle name="SAPBEXHLevel2X 5 2 2 2" xfId="27686"/>
    <cellStyle name="SAPBEXHLevel2X 5 2 2 3" xfId="28316"/>
    <cellStyle name="SAPBEXHLevel2X 5 2 2 4" xfId="26214"/>
    <cellStyle name="SAPBEXHLevel2X 5 2 2 5" xfId="29868"/>
    <cellStyle name="SAPBEXHLevel2X 5 2 3" xfId="26640"/>
    <cellStyle name="SAPBEXHLevel2X 5 2 4" xfId="28315"/>
    <cellStyle name="SAPBEXHLevel2X 5 2 5" xfId="27008"/>
    <cellStyle name="SAPBEXHLevel2X 5 2 6" xfId="29867"/>
    <cellStyle name="SAPBEXHLevel2X 5 3" xfId="25923"/>
    <cellStyle name="SAPBEXHLevel2X 5 4" xfId="28314"/>
    <cellStyle name="SAPBEXHLevel2X 5 5" xfId="27924"/>
    <cellStyle name="SAPBEXHLevel2X 5 6" xfId="29866"/>
    <cellStyle name="SAPBEXHLevel2X 6" xfId="13657"/>
    <cellStyle name="SAPBEXHLevel2X 6 2" xfId="25495"/>
    <cellStyle name="SAPBEXHLevel2X 6 2 2" xfId="27648"/>
    <cellStyle name="SAPBEXHLevel2X 6 2 3" xfId="28318"/>
    <cellStyle name="SAPBEXHLevel2X 6 2 4" xfId="27321"/>
    <cellStyle name="SAPBEXHLevel2X 6 2 5" xfId="29870"/>
    <cellStyle name="SAPBEXHLevel2X 6 3" xfId="26599"/>
    <cellStyle name="SAPBEXHLevel2X 6 4" xfId="28317"/>
    <cellStyle name="SAPBEXHLevel2X 6 5" xfId="26352"/>
    <cellStyle name="SAPBEXHLevel2X 6 6" xfId="29869"/>
    <cellStyle name="SAPBEXHLevel2X 7" xfId="24654"/>
    <cellStyle name="SAPBEXHLevel2X 7 2" xfId="25350"/>
    <cellStyle name="SAPBEXHLevel2X 7 2 2" xfId="27504"/>
    <cellStyle name="SAPBEXHLevel2X 7 2 3" xfId="28320"/>
    <cellStyle name="SAPBEXHLevel2X 7 2 4" xfId="26206"/>
    <cellStyle name="SAPBEXHLevel2X 7 2 5" xfId="29872"/>
    <cellStyle name="SAPBEXHLevel2X 7 3" xfId="25620"/>
    <cellStyle name="SAPBEXHLevel2X 7 3 2" xfId="27773"/>
    <cellStyle name="SAPBEXHLevel2X 7 3 3" xfId="28321"/>
    <cellStyle name="SAPBEXHLevel2X 7 3 4" xfId="26888"/>
    <cellStyle name="SAPBEXHLevel2X 7 3 5" xfId="29873"/>
    <cellStyle name="SAPBEXHLevel2X 7 4" xfId="27247"/>
    <cellStyle name="SAPBEXHLevel2X 7 5" xfId="28319"/>
    <cellStyle name="SAPBEXHLevel2X 7 6" xfId="26115"/>
    <cellStyle name="SAPBEXHLevel2X 7 7" xfId="29871"/>
    <cellStyle name="SAPBEXHLevel2X 8" xfId="25119"/>
    <cellStyle name="SAPBEXHLevel2X 8 2" xfId="25337"/>
    <cellStyle name="SAPBEXHLevel2X 8 2 2" xfId="27491"/>
    <cellStyle name="SAPBEXHLevel2X 8 2 3" xfId="28323"/>
    <cellStyle name="SAPBEXHLevel2X 8 2 4" xfId="26138"/>
    <cellStyle name="SAPBEXHLevel2X 8 2 5" xfId="29875"/>
    <cellStyle name="SAPBEXHLevel2X 8 3" xfId="25717"/>
    <cellStyle name="SAPBEXHLevel2X 8 3 2" xfId="27870"/>
    <cellStyle name="SAPBEXHLevel2X 8 3 3" xfId="28324"/>
    <cellStyle name="SAPBEXHLevel2X 8 3 4" xfId="26822"/>
    <cellStyle name="SAPBEXHLevel2X 8 3 5" xfId="29876"/>
    <cellStyle name="SAPBEXHLevel2X 8 4" xfId="27404"/>
    <cellStyle name="SAPBEXHLevel2X 8 5" xfId="28322"/>
    <cellStyle name="SAPBEXHLevel2X 8 6" xfId="26826"/>
    <cellStyle name="SAPBEXHLevel2X 8 7" xfId="29874"/>
    <cellStyle name="SAPBEXHLevel2X 9" xfId="25854"/>
    <cellStyle name="SAPBEXHLevel3" xfId="127"/>
    <cellStyle name="SAPBEXHLevel3 10" xfId="28325"/>
    <cellStyle name="SAPBEXHLevel3 11" xfId="26726"/>
    <cellStyle name="SAPBEXHLevel3 12" xfId="29877"/>
    <cellStyle name="SAPBEXHLevel3 2" xfId="128"/>
    <cellStyle name="SAPBEXHLevel3 2 2" xfId="13662"/>
    <cellStyle name="SAPBEXHLevel3 2 2 2" xfId="25500"/>
    <cellStyle name="SAPBEXHLevel3 2 2 2 2" xfId="27653"/>
    <cellStyle name="SAPBEXHLevel3 2 2 2 3" xfId="28328"/>
    <cellStyle name="SAPBEXHLevel3 2 2 2 4" xfId="26782"/>
    <cellStyle name="SAPBEXHLevel3 2 2 2 5" xfId="29880"/>
    <cellStyle name="SAPBEXHLevel3 2 2 3" xfId="26604"/>
    <cellStyle name="SAPBEXHLevel3 2 2 4" xfId="28327"/>
    <cellStyle name="SAPBEXHLevel3 2 2 5" xfId="26542"/>
    <cellStyle name="SAPBEXHLevel3 2 2 6" xfId="29879"/>
    <cellStyle name="SAPBEXHLevel3 2 3" xfId="24266"/>
    <cellStyle name="SAPBEXHLevel3 2 3 2" xfId="25587"/>
    <cellStyle name="SAPBEXHLevel3 2 3 2 2" xfId="27740"/>
    <cellStyle name="SAPBEXHLevel3 2 3 2 3" xfId="28330"/>
    <cellStyle name="SAPBEXHLevel3 2 3 2 4" xfId="26451"/>
    <cellStyle name="SAPBEXHLevel3 2 3 2 5" xfId="29882"/>
    <cellStyle name="SAPBEXHLevel3 2 3 3" xfId="27120"/>
    <cellStyle name="SAPBEXHLevel3 2 3 4" xfId="28329"/>
    <cellStyle name="SAPBEXHLevel3 2 3 5" xfId="26176"/>
    <cellStyle name="SAPBEXHLevel3 2 3 6" xfId="29881"/>
    <cellStyle name="SAPBEXHLevel3 2 4" xfId="24650"/>
    <cellStyle name="SAPBEXHLevel3 2 4 2" xfId="25317"/>
    <cellStyle name="SAPBEXHLevel3 2 4 2 2" xfId="27471"/>
    <cellStyle name="SAPBEXHLevel3 2 4 2 3" xfId="28332"/>
    <cellStyle name="SAPBEXHLevel3 2 4 2 4" xfId="26320"/>
    <cellStyle name="SAPBEXHLevel3 2 4 2 5" xfId="29884"/>
    <cellStyle name="SAPBEXHLevel3 2 4 3" xfId="25616"/>
    <cellStyle name="SAPBEXHLevel3 2 4 3 2" xfId="27769"/>
    <cellStyle name="SAPBEXHLevel3 2 4 3 3" xfId="28333"/>
    <cellStyle name="SAPBEXHLevel3 2 4 3 4" xfId="26124"/>
    <cellStyle name="SAPBEXHLevel3 2 4 3 5" xfId="29885"/>
    <cellStyle name="SAPBEXHLevel3 2 4 4" xfId="27243"/>
    <cellStyle name="SAPBEXHLevel3 2 4 5" xfId="28331"/>
    <cellStyle name="SAPBEXHLevel3 2 4 6" xfId="26779"/>
    <cellStyle name="SAPBEXHLevel3 2 4 7" xfId="29883"/>
    <cellStyle name="SAPBEXHLevel3 2 5" xfId="25123"/>
    <cellStyle name="SAPBEXHLevel3 2 5 2" xfId="25402"/>
    <cellStyle name="SAPBEXHLevel3 2 5 2 2" xfId="27556"/>
    <cellStyle name="SAPBEXHLevel3 2 5 2 3" xfId="28335"/>
    <cellStyle name="SAPBEXHLevel3 2 5 2 4" xfId="26989"/>
    <cellStyle name="SAPBEXHLevel3 2 5 2 5" xfId="29887"/>
    <cellStyle name="SAPBEXHLevel3 2 5 3" xfId="25721"/>
    <cellStyle name="SAPBEXHLevel3 2 5 3 2" xfId="27874"/>
    <cellStyle name="SAPBEXHLevel3 2 5 3 3" xfId="28336"/>
    <cellStyle name="SAPBEXHLevel3 2 5 3 4" xfId="26130"/>
    <cellStyle name="SAPBEXHLevel3 2 5 3 5" xfId="29888"/>
    <cellStyle name="SAPBEXHLevel3 2 5 4" xfId="27408"/>
    <cellStyle name="SAPBEXHLevel3 2 5 5" xfId="28334"/>
    <cellStyle name="SAPBEXHLevel3 2 5 6" xfId="26958"/>
    <cellStyle name="SAPBEXHLevel3 2 5 7" xfId="29886"/>
    <cellStyle name="SAPBEXHLevel3 2 6" xfId="25859"/>
    <cellStyle name="SAPBEXHLevel3 2 7" xfId="28326"/>
    <cellStyle name="SAPBEXHLevel3 2 8" xfId="26803"/>
    <cellStyle name="SAPBEXHLevel3 2 9" xfId="29878"/>
    <cellStyle name="SAPBEXHLevel3 3" xfId="129"/>
    <cellStyle name="SAPBEXHLevel3 3 2" xfId="13663"/>
    <cellStyle name="SAPBEXHLevel3 3 2 2" xfId="25501"/>
    <cellStyle name="SAPBEXHLevel3 3 2 2 2" xfId="27654"/>
    <cellStyle name="SAPBEXHLevel3 3 2 2 3" xfId="28339"/>
    <cellStyle name="SAPBEXHLevel3 3 2 2 4" xfId="26540"/>
    <cellStyle name="SAPBEXHLevel3 3 2 2 5" xfId="29891"/>
    <cellStyle name="SAPBEXHLevel3 3 2 3" xfId="26605"/>
    <cellStyle name="SAPBEXHLevel3 3 2 4" xfId="28338"/>
    <cellStyle name="SAPBEXHLevel3 3 2 5" xfId="26712"/>
    <cellStyle name="SAPBEXHLevel3 3 2 6" xfId="29890"/>
    <cellStyle name="SAPBEXHLevel3 3 3" xfId="24267"/>
    <cellStyle name="SAPBEXHLevel3 3 3 2" xfId="25588"/>
    <cellStyle name="SAPBEXHLevel3 3 3 2 2" xfId="27741"/>
    <cellStyle name="SAPBEXHLevel3 3 3 2 3" xfId="28341"/>
    <cellStyle name="SAPBEXHLevel3 3 3 2 4" xfId="26688"/>
    <cellStyle name="SAPBEXHLevel3 3 3 2 5" xfId="29893"/>
    <cellStyle name="SAPBEXHLevel3 3 3 3" xfId="27121"/>
    <cellStyle name="SAPBEXHLevel3 3 3 4" xfId="28340"/>
    <cellStyle name="SAPBEXHLevel3 3 3 5" xfId="26288"/>
    <cellStyle name="SAPBEXHLevel3 3 3 6" xfId="29892"/>
    <cellStyle name="SAPBEXHLevel3 3 4" xfId="24649"/>
    <cellStyle name="SAPBEXHLevel3 3 4 2" xfId="25405"/>
    <cellStyle name="SAPBEXHLevel3 3 4 2 2" xfId="27559"/>
    <cellStyle name="SAPBEXHLevel3 3 4 2 3" xfId="28343"/>
    <cellStyle name="SAPBEXHLevel3 3 4 2 4" xfId="26748"/>
    <cellStyle name="SAPBEXHLevel3 3 4 2 5" xfId="29895"/>
    <cellStyle name="SAPBEXHLevel3 3 4 3" xfId="25615"/>
    <cellStyle name="SAPBEXHLevel3 3 4 3 2" xfId="27768"/>
    <cellStyle name="SAPBEXHLevel3 3 4 3 3" xfId="28344"/>
    <cellStyle name="SAPBEXHLevel3 3 4 3 4" xfId="26282"/>
    <cellStyle name="SAPBEXHLevel3 3 4 3 5" xfId="29896"/>
    <cellStyle name="SAPBEXHLevel3 3 4 4" xfId="27242"/>
    <cellStyle name="SAPBEXHLevel3 3 4 5" xfId="28342"/>
    <cellStyle name="SAPBEXHLevel3 3 4 6" xfId="26368"/>
    <cellStyle name="SAPBEXHLevel3 3 4 7" xfId="29894"/>
    <cellStyle name="SAPBEXHLevel3 3 5" xfId="25124"/>
    <cellStyle name="SAPBEXHLevel3 3 5 2" xfId="25313"/>
    <cellStyle name="SAPBEXHLevel3 3 5 2 2" xfId="27467"/>
    <cellStyle name="SAPBEXHLevel3 3 5 2 3" xfId="28346"/>
    <cellStyle name="SAPBEXHLevel3 3 5 2 4" xfId="26766"/>
    <cellStyle name="SAPBEXHLevel3 3 5 2 5" xfId="29898"/>
    <cellStyle name="SAPBEXHLevel3 3 5 3" xfId="25722"/>
    <cellStyle name="SAPBEXHLevel3 3 5 3 2" xfId="27875"/>
    <cellStyle name="SAPBEXHLevel3 3 5 3 3" xfId="28347"/>
    <cellStyle name="SAPBEXHLevel3 3 5 3 4" xfId="26947"/>
    <cellStyle name="SAPBEXHLevel3 3 5 3 5" xfId="29899"/>
    <cellStyle name="SAPBEXHLevel3 3 5 4" xfId="27409"/>
    <cellStyle name="SAPBEXHLevel3 3 5 5" xfId="28345"/>
    <cellStyle name="SAPBEXHLevel3 3 5 6" xfId="26250"/>
    <cellStyle name="SAPBEXHLevel3 3 5 7" xfId="29897"/>
    <cellStyle name="SAPBEXHLevel3 3 6" xfId="25860"/>
    <cellStyle name="SAPBEXHLevel3 3 7" xfId="28337"/>
    <cellStyle name="SAPBEXHLevel3 3 8" xfId="26277"/>
    <cellStyle name="SAPBEXHLevel3 3 9" xfId="29889"/>
    <cellStyle name="SAPBEXHLevel3 4" xfId="130"/>
    <cellStyle name="SAPBEXHLevel3 4 2" xfId="13664"/>
    <cellStyle name="SAPBEXHLevel3 4 2 2" xfId="25502"/>
    <cellStyle name="SAPBEXHLevel3 4 2 2 2" xfId="27655"/>
    <cellStyle name="SAPBEXHLevel3 4 2 2 3" xfId="28350"/>
    <cellStyle name="SAPBEXHLevel3 4 2 2 4" xfId="26709"/>
    <cellStyle name="SAPBEXHLevel3 4 2 2 5" xfId="29902"/>
    <cellStyle name="SAPBEXHLevel3 4 2 3" xfId="26606"/>
    <cellStyle name="SAPBEXHLevel3 4 2 4" xfId="28349"/>
    <cellStyle name="SAPBEXHLevel3 4 2 5" xfId="26531"/>
    <cellStyle name="SAPBEXHLevel3 4 2 6" xfId="29901"/>
    <cellStyle name="SAPBEXHLevel3 4 3" xfId="25861"/>
    <cellStyle name="SAPBEXHLevel3 4 4" xfId="28348"/>
    <cellStyle name="SAPBEXHLevel3 4 5" xfId="26872"/>
    <cellStyle name="SAPBEXHLevel3 4 6" xfId="29900"/>
    <cellStyle name="SAPBEXHLevel3 5" xfId="256"/>
    <cellStyle name="SAPBEXHLevel3 5 2" xfId="13721"/>
    <cellStyle name="SAPBEXHLevel3 5 2 2" xfId="25534"/>
    <cellStyle name="SAPBEXHLevel3 5 2 2 2" xfId="27687"/>
    <cellStyle name="SAPBEXHLevel3 5 2 2 3" xfId="28353"/>
    <cellStyle name="SAPBEXHLevel3 5 2 2 4" xfId="26367"/>
    <cellStyle name="SAPBEXHLevel3 5 2 2 5" xfId="29905"/>
    <cellStyle name="SAPBEXHLevel3 5 2 3" xfId="26641"/>
    <cellStyle name="SAPBEXHLevel3 5 2 4" xfId="28352"/>
    <cellStyle name="SAPBEXHLevel3 5 2 5" xfId="26147"/>
    <cellStyle name="SAPBEXHLevel3 5 2 6" xfId="29904"/>
    <cellStyle name="SAPBEXHLevel3 5 3" xfId="25924"/>
    <cellStyle name="SAPBEXHLevel3 5 4" xfId="28351"/>
    <cellStyle name="SAPBEXHLevel3 5 5" xfId="27925"/>
    <cellStyle name="SAPBEXHLevel3 5 6" xfId="29903"/>
    <cellStyle name="SAPBEXHLevel3 6" xfId="13661"/>
    <cellStyle name="SAPBEXHLevel3 6 2" xfId="25499"/>
    <cellStyle name="SAPBEXHLevel3 6 2 2" xfId="27652"/>
    <cellStyle name="SAPBEXHLevel3 6 2 3" xfId="28355"/>
    <cellStyle name="SAPBEXHLevel3 6 2 4" xfId="26794"/>
    <cellStyle name="SAPBEXHLevel3 6 2 5" xfId="29907"/>
    <cellStyle name="SAPBEXHLevel3 6 3" xfId="26603"/>
    <cellStyle name="SAPBEXHLevel3 6 4" xfId="28354"/>
    <cellStyle name="SAPBEXHLevel3 6 5" xfId="26393"/>
    <cellStyle name="SAPBEXHLevel3 6 6" xfId="29906"/>
    <cellStyle name="SAPBEXHLevel3 7" xfId="24651"/>
    <cellStyle name="SAPBEXHLevel3 7 2" xfId="25418"/>
    <cellStyle name="SAPBEXHLevel3 7 2 2" xfId="27572"/>
    <cellStyle name="SAPBEXHLevel3 7 2 3" xfId="28357"/>
    <cellStyle name="SAPBEXHLevel3 7 2 4" xfId="26385"/>
    <cellStyle name="SAPBEXHLevel3 7 2 5" xfId="29909"/>
    <cellStyle name="SAPBEXHLevel3 7 3" xfId="25617"/>
    <cellStyle name="SAPBEXHLevel3 7 3 2" xfId="27770"/>
    <cellStyle name="SAPBEXHLevel3 7 3 3" xfId="28358"/>
    <cellStyle name="SAPBEXHLevel3 7 3 4" xfId="27042"/>
    <cellStyle name="SAPBEXHLevel3 7 3 5" xfId="29910"/>
    <cellStyle name="SAPBEXHLevel3 7 4" xfId="27244"/>
    <cellStyle name="SAPBEXHLevel3 7 5" xfId="28356"/>
    <cellStyle name="SAPBEXHLevel3 7 6" xfId="26436"/>
    <cellStyle name="SAPBEXHLevel3 7 7" xfId="29908"/>
    <cellStyle name="SAPBEXHLevel3 8" xfId="25122"/>
    <cellStyle name="SAPBEXHLevel3 8 2" xfId="25388"/>
    <cellStyle name="SAPBEXHLevel3 8 2 2" xfId="27542"/>
    <cellStyle name="SAPBEXHLevel3 8 2 3" xfId="28360"/>
    <cellStyle name="SAPBEXHLevel3 8 2 4" xfId="26167"/>
    <cellStyle name="SAPBEXHLevel3 8 2 5" xfId="29912"/>
    <cellStyle name="SAPBEXHLevel3 8 3" xfId="25720"/>
    <cellStyle name="SAPBEXHLevel3 8 3 2" xfId="27873"/>
    <cellStyle name="SAPBEXHLevel3 8 3 3" xfId="28361"/>
    <cellStyle name="SAPBEXHLevel3 8 3 4" xfId="27007"/>
    <cellStyle name="SAPBEXHLevel3 8 3 5" xfId="29913"/>
    <cellStyle name="SAPBEXHLevel3 8 4" xfId="27407"/>
    <cellStyle name="SAPBEXHLevel3 8 5" xfId="28359"/>
    <cellStyle name="SAPBEXHLevel3 8 6" xfId="27011"/>
    <cellStyle name="SAPBEXHLevel3 8 7" xfId="29911"/>
    <cellStyle name="SAPBEXHLevel3 9" xfId="25858"/>
    <cellStyle name="SAPBEXHLevel3X" xfId="131"/>
    <cellStyle name="SAPBEXHLevel3X 10" xfId="28362"/>
    <cellStyle name="SAPBEXHLevel3X 11" xfId="26346"/>
    <cellStyle name="SAPBEXHLevel3X 12" xfId="29914"/>
    <cellStyle name="SAPBEXHLevel3X 2" xfId="132"/>
    <cellStyle name="SAPBEXHLevel3X 2 2" xfId="13666"/>
    <cellStyle name="SAPBEXHLevel3X 2 2 2" xfId="25504"/>
    <cellStyle name="SAPBEXHLevel3X 2 2 2 2" xfId="27657"/>
    <cellStyle name="SAPBEXHLevel3X 2 2 2 3" xfId="28365"/>
    <cellStyle name="SAPBEXHLevel3X 2 2 2 4" xfId="26988"/>
    <cellStyle name="SAPBEXHLevel3X 2 2 2 5" xfId="29917"/>
    <cellStyle name="SAPBEXHLevel3X 2 2 3" xfId="26608"/>
    <cellStyle name="SAPBEXHLevel3X 2 2 4" xfId="28364"/>
    <cellStyle name="SAPBEXHLevel3X 2 2 5" xfId="26389"/>
    <cellStyle name="SAPBEXHLevel3X 2 2 6" xfId="29916"/>
    <cellStyle name="SAPBEXHLevel3X 2 3" xfId="24268"/>
    <cellStyle name="SAPBEXHLevel3X 2 3 2" xfId="25589"/>
    <cellStyle name="SAPBEXHLevel3X 2 3 2 2" xfId="27742"/>
    <cellStyle name="SAPBEXHLevel3X 2 3 2 3" xfId="28367"/>
    <cellStyle name="SAPBEXHLevel3X 2 3 2 4" xfId="26922"/>
    <cellStyle name="SAPBEXHLevel3X 2 3 2 5" xfId="29919"/>
    <cellStyle name="SAPBEXHLevel3X 2 3 3" xfId="27122"/>
    <cellStyle name="SAPBEXHLevel3X 2 3 4" xfId="28366"/>
    <cellStyle name="SAPBEXHLevel3X 2 3 5" xfId="27164"/>
    <cellStyle name="SAPBEXHLevel3X 2 3 6" xfId="29918"/>
    <cellStyle name="SAPBEXHLevel3X 2 4" xfId="24647"/>
    <cellStyle name="SAPBEXHLevel3X 2 4 2" xfId="25358"/>
    <cellStyle name="SAPBEXHLevel3X 2 4 2 2" xfId="27512"/>
    <cellStyle name="SAPBEXHLevel3X 2 4 2 3" xfId="28369"/>
    <cellStyle name="SAPBEXHLevel3X 2 4 2 4" xfId="26137"/>
    <cellStyle name="SAPBEXHLevel3X 2 4 2 5" xfId="29921"/>
    <cellStyle name="SAPBEXHLevel3X 2 4 3" xfId="25613"/>
    <cellStyle name="SAPBEXHLevel3X 2 4 3 2" xfId="27766"/>
    <cellStyle name="SAPBEXHLevel3X 2 4 3 3" xfId="28370"/>
    <cellStyle name="SAPBEXHLevel3X 2 4 3 4" xfId="26416"/>
    <cellStyle name="SAPBEXHLevel3X 2 4 3 5" xfId="29922"/>
    <cellStyle name="SAPBEXHLevel3X 2 4 4" xfId="27240"/>
    <cellStyle name="SAPBEXHLevel3X 2 4 5" xfId="28368"/>
    <cellStyle name="SAPBEXHLevel3X 2 4 6" xfId="26145"/>
    <cellStyle name="SAPBEXHLevel3X 2 4 7" xfId="29920"/>
    <cellStyle name="SAPBEXHLevel3X 2 5" xfId="25126"/>
    <cellStyle name="SAPBEXHLevel3X 2 5 2" xfId="25327"/>
    <cellStyle name="SAPBEXHLevel3X 2 5 2 2" xfId="27481"/>
    <cellStyle name="SAPBEXHLevel3X 2 5 2 3" xfId="28372"/>
    <cellStyle name="SAPBEXHLevel3X 2 5 2 4" xfId="27084"/>
    <cellStyle name="SAPBEXHLevel3X 2 5 2 5" xfId="29924"/>
    <cellStyle name="SAPBEXHLevel3X 2 5 3" xfId="25724"/>
    <cellStyle name="SAPBEXHLevel3X 2 5 3 2" xfId="27877"/>
    <cellStyle name="SAPBEXHLevel3X 2 5 3 3" xfId="28373"/>
    <cellStyle name="SAPBEXHLevel3X 2 5 3 4" xfId="26467"/>
    <cellStyle name="SAPBEXHLevel3X 2 5 3 5" xfId="29925"/>
    <cellStyle name="SAPBEXHLevel3X 2 5 4" xfId="27411"/>
    <cellStyle name="SAPBEXHLevel3X 2 5 5" xfId="28371"/>
    <cellStyle name="SAPBEXHLevel3X 2 5 6" xfId="27349"/>
    <cellStyle name="SAPBEXHLevel3X 2 5 7" xfId="29923"/>
    <cellStyle name="SAPBEXHLevel3X 2 6" xfId="25863"/>
    <cellStyle name="SAPBEXHLevel3X 2 7" xfId="28363"/>
    <cellStyle name="SAPBEXHLevel3X 2 8" xfId="26938"/>
    <cellStyle name="SAPBEXHLevel3X 2 9" xfId="29915"/>
    <cellStyle name="SAPBEXHLevel3X 3" xfId="133"/>
    <cellStyle name="SAPBEXHLevel3X 3 2" xfId="13667"/>
    <cellStyle name="SAPBEXHLevel3X 3 2 2" xfId="25505"/>
    <cellStyle name="SAPBEXHLevel3X 3 2 2 2" xfId="27658"/>
    <cellStyle name="SAPBEXHLevel3X 3 2 2 3" xfId="28376"/>
    <cellStyle name="SAPBEXHLevel3X 3 2 2 4" xfId="26387"/>
    <cellStyle name="SAPBEXHLevel3X 3 2 2 5" xfId="29928"/>
    <cellStyle name="SAPBEXHLevel3X 3 2 3" xfId="26609"/>
    <cellStyle name="SAPBEXHLevel3X 3 2 4" xfId="28375"/>
    <cellStyle name="SAPBEXHLevel3X 3 2 5" xfId="26227"/>
    <cellStyle name="SAPBEXHLevel3X 3 2 6" xfId="29927"/>
    <cellStyle name="SAPBEXHLevel3X 3 3" xfId="24269"/>
    <cellStyle name="SAPBEXHLevel3X 3 3 2" xfId="25590"/>
    <cellStyle name="SAPBEXHLevel3X 3 3 2 2" xfId="27743"/>
    <cellStyle name="SAPBEXHLevel3X 3 3 2 3" xfId="28378"/>
    <cellStyle name="SAPBEXHLevel3X 3 3 2 4" xfId="26856"/>
    <cellStyle name="SAPBEXHLevel3X 3 3 2 5" xfId="29930"/>
    <cellStyle name="SAPBEXHLevel3X 3 3 3" xfId="27123"/>
    <cellStyle name="SAPBEXHLevel3X 3 3 4" xfId="28377"/>
    <cellStyle name="SAPBEXHLevel3X 3 3 5" xfId="26220"/>
    <cellStyle name="SAPBEXHLevel3X 3 3 6" xfId="29929"/>
    <cellStyle name="SAPBEXHLevel3X 3 4" xfId="24646"/>
    <cellStyle name="SAPBEXHLevel3X 3 4 2" xfId="25442"/>
    <cellStyle name="SAPBEXHLevel3X 3 4 2 2" xfId="27596"/>
    <cellStyle name="SAPBEXHLevel3X 3 4 2 3" xfId="28380"/>
    <cellStyle name="SAPBEXHLevel3X 3 4 2 4" xfId="27054"/>
    <cellStyle name="SAPBEXHLevel3X 3 4 2 5" xfId="29932"/>
    <cellStyle name="SAPBEXHLevel3X 3 4 3" xfId="25612"/>
    <cellStyle name="SAPBEXHLevel3X 3 4 3 2" xfId="27765"/>
    <cellStyle name="SAPBEXHLevel3X 3 4 3 3" xfId="28381"/>
    <cellStyle name="SAPBEXHLevel3X 3 4 3 4" xfId="26928"/>
    <cellStyle name="SAPBEXHLevel3X 3 4 3 5" xfId="29933"/>
    <cellStyle name="SAPBEXHLevel3X 3 4 4" xfId="27239"/>
    <cellStyle name="SAPBEXHLevel3X 3 4 5" xfId="28379"/>
    <cellStyle name="SAPBEXHLevel3X 3 4 6" xfId="26458"/>
    <cellStyle name="SAPBEXHLevel3X 3 4 7" xfId="29931"/>
    <cellStyle name="SAPBEXHLevel3X 3 5" xfId="25127"/>
    <cellStyle name="SAPBEXHLevel3X 3 5 2" xfId="25428"/>
    <cellStyle name="SAPBEXHLevel3X 3 5 2 2" xfId="27582"/>
    <cellStyle name="SAPBEXHLevel3X 3 5 2 3" xfId="28383"/>
    <cellStyle name="SAPBEXHLevel3X 3 5 2 4" xfId="26103"/>
    <cellStyle name="SAPBEXHLevel3X 3 5 2 5" xfId="29935"/>
    <cellStyle name="SAPBEXHLevel3X 3 5 3" xfId="25725"/>
    <cellStyle name="SAPBEXHLevel3X 3 5 3 2" xfId="27878"/>
    <cellStyle name="SAPBEXHLevel3X 3 5 3 3" xfId="28384"/>
    <cellStyle name="SAPBEXHLevel3X 3 5 3 4" xfId="26508"/>
    <cellStyle name="SAPBEXHLevel3X 3 5 3 5" xfId="29936"/>
    <cellStyle name="SAPBEXHLevel3X 3 5 4" xfId="27412"/>
    <cellStyle name="SAPBEXHLevel3X 3 5 5" xfId="28382"/>
    <cellStyle name="SAPBEXHLevel3X 3 5 6" xfId="26496"/>
    <cellStyle name="SAPBEXHLevel3X 3 5 7" xfId="29934"/>
    <cellStyle name="SAPBEXHLevel3X 3 6" xfId="25864"/>
    <cellStyle name="SAPBEXHLevel3X 3 7" xfId="28374"/>
    <cellStyle name="SAPBEXHLevel3X 3 8" xfId="26413"/>
    <cellStyle name="SAPBEXHLevel3X 3 9" xfId="29926"/>
    <cellStyle name="SAPBEXHLevel3X 4" xfId="134"/>
    <cellStyle name="SAPBEXHLevel3X 4 2" xfId="13668"/>
    <cellStyle name="SAPBEXHLevel3X 4 2 2" xfId="25506"/>
    <cellStyle name="SAPBEXHLevel3X 4 2 2 2" xfId="27659"/>
    <cellStyle name="SAPBEXHLevel3X 4 2 2 3" xfId="28387"/>
    <cellStyle name="SAPBEXHLevel3X 4 2 2 4" xfId="26127"/>
    <cellStyle name="SAPBEXHLevel3X 4 2 2 5" xfId="29939"/>
    <cellStyle name="SAPBEXHLevel3X 4 2 3" xfId="26610"/>
    <cellStyle name="SAPBEXHLevel3X 4 2 4" xfId="28386"/>
    <cellStyle name="SAPBEXHLevel3X 4 2 5" xfId="26356"/>
    <cellStyle name="SAPBEXHLevel3X 4 2 6" xfId="29938"/>
    <cellStyle name="SAPBEXHLevel3X 4 3" xfId="25865"/>
    <cellStyle name="SAPBEXHLevel3X 4 4" xfId="28385"/>
    <cellStyle name="SAPBEXHLevel3X 4 5" xfId="26996"/>
    <cellStyle name="SAPBEXHLevel3X 4 6" xfId="29937"/>
    <cellStyle name="SAPBEXHLevel3X 5" xfId="257"/>
    <cellStyle name="SAPBEXHLevel3X 5 2" xfId="13722"/>
    <cellStyle name="SAPBEXHLevel3X 5 2 2" xfId="25535"/>
    <cellStyle name="SAPBEXHLevel3X 5 2 2 2" xfId="27688"/>
    <cellStyle name="SAPBEXHLevel3X 5 2 2 3" xfId="28390"/>
    <cellStyle name="SAPBEXHLevel3X 5 2 2 4" xfId="26537"/>
    <cellStyle name="SAPBEXHLevel3X 5 2 2 5" xfId="29942"/>
    <cellStyle name="SAPBEXHLevel3X 5 2 3" xfId="26642"/>
    <cellStyle name="SAPBEXHLevel3X 5 2 4" xfId="28389"/>
    <cellStyle name="SAPBEXHLevel3X 5 2 5" xfId="26247"/>
    <cellStyle name="SAPBEXHLevel3X 5 2 6" xfId="29941"/>
    <cellStyle name="SAPBEXHLevel3X 5 3" xfId="25925"/>
    <cellStyle name="SAPBEXHLevel3X 5 4" xfId="28388"/>
    <cellStyle name="SAPBEXHLevel3X 5 5" xfId="27926"/>
    <cellStyle name="SAPBEXHLevel3X 5 6" xfId="29940"/>
    <cellStyle name="SAPBEXHLevel3X 6" xfId="13665"/>
    <cellStyle name="SAPBEXHLevel3X 6 2" xfId="25503"/>
    <cellStyle name="SAPBEXHLevel3X 6 2 2" xfId="27656"/>
    <cellStyle name="SAPBEXHLevel3X 6 2 3" xfId="28392"/>
    <cellStyle name="SAPBEXHLevel3X 6 2 4" xfId="26805"/>
    <cellStyle name="SAPBEXHLevel3X 6 2 5" xfId="29944"/>
    <cellStyle name="SAPBEXHLevel3X 6 3" xfId="26607"/>
    <cellStyle name="SAPBEXHLevel3X 6 4" xfId="28391"/>
    <cellStyle name="SAPBEXHLevel3X 6 5" xfId="26120"/>
    <cellStyle name="SAPBEXHLevel3X 6 6" xfId="29943"/>
    <cellStyle name="SAPBEXHLevel3X 7" xfId="24648"/>
    <cellStyle name="SAPBEXHLevel3X 7 2" xfId="25392"/>
    <cellStyle name="SAPBEXHLevel3X 7 2 2" xfId="27546"/>
    <cellStyle name="SAPBEXHLevel3X 7 2 3" xfId="28394"/>
    <cellStyle name="SAPBEXHLevel3X 7 2 4" xfId="26527"/>
    <cellStyle name="SAPBEXHLevel3X 7 2 5" xfId="29946"/>
    <cellStyle name="SAPBEXHLevel3X 7 3" xfId="25614"/>
    <cellStyle name="SAPBEXHLevel3X 7 3 2" xfId="27767"/>
    <cellStyle name="SAPBEXHLevel3X 7 3 3" xfId="28395"/>
    <cellStyle name="SAPBEXHLevel3X 7 3 4" xfId="26892"/>
    <cellStyle name="SAPBEXHLevel3X 7 3 5" xfId="29947"/>
    <cellStyle name="SAPBEXHLevel3X 7 4" xfId="27241"/>
    <cellStyle name="SAPBEXHLevel3X 7 5" xfId="28393"/>
    <cellStyle name="SAPBEXHLevel3X 7 6" xfId="26426"/>
    <cellStyle name="SAPBEXHLevel3X 7 7" xfId="29945"/>
    <cellStyle name="SAPBEXHLevel3X 8" xfId="25125"/>
    <cellStyle name="SAPBEXHLevel3X 8 2" xfId="25414"/>
    <cellStyle name="SAPBEXHLevel3X 8 2 2" xfId="27568"/>
    <cellStyle name="SAPBEXHLevel3X 8 2 3" xfId="28397"/>
    <cellStyle name="SAPBEXHLevel3X 8 2 4" xfId="26410"/>
    <cellStyle name="SAPBEXHLevel3X 8 2 5" xfId="29949"/>
    <cellStyle name="SAPBEXHLevel3X 8 3" xfId="25723"/>
    <cellStyle name="SAPBEXHLevel3X 8 3 2" xfId="27876"/>
    <cellStyle name="SAPBEXHLevel3X 8 3 3" xfId="28398"/>
    <cellStyle name="SAPBEXHLevel3X 8 3 4" xfId="26559"/>
    <cellStyle name="SAPBEXHLevel3X 8 3 5" xfId="29950"/>
    <cellStyle name="SAPBEXHLevel3X 8 4" xfId="27410"/>
    <cellStyle name="SAPBEXHLevel3X 8 5" xfId="28396"/>
    <cellStyle name="SAPBEXHLevel3X 8 6" xfId="26889"/>
    <cellStyle name="SAPBEXHLevel3X 8 7" xfId="29948"/>
    <cellStyle name="SAPBEXHLevel3X 9" xfId="25862"/>
    <cellStyle name="SAPBEXinputData" xfId="24270"/>
    <cellStyle name="SAPBEXinputData 2" xfId="24271"/>
    <cellStyle name="SAPBEXinputData 2 2" xfId="24927"/>
    <cellStyle name="SAPBEXinputData 2 2 2" xfId="27336"/>
    <cellStyle name="SAPBEXinputData 2 3" xfId="27125"/>
    <cellStyle name="SAPBEXinputData 3" xfId="24272"/>
    <cellStyle name="SAPBEXinputData 3 2" xfId="24924"/>
    <cellStyle name="SAPBEXinputData 3 2 2" xfId="27333"/>
    <cellStyle name="SAPBEXinputData 3 3" xfId="27126"/>
    <cellStyle name="SAPBEXinputData 4" xfId="24771"/>
    <cellStyle name="SAPBEXinputData 4 2" xfId="27312"/>
    <cellStyle name="SAPBEXinputData 5" xfId="27124"/>
    <cellStyle name="SAPBEXresData" xfId="135"/>
    <cellStyle name="SAPBEXresData 2" xfId="13669"/>
    <cellStyle name="SAPBEXresData 2 2" xfId="25507"/>
    <cellStyle name="SAPBEXresData 2 2 2" xfId="27660"/>
    <cellStyle name="SAPBEXresData 2 2 3" xfId="28401"/>
    <cellStyle name="SAPBEXresData 2 2 4" xfId="26499"/>
    <cellStyle name="SAPBEXresData 2 2 5" xfId="29953"/>
    <cellStyle name="SAPBEXresData 2 3" xfId="26611"/>
    <cellStyle name="SAPBEXresData 2 4" xfId="28400"/>
    <cellStyle name="SAPBEXresData 2 5" xfId="26715"/>
    <cellStyle name="SAPBEXresData 2 6" xfId="29952"/>
    <cellStyle name="SAPBEXresData 3" xfId="24645"/>
    <cellStyle name="SAPBEXresData 3 2" xfId="25341"/>
    <cellStyle name="SAPBEXresData 3 2 2" xfId="27495"/>
    <cellStyle name="SAPBEXresData 3 2 3" xfId="28403"/>
    <cellStyle name="SAPBEXresData 3 2 4" xfId="26541"/>
    <cellStyle name="SAPBEXresData 3 2 5" xfId="29955"/>
    <cellStyle name="SAPBEXresData 3 3" xfId="25611"/>
    <cellStyle name="SAPBEXresData 3 3 2" xfId="27764"/>
    <cellStyle name="SAPBEXresData 3 3 3" xfId="28404"/>
    <cellStyle name="SAPBEXresData 3 3 4" xfId="26330"/>
    <cellStyle name="SAPBEXresData 3 3 5" xfId="29956"/>
    <cellStyle name="SAPBEXresData 3 4" xfId="27238"/>
    <cellStyle name="SAPBEXresData 3 5" xfId="28402"/>
    <cellStyle name="SAPBEXresData 3 6" xfId="26751"/>
    <cellStyle name="SAPBEXresData 3 7" xfId="29954"/>
    <cellStyle name="SAPBEXresData 4" xfId="25128"/>
    <cellStyle name="SAPBEXresData 4 2" xfId="25344"/>
    <cellStyle name="SAPBEXresData 4 2 2" xfId="27498"/>
    <cellStyle name="SAPBEXresData 4 2 3" xfId="28406"/>
    <cellStyle name="SAPBEXresData 4 2 4" xfId="26107"/>
    <cellStyle name="SAPBEXresData 4 2 5" xfId="29958"/>
    <cellStyle name="SAPBEXresData 4 3" xfId="25726"/>
    <cellStyle name="SAPBEXresData 4 3 2" xfId="27879"/>
    <cellStyle name="SAPBEXresData 4 3 3" xfId="28407"/>
    <cellStyle name="SAPBEXresData 4 3 4" xfId="26862"/>
    <cellStyle name="SAPBEXresData 4 3 5" xfId="29959"/>
    <cellStyle name="SAPBEXresData 4 4" xfId="27413"/>
    <cellStyle name="SAPBEXresData 4 5" xfId="28405"/>
    <cellStyle name="SAPBEXresData 4 6" xfId="26110"/>
    <cellStyle name="SAPBEXresData 4 7" xfId="29957"/>
    <cellStyle name="SAPBEXresData 5" xfId="25866"/>
    <cellStyle name="SAPBEXresData 6" xfId="28399"/>
    <cellStyle name="SAPBEXresData 7" xfId="26489"/>
    <cellStyle name="SAPBEXresData 8" xfId="29951"/>
    <cellStyle name="SAPBEXresDataEmph" xfId="136"/>
    <cellStyle name="SAPBEXresDataEmph 2" xfId="13670"/>
    <cellStyle name="SAPBEXresDataEmph 2 2" xfId="25508"/>
    <cellStyle name="SAPBEXresDataEmph 2 2 2" xfId="27661"/>
    <cellStyle name="SAPBEXresDataEmph 2 2 3" xfId="28410"/>
    <cellStyle name="SAPBEXresDataEmph 2 2 4" xfId="26894"/>
    <cellStyle name="SAPBEXresDataEmph 2 2 5" xfId="29962"/>
    <cellStyle name="SAPBEXresDataEmph 2 3" xfId="26612"/>
    <cellStyle name="SAPBEXresDataEmph 2 4" xfId="28409"/>
    <cellStyle name="SAPBEXresDataEmph 2 5" xfId="26539"/>
    <cellStyle name="SAPBEXresDataEmph 2 6" xfId="29961"/>
    <cellStyle name="SAPBEXresDataEmph 3" xfId="24644"/>
    <cellStyle name="SAPBEXresDataEmph 3 2" xfId="25425"/>
    <cellStyle name="SAPBEXresDataEmph 3 2 2" xfId="27579"/>
    <cellStyle name="SAPBEXresDataEmph 3 2 3" xfId="28412"/>
    <cellStyle name="SAPBEXresDataEmph 3 2 4" xfId="26858"/>
    <cellStyle name="SAPBEXresDataEmph 3 2 5" xfId="29964"/>
    <cellStyle name="SAPBEXresDataEmph 3 3" xfId="25610"/>
    <cellStyle name="SAPBEXresDataEmph 3 3 2" xfId="27763"/>
    <cellStyle name="SAPBEXresDataEmph 3 3 3" xfId="28413"/>
    <cellStyle name="SAPBEXresDataEmph 3 3 4" xfId="26395"/>
    <cellStyle name="SAPBEXresDataEmph 3 3 5" xfId="29965"/>
    <cellStyle name="SAPBEXresDataEmph 3 4" xfId="27237"/>
    <cellStyle name="SAPBEXresDataEmph 3 5" xfId="28411"/>
    <cellStyle name="SAPBEXresDataEmph 3 6" xfId="26942"/>
    <cellStyle name="SAPBEXresDataEmph 3 7" xfId="29963"/>
    <cellStyle name="SAPBEXresDataEmph 4" xfId="25129"/>
    <cellStyle name="SAPBEXresDataEmph 4 2" xfId="25445"/>
    <cellStyle name="SAPBEXresDataEmph 4 2 2" xfId="27599"/>
    <cellStyle name="SAPBEXresDataEmph 4 2 3" xfId="28415"/>
    <cellStyle name="SAPBEXresDataEmph 4 2 4" xfId="26502"/>
    <cellStyle name="SAPBEXresDataEmph 4 2 5" xfId="29967"/>
    <cellStyle name="SAPBEXresDataEmph 4 3" xfId="25727"/>
    <cellStyle name="SAPBEXresDataEmph 4 3 2" xfId="27880"/>
    <cellStyle name="SAPBEXresDataEmph 4 3 3" xfId="28416"/>
    <cellStyle name="SAPBEXresDataEmph 4 3 4" xfId="26844"/>
    <cellStyle name="SAPBEXresDataEmph 4 3 5" xfId="29968"/>
    <cellStyle name="SAPBEXresDataEmph 4 4" xfId="27414"/>
    <cellStyle name="SAPBEXresDataEmph 4 5" xfId="28414"/>
    <cellStyle name="SAPBEXresDataEmph 4 6" xfId="26245"/>
    <cellStyle name="SAPBEXresDataEmph 4 7" xfId="29966"/>
    <cellStyle name="SAPBEXresDataEmph 5" xfId="25867"/>
    <cellStyle name="SAPBEXresDataEmph 6" xfId="28408"/>
    <cellStyle name="SAPBEXresDataEmph 7" xfId="26203"/>
    <cellStyle name="SAPBEXresDataEmph 8" xfId="29960"/>
    <cellStyle name="SAPBEXresItem" xfId="137"/>
    <cellStyle name="SAPBEXresItem 2" xfId="13671"/>
    <cellStyle name="SAPBEXresItem 2 2" xfId="25509"/>
    <cellStyle name="SAPBEXresItem 2 2 2" xfId="27662"/>
    <cellStyle name="SAPBEXresItem 2 2 3" xfId="28419"/>
    <cellStyle name="SAPBEXresItem 2 2 4" xfId="27043"/>
    <cellStyle name="SAPBEXresItem 2 2 5" xfId="29971"/>
    <cellStyle name="SAPBEXresItem 2 3" xfId="26613"/>
    <cellStyle name="SAPBEXresItem 2 4" xfId="28418"/>
    <cellStyle name="SAPBEXresItem 2 5" xfId="26239"/>
    <cellStyle name="SAPBEXresItem 2 6" xfId="29970"/>
    <cellStyle name="SAPBEXresItem 3" xfId="24643"/>
    <cellStyle name="SAPBEXresItem 3 2" xfId="25324"/>
    <cellStyle name="SAPBEXresItem 3 2 2" xfId="27478"/>
    <cellStyle name="SAPBEXresItem 3 2 3" xfId="28421"/>
    <cellStyle name="SAPBEXresItem 3 2 4" xfId="26285"/>
    <cellStyle name="SAPBEXresItem 3 2 5" xfId="29973"/>
    <cellStyle name="SAPBEXresItem 3 3" xfId="25609"/>
    <cellStyle name="SAPBEXresItem 3 3 2" xfId="27762"/>
    <cellStyle name="SAPBEXresItem 3 3 3" xfId="28422"/>
    <cellStyle name="SAPBEXresItem 3 3 4" xfId="26758"/>
    <cellStyle name="SAPBEXresItem 3 3 5" xfId="29974"/>
    <cellStyle name="SAPBEXresItem 3 4" xfId="27236"/>
    <cellStyle name="SAPBEXresItem 3 5" xfId="28420"/>
    <cellStyle name="SAPBEXresItem 3 6" xfId="26262"/>
    <cellStyle name="SAPBEXresItem 3 7" xfId="29972"/>
    <cellStyle name="SAPBEXresItem 4" xfId="25130"/>
    <cellStyle name="SAPBEXresItem 4 2" xfId="25359"/>
    <cellStyle name="SAPBEXresItem 4 2 2" xfId="27513"/>
    <cellStyle name="SAPBEXresItem 4 2 3" xfId="28424"/>
    <cellStyle name="SAPBEXresItem 4 2 4" xfId="26390"/>
    <cellStyle name="SAPBEXresItem 4 2 5" xfId="29976"/>
    <cellStyle name="SAPBEXresItem 4 3" xfId="25728"/>
    <cellStyle name="SAPBEXresItem 4 3 2" xfId="27881"/>
    <cellStyle name="SAPBEXresItem 4 3 3" xfId="28425"/>
    <cellStyle name="SAPBEXresItem 4 3 4" xfId="26089"/>
    <cellStyle name="SAPBEXresItem 4 3 5" xfId="29977"/>
    <cellStyle name="SAPBEXresItem 4 4" xfId="27415"/>
    <cellStyle name="SAPBEXresItem 4 5" xfId="28423"/>
    <cellStyle name="SAPBEXresItem 4 6" xfId="26173"/>
    <cellStyle name="SAPBEXresItem 4 7" xfId="29975"/>
    <cellStyle name="SAPBEXresItem 5" xfId="25868"/>
    <cellStyle name="SAPBEXresItem 6" xfId="28417"/>
    <cellStyle name="SAPBEXresItem 7" xfId="26060"/>
    <cellStyle name="SAPBEXresItem 8" xfId="29969"/>
    <cellStyle name="SAPBEXresItemX" xfId="138"/>
    <cellStyle name="SAPBEXresItemX 2" xfId="13672"/>
    <cellStyle name="SAPBEXresItemX 2 2" xfId="25510"/>
    <cellStyle name="SAPBEXresItemX 2 2 2" xfId="27663"/>
    <cellStyle name="SAPBEXresItemX 2 2 3" xfId="28428"/>
    <cellStyle name="SAPBEXresItemX 2 2 4" xfId="29184"/>
    <cellStyle name="SAPBEXresItemX 2 2 5" xfId="29980"/>
    <cellStyle name="SAPBEXresItemX 2 3" xfId="26614"/>
    <cellStyle name="SAPBEXresItemX 2 4" xfId="28427"/>
    <cellStyle name="SAPBEXresItemX 2 5" xfId="26964"/>
    <cellStyle name="SAPBEXresItemX 2 6" xfId="29979"/>
    <cellStyle name="SAPBEXresItemX 3" xfId="24642"/>
    <cellStyle name="SAPBEXresItemX 3 2" xfId="25411"/>
    <cellStyle name="SAPBEXresItemX 3 2 2" xfId="27565"/>
    <cellStyle name="SAPBEXresItemX 3 2 3" xfId="28430"/>
    <cellStyle name="SAPBEXresItemX 3 2 4" xfId="27361"/>
    <cellStyle name="SAPBEXresItemX 3 2 5" xfId="29982"/>
    <cellStyle name="SAPBEXresItemX 3 3" xfId="25608"/>
    <cellStyle name="SAPBEXresItemX 3 3 2" xfId="27761"/>
    <cellStyle name="SAPBEXresItemX 3 3 3" xfId="28431"/>
    <cellStyle name="SAPBEXresItemX 3 3 4" xfId="26727"/>
    <cellStyle name="SAPBEXresItemX 3 3 5" xfId="29983"/>
    <cellStyle name="SAPBEXresItemX 3 4" xfId="27235"/>
    <cellStyle name="SAPBEXresItemX 3 5" xfId="28429"/>
    <cellStyle name="SAPBEXresItemX 3 6" xfId="26786"/>
    <cellStyle name="SAPBEXresItemX 3 7" xfId="29981"/>
    <cellStyle name="SAPBEXresItemX 4" xfId="25131"/>
    <cellStyle name="SAPBEXresItemX 4 2" xfId="25296"/>
    <cellStyle name="SAPBEXresItemX 4 2 2" xfId="27450"/>
    <cellStyle name="SAPBEXresItemX 4 2 3" xfId="28433"/>
    <cellStyle name="SAPBEXresItemX 4 2 4" xfId="26848"/>
    <cellStyle name="SAPBEXresItemX 4 2 5" xfId="29985"/>
    <cellStyle name="SAPBEXresItemX 4 3" xfId="25729"/>
    <cellStyle name="SAPBEXresItemX 4 3 2" xfId="27882"/>
    <cellStyle name="SAPBEXresItemX 4 3 3" xfId="28434"/>
    <cellStyle name="SAPBEXresItemX 4 3 4" xfId="26734"/>
    <cellStyle name="SAPBEXresItemX 4 3 5" xfId="29986"/>
    <cellStyle name="SAPBEXresItemX 4 4" xfId="27416"/>
    <cellStyle name="SAPBEXresItemX 4 5" xfId="28432"/>
    <cellStyle name="SAPBEXresItemX 4 6" xfId="26739"/>
    <cellStyle name="SAPBEXresItemX 4 7" xfId="29984"/>
    <cellStyle name="SAPBEXresItemX 5" xfId="25869"/>
    <cellStyle name="SAPBEXresItemX 6" xfId="28426"/>
    <cellStyle name="SAPBEXresItemX 7" xfId="29256"/>
    <cellStyle name="SAPBEXresItemX 8" xfId="29978"/>
    <cellStyle name="SAPBEXstdData" xfId="139"/>
    <cellStyle name="SAPBEXstdData 10" xfId="24641"/>
    <cellStyle name="SAPBEXstdData 10 2" xfId="25309"/>
    <cellStyle name="SAPBEXstdData 10 2 2" xfId="27463"/>
    <cellStyle name="SAPBEXstdData 10 2 3" xfId="28437"/>
    <cellStyle name="SAPBEXstdData 10 2 4" xfId="26798"/>
    <cellStyle name="SAPBEXstdData 10 2 5" xfId="29989"/>
    <cellStyle name="SAPBEXstdData 10 3" xfId="25607"/>
    <cellStyle name="SAPBEXstdData 10 3 2" xfId="27760"/>
    <cellStyle name="SAPBEXstdData 10 3 3" xfId="28438"/>
    <cellStyle name="SAPBEXstdData 10 3 4" xfId="26290"/>
    <cellStyle name="SAPBEXstdData 10 3 5" xfId="29990"/>
    <cellStyle name="SAPBEXstdData 10 4" xfId="27234"/>
    <cellStyle name="SAPBEXstdData 10 5" xfId="28436"/>
    <cellStyle name="SAPBEXstdData 10 6" xfId="26327"/>
    <cellStyle name="SAPBEXstdData 10 7" xfId="29988"/>
    <cellStyle name="SAPBEXstdData 11" xfId="25132"/>
    <cellStyle name="SAPBEXstdData 11 2" xfId="25282"/>
    <cellStyle name="SAPBEXstdData 11 2 2" xfId="27437"/>
    <cellStyle name="SAPBEXstdData 11 2 3" xfId="28440"/>
    <cellStyle name="SAPBEXstdData 11 2 4" xfId="27014"/>
    <cellStyle name="SAPBEXstdData 11 2 5" xfId="29992"/>
    <cellStyle name="SAPBEXstdData 11 3" xfId="25730"/>
    <cellStyle name="SAPBEXstdData 11 3 2" xfId="27883"/>
    <cellStyle name="SAPBEXstdData 11 3 3" xfId="28441"/>
    <cellStyle name="SAPBEXstdData 11 3 4" xfId="26151"/>
    <cellStyle name="SAPBEXstdData 11 3 5" xfId="29993"/>
    <cellStyle name="SAPBEXstdData 11 4" xfId="27417"/>
    <cellStyle name="SAPBEXstdData 11 5" xfId="28439"/>
    <cellStyle name="SAPBEXstdData 11 6" xfId="27302"/>
    <cellStyle name="SAPBEXstdData 11 7" xfId="29991"/>
    <cellStyle name="SAPBEXstdData 12" xfId="25870"/>
    <cellStyle name="SAPBEXstdData 13" xfId="28435"/>
    <cellStyle name="SAPBEXstdData 14" xfId="29198"/>
    <cellStyle name="SAPBEXstdData 15" xfId="29987"/>
    <cellStyle name="SAPBEXstdData 2" xfId="140"/>
    <cellStyle name="SAPBEXstdData 2 2" xfId="13674"/>
    <cellStyle name="SAPBEXstdData 2 2 2" xfId="25512"/>
    <cellStyle name="SAPBEXstdData 2 2 2 2" xfId="27665"/>
    <cellStyle name="SAPBEXstdData 2 2 2 3" xfId="28444"/>
    <cellStyle name="SAPBEXstdData 2 2 2 4" xfId="26229"/>
    <cellStyle name="SAPBEXstdData 2 2 2 5" xfId="29996"/>
    <cellStyle name="SAPBEXstdData 2 2 3" xfId="26616"/>
    <cellStyle name="SAPBEXstdData 2 2 4" xfId="28443"/>
    <cellStyle name="SAPBEXstdData 2 2 5" xfId="26400"/>
    <cellStyle name="SAPBEXstdData 2 2 6" xfId="29995"/>
    <cellStyle name="SAPBEXstdData 2 3" xfId="25871"/>
    <cellStyle name="SAPBEXstdData 2 4" xfId="28442"/>
    <cellStyle name="SAPBEXstdData 2 5" xfId="29182"/>
    <cellStyle name="SAPBEXstdData 2 6" xfId="29994"/>
    <cellStyle name="SAPBEXstdData 3" xfId="258"/>
    <cellStyle name="SAPBEXstdData 3 2" xfId="13723"/>
    <cellStyle name="SAPBEXstdData 3 2 2" xfId="25536"/>
    <cellStyle name="SAPBEXstdData 3 2 2 2" xfId="27689"/>
    <cellStyle name="SAPBEXstdData 3 2 2 3" xfId="28447"/>
    <cellStyle name="SAPBEXstdData 3 2 2 4" xfId="26475"/>
    <cellStyle name="SAPBEXstdData 3 2 2 5" xfId="29999"/>
    <cellStyle name="SAPBEXstdData 3 2 3" xfId="26643"/>
    <cellStyle name="SAPBEXstdData 3 2 4" xfId="28446"/>
    <cellStyle name="SAPBEXstdData 3 2 5" xfId="26482"/>
    <cellStyle name="SAPBEXstdData 3 2 6" xfId="29998"/>
    <cellStyle name="SAPBEXstdData 3 3" xfId="25926"/>
    <cellStyle name="SAPBEXstdData 3 4" xfId="28445"/>
    <cellStyle name="SAPBEXstdData 3 5" xfId="27927"/>
    <cellStyle name="SAPBEXstdData 3 6" xfId="29997"/>
    <cellStyle name="SAPBEXstdData 4" xfId="259"/>
    <cellStyle name="SAPBEXstdData 4 2" xfId="13724"/>
    <cellStyle name="SAPBEXstdData 4 2 2" xfId="25537"/>
    <cellStyle name="SAPBEXstdData 4 2 2 2" xfId="27690"/>
    <cellStyle name="SAPBEXstdData 4 2 2 3" xfId="28450"/>
    <cellStyle name="SAPBEXstdData 4 2 2 4" xfId="26438"/>
    <cellStyle name="SAPBEXstdData 4 2 2 5" xfId="30002"/>
    <cellStyle name="SAPBEXstdData 4 2 3" xfId="26644"/>
    <cellStyle name="SAPBEXstdData 4 2 4" xfId="28449"/>
    <cellStyle name="SAPBEXstdData 4 2 5" xfId="26741"/>
    <cellStyle name="SAPBEXstdData 4 2 6" xfId="30001"/>
    <cellStyle name="SAPBEXstdData 4 3" xfId="25927"/>
    <cellStyle name="SAPBEXstdData 4 4" xfId="28448"/>
    <cellStyle name="SAPBEXstdData 4 5" xfId="27928"/>
    <cellStyle name="SAPBEXstdData 4 6" xfId="30000"/>
    <cellStyle name="SAPBEXstdData 5" xfId="260"/>
    <cellStyle name="SAPBEXstdData 5 2" xfId="13725"/>
    <cellStyle name="SAPBEXstdData 5 2 2" xfId="25538"/>
    <cellStyle name="SAPBEXstdData 5 2 2 2" xfId="27691"/>
    <cellStyle name="SAPBEXstdData 5 2 2 3" xfId="28453"/>
    <cellStyle name="SAPBEXstdData 5 2 2 4" xfId="26419"/>
    <cellStyle name="SAPBEXstdData 5 2 2 5" xfId="30005"/>
    <cellStyle name="SAPBEXstdData 5 2 3" xfId="26645"/>
    <cellStyle name="SAPBEXstdData 5 2 4" xfId="28452"/>
    <cellStyle name="SAPBEXstdData 5 2 5" xfId="26259"/>
    <cellStyle name="SAPBEXstdData 5 2 6" xfId="30004"/>
    <cellStyle name="SAPBEXstdData 5 3" xfId="25928"/>
    <cellStyle name="SAPBEXstdData 5 4" xfId="28451"/>
    <cellStyle name="SAPBEXstdData 5 5" xfId="28568"/>
    <cellStyle name="SAPBEXstdData 5 6" xfId="30003"/>
    <cellStyle name="SAPBEXstdData 6" xfId="261"/>
    <cellStyle name="SAPBEXstdData 6 2" xfId="13726"/>
    <cellStyle name="SAPBEXstdData 6 2 2" xfId="25539"/>
    <cellStyle name="SAPBEXstdData 6 2 2 2" xfId="27692"/>
    <cellStyle name="SAPBEXstdData 6 2 2 3" xfId="28456"/>
    <cellStyle name="SAPBEXstdData 6 2 2 4" xfId="26098"/>
    <cellStyle name="SAPBEXstdData 6 2 2 5" xfId="30008"/>
    <cellStyle name="SAPBEXstdData 6 2 3" xfId="26646"/>
    <cellStyle name="SAPBEXstdData 6 2 4" xfId="28455"/>
    <cellStyle name="SAPBEXstdData 6 2 5" xfId="26863"/>
    <cellStyle name="SAPBEXstdData 6 2 6" xfId="30007"/>
    <cellStyle name="SAPBEXstdData 6 3" xfId="25929"/>
    <cellStyle name="SAPBEXstdData 6 4" xfId="28454"/>
    <cellStyle name="SAPBEXstdData 6 5" xfId="28569"/>
    <cellStyle name="SAPBEXstdData 6 6" xfId="30006"/>
    <cellStyle name="SAPBEXstdData 7" xfId="262"/>
    <cellStyle name="SAPBEXstdData 7 2" xfId="30009"/>
    <cellStyle name="SAPBEXstdData 8" xfId="415"/>
    <cellStyle name="SAPBEXstdData 8 2" xfId="13794"/>
    <cellStyle name="SAPBEXstdData 8 2 2" xfId="25552"/>
    <cellStyle name="SAPBEXstdData 8 2 2 2" xfId="27705"/>
    <cellStyle name="SAPBEXstdData 8 2 2 3" xfId="28459"/>
    <cellStyle name="SAPBEXstdData 8 2 2 4" xfId="26456"/>
    <cellStyle name="SAPBEXstdData 8 2 2 5" xfId="30012"/>
    <cellStyle name="SAPBEXstdData 8 2 3" xfId="26669"/>
    <cellStyle name="SAPBEXstdData 8 2 4" xfId="28458"/>
    <cellStyle name="SAPBEXstdData 8 2 5" xfId="26076"/>
    <cellStyle name="SAPBEXstdData 8 2 6" xfId="30011"/>
    <cellStyle name="SAPBEXstdData 8 3" xfId="26010"/>
    <cellStyle name="SAPBEXstdData 8 4" xfId="28457"/>
    <cellStyle name="SAPBEXstdData 8 5" xfId="29216"/>
    <cellStyle name="SAPBEXstdData 8 6" xfId="30010"/>
    <cellStyle name="SAPBEXstdData 9" xfId="13673"/>
    <cellStyle name="SAPBEXstdData 9 2" xfId="25511"/>
    <cellStyle name="SAPBEXstdData 9 2 2" xfId="27664"/>
    <cellStyle name="SAPBEXstdData 9 2 3" xfId="28461"/>
    <cellStyle name="SAPBEXstdData 9 2 4" xfId="26049"/>
    <cellStyle name="SAPBEXstdData 9 2 5" xfId="30014"/>
    <cellStyle name="SAPBEXstdData 9 3" xfId="26615"/>
    <cellStyle name="SAPBEXstdData 9 4" xfId="28460"/>
    <cellStyle name="SAPBEXstdData 9 5" xfId="26329"/>
    <cellStyle name="SAPBEXstdData 9 6" xfId="30013"/>
    <cellStyle name="SAPBEXstdData_Copy of xSAPtemp5457" xfId="263"/>
    <cellStyle name="SAPBEXstdDataEmph" xfId="141"/>
    <cellStyle name="SAPBEXstdDataEmph 2" xfId="13675"/>
    <cellStyle name="SAPBEXstdDataEmph 2 2" xfId="25513"/>
    <cellStyle name="SAPBEXstdDataEmph 2 2 2" xfId="27666"/>
    <cellStyle name="SAPBEXstdDataEmph 2 2 3" xfId="28464"/>
    <cellStyle name="SAPBEXstdDataEmph 2 2 4" xfId="26985"/>
    <cellStyle name="SAPBEXstdDataEmph 2 2 5" xfId="30017"/>
    <cellStyle name="SAPBEXstdDataEmph 2 3" xfId="26617"/>
    <cellStyle name="SAPBEXstdDataEmph 2 4" xfId="28463"/>
    <cellStyle name="SAPBEXstdDataEmph 2 5" xfId="26823"/>
    <cellStyle name="SAPBEXstdDataEmph 2 6" xfId="30016"/>
    <cellStyle name="SAPBEXstdDataEmph 3" xfId="24640"/>
    <cellStyle name="SAPBEXstdDataEmph 3 2" xfId="25401"/>
    <cellStyle name="SAPBEXstdDataEmph 3 2 2" xfId="27555"/>
    <cellStyle name="SAPBEXstdDataEmph 3 2 3" xfId="28466"/>
    <cellStyle name="SAPBEXstdDataEmph 3 2 4" xfId="26462"/>
    <cellStyle name="SAPBEXstdDataEmph 3 2 5" xfId="30019"/>
    <cellStyle name="SAPBEXstdDataEmph 3 3" xfId="25606"/>
    <cellStyle name="SAPBEXstdDataEmph 3 3 2" xfId="27759"/>
    <cellStyle name="SAPBEXstdDataEmph 3 3 3" xfId="28467"/>
    <cellStyle name="SAPBEXstdDataEmph 3 3 4" xfId="27299"/>
    <cellStyle name="SAPBEXstdDataEmph 3 3 5" xfId="30020"/>
    <cellStyle name="SAPBEXstdDataEmph 3 4" xfId="27233"/>
    <cellStyle name="SAPBEXstdDataEmph 3 5" xfId="28465"/>
    <cellStyle name="SAPBEXstdDataEmph 3 6" xfId="26309"/>
    <cellStyle name="SAPBEXstdDataEmph 3 7" xfId="30018"/>
    <cellStyle name="SAPBEXstdDataEmph 4" xfId="25133"/>
    <cellStyle name="SAPBEXstdDataEmph 4 2" xfId="25365"/>
    <cellStyle name="SAPBEXstdDataEmph 4 2 2" xfId="27519"/>
    <cellStyle name="SAPBEXstdDataEmph 4 2 3" xfId="28469"/>
    <cellStyle name="SAPBEXstdDataEmph 4 2 4" xfId="26106"/>
    <cellStyle name="SAPBEXstdDataEmph 4 2 5" xfId="30022"/>
    <cellStyle name="SAPBEXstdDataEmph 4 3" xfId="25731"/>
    <cellStyle name="SAPBEXstdDataEmph 4 3 2" xfId="27884"/>
    <cellStyle name="SAPBEXstdDataEmph 4 3 3" xfId="28470"/>
    <cellStyle name="SAPBEXstdDataEmph 4 3 4" xfId="27013"/>
    <cellStyle name="SAPBEXstdDataEmph 4 3 5" xfId="30023"/>
    <cellStyle name="SAPBEXstdDataEmph 4 4" xfId="27418"/>
    <cellStyle name="SAPBEXstdDataEmph 4 5" xfId="28468"/>
    <cellStyle name="SAPBEXstdDataEmph 4 6" xfId="26816"/>
    <cellStyle name="SAPBEXstdDataEmph 4 7" xfId="30021"/>
    <cellStyle name="SAPBEXstdDataEmph 5" xfId="25872"/>
    <cellStyle name="SAPBEXstdDataEmph 6" xfId="28462"/>
    <cellStyle name="SAPBEXstdDataEmph 7" xfId="29246"/>
    <cellStyle name="SAPBEXstdDataEmph 8" xfId="30015"/>
    <cellStyle name="SAPBEXstdItem" xfId="142"/>
    <cellStyle name="SAPBEXstdItem 10" xfId="13676"/>
    <cellStyle name="SAPBEXstdItem 10 2" xfId="25514"/>
    <cellStyle name="SAPBEXstdItem 10 2 2" xfId="27667"/>
    <cellStyle name="SAPBEXstdItem 10 2 3" xfId="28473"/>
    <cellStyle name="SAPBEXstdItem 10 2 4" xfId="26956"/>
    <cellStyle name="SAPBEXstdItem 10 2 5" xfId="30026"/>
    <cellStyle name="SAPBEXstdItem 10 3" xfId="26618"/>
    <cellStyle name="SAPBEXstdItem 10 4" xfId="28472"/>
    <cellStyle name="SAPBEXstdItem 10 5" xfId="26494"/>
    <cellStyle name="SAPBEXstdItem 10 6" xfId="30025"/>
    <cellStyle name="SAPBEXstdItem 11" xfId="24639"/>
    <cellStyle name="SAPBEXstdItem 11 2" xfId="25385"/>
    <cellStyle name="SAPBEXstdItem 11 2 2" xfId="27539"/>
    <cellStyle name="SAPBEXstdItem 11 2 3" xfId="28475"/>
    <cellStyle name="SAPBEXstdItem 11 2 4" xfId="26455"/>
    <cellStyle name="SAPBEXstdItem 11 2 5" xfId="30028"/>
    <cellStyle name="SAPBEXstdItem 11 3" xfId="25605"/>
    <cellStyle name="SAPBEXstdItem 11 3 2" xfId="27758"/>
    <cellStyle name="SAPBEXstdItem 11 3 3" xfId="28476"/>
    <cellStyle name="SAPBEXstdItem 11 3 4" xfId="26812"/>
    <cellStyle name="SAPBEXstdItem 11 3 5" xfId="30029"/>
    <cellStyle name="SAPBEXstdItem 11 4" xfId="27232"/>
    <cellStyle name="SAPBEXstdItem 11 5" xfId="28474"/>
    <cellStyle name="SAPBEXstdItem 11 6" xfId="26384"/>
    <cellStyle name="SAPBEXstdItem 11 7" xfId="30027"/>
    <cellStyle name="SAPBEXstdItem 12" xfId="25134"/>
    <cellStyle name="SAPBEXstdItem 12 2" xfId="25379"/>
    <cellStyle name="SAPBEXstdItem 12 2 2" xfId="27533"/>
    <cellStyle name="SAPBEXstdItem 12 2 3" xfId="28478"/>
    <cellStyle name="SAPBEXstdItem 12 2 4" xfId="26136"/>
    <cellStyle name="SAPBEXstdItem 12 2 5" xfId="30031"/>
    <cellStyle name="SAPBEXstdItem 12 3" xfId="25732"/>
    <cellStyle name="SAPBEXstdItem 12 3 2" xfId="27885"/>
    <cellStyle name="SAPBEXstdItem 12 3 3" xfId="28479"/>
    <cellStyle name="SAPBEXstdItem 12 3 4" xfId="26369"/>
    <cellStyle name="SAPBEXstdItem 12 3 5" xfId="30032"/>
    <cellStyle name="SAPBEXstdItem 12 4" xfId="27419"/>
    <cellStyle name="SAPBEXstdItem 12 5" xfId="28477"/>
    <cellStyle name="SAPBEXstdItem 12 6" xfId="26452"/>
    <cellStyle name="SAPBEXstdItem 12 7" xfId="30030"/>
    <cellStyle name="SAPBEXstdItem 13" xfId="25873"/>
    <cellStyle name="SAPBEXstdItem 14" xfId="28471"/>
    <cellStyle name="SAPBEXstdItem 15" xfId="29209"/>
    <cellStyle name="SAPBEXstdItem 16" xfId="30024"/>
    <cellStyle name="SAPBEXstdItem 2" xfId="143"/>
    <cellStyle name="SAPBEXstdItem 2 2" xfId="13677"/>
    <cellStyle name="SAPBEXstdItem 2 2 2" xfId="25515"/>
    <cellStyle name="SAPBEXstdItem 2 2 2 2" xfId="27668"/>
    <cellStyle name="SAPBEXstdItem 2 2 2 3" xfId="28482"/>
    <cellStyle name="SAPBEXstdItem 2 2 2 4" xfId="26943"/>
    <cellStyle name="SAPBEXstdItem 2 2 2 5" xfId="30035"/>
    <cellStyle name="SAPBEXstdItem 2 2 3" xfId="26619"/>
    <cellStyle name="SAPBEXstdItem 2 2 4" xfId="28481"/>
    <cellStyle name="SAPBEXstdItem 2 2 5" xfId="26514"/>
    <cellStyle name="SAPBEXstdItem 2 2 6" xfId="30034"/>
    <cellStyle name="SAPBEXstdItem 2 3" xfId="25874"/>
    <cellStyle name="SAPBEXstdItem 2 4" xfId="28480"/>
    <cellStyle name="SAPBEXstdItem 2 5" xfId="26050"/>
    <cellStyle name="SAPBEXstdItem 2 6" xfId="30033"/>
    <cellStyle name="SAPBEXstdItem 3" xfId="264"/>
    <cellStyle name="SAPBEXstdItem 3 2" xfId="13727"/>
    <cellStyle name="SAPBEXstdItem 3 2 2" xfId="25540"/>
    <cellStyle name="SAPBEXstdItem 3 2 2 2" xfId="27693"/>
    <cellStyle name="SAPBEXstdItem 3 2 2 3" xfId="28485"/>
    <cellStyle name="SAPBEXstdItem 3 2 2 4" xfId="26696"/>
    <cellStyle name="SAPBEXstdItem 3 2 2 5" xfId="30038"/>
    <cellStyle name="SAPBEXstdItem 3 2 3" xfId="26647"/>
    <cellStyle name="SAPBEXstdItem 3 2 4" xfId="28484"/>
    <cellStyle name="SAPBEXstdItem 3 2 5" xfId="26242"/>
    <cellStyle name="SAPBEXstdItem 3 2 6" xfId="30037"/>
    <cellStyle name="SAPBEXstdItem 3 3" xfId="25930"/>
    <cellStyle name="SAPBEXstdItem 3 4" xfId="28483"/>
    <cellStyle name="SAPBEXstdItem 3 5" xfId="27929"/>
    <cellStyle name="SAPBEXstdItem 3 6" xfId="30036"/>
    <cellStyle name="SAPBEXstdItem 4" xfId="265"/>
    <cellStyle name="SAPBEXstdItem 4 2" xfId="13728"/>
    <cellStyle name="SAPBEXstdItem 4 2 2" xfId="25541"/>
    <cellStyle name="SAPBEXstdItem 4 2 2 2" xfId="27694"/>
    <cellStyle name="SAPBEXstdItem 4 2 2 3" xfId="28488"/>
    <cellStyle name="SAPBEXstdItem 4 2 2 4" xfId="26160"/>
    <cellStyle name="SAPBEXstdItem 4 2 2 5" xfId="30041"/>
    <cellStyle name="SAPBEXstdItem 4 2 3" xfId="26648"/>
    <cellStyle name="SAPBEXstdItem 4 2 4" xfId="28487"/>
    <cellStyle name="SAPBEXstdItem 4 2 5" xfId="26118"/>
    <cellStyle name="SAPBEXstdItem 4 2 6" xfId="30040"/>
    <cellStyle name="SAPBEXstdItem 4 3" xfId="25931"/>
    <cellStyle name="SAPBEXstdItem 4 4" xfId="28486"/>
    <cellStyle name="SAPBEXstdItem 4 5" xfId="29217"/>
    <cellStyle name="SAPBEXstdItem 4 6" xfId="30039"/>
    <cellStyle name="SAPBEXstdItem 5" xfId="266"/>
    <cellStyle name="SAPBEXstdItem 5 2" xfId="13729"/>
    <cellStyle name="SAPBEXstdItem 5 2 2" xfId="25542"/>
    <cellStyle name="SAPBEXstdItem 5 2 2 2" xfId="27695"/>
    <cellStyle name="SAPBEXstdItem 5 2 2 3" xfId="28491"/>
    <cellStyle name="SAPBEXstdItem 5 2 2 4" xfId="26979"/>
    <cellStyle name="SAPBEXstdItem 5 2 2 5" xfId="30044"/>
    <cellStyle name="SAPBEXstdItem 5 2 3" xfId="26649"/>
    <cellStyle name="SAPBEXstdItem 5 2 4" xfId="28490"/>
    <cellStyle name="SAPBEXstdItem 5 2 5" xfId="26736"/>
    <cellStyle name="SAPBEXstdItem 5 2 6" xfId="30043"/>
    <cellStyle name="SAPBEXstdItem 5 3" xfId="25932"/>
    <cellStyle name="SAPBEXstdItem 5 4" xfId="28489"/>
    <cellStyle name="SAPBEXstdItem 5 5" xfId="26818"/>
    <cellStyle name="SAPBEXstdItem 5 6" xfId="30042"/>
    <cellStyle name="SAPBEXstdItem 6" xfId="267"/>
    <cellStyle name="SAPBEXstdItem 6 2" xfId="13730"/>
    <cellStyle name="SAPBEXstdItem 6 2 2" xfId="25543"/>
    <cellStyle name="SAPBEXstdItem 6 2 2 2" xfId="27696"/>
    <cellStyle name="SAPBEXstdItem 6 2 2 3" xfId="28494"/>
    <cellStyle name="SAPBEXstdItem 6 2 2 4" xfId="26990"/>
    <cellStyle name="SAPBEXstdItem 6 2 2 5" xfId="30047"/>
    <cellStyle name="SAPBEXstdItem 6 2 3" xfId="26650"/>
    <cellStyle name="SAPBEXstdItem 6 2 4" xfId="28493"/>
    <cellStyle name="SAPBEXstdItem 6 2 5" xfId="26714"/>
    <cellStyle name="SAPBEXstdItem 6 2 6" xfId="30046"/>
    <cellStyle name="SAPBEXstdItem 6 3" xfId="25933"/>
    <cellStyle name="SAPBEXstdItem 6 4" xfId="28492"/>
    <cellStyle name="SAPBEXstdItem 6 5" xfId="29222"/>
    <cellStyle name="SAPBEXstdItem 6 6" xfId="30045"/>
    <cellStyle name="SAPBEXstdItem 7" xfId="268"/>
    <cellStyle name="SAPBEXstdItem 7 2" xfId="13731"/>
    <cellStyle name="SAPBEXstdItem 7 2 2" xfId="25544"/>
    <cellStyle name="SAPBEXstdItem 7 2 2 2" xfId="27697"/>
    <cellStyle name="SAPBEXstdItem 7 2 2 3" xfId="28497"/>
    <cellStyle name="SAPBEXstdItem 7 2 2 4" xfId="26468"/>
    <cellStyle name="SAPBEXstdItem 7 2 2 5" xfId="30050"/>
    <cellStyle name="SAPBEXstdItem 7 2 3" xfId="26651"/>
    <cellStyle name="SAPBEXstdItem 7 2 4" xfId="28496"/>
    <cellStyle name="SAPBEXstdItem 7 2 5" xfId="27015"/>
    <cellStyle name="SAPBEXstdItem 7 2 6" xfId="30049"/>
    <cellStyle name="SAPBEXstdItem 7 3" xfId="25934"/>
    <cellStyle name="SAPBEXstdItem 7 4" xfId="28495"/>
    <cellStyle name="SAPBEXstdItem 7 5" xfId="26223"/>
    <cellStyle name="SAPBEXstdItem 7 6" xfId="30048"/>
    <cellStyle name="SAPBEXstdItem 8" xfId="416"/>
    <cellStyle name="SAPBEXstdItem 8 2" xfId="13795"/>
    <cellStyle name="SAPBEXstdItem 8 2 2" xfId="25553"/>
    <cellStyle name="SAPBEXstdItem 8 2 2 2" xfId="27706"/>
    <cellStyle name="SAPBEXstdItem 8 2 2 3" xfId="28500"/>
    <cellStyle name="SAPBEXstdItem 8 2 2 4" xfId="26129"/>
    <cellStyle name="SAPBEXstdItem 8 2 2 5" xfId="30053"/>
    <cellStyle name="SAPBEXstdItem 8 2 3" xfId="26670"/>
    <cellStyle name="SAPBEXstdItem 8 2 4" xfId="28499"/>
    <cellStyle name="SAPBEXstdItem 8 2 5" xfId="26407"/>
    <cellStyle name="SAPBEXstdItem 8 2 6" xfId="30052"/>
    <cellStyle name="SAPBEXstdItem 8 3" xfId="26011"/>
    <cellStyle name="SAPBEXstdItem 8 4" xfId="28498"/>
    <cellStyle name="SAPBEXstdItem 8 5" xfId="26783"/>
    <cellStyle name="SAPBEXstdItem 8 6" xfId="30051"/>
    <cellStyle name="SAPBEXstdItem 9" xfId="390"/>
    <cellStyle name="SAPBEXstdItem 9 2" xfId="13785"/>
    <cellStyle name="SAPBEXstdItem 9 2 2" xfId="25550"/>
    <cellStyle name="SAPBEXstdItem 9 2 2 2" xfId="27703"/>
    <cellStyle name="SAPBEXstdItem 9 2 2 3" xfId="28503"/>
    <cellStyle name="SAPBEXstdItem 9 2 2 4" xfId="26874"/>
    <cellStyle name="SAPBEXstdItem 9 2 2 5" xfId="30056"/>
    <cellStyle name="SAPBEXstdItem 9 2 3" xfId="26666"/>
    <cellStyle name="SAPBEXstdItem 9 2 4" xfId="28502"/>
    <cellStyle name="SAPBEXstdItem 9 2 5" xfId="26914"/>
    <cellStyle name="SAPBEXstdItem 9 2 6" xfId="30055"/>
    <cellStyle name="SAPBEXstdItem 9 3" xfId="26001"/>
    <cellStyle name="SAPBEXstdItem 9 4" xfId="28501"/>
    <cellStyle name="SAPBEXstdItem 9 5" xfId="26185"/>
    <cellStyle name="SAPBEXstdItem 9 6" xfId="30054"/>
    <cellStyle name="SAPBEXstdItem_Copy of xSAPtemp5457" xfId="269"/>
    <cellStyle name="SAPBEXstdItemX" xfId="144"/>
    <cellStyle name="SAPBEXstdItemX 10" xfId="24638"/>
    <cellStyle name="SAPBEXstdItemX 10 2" xfId="25372"/>
    <cellStyle name="SAPBEXstdItemX 10 2 2" xfId="27526"/>
    <cellStyle name="SAPBEXstdItemX 10 2 3" xfId="28506"/>
    <cellStyle name="SAPBEXstdItemX 10 2 4" xfId="26343"/>
    <cellStyle name="SAPBEXstdItemX 10 2 5" xfId="30059"/>
    <cellStyle name="SAPBEXstdItemX 10 3" xfId="25604"/>
    <cellStyle name="SAPBEXstdItemX 10 3 2" xfId="27757"/>
    <cellStyle name="SAPBEXstdItemX 10 3 3" xfId="28507"/>
    <cellStyle name="SAPBEXstdItemX 10 3 4" xfId="26157"/>
    <cellStyle name="SAPBEXstdItemX 10 3 5" xfId="30060"/>
    <cellStyle name="SAPBEXstdItemX 10 4" xfId="27231"/>
    <cellStyle name="SAPBEXstdItemX 10 5" xfId="28505"/>
    <cellStyle name="SAPBEXstdItemX 10 6" xfId="26817"/>
    <cellStyle name="SAPBEXstdItemX 10 7" xfId="30058"/>
    <cellStyle name="SAPBEXstdItemX 11" xfId="25135"/>
    <cellStyle name="SAPBEXstdItemX 11 2" xfId="25393"/>
    <cellStyle name="SAPBEXstdItemX 11 2 2" xfId="27547"/>
    <cellStyle name="SAPBEXstdItemX 11 2 3" xfId="28509"/>
    <cellStyle name="SAPBEXstdItemX 11 2 4" xfId="26936"/>
    <cellStyle name="SAPBEXstdItemX 11 2 5" xfId="30062"/>
    <cellStyle name="SAPBEXstdItemX 11 3" xfId="25733"/>
    <cellStyle name="SAPBEXstdItemX 11 3 2" xfId="27886"/>
    <cellStyle name="SAPBEXstdItemX 11 3 3" xfId="28510"/>
    <cellStyle name="SAPBEXstdItemX 11 3 4" xfId="26503"/>
    <cellStyle name="SAPBEXstdItemX 11 3 5" xfId="30063"/>
    <cellStyle name="SAPBEXstdItemX 11 4" xfId="27420"/>
    <cellStyle name="SAPBEXstdItemX 11 5" xfId="28508"/>
    <cellStyle name="SAPBEXstdItemX 11 6" xfId="26901"/>
    <cellStyle name="SAPBEXstdItemX 11 7" xfId="30061"/>
    <cellStyle name="SAPBEXstdItemX 12" xfId="25875"/>
    <cellStyle name="SAPBEXstdItemX 13" xfId="28504"/>
    <cellStyle name="SAPBEXstdItemX 14" xfId="29231"/>
    <cellStyle name="SAPBEXstdItemX 15" xfId="30057"/>
    <cellStyle name="SAPBEXstdItemX 2" xfId="145"/>
    <cellStyle name="SAPBEXstdItemX 2 2" xfId="13679"/>
    <cellStyle name="SAPBEXstdItemX 2 2 2" xfId="25517"/>
    <cellStyle name="SAPBEXstdItemX 2 2 2 2" xfId="27670"/>
    <cellStyle name="SAPBEXstdItemX 2 2 2 3" xfId="28513"/>
    <cellStyle name="SAPBEXstdItemX 2 2 2 4" xfId="26533"/>
    <cellStyle name="SAPBEXstdItemX 2 2 2 5" xfId="30066"/>
    <cellStyle name="SAPBEXstdItemX 2 2 3" xfId="26621"/>
    <cellStyle name="SAPBEXstdItemX 2 2 4" xfId="28512"/>
    <cellStyle name="SAPBEXstdItemX 2 2 5" xfId="26148"/>
    <cellStyle name="SAPBEXstdItemX 2 2 6" xfId="30065"/>
    <cellStyle name="SAPBEXstdItemX 2 3" xfId="25876"/>
    <cellStyle name="SAPBEXstdItemX 2 4" xfId="28511"/>
    <cellStyle name="SAPBEXstdItemX 2 5" xfId="29195"/>
    <cellStyle name="SAPBEXstdItemX 2 6" xfId="30064"/>
    <cellStyle name="SAPBEXstdItemX 3" xfId="270"/>
    <cellStyle name="SAPBEXstdItemX 3 2" xfId="13732"/>
    <cellStyle name="SAPBEXstdItemX 3 2 2" xfId="25545"/>
    <cellStyle name="SAPBEXstdItemX 3 2 2 2" xfId="27698"/>
    <cellStyle name="SAPBEXstdItemX 3 2 2 3" xfId="28516"/>
    <cellStyle name="SAPBEXstdItemX 3 2 2 4" xfId="26382"/>
    <cellStyle name="SAPBEXstdItemX 3 2 2 5" xfId="30069"/>
    <cellStyle name="SAPBEXstdItemX 3 2 3" xfId="26652"/>
    <cellStyle name="SAPBEXstdItemX 3 2 4" xfId="28515"/>
    <cellStyle name="SAPBEXstdItemX 3 2 5" xfId="26866"/>
    <cellStyle name="SAPBEXstdItemX 3 2 6" xfId="30068"/>
    <cellStyle name="SAPBEXstdItemX 3 3" xfId="25935"/>
    <cellStyle name="SAPBEXstdItemX 3 4" xfId="28514"/>
    <cellStyle name="SAPBEXstdItemX 3 5" xfId="29221"/>
    <cellStyle name="SAPBEXstdItemX 3 6" xfId="30067"/>
    <cellStyle name="SAPBEXstdItemX 4" xfId="271"/>
    <cellStyle name="SAPBEXstdItemX 4 2" xfId="13733"/>
    <cellStyle name="SAPBEXstdItemX 4 2 2" xfId="25546"/>
    <cellStyle name="SAPBEXstdItemX 4 2 2 2" xfId="27699"/>
    <cellStyle name="SAPBEXstdItemX 4 2 2 3" xfId="28519"/>
    <cellStyle name="SAPBEXstdItemX 4 2 2 4" xfId="26059"/>
    <cellStyle name="SAPBEXstdItemX 4 2 2 5" xfId="30072"/>
    <cellStyle name="SAPBEXstdItemX 4 2 3" xfId="26653"/>
    <cellStyle name="SAPBEXstdItemX 4 2 4" xfId="28518"/>
    <cellStyle name="SAPBEXstdItemX 4 2 5" xfId="26252"/>
    <cellStyle name="SAPBEXstdItemX 4 2 6" xfId="30071"/>
    <cellStyle name="SAPBEXstdItemX 4 3" xfId="25936"/>
    <cellStyle name="SAPBEXstdItemX 4 4" xfId="28517"/>
    <cellStyle name="SAPBEXstdItemX 4 5" xfId="26433"/>
    <cellStyle name="SAPBEXstdItemX 4 6" xfId="30070"/>
    <cellStyle name="SAPBEXstdItemX 5" xfId="272"/>
    <cellStyle name="SAPBEXstdItemX 5 2" xfId="13734"/>
    <cellStyle name="SAPBEXstdItemX 5 2 2" xfId="25547"/>
    <cellStyle name="SAPBEXstdItemX 5 2 2 2" xfId="27700"/>
    <cellStyle name="SAPBEXstdItemX 5 2 2 3" xfId="28522"/>
    <cellStyle name="SAPBEXstdItemX 5 2 2 4" xfId="26853"/>
    <cellStyle name="SAPBEXstdItemX 5 2 2 5" xfId="30075"/>
    <cellStyle name="SAPBEXstdItemX 5 2 3" xfId="26654"/>
    <cellStyle name="SAPBEXstdItemX 5 2 4" xfId="28521"/>
    <cellStyle name="SAPBEXstdItemX 5 2 5" xfId="26907"/>
    <cellStyle name="SAPBEXstdItemX 5 2 6" xfId="30074"/>
    <cellStyle name="SAPBEXstdItemX 5 3" xfId="25937"/>
    <cellStyle name="SAPBEXstdItemX 5 4" xfId="28520"/>
    <cellStyle name="SAPBEXstdItemX 5 5" xfId="27930"/>
    <cellStyle name="SAPBEXstdItemX 5 6" xfId="30073"/>
    <cellStyle name="SAPBEXstdItemX 6" xfId="273"/>
    <cellStyle name="SAPBEXstdItemX 6 2" xfId="13735"/>
    <cellStyle name="SAPBEXstdItemX 6 2 2" xfId="25548"/>
    <cellStyle name="SAPBEXstdItemX 6 2 2 2" xfId="27701"/>
    <cellStyle name="SAPBEXstdItemX 6 2 2 3" xfId="28525"/>
    <cellStyle name="SAPBEXstdItemX 6 2 2 4" xfId="26784"/>
    <cellStyle name="SAPBEXstdItemX 6 2 2 5" xfId="30078"/>
    <cellStyle name="SAPBEXstdItemX 6 2 3" xfId="26655"/>
    <cellStyle name="SAPBEXstdItemX 6 2 4" xfId="28524"/>
    <cellStyle name="SAPBEXstdItemX 6 2 5" xfId="26344"/>
    <cellStyle name="SAPBEXstdItemX 6 2 6" xfId="30077"/>
    <cellStyle name="SAPBEXstdItemX 6 3" xfId="25938"/>
    <cellStyle name="SAPBEXstdItemX 6 4" xfId="28523"/>
    <cellStyle name="SAPBEXstdItemX 6 5" xfId="29220"/>
    <cellStyle name="SAPBEXstdItemX 6 6" xfId="30076"/>
    <cellStyle name="SAPBEXstdItemX 7" xfId="274"/>
    <cellStyle name="SAPBEXstdItemX 7 2" xfId="13736"/>
    <cellStyle name="SAPBEXstdItemX 7 2 2" xfId="25549"/>
    <cellStyle name="SAPBEXstdItemX 7 2 2 2" xfId="27702"/>
    <cellStyle name="SAPBEXstdItemX 7 2 2 3" xfId="28528"/>
    <cellStyle name="SAPBEXstdItemX 7 2 2 4" xfId="26260"/>
    <cellStyle name="SAPBEXstdItemX 7 2 2 5" xfId="30081"/>
    <cellStyle name="SAPBEXstdItemX 7 2 3" xfId="26656"/>
    <cellStyle name="SAPBEXstdItemX 7 2 4" xfId="28527"/>
    <cellStyle name="SAPBEXstdItemX 7 2 5" xfId="26983"/>
    <cellStyle name="SAPBEXstdItemX 7 2 6" xfId="30080"/>
    <cellStyle name="SAPBEXstdItemX 7 3" xfId="25939"/>
    <cellStyle name="SAPBEXstdItemX 7 4" xfId="28526"/>
    <cellStyle name="SAPBEXstdItemX 7 5" xfId="27019"/>
    <cellStyle name="SAPBEXstdItemX 7 6" xfId="30079"/>
    <cellStyle name="SAPBEXstdItemX 8" xfId="417"/>
    <cellStyle name="SAPBEXstdItemX 8 2" xfId="13796"/>
    <cellStyle name="SAPBEXstdItemX 8 2 2" xfId="25554"/>
    <cellStyle name="SAPBEXstdItemX 8 2 2 2" xfId="27707"/>
    <cellStyle name="SAPBEXstdItemX 8 2 2 3" xfId="28531"/>
    <cellStyle name="SAPBEXstdItemX 8 2 2 4" xfId="26424"/>
    <cellStyle name="SAPBEXstdItemX 8 2 2 5" xfId="30084"/>
    <cellStyle name="SAPBEXstdItemX 8 2 3" xfId="26671"/>
    <cellStyle name="SAPBEXstdItemX 8 2 4" xfId="28530"/>
    <cellStyle name="SAPBEXstdItemX 8 2 5" xfId="26921"/>
    <cellStyle name="SAPBEXstdItemX 8 2 6" xfId="30083"/>
    <cellStyle name="SAPBEXstdItemX 8 3" xfId="26012"/>
    <cellStyle name="SAPBEXstdItemX 8 4" xfId="28529"/>
    <cellStyle name="SAPBEXstdItemX 8 5" xfId="29219"/>
    <cellStyle name="SAPBEXstdItemX 8 6" xfId="30082"/>
    <cellStyle name="SAPBEXstdItemX 9" xfId="13678"/>
    <cellStyle name="SAPBEXstdItemX 9 2" xfId="25516"/>
    <cellStyle name="SAPBEXstdItemX 9 2 2" xfId="27669"/>
    <cellStyle name="SAPBEXstdItemX 9 2 3" xfId="28533"/>
    <cellStyle name="SAPBEXstdItemX 9 2 4" xfId="26099"/>
    <cellStyle name="SAPBEXstdItemX 9 2 5" xfId="30086"/>
    <cellStyle name="SAPBEXstdItemX 9 3" xfId="26620"/>
    <cellStyle name="SAPBEXstdItemX 9 4" xfId="28532"/>
    <cellStyle name="SAPBEXstdItemX 9 5" xfId="26945"/>
    <cellStyle name="SAPBEXstdItemX 9 6" xfId="30085"/>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2 2 2" xfId="27671"/>
    <cellStyle name="SAPBEXundefined 2 2 3" xfId="28536"/>
    <cellStyle name="SAPBEXundefined 2 2 4" xfId="26161"/>
    <cellStyle name="SAPBEXundefined 2 2 5" xfId="30089"/>
    <cellStyle name="SAPBEXundefined 2 3" xfId="26622"/>
    <cellStyle name="SAPBEXundefined 2 4" xfId="28535"/>
    <cellStyle name="SAPBEXundefined 2 5" xfId="26700"/>
    <cellStyle name="SAPBEXundefined 2 6" xfId="30088"/>
    <cellStyle name="SAPBEXundefined 3" xfId="24637"/>
    <cellStyle name="SAPBEXundefined 3 2" xfId="25290"/>
    <cellStyle name="SAPBEXundefined 3 2 2" xfId="27445"/>
    <cellStyle name="SAPBEXundefined 3 2 3" xfId="28538"/>
    <cellStyle name="SAPBEXundefined 3 2 4" xfId="26819"/>
    <cellStyle name="SAPBEXundefined 3 2 5" xfId="30091"/>
    <cellStyle name="SAPBEXundefined 3 3" xfId="25603"/>
    <cellStyle name="SAPBEXundefined 3 3 2" xfId="27756"/>
    <cellStyle name="SAPBEXundefined 3 3 3" xfId="28539"/>
    <cellStyle name="SAPBEXundefined 3 3 4" xfId="26846"/>
    <cellStyle name="SAPBEXundefined 3 3 5" xfId="30092"/>
    <cellStyle name="SAPBEXundefined 3 4" xfId="27230"/>
    <cellStyle name="SAPBEXundefined 3 5" xfId="28537"/>
    <cellStyle name="SAPBEXundefined 3 6" xfId="27303"/>
    <cellStyle name="SAPBEXundefined 3 7" xfId="30090"/>
    <cellStyle name="SAPBEXundefined 4" xfId="25136"/>
    <cellStyle name="SAPBEXundefined 4 2" xfId="25302"/>
    <cellStyle name="SAPBEXundefined 4 2 2" xfId="27456"/>
    <cellStyle name="SAPBEXundefined 4 2 3" xfId="28541"/>
    <cellStyle name="SAPBEXundefined 4 2 4" xfId="26109"/>
    <cellStyle name="SAPBEXundefined 4 2 5" xfId="30094"/>
    <cellStyle name="SAPBEXundefined 4 3" xfId="25734"/>
    <cellStyle name="SAPBEXundefined 4 3 2" xfId="27887"/>
    <cellStyle name="SAPBEXundefined 4 3 3" xfId="28542"/>
    <cellStyle name="SAPBEXundefined 4 3 4" xfId="26414"/>
    <cellStyle name="SAPBEXundefined 4 3 5" xfId="30095"/>
    <cellStyle name="SAPBEXundefined 4 4" xfId="27421"/>
    <cellStyle name="SAPBEXundefined 4 5" xfId="28540"/>
    <cellStyle name="SAPBEXundefined 4 6" xfId="26396"/>
    <cellStyle name="SAPBEXundefined 4 7" xfId="30093"/>
    <cellStyle name="SAPBEXundefined 5" xfId="25877"/>
    <cellStyle name="SAPBEXundefined 6" xfId="28534"/>
    <cellStyle name="SAPBEXundefined 7" xfId="26760"/>
    <cellStyle name="SAPBEXundefined 8" xfId="30087"/>
    <cellStyle name="Shade" xfId="150"/>
    <cellStyle name="Shaded" xfId="615"/>
    <cellStyle name="Sheet Title" xfId="24273"/>
    <cellStyle name="Special" xfId="151"/>
    <cellStyle name="Special 2" xfId="25878"/>
    <cellStyle name="Special 3" xfId="28543"/>
    <cellStyle name="Special 4" xfId="30096"/>
    <cellStyle name="Style 1" xfId="152"/>
    <cellStyle name="Style 1 2" xfId="24274"/>
    <cellStyle name="Style 1 2 2" xfId="27127"/>
    <cellStyle name="Style 1 3" xfId="23908"/>
    <cellStyle name="Style 1 4" xfId="25879"/>
    <cellStyle name="Style 1 5" xfId="29263"/>
    <cellStyle name="Style 2" xfId="29264"/>
    <cellStyle name="Style 27" xfId="153"/>
    <cellStyle name="Style 27 2" xfId="25880"/>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2 2" xfId="27506"/>
    <cellStyle name="TableBase 2 2 3" xfId="29197"/>
    <cellStyle name="TableBase 2 2 4" xfId="27018"/>
    <cellStyle name="TableBase 2 2 5" xfId="29270"/>
    <cellStyle name="TableBase 2 2 6" xfId="29423"/>
    <cellStyle name="TableBase 2 3" xfId="25598"/>
    <cellStyle name="TableBase 2 3 2" xfId="27751"/>
    <cellStyle name="TableBase 2 3 3" xfId="29234"/>
    <cellStyle name="TableBase 2 3 4" xfId="26249"/>
    <cellStyle name="TableBase 2 3 5" xfId="29269"/>
    <cellStyle name="TableBase 2 3 6" xfId="29424"/>
    <cellStyle name="TableBase 2 4" xfId="27208"/>
    <cellStyle name="TableBase 2 5" xfId="27038"/>
    <cellStyle name="TableBase 2 6" xfId="26764"/>
    <cellStyle name="TableBase 2 7" xfId="29271"/>
    <cellStyle name="TableBase 2 8" xfId="29422"/>
    <cellStyle name="TableBase 3" xfId="24688"/>
    <cellStyle name="TableBase 3 2" xfId="25440"/>
    <cellStyle name="TableBase 3 2 2" xfId="27594"/>
    <cellStyle name="TableBase 3 2 3" xfId="29213"/>
    <cellStyle name="TableBase 3 2 4" xfId="26338"/>
    <cellStyle name="TableBase 3 2 5" xfId="29267"/>
    <cellStyle name="TableBase 3 2 6" xfId="29426"/>
    <cellStyle name="TableBase 3 3" xfId="25650"/>
    <cellStyle name="TableBase 3 3 2" xfId="27803"/>
    <cellStyle name="TableBase 3 3 3" xfId="29236"/>
    <cellStyle name="TableBase 3 3 4" xfId="26278"/>
    <cellStyle name="TableBase 3 3 5" xfId="29266"/>
    <cellStyle name="TableBase 3 3 6" xfId="29427"/>
    <cellStyle name="TableBase 3 4" xfId="27278"/>
    <cellStyle name="TableBase 3 5" xfId="26036"/>
    <cellStyle name="TableBase 3 6" xfId="26809"/>
    <cellStyle name="TableBase 3 7" xfId="29268"/>
    <cellStyle name="TableBase 3 8" xfId="29425"/>
    <cellStyle name="TableBase 4" xfId="29272"/>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2 2" xfId="27566"/>
    <cellStyle name="Total 2 2 2 2 3" xfId="28550"/>
    <cellStyle name="Total 2 2 2 2 4" xfId="26251"/>
    <cellStyle name="Total 2 2 2 2 5" xfId="30098"/>
    <cellStyle name="Total 2 2 2 3" xfId="25592"/>
    <cellStyle name="Total 2 2 2 3 2" xfId="27745"/>
    <cellStyle name="Total 2 2 2 3 3" xfId="28551"/>
    <cellStyle name="Total 2 2 2 3 4" xfId="26940"/>
    <cellStyle name="Total 2 2 2 3 5" xfId="30099"/>
    <cellStyle name="Total 2 2 2 4" xfId="27129"/>
    <cellStyle name="Total 2 2 2 5" xfId="28549"/>
    <cellStyle name="Total 2 2 2 6" xfId="26073"/>
    <cellStyle name="Total 2 2 2 7" xfId="30097"/>
    <cellStyle name="Total 2 2 3" xfId="24633"/>
    <cellStyle name="Total 2 2 3 2" xfId="25351"/>
    <cellStyle name="Total 2 2 3 2 2" xfId="27505"/>
    <cellStyle name="Total 2 2 3 2 3" xfId="28553"/>
    <cellStyle name="Total 2 2 3 2 4" xfId="26870"/>
    <cellStyle name="Total 2 2 3 2 5" xfId="30101"/>
    <cellStyle name="Total 2 2 3 3" xfId="25601"/>
    <cellStyle name="Total 2 2 3 3 2" xfId="27754"/>
    <cellStyle name="Total 2 2 3 3 3" xfId="28554"/>
    <cellStyle name="Total 2 2 3 3 4" xfId="26210"/>
    <cellStyle name="Total 2 2 3 3 5" xfId="30102"/>
    <cellStyle name="Total 2 2 3 4" xfId="27227"/>
    <cellStyle name="Total 2 2 3 5" xfId="28552"/>
    <cellStyle name="Total 2 2 3 6" xfId="26116"/>
    <cellStyle name="Total 2 2 3 7" xfId="30100"/>
    <cellStyle name="Total 2 2 4" xfId="25139"/>
    <cellStyle name="Total 2 2 4 2" xfId="25422"/>
    <cellStyle name="Total 2 2 4 2 2" xfId="27576"/>
    <cellStyle name="Total 2 2 4 2 3" xfId="28556"/>
    <cellStyle name="Total 2 2 4 2 4" xfId="26737"/>
    <cellStyle name="Total 2 2 4 2 5" xfId="30104"/>
    <cellStyle name="Total 2 2 4 3" xfId="25736"/>
    <cellStyle name="Total 2 2 4 3 2" xfId="27889"/>
    <cellStyle name="Total 2 2 4 3 3" xfId="28557"/>
    <cellStyle name="Total 2 2 4 3 4" xfId="29258"/>
    <cellStyle name="Total 2 2 4 3 5" xfId="30105"/>
    <cellStyle name="Total 2 2 4 4" xfId="27423"/>
    <cellStyle name="Total 2 2 4 5" xfId="28555"/>
    <cellStyle name="Total 2 2 4 6" xfId="26941"/>
    <cellStyle name="Total 2 2 4 7" xfId="30103"/>
    <cellStyle name="Total 2 3" xfId="13681"/>
    <cellStyle name="Total 2 4" xfId="24278"/>
    <cellStyle name="Total 2 4 2" xfId="25310"/>
    <cellStyle name="Total 2 4 2 2" xfId="27464"/>
    <cellStyle name="Total 2 4 2 3" xfId="28559"/>
    <cellStyle name="Total 2 4 2 4" xfId="26951"/>
    <cellStyle name="Total 2 4 2 5" xfId="30107"/>
    <cellStyle name="Total 2 4 3" xfId="25591"/>
    <cellStyle name="Total 2 4 3 2" xfId="27744"/>
    <cellStyle name="Total 2 4 3 3" xfId="28560"/>
    <cellStyle name="Total 2 4 3 4" xfId="26333"/>
    <cellStyle name="Total 2 4 3 5" xfId="30108"/>
    <cellStyle name="Total 2 4 4" xfId="27128"/>
    <cellStyle name="Total 2 4 5" xfId="28558"/>
    <cellStyle name="Total 2 4 6" xfId="26672"/>
    <cellStyle name="Total 2 4 7" xfId="30106"/>
    <cellStyle name="Total 2 5" xfId="24634"/>
    <cellStyle name="Total 2 5 2" xfId="25452"/>
    <cellStyle name="Total 2 5 2 2" xfId="27606"/>
    <cellStyle name="Total 2 5 2 3" xfId="28562"/>
    <cellStyle name="Total 2 5 2 4" xfId="26849"/>
    <cellStyle name="Total 2 5 2 5" xfId="30110"/>
    <cellStyle name="Total 2 5 3" xfId="25602"/>
    <cellStyle name="Total 2 5 3 2" xfId="27755"/>
    <cellStyle name="Total 2 5 3 3" xfId="28563"/>
    <cellStyle name="Total 2 5 3 4" xfId="26095"/>
    <cellStyle name="Total 2 5 3 5" xfId="30111"/>
    <cellStyle name="Total 2 5 4" xfId="27228"/>
    <cellStyle name="Total 2 5 5" xfId="28561"/>
    <cellStyle name="Total 2 5 6" xfId="26698"/>
    <cellStyle name="Total 2 5 7" xfId="30109"/>
    <cellStyle name="Total 2 6" xfId="25138"/>
    <cellStyle name="Total 2 6 2" xfId="25318"/>
    <cellStyle name="Total 2 6 2 2" xfId="27472"/>
    <cellStyle name="Total 2 6 2 3" xfId="28565"/>
    <cellStyle name="Total 2 6 2 4" xfId="26865"/>
    <cellStyle name="Total 2 6 2 5" xfId="30113"/>
    <cellStyle name="Total 2 6 3" xfId="25735"/>
    <cellStyle name="Total 2 6 3 2" xfId="27888"/>
    <cellStyle name="Total 2 6 3 3" xfId="28566"/>
    <cellStyle name="Total 2 6 3 4" xfId="26963"/>
    <cellStyle name="Total 2 6 3 5" xfId="30114"/>
    <cellStyle name="Total 2 6 4" xfId="27422"/>
    <cellStyle name="Total 2 6 5" xfId="28564"/>
    <cellStyle name="Total 2 6 6" xfId="26334"/>
    <cellStyle name="Total 2 6 7" xfId="30112"/>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2 2" xfId="27488"/>
    <cellStyle name="Total 3 2 2 2 3" xfId="28572"/>
    <cellStyle name="Total 3 2 2 2 4" xfId="26240"/>
    <cellStyle name="Total 3 2 2 2 5" xfId="30117"/>
    <cellStyle name="Total 3 2 2 3" xfId="25599"/>
    <cellStyle name="Total 3 2 2 3 2" xfId="27752"/>
    <cellStyle name="Total 3 2 2 3 3" xfId="28573"/>
    <cellStyle name="Total 3 2 2 3 4" xfId="26294"/>
    <cellStyle name="Total 3 2 2 3 5" xfId="30118"/>
    <cellStyle name="Total 3 2 2 4" xfId="27225"/>
    <cellStyle name="Total 3 2 2 5" xfId="28571"/>
    <cellStyle name="Total 3 2 2 6" xfId="26546"/>
    <cellStyle name="Total 3 2 2 7" xfId="30116"/>
    <cellStyle name="Total 3 2 3" xfId="25141"/>
    <cellStyle name="Total 3 2 3 2" xfId="25436"/>
    <cellStyle name="Total 3 2 3 2 2" xfId="27590"/>
    <cellStyle name="Total 3 2 3 2 3" xfId="28575"/>
    <cellStyle name="Total 3 2 3 2 4" xfId="27044"/>
    <cellStyle name="Total 3 2 3 2 5" xfId="30120"/>
    <cellStyle name="Total 3 2 3 3" xfId="25738"/>
    <cellStyle name="Total 3 2 3 3 2" xfId="27891"/>
    <cellStyle name="Total 3 2 3 3 3" xfId="28576"/>
    <cellStyle name="Total 3 2 3 3 4" xfId="29260"/>
    <cellStyle name="Total 3 2 3 3 5" xfId="30121"/>
    <cellStyle name="Total 3 2 3 4" xfId="27425"/>
    <cellStyle name="Total 3 2 3 5" xfId="28574"/>
    <cellStyle name="Total 3 2 3 6" xfId="26808"/>
    <cellStyle name="Total 3 2 3 7" xfId="30119"/>
    <cellStyle name="Total 3 2 4" xfId="25426"/>
    <cellStyle name="Total 3 2 4 2" xfId="27580"/>
    <cellStyle name="Total 3 2 4 3" xfId="28577"/>
    <cellStyle name="Total 3 2 4 4" xfId="26824"/>
    <cellStyle name="Total 3 2 4 5" xfId="30122"/>
    <cellStyle name="Total 3 2 5" xfId="25594"/>
    <cellStyle name="Total 3 2 5 2" xfId="27747"/>
    <cellStyle name="Total 3 2 5 3" xfId="28578"/>
    <cellStyle name="Total 3 2 5 4" xfId="26807"/>
    <cellStyle name="Total 3 2 5 5" xfId="30123"/>
    <cellStyle name="Total 3 2 6" xfId="27131"/>
    <cellStyle name="Total 3 2 7" xfId="28570"/>
    <cellStyle name="Total 3 2 8" xfId="26917"/>
    <cellStyle name="Total 3 2 9" xfId="30115"/>
    <cellStyle name="Total 3 3" xfId="24280"/>
    <cellStyle name="Total 3 3 2" xfId="25325"/>
    <cellStyle name="Total 3 3 2 2" xfId="27479"/>
    <cellStyle name="Total 3 3 2 3" xfId="28580"/>
    <cellStyle name="Total 3 3 2 4" xfId="26170"/>
    <cellStyle name="Total 3 3 2 5" xfId="30125"/>
    <cellStyle name="Total 3 3 3" xfId="25593"/>
    <cellStyle name="Total 3 3 3 2" xfId="27746"/>
    <cellStyle name="Total 3 3 3 3" xfId="28581"/>
    <cellStyle name="Total 3 3 3 4" xfId="26298"/>
    <cellStyle name="Total 3 3 3 5" xfId="30126"/>
    <cellStyle name="Total 3 3 4" xfId="27130"/>
    <cellStyle name="Total 3 3 5" xfId="28579"/>
    <cellStyle name="Total 3 3 6" xfId="26517"/>
    <cellStyle name="Total 3 3 7" xfId="30124"/>
    <cellStyle name="Total 3 4" xfId="24632"/>
    <cellStyle name="Total 3 4 2" xfId="25435"/>
    <cellStyle name="Total 3 4 2 2" xfId="27589"/>
    <cellStyle name="Total 3 4 2 3" xfId="28583"/>
    <cellStyle name="Total 3 4 2 4" xfId="26993"/>
    <cellStyle name="Total 3 4 2 5" xfId="30128"/>
    <cellStyle name="Total 3 4 3" xfId="25600"/>
    <cellStyle name="Total 3 4 3 2" xfId="27753"/>
    <cellStyle name="Total 3 4 3 3" xfId="28584"/>
    <cellStyle name="Total 3 4 3 4" xfId="26225"/>
    <cellStyle name="Total 3 4 3 5" xfId="30129"/>
    <cellStyle name="Total 3 4 4" xfId="27226"/>
    <cellStyle name="Total 3 4 5" xfId="28582"/>
    <cellStyle name="Total 3 4 6" xfId="26421"/>
    <cellStyle name="Total 3 4 7" xfId="30127"/>
    <cellStyle name="Total 3 5" xfId="25140"/>
    <cellStyle name="Total 3 5 2" xfId="25339"/>
    <cellStyle name="Total 3 5 2 2" xfId="27493"/>
    <cellStyle name="Total 3 5 2 3" xfId="28586"/>
    <cellStyle name="Total 3 5 2 4" xfId="26339"/>
    <cellStyle name="Total 3 5 2 5" xfId="30131"/>
    <cellStyle name="Total 3 5 3" xfId="25737"/>
    <cellStyle name="Total 3 5 3 2" xfId="27890"/>
    <cellStyle name="Total 3 5 3 3" xfId="28587"/>
    <cellStyle name="Total 3 5 3 4" xfId="29259"/>
    <cellStyle name="Total 3 5 3 5" xfId="30132"/>
    <cellStyle name="Total 3 5 4" xfId="27424"/>
    <cellStyle name="Total 3 5 5" xfId="28585"/>
    <cellStyle name="Total 3 5 6" xfId="26299"/>
    <cellStyle name="Total 3 5 7" xfId="30130"/>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2 2" xfId="27496"/>
    <cellStyle name="Total 4 2 2 3" xfId="28589"/>
    <cellStyle name="Total 4 2 2 4" xfId="26403"/>
    <cellStyle name="Total 4 2 2 5" xfId="30134"/>
    <cellStyle name="Total 4 2 3" xfId="25595"/>
    <cellStyle name="Total 4 2 3 2" xfId="27748"/>
    <cellStyle name="Total 4 2 3 3" xfId="28590"/>
    <cellStyle name="Total 4 2 3 4" xfId="26125"/>
    <cellStyle name="Total 4 2 3 5" xfId="30135"/>
    <cellStyle name="Total 4 2 4" xfId="27132"/>
    <cellStyle name="Total 4 2 5" xfId="28588"/>
    <cellStyle name="Total 4 2 6" xfId="26084"/>
    <cellStyle name="Total 4 2 7" xfId="30133"/>
    <cellStyle name="Total 4 3" xfId="24919"/>
    <cellStyle name="Total 4 3 2" xfId="25398"/>
    <cellStyle name="Total 4 3 2 2" xfId="27552"/>
    <cellStyle name="Total 4 3 2 3" xfId="28592"/>
    <cellStyle name="Total 4 3 2 4" xfId="26267"/>
    <cellStyle name="Total 4 3 2 5" xfId="30137"/>
    <cellStyle name="Total 4 3 3" xfId="25666"/>
    <cellStyle name="Total 4 3 3 2" xfId="27819"/>
    <cellStyle name="Total 4 3 3 3" xfId="28593"/>
    <cellStyle name="Total 4 3 3 4" xfId="26388"/>
    <cellStyle name="Total 4 3 3 5" xfId="30138"/>
    <cellStyle name="Total 4 3 4" xfId="27328"/>
    <cellStyle name="Total 4 3 5" xfId="28591"/>
    <cellStyle name="Total 4 3 6" xfId="26486"/>
    <cellStyle name="Total 4 3 7" xfId="30136"/>
    <cellStyle name="Total 4 4" xfId="25142"/>
    <cellStyle name="Total 4 4 2" xfId="25353"/>
    <cellStyle name="Total 4 4 2 2" xfId="27507"/>
    <cellStyle name="Total 4 4 2 3" xfId="28595"/>
    <cellStyle name="Total 4 4 2 4" xfId="26361"/>
    <cellStyle name="Total 4 4 2 5" xfId="30140"/>
    <cellStyle name="Total 4 4 3" xfId="25739"/>
    <cellStyle name="Total 4 4 3 2" xfId="27892"/>
    <cellStyle name="Total 4 4 3 3" xfId="28596"/>
    <cellStyle name="Total 4 4 3 4" xfId="29261"/>
    <cellStyle name="Total 4 4 3 5" xfId="30141"/>
    <cellStyle name="Total 4 4 4" xfId="27426"/>
    <cellStyle name="Total 4 4 5" xfId="28594"/>
    <cellStyle name="Total 4 4 6" xfId="26140"/>
    <cellStyle name="Total 4 4 7" xfId="301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2 2" xfId="27597"/>
    <cellStyle name="Total 5 2 2 3" xfId="28598"/>
    <cellStyle name="Total 5 2 2 4" xfId="26811"/>
    <cellStyle name="Total 5 2 2 5" xfId="30143"/>
    <cellStyle name="Total 5 2 3" xfId="25596"/>
    <cellStyle name="Total 5 2 3 2" xfId="27749"/>
    <cellStyle name="Total 5 2 3 3" xfId="28599"/>
    <cellStyle name="Total 5 2 3 4" xfId="26072"/>
    <cellStyle name="Total 5 2 3 5" xfId="30144"/>
    <cellStyle name="Total 5 2 4" xfId="27133"/>
    <cellStyle name="Total 5 2 5" xfId="28597"/>
    <cellStyle name="Total 5 2 6" xfId="26931"/>
    <cellStyle name="Total 5 2 7" xfId="30142"/>
    <cellStyle name="Total 5 3" xfId="24920"/>
    <cellStyle name="Total 5 3 2" xfId="25306"/>
    <cellStyle name="Total 5 3 2 2" xfId="27460"/>
    <cellStyle name="Total 5 3 2 3" xfId="28601"/>
    <cellStyle name="Total 5 3 2 4" xfId="27300"/>
    <cellStyle name="Total 5 3 2 5" xfId="30146"/>
    <cellStyle name="Total 5 3 3" xfId="25667"/>
    <cellStyle name="Total 5 3 3 2" xfId="27820"/>
    <cellStyle name="Total 5 3 3 3" xfId="28602"/>
    <cellStyle name="Total 5 3 3 4" xfId="26154"/>
    <cellStyle name="Total 5 3 3 5" xfId="30147"/>
    <cellStyle name="Total 5 3 4" xfId="27329"/>
    <cellStyle name="Total 5 3 5" xfId="28600"/>
    <cellStyle name="Total 5 3 6" xfId="26506"/>
    <cellStyle name="Total 5 3 7" xfId="30145"/>
    <cellStyle name="Total 5 4" xfId="25143"/>
    <cellStyle name="Total 5 4 2" xfId="25387"/>
    <cellStyle name="Total 5 4 2 2" xfId="27541"/>
    <cellStyle name="Total 5 4 2 3" xfId="28604"/>
    <cellStyle name="Total 5 4 2 4" xfId="26946"/>
    <cellStyle name="Total 5 4 2 5" xfId="30149"/>
    <cellStyle name="Total 5 4 3" xfId="25740"/>
    <cellStyle name="Total 5 4 3 2" xfId="27893"/>
    <cellStyle name="Total 5 4 3 3" xfId="28605"/>
    <cellStyle name="Total 5 4 3 4" xfId="29262"/>
    <cellStyle name="Total 5 4 3 5" xfId="30150"/>
    <cellStyle name="Total 5 4 4" xfId="27427"/>
    <cellStyle name="Total 5 4 5" xfId="28603"/>
    <cellStyle name="Total 5 4 6" xfId="26500"/>
    <cellStyle name="Total 5 4 7" xfId="30148"/>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73 2" xfId="27041"/>
    <cellStyle name="Total 8" xfId="3545"/>
    <cellStyle name="Total 9" xfId="3546"/>
    <cellStyle name="Total2 - Style2" xfId="158"/>
    <cellStyle name="TRANSMISSION RELIABILITY PORTION OF PROJECT" xfId="159"/>
    <cellStyle name="Underl - Style4" xfId="160"/>
    <cellStyle name="Underl - Style4 2" xfId="30151"/>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2 2" xfId="27489"/>
    <cellStyle name="WhitePattern1 2 2 3" xfId="28607"/>
    <cellStyle name="WhitePattern1 2 2 4" xfId="29194"/>
    <cellStyle name="WhitePattern1 2 2 5" xfId="26548"/>
    <cellStyle name="WhitePattern1 2 3" xfId="25597"/>
    <cellStyle name="WhitePattern1 2 3 2" xfId="27750"/>
    <cellStyle name="WhitePattern1 2 3 3" xfId="28608"/>
    <cellStyle name="WhitePattern1 2 3 4" xfId="29233"/>
    <cellStyle name="WhitePattern1 2 3 5" xfId="27026"/>
    <cellStyle name="WhitePattern1 2 4" xfId="27206"/>
    <cellStyle name="WhitePattern1 2 5" xfId="28606"/>
    <cellStyle name="WhitePattern1 2 6" xfId="25813"/>
    <cellStyle name="WhitePattern1 2 7" xfId="27322"/>
    <cellStyle name="WhitePattern1 3" xfId="24769"/>
    <cellStyle name="WhitePattern1 3 2" xfId="25286"/>
    <cellStyle name="WhitePattern1 3 2 2" xfId="27441"/>
    <cellStyle name="WhitePattern1 3 2 3" xfId="28610"/>
    <cellStyle name="WhitePattern1 3 2 4" xfId="29188"/>
    <cellStyle name="WhitePattern1 3 2 5" xfId="26187"/>
    <cellStyle name="WhitePattern1 3 3" xfId="25665"/>
    <cellStyle name="WhitePattern1 3 3 2" xfId="27818"/>
    <cellStyle name="WhitePattern1 3 3 3" xfId="28611"/>
    <cellStyle name="WhitePattern1 3 3 4" xfId="29245"/>
    <cellStyle name="WhitePattern1 3 3 5" xfId="26092"/>
    <cellStyle name="WhitePattern1 3 4" xfId="27311"/>
    <cellStyle name="WhitePattern1 3 5" xfId="28609"/>
    <cellStyle name="WhitePattern1 3 6" xfId="27315"/>
    <cellStyle name="WhitePattern1 3 7" xfId="26477"/>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workbookViewId="0">
      <selection activeCell="A8" sqref="A8"/>
    </sheetView>
  </sheetViews>
  <sheetFormatPr defaultRowHeight="15.75"/>
  <cols>
    <col min="1" max="1" width="98.7109375" style="4" customWidth="1"/>
    <col min="2" max="2" width="29.42578125" style="4" customWidth="1"/>
    <col min="3" max="16384" width="9.140625" style="4"/>
  </cols>
  <sheetData>
    <row r="1" spans="1:7">
      <c r="A1" s="17" t="s">
        <v>2139</v>
      </c>
    </row>
    <row r="2" spans="1:7">
      <c r="A2" s="17" t="s">
        <v>865</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864</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54"/>
  <sheetViews>
    <sheetView tabSelected="1" topLeftCell="A87" zoomScale="70" zoomScaleNormal="70" workbookViewId="0">
      <selection activeCell="U16" sqref="U16"/>
    </sheetView>
  </sheetViews>
  <sheetFormatPr defaultRowHeight="15.75"/>
  <cols>
    <col min="1" max="1" width="9.140625" style="28"/>
    <col min="2" max="2" width="14.140625" style="4" bestFit="1" customWidth="1"/>
    <col min="3" max="3" width="48.42578125" style="4" bestFit="1" customWidth="1"/>
    <col min="4" max="4" width="10.85546875" style="4" customWidth="1"/>
    <col min="5" max="5" width="18.85546875" style="4" bestFit="1" customWidth="1"/>
    <col min="6" max="6" width="9.85546875" style="4" bestFit="1" customWidth="1"/>
    <col min="7" max="7" width="16" style="4" bestFit="1" customWidth="1"/>
    <col min="8" max="8" width="18" style="4" bestFit="1" customWidth="1"/>
    <col min="9" max="9" width="12.28515625" style="4" bestFit="1" customWidth="1"/>
    <col min="10" max="10" width="16" style="4" bestFit="1" customWidth="1"/>
    <col min="11" max="11" width="14.5703125" style="4" bestFit="1" customWidth="1"/>
    <col min="12" max="12" width="17" style="4" bestFit="1" customWidth="1"/>
    <col min="13" max="16384" width="9.140625" style="4"/>
  </cols>
  <sheetData>
    <row r="1" spans="1:11">
      <c r="C1" s="885" t="s">
        <v>861</v>
      </c>
      <c r="D1" s="885"/>
      <c r="E1" s="885"/>
      <c r="F1" s="885"/>
      <c r="G1" s="885"/>
      <c r="H1" s="885"/>
      <c r="I1" s="885"/>
    </row>
    <row r="2" spans="1:11">
      <c r="C2" s="885" t="s">
        <v>2117</v>
      </c>
      <c r="D2" s="885"/>
      <c r="E2" s="885"/>
      <c r="F2" s="885"/>
      <c r="G2" s="885"/>
      <c r="H2" s="885"/>
      <c r="I2" s="885"/>
    </row>
    <row r="3" spans="1:11">
      <c r="C3" s="885" t="s">
        <v>1377</v>
      </c>
      <c r="D3" s="885"/>
      <c r="E3" s="885"/>
      <c r="F3" s="885"/>
      <c r="G3" s="885"/>
      <c r="H3" s="885"/>
      <c r="I3" s="885"/>
    </row>
    <row r="4" spans="1:11">
      <c r="C4" s="886"/>
      <c r="D4" s="886"/>
      <c r="E4" s="886"/>
      <c r="F4" s="886"/>
      <c r="G4" s="886"/>
      <c r="H4" s="886"/>
      <c r="I4" s="886"/>
    </row>
    <row r="6" spans="1:11" s="6" customFormat="1">
      <c r="A6" s="28"/>
      <c r="B6" s="6" t="s">
        <v>2123</v>
      </c>
      <c r="C6" s="6" t="s">
        <v>2124</v>
      </c>
      <c r="D6" s="6" t="s">
        <v>2125</v>
      </c>
      <c r="E6" s="6" t="s">
        <v>2126</v>
      </c>
      <c r="F6" s="786" t="s">
        <v>2127</v>
      </c>
      <c r="G6" s="6" t="s">
        <v>2128</v>
      </c>
      <c r="H6" s="6" t="s">
        <v>2129</v>
      </c>
      <c r="I6" s="6" t="s">
        <v>2130</v>
      </c>
      <c r="J6" s="6" t="s">
        <v>2131</v>
      </c>
    </row>
    <row r="7" spans="1:11" ht="146.25" customHeight="1">
      <c r="A7" s="462" t="s">
        <v>683</v>
      </c>
      <c r="B7" s="189" t="s">
        <v>2118</v>
      </c>
      <c r="C7" s="189" t="s">
        <v>2119</v>
      </c>
      <c r="D7" s="190" t="s">
        <v>2120</v>
      </c>
      <c r="E7" s="191" t="s">
        <v>2121</v>
      </c>
      <c r="F7" s="189" t="s">
        <v>797</v>
      </c>
      <c r="G7" s="189" t="s">
        <v>2122</v>
      </c>
      <c r="H7" s="189" t="s">
        <v>798</v>
      </c>
      <c r="I7" s="189" t="s">
        <v>799</v>
      </c>
      <c r="J7" s="189" t="s">
        <v>1737</v>
      </c>
    </row>
    <row r="8" spans="1:11" s="26" customFormat="1">
      <c r="A8" s="28" t="s">
        <v>56</v>
      </c>
      <c r="B8" s="196" t="s">
        <v>800</v>
      </c>
      <c r="C8" s="196" t="s">
        <v>1395</v>
      </c>
      <c r="D8" s="193">
        <v>303</v>
      </c>
      <c r="E8" s="198">
        <v>1268624.99</v>
      </c>
      <c r="F8" s="464">
        <f>+'State Allocation Formulas'!$C$21</f>
        <v>0.74850000000000005</v>
      </c>
      <c r="G8" s="195">
        <f>+E8*F8</f>
        <v>949565.80501500005</v>
      </c>
      <c r="H8" s="195"/>
      <c r="I8" s="370"/>
      <c r="J8" s="465"/>
      <c r="K8" s="314"/>
    </row>
    <row r="9" spans="1:11" s="26" customFormat="1">
      <c r="A9" s="28">
        <v>2</v>
      </c>
      <c r="B9" s="196" t="s">
        <v>800</v>
      </c>
      <c r="C9" s="196" t="s">
        <v>801</v>
      </c>
      <c r="D9" s="193">
        <v>303</v>
      </c>
      <c r="E9" s="198">
        <v>118850.12</v>
      </c>
      <c r="F9" s="464">
        <f>+'State Allocation Formulas'!$C$21</f>
        <v>0.74850000000000005</v>
      </c>
      <c r="G9" s="195">
        <f t="shared" ref="G9:G17" si="0">+E9*F9</f>
        <v>88959.31482</v>
      </c>
      <c r="H9" s="195"/>
      <c r="I9" s="370"/>
      <c r="J9" s="463"/>
    </row>
    <row r="10" spans="1:11" s="26" customFormat="1">
      <c r="A10" s="28">
        <v>3</v>
      </c>
      <c r="B10" s="196" t="s">
        <v>800</v>
      </c>
      <c r="C10" s="196" t="s">
        <v>802</v>
      </c>
      <c r="D10" s="193">
        <v>303</v>
      </c>
      <c r="E10" s="198">
        <v>124010.28</v>
      </c>
      <c r="F10" s="464">
        <f>+'State Allocation Formulas'!$C$21</f>
        <v>0.74850000000000005</v>
      </c>
      <c r="G10" s="195">
        <f t="shared" si="0"/>
        <v>92821.69458000001</v>
      </c>
      <c r="H10" s="195"/>
      <c r="I10" s="370"/>
      <c r="J10" s="463"/>
    </row>
    <row r="11" spans="1:11" s="26" customFormat="1">
      <c r="A11" s="28">
        <v>4</v>
      </c>
      <c r="B11" s="196" t="s">
        <v>800</v>
      </c>
      <c r="C11" s="196" t="s">
        <v>1396</v>
      </c>
      <c r="D11" s="193">
        <v>303</v>
      </c>
      <c r="E11" s="198">
        <v>101504.52</v>
      </c>
      <c r="F11" s="464">
        <f>+'State Allocation Formulas'!$C$21</f>
        <v>0.74850000000000005</v>
      </c>
      <c r="G11" s="195">
        <f t="shared" si="0"/>
        <v>75976.133220000003</v>
      </c>
      <c r="H11" s="195"/>
      <c r="I11" s="370"/>
      <c r="J11" s="463"/>
    </row>
    <row r="12" spans="1:11" s="26" customFormat="1">
      <c r="A12" s="28">
        <v>5</v>
      </c>
      <c r="B12" s="196" t="s">
        <v>800</v>
      </c>
      <c r="C12" s="196" t="s">
        <v>1397</v>
      </c>
      <c r="D12" s="193">
        <v>303</v>
      </c>
      <c r="E12" s="198">
        <v>19324.46</v>
      </c>
      <c r="F12" s="464">
        <f>+'State Allocation Formulas'!$C$21</f>
        <v>0.74850000000000005</v>
      </c>
      <c r="G12" s="195">
        <f t="shared" si="0"/>
        <v>14464.35831</v>
      </c>
      <c r="H12" s="195"/>
      <c r="I12" s="370"/>
      <c r="J12" s="463"/>
    </row>
    <row r="13" spans="1:11" s="26" customFormat="1">
      <c r="A13" s="28">
        <v>6</v>
      </c>
      <c r="B13" s="196" t="s">
        <v>800</v>
      </c>
      <c r="C13" s="196" t="s">
        <v>1398</v>
      </c>
      <c r="D13" s="193">
        <v>303</v>
      </c>
      <c r="E13" s="198">
        <v>56940.42</v>
      </c>
      <c r="F13" s="464">
        <f>+'State Allocation Formulas'!$C$21</f>
        <v>0.74850000000000005</v>
      </c>
      <c r="G13" s="195">
        <f t="shared" si="0"/>
        <v>42619.904370000004</v>
      </c>
      <c r="H13" s="195"/>
      <c r="I13" s="370"/>
      <c r="J13" s="463"/>
    </row>
    <row r="14" spans="1:11" s="26" customFormat="1">
      <c r="A14" s="28">
        <v>7</v>
      </c>
      <c r="B14" s="196" t="s">
        <v>800</v>
      </c>
      <c r="C14" s="196" t="s">
        <v>1399</v>
      </c>
      <c r="D14" s="193">
        <v>303</v>
      </c>
      <c r="E14" s="198">
        <v>21160.86</v>
      </c>
      <c r="F14" s="464">
        <f>+'State Allocation Formulas'!$C$21</f>
        <v>0.74850000000000005</v>
      </c>
      <c r="G14" s="195">
        <f t="shared" si="0"/>
        <v>15838.903710000002</v>
      </c>
      <c r="H14" s="195"/>
      <c r="I14" s="370"/>
      <c r="J14" s="463"/>
    </row>
    <row r="15" spans="1:11" s="26" customFormat="1">
      <c r="A15" s="28">
        <v>8</v>
      </c>
      <c r="B15" s="196" t="s">
        <v>800</v>
      </c>
      <c r="C15" s="196" t="s">
        <v>1403</v>
      </c>
      <c r="D15" s="193">
        <v>303</v>
      </c>
      <c r="E15" s="198">
        <v>65552.53</v>
      </c>
      <c r="F15" s="464">
        <f>+'State Allocation Formulas'!$C$21</f>
        <v>0.74850000000000005</v>
      </c>
      <c r="G15" s="195">
        <f t="shared" si="0"/>
        <v>49066.068705000005</v>
      </c>
      <c r="H15" s="195"/>
      <c r="I15" s="370"/>
      <c r="J15" s="463"/>
    </row>
    <row r="16" spans="1:11" s="26" customFormat="1">
      <c r="A16" s="28">
        <v>9</v>
      </c>
      <c r="B16" s="196" t="s">
        <v>800</v>
      </c>
      <c r="C16" s="196" t="s">
        <v>1400</v>
      </c>
      <c r="D16" s="193">
        <v>303</v>
      </c>
      <c r="E16" s="198">
        <v>165560.01999999999</v>
      </c>
      <c r="F16" s="464">
        <f>+'State Allocation Formulas'!$C$21</f>
        <v>0.74850000000000005</v>
      </c>
      <c r="G16" s="195">
        <f t="shared" si="0"/>
        <v>123921.67497000001</v>
      </c>
      <c r="H16" s="195"/>
      <c r="I16" s="370"/>
      <c r="J16" s="463"/>
    </row>
    <row r="17" spans="1:10" s="26" customFormat="1">
      <c r="A17" s="28">
        <v>10</v>
      </c>
      <c r="B17" s="196" t="s">
        <v>800</v>
      </c>
      <c r="C17" s="196" t="s">
        <v>1401</v>
      </c>
      <c r="D17" s="193">
        <v>303</v>
      </c>
      <c r="E17" s="198">
        <v>4517.63</v>
      </c>
      <c r="F17" s="464">
        <f>+'State Allocation Formulas'!$C$21</f>
        <v>0.74850000000000005</v>
      </c>
      <c r="G17" s="195">
        <f t="shared" si="0"/>
        <v>3381.4460550000003</v>
      </c>
      <c r="H17" s="195"/>
      <c r="I17" s="370"/>
      <c r="J17" s="463"/>
    </row>
    <row r="18" spans="1:10" s="26" customFormat="1">
      <c r="A18" s="28">
        <v>11</v>
      </c>
      <c r="B18" s="196" t="s">
        <v>800</v>
      </c>
      <c r="C18" s="196" t="s">
        <v>1402</v>
      </c>
      <c r="D18" s="193">
        <v>303</v>
      </c>
      <c r="E18" s="198">
        <v>965778.4</v>
      </c>
      <c r="F18" s="196"/>
      <c r="G18" s="195">
        <f>+E18</f>
        <v>965778.4</v>
      </c>
      <c r="H18" s="195">
        <f t="shared" ref="H18" si="1">+G18</f>
        <v>965778.4</v>
      </c>
      <c r="I18" s="370">
        <f>+'MCP-6 - Supporting Explanations'!A26</f>
        <v>10</v>
      </c>
      <c r="J18" s="463">
        <v>43617</v>
      </c>
    </row>
    <row r="19" spans="1:10" s="26" customFormat="1">
      <c r="A19" s="28"/>
      <c r="B19" s="196"/>
      <c r="C19" s="196"/>
      <c r="D19" s="193"/>
      <c r="E19" s="198"/>
      <c r="F19" s="196"/>
      <c r="G19" s="195"/>
      <c r="H19" s="196"/>
      <c r="I19" s="370"/>
      <c r="J19" s="666"/>
    </row>
    <row r="20" spans="1:10" s="26" customFormat="1">
      <c r="A20" s="28">
        <v>12</v>
      </c>
      <c r="B20" s="466"/>
      <c r="C20" s="467" t="s">
        <v>803</v>
      </c>
      <c r="D20" s="199"/>
      <c r="E20" s="468">
        <f>SUM(E8:E18)</f>
        <v>2911824.23</v>
      </c>
      <c r="F20" s="466"/>
      <c r="G20" s="469">
        <f>SUM(G8:G18)</f>
        <v>2422393.7037549997</v>
      </c>
      <c r="H20" s="469">
        <f>SUM(H8:H18)</f>
        <v>965778.4</v>
      </c>
      <c r="I20" s="470"/>
      <c r="J20" s="667"/>
    </row>
    <row r="21" spans="1:10" s="26" customFormat="1">
      <c r="A21" s="28">
        <v>13</v>
      </c>
      <c r="B21" s="466" t="s">
        <v>864</v>
      </c>
      <c r="C21" s="466"/>
      <c r="D21" s="197"/>
      <c r="E21" s="198"/>
      <c r="F21" s="466"/>
      <c r="G21" s="471"/>
      <c r="H21" s="466"/>
      <c r="I21" s="470"/>
      <c r="J21" s="668"/>
    </row>
    <row r="22" spans="1:10" s="26" customFormat="1">
      <c r="A22" s="28">
        <v>14</v>
      </c>
      <c r="B22" s="196" t="s">
        <v>804</v>
      </c>
      <c r="C22" s="196" t="s">
        <v>805</v>
      </c>
      <c r="D22" s="193">
        <v>376</v>
      </c>
      <c r="E22" s="198">
        <v>387566</v>
      </c>
      <c r="F22" s="196"/>
      <c r="G22" s="195"/>
      <c r="H22" s="196"/>
      <c r="I22" s="370"/>
      <c r="J22" s="666"/>
    </row>
    <row r="23" spans="1:10" s="26" customFormat="1">
      <c r="A23" s="28">
        <v>15</v>
      </c>
      <c r="B23" s="196" t="s">
        <v>804</v>
      </c>
      <c r="C23" s="196" t="s">
        <v>806</v>
      </c>
      <c r="D23" s="193">
        <v>376</v>
      </c>
      <c r="E23" s="198">
        <v>398194.88</v>
      </c>
      <c r="F23" s="196"/>
      <c r="G23" s="195"/>
      <c r="H23" s="196"/>
      <c r="I23" s="370"/>
      <c r="J23" s="666"/>
    </row>
    <row r="24" spans="1:10" s="26" customFormat="1">
      <c r="A24" s="28">
        <v>16</v>
      </c>
      <c r="B24" s="196" t="s">
        <v>804</v>
      </c>
      <c r="C24" s="196" t="s">
        <v>807</v>
      </c>
      <c r="D24" s="193">
        <v>380</v>
      </c>
      <c r="E24" s="198">
        <v>2844250</v>
      </c>
      <c r="F24" s="196"/>
      <c r="G24" s="195"/>
      <c r="H24" s="196"/>
      <c r="I24" s="370"/>
      <c r="J24" s="666"/>
    </row>
    <row r="25" spans="1:10" s="26" customFormat="1">
      <c r="A25" s="28">
        <v>17</v>
      </c>
      <c r="B25" s="196" t="s">
        <v>804</v>
      </c>
      <c r="C25" s="196" t="s">
        <v>808</v>
      </c>
      <c r="D25" s="193">
        <v>380</v>
      </c>
      <c r="E25" s="198">
        <v>170655</v>
      </c>
      <c r="F25" s="196"/>
      <c r="G25" s="195"/>
      <c r="H25" s="196"/>
      <c r="I25" s="370"/>
      <c r="J25" s="666"/>
    </row>
    <row r="26" spans="1:10" s="26" customFormat="1">
      <c r="A26" s="28">
        <v>18</v>
      </c>
      <c r="B26" s="196" t="s">
        <v>804</v>
      </c>
      <c r="C26" s="196" t="s">
        <v>809</v>
      </c>
      <c r="D26" s="193">
        <v>382</v>
      </c>
      <c r="E26" s="198">
        <v>111676.56</v>
      </c>
      <c r="F26" s="196"/>
      <c r="G26" s="195"/>
      <c r="H26" s="196"/>
      <c r="I26" s="370"/>
      <c r="J26" s="666"/>
    </row>
    <row r="27" spans="1:10" s="26" customFormat="1">
      <c r="A27" s="28">
        <v>19</v>
      </c>
      <c r="B27" s="196" t="s">
        <v>804</v>
      </c>
      <c r="C27" s="196" t="s">
        <v>810</v>
      </c>
      <c r="D27" s="193">
        <v>382</v>
      </c>
      <c r="E27" s="198">
        <v>331980.90999999997</v>
      </c>
      <c r="F27" s="196"/>
      <c r="G27" s="195"/>
      <c r="H27" s="196"/>
      <c r="I27" s="370"/>
      <c r="J27" s="666"/>
    </row>
    <row r="28" spans="1:10" s="26" customFormat="1">
      <c r="A28" s="28">
        <v>20</v>
      </c>
      <c r="B28" s="196" t="s">
        <v>804</v>
      </c>
      <c r="C28" s="196" t="s">
        <v>811</v>
      </c>
      <c r="D28" s="193">
        <v>385</v>
      </c>
      <c r="E28" s="198">
        <v>73402.080000000002</v>
      </c>
      <c r="F28" s="196"/>
      <c r="G28" s="195"/>
      <c r="H28" s="196"/>
      <c r="I28" s="370"/>
      <c r="J28" s="666"/>
    </row>
    <row r="29" spans="1:10" s="26" customFormat="1">
      <c r="A29" s="28">
        <v>21</v>
      </c>
      <c r="B29" s="196" t="s">
        <v>804</v>
      </c>
      <c r="C29" s="196" t="s">
        <v>812</v>
      </c>
      <c r="D29" s="193">
        <v>385</v>
      </c>
      <c r="E29" s="198">
        <v>122336.92</v>
      </c>
      <c r="F29" s="196"/>
      <c r="G29" s="195"/>
      <c r="H29" s="196"/>
      <c r="I29" s="370"/>
      <c r="J29" s="666"/>
    </row>
    <row r="30" spans="1:10" s="26" customFormat="1">
      <c r="A30" s="28">
        <v>22</v>
      </c>
      <c r="B30" s="196" t="s">
        <v>804</v>
      </c>
      <c r="C30" s="196" t="s">
        <v>1409</v>
      </c>
      <c r="D30" s="193">
        <v>392</v>
      </c>
      <c r="E30" s="198">
        <v>729365.6</v>
      </c>
      <c r="F30" s="196"/>
      <c r="G30" s="195"/>
      <c r="H30" s="196"/>
      <c r="I30" s="370"/>
      <c r="J30" s="666"/>
    </row>
    <row r="31" spans="1:10" s="26" customFormat="1">
      <c r="A31" s="28">
        <v>23</v>
      </c>
      <c r="B31" s="196" t="s">
        <v>804</v>
      </c>
      <c r="C31" s="196" t="s">
        <v>837</v>
      </c>
      <c r="D31" s="193">
        <v>396</v>
      </c>
      <c r="E31" s="198">
        <v>673288.56</v>
      </c>
      <c r="F31" s="196"/>
      <c r="G31" s="195"/>
      <c r="H31" s="196"/>
      <c r="I31" s="370"/>
      <c r="J31" s="666"/>
    </row>
    <row r="32" spans="1:10" s="26" customFormat="1">
      <c r="A32" s="28">
        <v>24</v>
      </c>
      <c r="B32" s="196" t="s">
        <v>804</v>
      </c>
      <c r="C32" s="196" t="s">
        <v>1410</v>
      </c>
      <c r="D32" s="193">
        <v>397</v>
      </c>
      <c r="E32" s="198">
        <v>19663.8</v>
      </c>
      <c r="F32" s="196"/>
      <c r="G32" s="195"/>
      <c r="H32" s="196"/>
      <c r="I32" s="370"/>
      <c r="J32" s="666"/>
    </row>
    <row r="33" spans="1:12" s="26" customFormat="1">
      <c r="A33" s="28">
        <v>25</v>
      </c>
      <c r="B33" s="196" t="s">
        <v>804</v>
      </c>
      <c r="C33" s="196" t="s">
        <v>813</v>
      </c>
      <c r="D33" s="193">
        <v>376</v>
      </c>
      <c r="E33" s="198">
        <v>2907081.16</v>
      </c>
      <c r="F33" s="196"/>
      <c r="G33" s="195">
        <f>+E33</f>
        <v>2907081.16</v>
      </c>
      <c r="H33" s="195"/>
      <c r="I33" s="370" t="s">
        <v>890</v>
      </c>
      <c r="J33" s="666"/>
      <c r="L33" s="463"/>
    </row>
    <row r="34" spans="1:12" s="26" customFormat="1">
      <c r="A34" s="28">
        <v>26</v>
      </c>
      <c r="B34" s="196" t="s">
        <v>804</v>
      </c>
      <c r="C34" s="196" t="s">
        <v>814</v>
      </c>
      <c r="D34" s="193">
        <v>376</v>
      </c>
      <c r="E34" s="198">
        <v>2628604.12</v>
      </c>
      <c r="F34" s="196"/>
      <c r="G34" s="195">
        <f t="shared" ref="G34:G41" si="2">+E34</f>
        <v>2628604.12</v>
      </c>
      <c r="H34" s="195">
        <f t="shared" ref="H34:H90" si="3">+G34</f>
        <v>2628604.12</v>
      </c>
      <c r="I34" s="370">
        <f>+'MCP-6 - Supporting Explanations'!A8</f>
        <v>1</v>
      </c>
      <c r="J34" s="463">
        <v>46022</v>
      </c>
    </row>
    <row r="35" spans="1:12" s="26" customFormat="1">
      <c r="A35" s="28">
        <v>27</v>
      </c>
      <c r="B35" s="196" t="s">
        <v>804</v>
      </c>
      <c r="C35" s="196" t="s">
        <v>815</v>
      </c>
      <c r="D35" s="193">
        <v>378</v>
      </c>
      <c r="E35" s="198">
        <v>113770</v>
      </c>
      <c r="F35" s="196"/>
      <c r="G35" s="195">
        <f t="shared" si="2"/>
        <v>113770</v>
      </c>
      <c r="H35" s="195"/>
      <c r="I35" s="370" t="s">
        <v>890</v>
      </c>
      <c r="J35" s="666"/>
      <c r="L35" s="463"/>
    </row>
    <row r="36" spans="1:12" s="26" customFormat="1">
      <c r="A36" s="28">
        <v>28</v>
      </c>
      <c r="B36" s="196" t="s">
        <v>804</v>
      </c>
      <c r="C36" s="196" t="s">
        <v>816</v>
      </c>
      <c r="D36" s="193">
        <v>378</v>
      </c>
      <c r="E36" s="198">
        <v>929537.23</v>
      </c>
      <c r="F36" s="196"/>
      <c r="G36" s="195">
        <f>+E36</f>
        <v>929537.23</v>
      </c>
      <c r="H36" s="195"/>
      <c r="I36" s="370"/>
      <c r="J36" s="666"/>
      <c r="L36" s="463"/>
    </row>
    <row r="37" spans="1:12" s="26" customFormat="1">
      <c r="A37" s="28">
        <v>29</v>
      </c>
      <c r="B37" s="196" t="s">
        <v>804</v>
      </c>
      <c r="C37" s="196" t="s">
        <v>817</v>
      </c>
      <c r="D37" s="193">
        <v>380</v>
      </c>
      <c r="E37" s="198">
        <v>12633047.1</v>
      </c>
      <c r="F37" s="196"/>
      <c r="G37" s="195">
        <f t="shared" si="2"/>
        <v>12633047.1</v>
      </c>
      <c r="H37" s="195"/>
      <c r="I37" s="370" t="s">
        <v>890</v>
      </c>
      <c r="J37" s="666"/>
      <c r="L37" s="463"/>
    </row>
    <row r="38" spans="1:12" s="26" customFormat="1">
      <c r="A38" s="28">
        <v>30</v>
      </c>
      <c r="B38" s="196" t="s">
        <v>804</v>
      </c>
      <c r="C38" s="196" t="s">
        <v>818</v>
      </c>
      <c r="D38" s="193">
        <v>382</v>
      </c>
      <c r="E38" s="198">
        <v>141074.79999999999</v>
      </c>
      <c r="F38" s="196"/>
      <c r="G38" s="195">
        <f t="shared" si="2"/>
        <v>141074.79999999999</v>
      </c>
      <c r="H38" s="195"/>
      <c r="I38" s="370" t="s">
        <v>890</v>
      </c>
      <c r="J38" s="666"/>
      <c r="L38" s="463"/>
    </row>
    <row r="39" spans="1:12" s="26" customFormat="1">
      <c r="A39" s="28">
        <v>31</v>
      </c>
      <c r="B39" s="196" t="s">
        <v>804</v>
      </c>
      <c r="C39" s="196" t="s">
        <v>819</v>
      </c>
      <c r="D39" s="193">
        <v>382</v>
      </c>
      <c r="E39" s="198">
        <v>709924.8</v>
      </c>
      <c r="F39" s="196"/>
      <c r="G39" s="195">
        <f t="shared" si="2"/>
        <v>709924.8</v>
      </c>
      <c r="H39" s="195"/>
      <c r="I39" s="370" t="s">
        <v>890</v>
      </c>
      <c r="J39" s="669"/>
      <c r="L39" s="463"/>
    </row>
    <row r="40" spans="1:12" s="26" customFormat="1">
      <c r="A40" s="28">
        <v>32</v>
      </c>
      <c r="B40" s="196" t="s">
        <v>804</v>
      </c>
      <c r="C40" s="196" t="s">
        <v>820</v>
      </c>
      <c r="D40" s="193">
        <v>385</v>
      </c>
      <c r="E40" s="198">
        <v>171169.28</v>
      </c>
      <c r="F40" s="196"/>
      <c r="G40" s="195">
        <f t="shared" si="2"/>
        <v>171169.28</v>
      </c>
      <c r="H40" s="195"/>
      <c r="I40" s="370" t="s">
        <v>890</v>
      </c>
      <c r="J40" s="666"/>
      <c r="L40" s="463"/>
    </row>
    <row r="41" spans="1:12" s="26" customFormat="1">
      <c r="A41" s="28">
        <v>33</v>
      </c>
      <c r="B41" s="196" t="s">
        <v>804</v>
      </c>
      <c r="C41" s="196" t="s">
        <v>821</v>
      </c>
      <c r="D41" s="193">
        <v>385</v>
      </c>
      <c r="E41" s="198">
        <v>256050.84</v>
      </c>
      <c r="F41" s="196"/>
      <c r="G41" s="195">
        <f t="shared" si="2"/>
        <v>256050.84</v>
      </c>
      <c r="H41" s="195"/>
      <c r="I41" s="370"/>
      <c r="J41" s="666"/>
      <c r="L41" s="463"/>
    </row>
    <row r="42" spans="1:12" s="26" customFormat="1">
      <c r="A42" s="28">
        <v>34</v>
      </c>
      <c r="B42" s="196" t="s">
        <v>804</v>
      </c>
      <c r="C42" s="196" t="s">
        <v>822</v>
      </c>
      <c r="D42" s="193">
        <v>381</v>
      </c>
      <c r="E42" s="198">
        <v>2947488.36</v>
      </c>
      <c r="F42" s="464">
        <f>+'State Allocation Formulas'!C16</f>
        <v>0.74490000000000001</v>
      </c>
      <c r="G42" s="195">
        <f t="shared" ref="G42:G43" si="4">+E42*F42</f>
        <v>2195584.0793639999</v>
      </c>
      <c r="H42" s="195"/>
      <c r="I42" s="370" t="s">
        <v>890</v>
      </c>
      <c r="J42" s="670"/>
      <c r="K42" s="473"/>
      <c r="L42" s="463"/>
    </row>
    <row r="43" spans="1:12" s="26" customFormat="1">
      <c r="A43" s="28">
        <v>35</v>
      </c>
      <c r="B43" s="196" t="s">
        <v>804</v>
      </c>
      <c r="C43" s="196" t="s">
        <v>823</v>
      </c>
      <c r="D43" s="193">
        <v>383</v>
      </c>
      <c r="E43" s="198">
        <v>669513.72</v>
      </c>
      <c r="F43" s="464">
        <f>+'State Allocation Formulas'!C16</f>
        <v>0.74490000000000001</v>
      </c>
      <c r="G43" s="195">
        <f t="shared" si="4"/>
        <v>498720.770028</v>
      </c>
      <c r="H43" s="195"/>
      <c r="I43" s="370" t="s">
        <v>890</v>
      </c>
      <c r="J43" s="666"/>
    </row>
    <row r="44" spans="1:12" s="26" customFormat="1">
      <c r="A44" s="28">
        <v>36</v>
      </c>
      <c r="B44" s="196" t="s">
        <v>804</v>
      </c>
      <c r="C44" s="196" t="s">
        <v>824</v>
      </c>
      <c r="D44" s="193">
        <v>380</v>
      </c>
      <c r="E44" s="198">
        <v>341310</v>
      </c>
      <c r="F44" s="196"/>
      <c r="G44" s="195">
        <f t="shared" ref="G44:G45" si="5">+E44</f>
        <v>341310</v>
      </c>
      <c r="H44" s="195"/>
      <c r="I44" s="370"/>
      <c r="J44" s="669"/>
      <c r="L44" s="463"/>
    </row>
    <row r="45" spans="1:12" s="26" customFormat="1">
      <c r="A45" s="28">
        <v>37</v>
      </c>
      <c r="B45" s="196" t="s">
        <v>804</v>
      </c>
      <c r="C45" s="196" t="s">
        <v>1417</v>
      </c>
      <c r="D45" s="193">
        <v>378</v>
      </c>
      <c r="E45" s="198">
        <v>967078.48</v>
      </c>
      <c r="F45" s="196"/>
      <c r="G45" s="195">
        <f t="shared" si="5"/>
        <v>967078.48</v>
      </c>
      <c r="H45" s="195"/>
      <c r="I45" s="370" t="s">
        <v>890</v>
      </c>
      <c r="J45" s="666"/>
      <c r="L45" s="463"/>
    </row>
    <row r="46" spans="1:12" s="26" customFormat="1">
      <c r="A46" s="28">
        <v>38</v>
      </c>
      <c r="B46" s="196" t="s">
        <v>804</v>
      </c>
      <c r="C46" s="196" t="s">
        <v>825</v>
      </c>
      <c r="D46" s="193">
        <v>376</v>
      </c>
      <c r="E46" s="198">
        <v>575105.22</v>
      </c>
      <c r="F46" s="196"/>
      <c r="G46" s="195">
        <f t="shared" ref="G46:G47" si="6">+E46</f>
        <v>575105.22</v>
      </c>
      <c r="H46" s="195"/>
      <c r="I46" s="370" t="s">
        <v>884</v>
      </c>
      <c r="J46" s="666"/>
      <c r="L46" s="463"/>
    </row>
    <row r="47" spans="1:12" s="26" customFormat="1">
      <c r="A47" s="28">
        <v>39</v>
      </c>
      <c r="B47" s="196" t="s">
        <v>804</v>
      </c>
      <c r="C47" s="196" t="s">
        <v>826</v>
      </c>
      <c r="D47" s="193">
        <v>376</v>
      </c>
      <c r="E47" s="198">
        <v>2802736.39</v>
      </c>
      <c r="F47" s="196"/>
      <c r="G47" s="195">
        <f t="shared" si="6"/>
        <v>2802736.39</v>
      </c>
      <c r="H47" s="195"/>
      <c r="I47" s="370" t="s">
        <v>884</v>
      </c>
      <c r="J47" s="666"/>
      <c r="L47" s="463"/>
    </row>
    <row r="48" spans="1:12" s="26" customFormat="1">
      <c r="A48" s="28">
        <v>40</v>
      </c>
      <c r="B48" s="196" t="s">
        <v>804</v>
      </c>
      <c r="C48" s="196" t="s">
        <v>827</v>
      </c>
      <c r="D48" s="193">
        <v>376</v>
      </c>
      <c r="E48" s="198">
        <v>2802736.39</v>
      </c>
      <c r="F48" s="196"/>
      <c r="G48" s="195"/>
      <c r="H48" s="195"/>
      <c r="I48" s="370"/>
      <c r="J48" s="666"/>
    </row>
    <row r="49" spans="1:12" s="26" customFormat="1">
      <c r="A49" s="28">
        <v>41</v>
      </c>
      <c r="B49" s="196" t="s">
        <v>804</v>
      </c>
      <c r="C49" s="196" t="s">
        <v>1404</v>
      </c>
      <c r="D49" s="193">
        <v>376</v>
      </c>
      <c r="E49" s="198">
        <v>833125.93</v>
      </c>
      <c r="F49" s="196"/>
      <c r="G49" s="195">
        <f t="shared" ref="G49:G51" si="7">+E49</f>
        <v>833125.93</v>
      </c>
      <c r="H49" s="195"/>
      <c r="I49" s="370"/>
      <c r="J49" s="666"/>
      <c r="L49" s="463"/>
    </row>
    <row r="50" spans="1:12" s="26" customFormat="1">
      <c r="A50" s="28">
        <v>42</v>
      </c>
      <c r="B50" s="196" t="s">
        <v>804</v>
      </c>
      <c r="C50" s="196" t="s">
        <v>828</v>
      </c>
      <c r="D50" s="193">
        <v>376</v>
      </c>
      <c r="E50" s="198">
        <v>1791361.95</v>
      </c>
      <c r="F50" s="196"/>
      <c r="G50" s="195">
        <f t="shared" si="7"/>
        <v>1791361.95</v>
      </c>
      <c r="H50" s="195"/>
      <c r="I50" s="370" t="s">
        <v>884</v>
      </c>
      <c r="J50" s="666"/>
      <c r="L50" s="463"/>
    </row>
    <row r="51" spans="1:12" s="26" customFormat="1">
      <c r="A51" s="28">
        <v>43</v>
      </c>
      <c r="B51" s="196" t="s">
        <v>804</v>
      </c>
      <c r="C51" s="196" t="s">
        <v>829</v>
      </c>
      <c r="D51" s="193">
        <v>376</v>
      </c>
      <c r="E51" s="198">
        <v>526983.79</v>
      </c>
      <c r="F51" s="196"/>
      <c r="G51" s="195">
        <f t="shared" si="7"/>
        <v>526983.79</v>
      </c>
      <c r="H51" s="195"/>
      <c r="I51" s="370"/>
      <c r="J51" s="666"/>
      <c r="L51" s="463"/>
    </row>
    <row r="52" spans="1:12" s="26" customFormat="1">
      <c r="A52" s="28">
        <v>44</v>
      </c>
      <c r="B52" s="196" t="s">
        <v>804</v>
      </c>
      <c r="C52" s="196" t="s">
        <v>830</v>
      </c>
      <c r="D52" s="193">
        <v>376</v>
      </c>
      <c r="E52" s="198">
        <v>291706.28000000003</v>
      </c>
      <c r="F52" s="196"/>
      <c r="G52" s="195"/>
      <c r="H52" s="195"/>
      <c r="I52" s="370"/>
      <c r="J52" s="666"/>
    </row>
    <row r="53" spans="1:12" s="26" customFormat="1">
      <c r="A53" s="28">
        <v>45</v>
      </c>
      <c r="B53" s="196" t="s">
        <v>804</v>
      </c>
      <c r="C53" s="196" t="s">
        <v>831</v>
      </c>
      <c r="D53" s="193">
        <v>376</v>
      </c>
      <c r="E53" s="198">
        <v>29284.38</v>
      </c>
      <c r="F53" s="196"/>
      <c r="G53" s="195">
        <f>+E53</f>
        <v>29284.38</v>
      </c>
      <c r="H53" s="195"/>
      <c r="I53" s="370" t="s">
        <v>890</v>
      </c>
      <c r="J53" s="669"/>
      <c r="L53" s="463"/>
    </row>
    <row r="54" spans="1:12" s="26" customFormat="1">
      <c r="A54" s="28">
        <v>46</v>
      </c>
      <c r="B54" s="196" t="s">
        <v>804</v>
      </c>
      <c r="C54" s="196" t="s">
        <v>1405</v>
      </c>
      <c r="D54" s="193">
        <v>376</v>
      </c>
      <c r="E54" s="198">
        <v>2401110.4</v>
      </c>
      <c r="F54" s="196"/>
      <c r="G54" s="195">
        <f t="shared" ref="G54:G56" si="8">+E54</f>
        <v>2401110.4</v>
      </c>
      <c r="H54" s="195"/>
      <c r="I54" s="370" t="s">
        <v>884</v>
      </c>
      <c r="J54" s="669"/>
      <c r="L54" s="463"/>
    </row>
    <row r="55" spans="1:12" s="26" customFormat="1">
      <c r="A55" s="28">
        <v>47</v>
      </c>
      <c r="B55" s="196" t="s">
        <v>804</v>
      </c>
      <c r="C55" s="196" t="s">
        <v>1418</v>
      </c>
      <c r="D55" s="193">
        <v>378</v>
      </c>
      <c r="E55" s="198">
        <v>4088411.51</v>
      </c>
      <c r="F55" s="196"/>
      <c r="G55" s="195">
        <f t="shared" si="8"/>
        <v>4088411.51</v>
      </c>
      <c r="H55" s="195">
        <f t="shared" si="3"/>
        <v>4088411.51</v>
      </c>
      <c r="I55" s="370">
        <f>+'MCP-6 - Supporting Explanations'!A10</f>
        <v>2</v>
      </c>
      <c r="J55" s="463">
        <v>43830</v>
      </c>
    </row>
    <row r="56" spans="1:12" s="26" customFormat="1">
      <c r="A56" s="28">
        <v>48</v>
      </c>
      <c r="B56" s="196" t="s">
        <v>804</v>
      </c>
      <c r="C56" s="196" t="s">
        <v>1406</v>
      </c>
      <c r="D56" s="193">
        <v>376</v>
      </c>
      <c r="E56" s="198">
        <v>447715.93</v>
      </c>
      <c r="F56" s="196"/>
      <c r="G56" s="195">
        <f t="shared" si="8"/>
        <v>447715.93</v>
      </c>
      <c r="H56" s="195"/>
      <c r="I56" s="370"/>
      <c r="J56" s="666"/>
      <c r="L56" s="463"/>
    </row>
    <row r="57" spans="1:12" s="26" customFormat="1">
      <c r="A57" s="28">
        <v>49</v>
      </c>
      <c r="B57" s="196" t="s">
        <v>804</v>
      </c>
      <c r="C57" s="196" t="s">
        <v>1420</v>
      </c>
      <c r="D57" s="193">
        <v>378</v>
      </c>
      <c r="E57" s="198">
        <v>963378.75</v>
      </c>
      <c r="F57" s="196"/>
      <c r="G57" s="195">
        <f t="shared" ref="G57:G64" si="9">+E57</f>
        <v>963378.75</v>
      </c>
      <c r="H57" s="195"/>
      <c r="I57" s="370" t="s">
        <v>890</v>
      </c>
      <c r="J57" s="666"/>
      <c r="L57" s="463"/>
    </row>
    <row r="58" spans="1:12" s="26" customFormat="1">
      <c r="A58" s="28">
        <v>50</v>
      </c>
      <c r="B58" s="196" t="s">
        <v>804</v>
      </c>
      <c r="C58" s="196" t="s">
        <v>832</v>
      </c>
      <c r="D58" s="193">
        <v>376</v>
      </c>
      <c r="E58" s="198">
        <v>394191.9</v>
      </c>
      <c r="F58" s="196"/>
      <c r="G58" s="195">
        <f t="shared" si="9"/>
        <v>394191.9</v>
      </c>
      <c r="H58" s="195"/>
      <c r="I58" s="370" t="s">
        <v>884</v>
      </c>
      <c r="J58" s="666"/>
      <c r="L58" s="463"/>
    </row>
    <row r="59" spans="1:12" s="26" customFormat="1">
      <c r="A59" s="28">
        <v>51</v>
      </c>
      <c r="B59" s="196" t="s">
        <v>804</v>
      </c>
      <c r="C59" s="196" t="s">
        <v>833</v>
      </c>
      <c r="D59" s="193">
        <v>376</v>
      </c>
      <c r="E59" s="198">
        <v>2436352.2999999998</v>
      </c>
      <c r="F59" s="196"/>
      <c r="G59" s="195">
        <f t="shared" si="9"/>
        <v>2436352.2999999998</v>
      </c>
      <c r="H59" s="195">
        <f t="shared" si="3"/>
        <v>2436352.2999999998</v>
      </c>
      <c r="I59" s="370">
        <f>+'MCP-6 - Supporting Explanations'!A14</f>
        <v>4</v>
      </c>
      <c r="J59" s="463">
        <v>43830</v>
      </c>
    </row>
    <row r="60" spans="1:12" s="26" customFormat="1">
      <c r="A60" s="28">
        <v>52</v>
      </c>
      <c r="B60" s="196" t="s">
        <v>804</v>
      </c>
      <c r="C60" s="196" t="s">
        <v>1421</v>
      </c>
      <c r="D60" s="193">
        <v>381</v>
      </c>
      <c r="E60" s="198">
        <v>12236196.65</v>
      </c>
      <c r="F60" s="464">
        <f>+'State Allocation Formulas'!C16</f>
        <v>0.74490000000000001</v>
      </c>
      <c r="G60" s="195">
        <f>+E60*F60</f>
        <v>9114742.8845850006</v>
      </c>
      <c r="H60" s="195">
        <f t="shared" si="3"/>
        <v>9114742.8845850006</v>
      </c>
      <c r="I60" s="370">
        <f>+'MCP-6 - Supporting Explanations'!A16</f>
        <v>5</v>
      </c>
      <c r="J60" s="761">
        <v>43830</v>
      </c>
      <c r="L60" s="463"/>
    </row>
    <row r="61" spans="1:12" s="26" customFormat="1">
      <c r="A61" s="28">
        <v>53</v>
      </c>
      <c r="B61" s="196" t="s">
        <v>804</v>
      </c>
      <c r="C61" s="196" t="s">
        <v>1422</v>
      </c>
      <c r="D61" s="193">
        <v>378</v>
      </c>
      <c r="E61" s="198">
        <v>103618.58</v>
      </c>
      <c r="F61" s="196"/>
      <c r="G61" s="195">
        <f t="shared" si="9"/>
        <v>103618.58</v>
      </c>
      <c r="H61" s="195"/>
      <c r="I61" s="370"/>
      <c r="J61" s="666"/>
      <c r="L61" s="463"/>
    </row>
    <row r="62" spans="1:12" s="26" customFormat="1">
      <c r="A62" s="28">
        <v>54</v>
      </c>
      <c r="B62" s="196" t="s">
        <v>804</v>
      </c>
      <c r="C62" s="196" t="s">
        <v>2165</v>
      </c>
      <c r="D62" s="193">
        <v>376</v>
      </c>
      <c r="E62" s="198">
        <v>2528268.04</v>
      </c>
      <c r="F62" s="196"/>
      <c r="G62" s="195">
        <f t="shared" si="9"/>
        <v>2528268.04</v>
      </c>
      <c r="H62" s="195"/>
      <c r="I62" s="370" t="s">
        <v>884</v>
      </c>
      <c r="J62" s="666"/>
      <c r="L62" s="463"/>
    </row>
    <row r="63" spans="1:12" s="26" customFormat="1">
      <c r="A63" s="28">
        <v>55</v>
      </c>
      <c r="B63" s="196" t="s">
        <v>804</v>
      </c>
      <c r="C63" s="196" t="s">
        <v>1407</v>
      </c>
      <c r="D63" s="193">
        <v>376</v>
      </c>
      <c r="E63" s="198">
        <v>349487.35999999999</v>
      </c>
      <c r="F63" s="196"/>
      <c r="G63" s="195">
        <f t="shared" si="9"/>
        <v>349487.35999999999</v>
      </c>
      <c r="H63" s="195"/>
      <c r="I63" s="370"/>
      <c r="J63" s="666"/>
      <c r="L63" s="463"/>
    </row>
    <row r="64" spans="1:12" s="26" customFormat="1">
      <c r="A64" s="28">
        <v>56</v>
      </c>
      <c r="B64" s="196" t="s">
        <v>804</v>
      </c>
      <c r="C64" s="196" t="s">
        <v>1408</v>
      </c>
      <c r="D64" s="193">
        <v>376</v>
      </c>
      <c r="E64" s="198">
        <v>404455.13</v>
      </c>
      <c r="F64" s="196"/>
      <c r="G64" s="195">
        <f t="shared" si="9"/>
        <v>404455.13</v>
      </c>
      <c r="H64" s="195"/>
      <c r="I64" s="370"/>
      <c r="J64" s="666"/>
      <c r="L64" s="463"/>
    </row>
    <row r="65" spans="1:12" s="26" customFormat="1">
      <c r="A65" s="28">
        <v>57</v>
      </c>
      <c r="B65" s="196" t="s">
        <v>804</v>
      </c>
      <c r="C65" s="196" t="s">
        <v>2166</v>
      </c>
      <c r="D65" s="193">
        <v>376</v>
      </c>
      <c r="E65" s="198">
        <v>1276607.46</v>
      </c>
      <c r="F65" s="196"/>
      <c r="G65" s="195">
        <f t="shared" ref="G65:G67" si="10">+E65</f>
        <v>1276607.46</v>
      </c>
      <c r="H65" s="195"/>
      <c r="I65" s="370" t="s">
        <v>2167</v>
      </c>
      <c r="J65" s="666"/>
      <c r="L65" s="463"/>
    </row>
    <row r="66" spans="1:12" s="26" customFormat="1">
      <c r="A66" s="28">
        <v>58</v>
      </c>
      <c r="B66" s="196" t="s">
        <v>804</v>
      </c>
      <c r="C66" s="196" t="s">
        <v>1423</v>
      </c>
      <c r="D66" s="193">
        <v>376</v>
      </c>
      <c r="E66" s="198">
        <v>155443.13</v>
      </c>
      <c r="F66" s="196"/>
      <c r="G66" s="195">
        <f t="shared" si="10"/>
        <v>155443.13</v>
      </c>
      <c r="H66" s="195"/>
      <c r="I66" s="370"/>
      <c r="J66" s="666"/>
      <c r="L66" s="463"/>
    </row>
    <row r="67" spans="1:12" s="26" customFormat="1">
      <c r="A67" s="28">
        <v>59</v>
      </c>
      <c r="B67" s="196" t="s">
        <v>804</v>
      </c>
      <c r="C67" s="196" t="s">
        <v>1424</v>
      </c>
      <c r="D67" s="193">
        <v>378</v>
      </c>
      <c r="E67" s="198">
        <v>148367.69</v>
      </c>
      <c r="F67" s="196"/>
      <c r="G67" s="195">
        <f t="shared" si="10"/>
        <v>148367.69</v>
      </c>
      <c r="H67" s="195"/>
      <c r="I67" s="370"/>
      <c r="J67" s="666"/>
      <c r="L67" s="463"/>
    </row>
    <row r="68" spans="1:12" s="26" customFormat="1">
      <c r="A68" s="28">
        <v>60</v>
      </c>
      <c r="B68" s="196" t="s">
        <v>804</v>
      </c>
      <c r="C68" s="196" t="s">
        <v>1425</v>
      </c>
      <c r="D68" s="193">
        <v>376</v>
      </c>
      <c r="E68" s="198">
        <v>197024.53</v>
      </c>
      <c r="F68" s="196"/>
      <c r="G68" s="195"/>
      <c r="H68" s="195"/>
      <c r="I68" s="370"/>
      <c r="J68" s="666"/>
    </row>
    <row r="69" spans="1:12" s="26" customFormat="1">
      <c r="A69" s="28">
        <v>61</v>
      </c>
      <c r="B69" s="196" t="s">
        <v>804</v>
      </c>
      <c r="C69" s="196" t="s">
        <v>1426</v>
      </c>
      <c r="D69" s="193">
        <v>378</v>
      </c>
      <c r="E69" s="198">
        <v>492208.54</v>
      </c>
      <c r="F69" s="196"/>
      <c r="G69" s="195">
        <f>+E69</f>
        <v>492208.54</v>
      </c>
      <c r="H69" s="195"/>
      <c r="I69" s="370"/>
      <c r="J69" s="666"/>
      <c r="L69" s="463"/>
    </row>
    <row r="70" spans="1:12" s="26" customFormat="1">
      <c r="A70" s="28">
        <v>62</v>
      </c>
      <c r="B70" s="196" t="s">
        <v>804</v>
      </c>
      <c r="C70" s="196" t="s">
        <v>1427</v>
      </c>
      <c r="D70" s="193">
        <v>376</v>
      </c>
      <c r="E70" s="198">
        <v>274270.17</v>
      </c>
      <c r="F70" s="196"/>
      <c r="G70" s="195"/>
      <c r="H70" s="195"/>
      <c r="I70" s="370"/>
      <c r="J70" s="666"/>
      <c r="L70" s="463"/>
    </row>
    <row r="71" spans="1:12" s="26" customFormat="1">
      <c r="A71" s="28">
        <v>63</v>
      </c>
      <c r="B71" s="196" t="s">
        <v>804</v>
      </c>
      <c r="C71" s="196" t="s">
        <v>1428</v>
      </c>
      <c r="D71" s="193">
        <v>376</v>
      </c>
      <c r="E71" s="198">
        <v>184432.46</v>
      </c>
      <c r="F71" s="196"/>
      <c r="G71" s="195"/>
      <c r="H71" s="195"/>
      <c r="I71" s="370"/>
      <c r="J71" s="666"/>
      <c r="L71" s="463"/>
    </row>
    <row r="72" spans="1:12" s="26" customFormat="1">
      <c r="A72" s="28">
        <v>64</v>
      </c>
      <c r="B72" s="196" t="s">
        <v>804</v>
      </c>
      <c r="C72" s="196" t="s">
        <v>1429</v>
      </c>
      <c r="D72" s="193">
        <v>376</v>
      </c>
      <c r="E72" s="198">
        <v>2282179.7200000002</v>
      </c>
      <c r="F72" s="196"/>
      <c r="G72" s="195">
        <f>+E72</f>
        <v>2282179.7200000002</v>
      </c>
      <c r="H72" s="195">
        <f t="shared" si="3"/>
        <v>2282179.7200000002</v>
      </c>
      <c r="I72" s="370">
        <f>+'MCP-6 - Supporting Explanations'!A18</f>
        <v>6</v>
      </c>
      <c r="J72" s="463">
        <v>43830</v>
      </c>
    </row>
    <row r="73" spans="1:12" s="26" customFormat="1">
      <c r="A73" s="28">
        <v>65</v>
      </c>
      <c r="B73" s="196" t="s">
        <v>804</v>
      </c>
      <c r="C73" s="26" t="s">
        <v>1430</v>
      </c>
      <c r="D73" s="193">
        <v>376</v>
      </c>
      <c r="E73" s="198">
        <v>277492.69</v>
      </c>
      <c r="F73" s="196"/>
      <c r="G73" s="195">
        <f>+E73</f>
        <v>277492.69</v>
      </c>
      <c r="H73" s="195"/>
      <c r="I73" s="370" t="s">
        <v>890</v>
      </c>
      <c r="J73" s="666"/>
      <c r="L73" s="463"/>
    </row>
    <row r="74" spans="1:12" s="26" customFormat="1">
      <c r="A74" s="28">
        <v>66</v>
      </c>
      <c r="B74" s="196" t="s">
        <v>804</v>
      </c>
      <c r="C74" s="196" t="s">
        <v>1431</v>
      </c>
      <c r="D74" s="193">
        <v>376</v>
      </c>
      <c r="E74" s="198">
        <v>3387285.01</v>
      </c>
      <c r="F74" s="196"/>
      <c r="G74" s="195">
        <f>+E74</f>
        <v>3387285.01</v>
      </c>
      <c r="H74" s="195"/>
      <c r="I74" s="370"/>
      <c r="J74" s="666"/>
      <c r="L74" s="463"/>
    </row>
    <row r="75" spans="1:12" s="26" customFormat="1">
      <c r="A75" s="28">
        <v>67</v>
      </c>
      <c r="B75" s="196" t="s">
        <v>804</v>
      </c>
      <c r="C75" s="196" t="s">
        <v>1432</v>
      </c>
      <c r="D75" s="193">
        <v>376</v>
      </c>
      <c r="E75" s="198">
        <v>2306938.46</v>
      </c>
      <c r="F75" s="196"/>
      <c r="G75" s="195"/>
      <c r="H75" s="195"/>
      <c r="I75" s="370"/>
      <c r="J75" s="666"/>
    </row>
    <row r="76" spans="1:12" s="26" customFormat="1">
      <c r="A76" s="28">
        <v>68</v>
      </c>
      <c r="B76" s="196" t="s">
        <v>804</v>
      </c>
      <c r="C76" s="196" t="s">
        <v>1433</v>
      </c>
      <c r="D76" s="193">
        <v>376</v>
      </c>
      <c r="E76" s="198">
        <v>1620273.71</v>
      </c>
      <c r="F76" s="196"/>
      <c r="G76" s="195"/>
      <c r="H76" s="195"/>
      <c r="I76" s="370"/>
      <c r="J76" s="666"/>
    </row>
    <row r="77" spans="1:12" s="26" customFormat="1">
      <c r="A77" s="28">
        <v>69</v>
      </c>
      <c r="B77" s="196" t="s">
        <v>804</v>
      </c>
      <c r="C77" s="196" t="s">
        <v>2168</v>
      </c>
      <c r="D77" s="193">
        <v>376</v>
      </c>
      <c r="E77" s="198">
        <v>1128679.6599999999</v>
      </c>
      <c r="F77" s="196"/>
      <c r="G77" s="195">
        <f>+E77</f>
        <v>1128679.6599999999</v>
      </c>
      <c r="H77" s="195"/>
      <c r="I77" s="370" t="s">
        <v>884</v>
      </c>
      <c r="J77" s="666"/>
      <c r="L77" s="463"/>
    </row>
    <row r="78" spans="1:12" s="26" customFormat="1">
      <c r="A78" s="28">
        <v>70</v>
      </c>
      <c r="B78" s="196" t="s">
        <v>804</v>
      </c>
      <c r="C78" s="196" t="s">
        <v>1434</v>
      </c>
      <c r="D78" s="193">
        <v>378</v>
      </c>
      <c r="E78" s="198">
        <v>1038473.63</v>
      </c>
      <c r="F78" s="196"/>
      <c r="G78" s="195">
        <f t="shared" ref="G78:G82" si="11">+E78</f>
        <v>1038473.63</v>
      </c>
      <c r="H78" s="195">
        <f t="shared" si="3"/>
        <v>1038473.63</v>
      </c>
      <c r="I78" s="370">
        <f>+'MCP-6 - Supporting Explanations'!A20</f>
        <v>7</v>
      </c>
      <c r="J78" s="463">
        <v>43830</v>
      </c>
    </row>
    <row r="79" spans="1:12" s="26" customFormat="1">
      <c r="A79" s="28">
        <v>71</v>
      </c>
      <c r="B79" s="196" t="s">
        <v>804</v>
      </c>
      <c r="C79" s="196" t="s">
        <v>1435</v>
      </c>
      <c r="D79" s="193">
        <v>378</v>
      </c>
      <c r="E79" s="198">
        <v>963617.88</v>
      </c>
      <c r="F79" s="196"/>
      <c r="G79" s="195">
        <f t="shared" si="11"/>
        <v>963617.88</v>
      </c>
      <c r="H79" s="195"/>
      <c r="I79" s="370" t="s">
        <v>890</v>
      </c>
      <c r="J79" s="666"/>
      <c r="L79" s="463"/>
    </row>
    <row r="80" spans="1:12" s="26" customFormat="1">
      <c r="A80" s="28">
        <v>72</v>
      </c>
      <c r="B80" s="196" t="s">
        <v>804</v>
      </c>
      <c r="C80" s="196" t="s">
        <v>1436</v>
      </c>
      <c r="D80" s="193">
        <v>376</v>
      </c>
      <c r="E80" s="198">
        <v>7244612.3200000003</v>
      </c>
      <c r="F80" s="196"/>
      <c r="G80" s="195">
        <f t="shared" si="11"/>
        <v>7244612.3200000003</v>
      </c>
      <c r="H80" s="195">
        <f t="shared" si="3"/>
        <v>7244612.3200000003</v>
      </c>
      <c r="I80" s="370">
        <f>+'MCP-6 - Supporting Explanations'!A22</f>
        <v>8</v>
      </c>
      <c r="J80" s="463">
        <v>43830</v>
      </c>
    </row>
    <row r="81" spans="1:12" s="26" customFormat="1">
      <c r="A81" s="28">
        <v>73</v>
      </c>
      <c r="B81" s="196" t="s">
        <v>804</v>
      </c>
      <c r="C81" s="196" t="s">
        <v>1437</v>
      </c>
      <c r="D81" s="193">
        <v>378</v>
      </c>
      <c r="E81" s="198">
        <v>142071.15</v>
      </c>
      <c r="F81" s="196"/>
      <c r="G81" s="195">
        <f t="shared" si="11"/>
        <v>142071.15</v>
      </c>
      <c r="H81" s="195"/>
      <c r="I81" s="370"/>
      <c r="J81" s="666"/>
      <c r="L81" s="463"/>
    </row>
    <row r="82" spans="1:12" s="26" customFormat="1">
      <c r="A82" s="28">
        <v>74</v>
      </c>
      <c r="B82" s="196" t="s">
        <v>804</v>
      </c>
      <c r="C82" s="196" t="s">
        <v>1438</v>
      </c>
      <c r="D82" s="193">
        <v>378</v>
      </c>
      <c r="E82" s="198">
        <v>142071.15</v>
      </c>
      <c r="F82" s="196"/>
      <c r="G82" s="195">
        <f t="shared" si="11"/>
        <v>142071.15</v>
      </c>
      <c r="H82" s="195"/>
      <c r="I82" s="370"/>
      <c r="J82" s="666"/>
      <c r="L82" s="463"/>
    </row>
    <row r="83" spans="1:12" s="26" customFormat="1">
      <c r="A83" s="28">
        <v>75</v>
      </c>
      <c r="B83" s="196" t="s">
        <v>804</v>
      </c>
      <c r="C83" s="196" t="s">
        <v>1440</v>
      </c>
      <c r="D83" s="193">
        <v>378</v>
      </c>
      <c r="E83" s="198">
        <v>194009.60000000001</v>
      </c>
      <c r="F83" s="196"/>
      <c r="G83" s="195"/>
      <c r="H83" s="195"/>
      <c r="I83" s="370"/>
      <c r="J83" s="666"/>
      <c r="L83" s="463"/>
    </row>
    <row r="84" spans="1:12" s="26" customFormat="1">
      <c r="A84" s="28">
        <v>76</v>
      </c>
      <c r="B84" s="196" t="s">
        <v>804</v>
      </c>
      <c r="C84" s="26" t="s">
        <v>1442</v>
      </c>
      <c r="D84" s="193">
        <v>376</v>
      </c>
      <c r="E84" s="198">
        <v>187720.5</v>
      </c>
      <c r="F84" s="196"/>
      <c r="G84" s="195">
        <f>+E84</f>
        <v>187720.5</v>
      </c>
      <c r="H84" s="195"/>
      <c r="I84" s="370"/>
      <c r="J84" s="666"/>
      <c r="L84" s="463"/>
    </row>
    <row r="85" spans="1:12" s="26" customFormat="1">
      <c r="A85" s="28">
        <v>77</v>
      </c>
      <c r="B85" s="196" t="s">
        <v>804</v>
      </c>
      <c r="C85" s="26" t="s">
        <v>2169</v>
      </c>
      <c r="D85" s="193">
        <v>367</v>
      </c>
      <c r="E85" s="198">
        <v>2534003.84</v>
      </c>
      <c r="F85" s="196"/>
      <c r="G85" s="195">
        <f>+E85</f>
        <v>2534003.84</v>
      </c>
      <c r="H85" s="195"/>
      <c r="I85" s="370" t="s">
        <v>884</v>
      </c>
      <c r="J85" s="666"/>
      <c r="L85" s="463"/>
    </row>
    <row r="86" spans="1:12" s="26" customFormat="1">
      <c r="A86" s="28">
        <v>78</v>
      </c>
      <c r="B86" s="196" t="s">
        <v>804</v>
      </c>
      <c r="C86" s="196" t="s">
        <v>1444</v>
      </c>
      <c r="D86" s="193">
        <v>376</v>
      </c>
      <c r="E86" s="198">
        <v>323673</v>
      </c>
      <c r="F86" s="196"/>
      <c r="G86" s="195">
        <f t="shared" ref="G86:G93" si="12">+E86</f>
        <v>323673</v>
      </c>
      <c r="H86" s="195"/>
      <c r="I86" s="370" t="s">
        <v>890</v>
      </c>
      <c r="J86" s="666"/>
      <c r="L86" s="463"/>
    </row>
    <row r="87" spans="1:12" s="26" customFormat="1">
      <c r="A87" s="28">
        <v>79</v>
      </c>
      <c r="B87" s="196" t="s">
        <v>804</v>
      </c>
      <c r="C87" s="196" t="s">
        <v>1445</v>
      </c>
      <c r="D87" s="193">
        <v>378</v>
      </c>
      <c r="E87" s="198">
        <v>179104.89</v>
      </c>
      <c r="F87" s="196"/>
      <c r="G87" s="195">
        <f t="shared" si="12"/>
        <v>179104.89</v>
      </c>
      <c r="H87" s="195"/>
      <c r="I87" s="370" t="s">
        <v>890</v>
      </c>
      <c r="J87" s="666"/>
      <c r="L87" s="463"/>
    </row>
    <row r="88" spans="1:12" s="26" customFormat="1">
      <c r="A88" s="28">
        <v>80</v>
      </c>
      <c r="B88" s="196" t="s">
        <v>804</v>
      </c>
      <c r="C88" s="196" t="s">
        <v>1446</v>
      </c>
      <c r="D88" s="193">
        <v>376</v>
      </c>
      <c r="E88" s="198">
        <v>138053.53</v>
      </c>
      <c r="F88" s="196"/>
      <c r="G88" s="195">
        <f t="shared" si="12"/>
        <v>138053.53</v>
      </c>
      <c r="H88" s="195"/>
      <c r="I88" s="370"/>
      <c r="J88" s="666"/>
      <c r="L88" s="463"/>
    </row>
    <row r="89" spans="1:12" s="26" customFormat="1">
      <c r="A89" s="28">
        <v>81</v>
      </c>
      <c r="B89" s="196" t="s">
        <v>804</v>
      </c>
      <c r="C89" s="196" t="s">
        <v>1447</v>
      </c>
      <c r="D89" s="193">
        <v>378</v>
      </c>
      <c r="E89" s="198">
        <v>164966.5</v>
      </c>
      <c r="F89" s="196"/>
      <c r="G89" s="195">
        <f t="shared" si="12"/>
        <v>164966.5</v>
      </c>
      <c r="H89" s="195"/>
      <c r="I89" s="370" t="s">
        <v>890</v>
      </c>
      <c r="J89" s="666"/>
      <c r="L89" s="463"/>
    </row>
    <row r="90" spans="1:12" s="26" customFormat="1">
      <c r="A90" s="28">
        <v>82</v>
      </c>
      <c r="B90" s="196" t="s">
        <v>804</v>
      </c>
      <c r="C90" s="26" t="s">
        <v>1448</v>
      </c>
      <c r="D90" s="193">
        <v>376</v>
      </c>
      <c r="E90" s="198">
        <v>1028640.41</v>
      </c>
      <c r="F90" s="196"/>
      <c r="G90" s="195">
        <f t="shared" si="12"/>
        <v>1028640.41</v>
      </c>
      <c r="H90" s="195">
        <f t="shared" si="3"/>
        <v>1028640.41</v>
      </c>
      <c r="I90" s="370">
        <f>+'MCP-6 - Supporting Explanations'!A24</f>
        <v>9</v>
      </c>
      <c r="J90" s="463">
        <v>43703</v>
      </c>
    </row>
    <row r="91" spans="1:12" s="26" customFormat="1">
      <c r="A91" s="28">
        <v>83</v>
      </c>
      <c r="B91" s="196" t="s">
        <v>804</v>
      </c>
      <c r="C91" s="196" t="s">
        <v>1454</v>
      </c>
      <c r="D91" s="193">
        <v>376</v>
      </c>
      <c r="E91" s="198">
        <v>213529.89</v>
      </c>
      <c r="F91" s="196"/>
      <c r="G91" s="195">
        <f t="shared" si="12"/>
        <v>213529.89</v>
      </c>
      <c r="H91" s="195"/>
      <c r="I91" s="370"/>
      <c r="J91" s="666"/>
      <c r="L91" s="463"/>
    </row>
    <row r="92" spans="1:12" s="26" customFormat="1">
      <c r="A92" s="28">
        <v>84</v>
      </c>
      <c r="B92" s="196" t="s">
        <v>804</v>
      </c>
      <c r="C92" s="196" t="s">
        <v>1453</v>
      </c>
      <c r="D92" s="193">
        <v>376</v>
      </c>
      <c r="E92" s="198">
        <v>136401.32</v>
      </c>
      <c r="F92" s="196"/>
      <c r="G92" s="195"/>
      <c r="H92" s="195"/>
      <c r="I92" s="370"/>
      <c r="J92" s="666"/>
    </row>
    <row r="93" spans="1:12" s="26" customFormat="1">
      <c r="A93" s="28">
        <v>85</v>
      </c>
      <c r="B93" s="196" t="s">
        <v>804</v>
      </c>
      <c r="C93" s="196" t="s">
        <v>1455</v>
      </c>
      <c r="D93" s="193">
        <v>376</v>
      </c>
      <c r="E93" s="198">
        <v>139882.25</v>
      </c>
      <c r="F93" s="196"/>
      <c r="G93" s="195">
        <f t="shared" si="12"/>
        <v>139882.25</v>
      </c>
      <c r="H93" s="195"/>
      <c r="I93" s="370" t="s">
        <v>890</v>
      </c>
      <c r="J93" s="666"/>
      <c r="L93" s="463"/>
    </row>
    <row r="94" spans="1:12" s="26" customFormat="1">
      <c r="A94" s="28">
        <v>86</v>
      </c>
      <c r="B94" s="466"/>
      <c r="C94" s="467"/>
      <c r="D94" s="199"/>
      <c r="E94" s="468">
        <f>SUM(E22:E93)</f>
        <v>95786292.169999957</v>
      </c>
      <c r="F94" s="466"/>
      <c r="G94" s="469">
        <f>SUM(G22:G93)</f>
        <v>77871967.943976998</v>
      </c>
      <c r="H94" s="469">
        <f>SUM(H22:H93)</f>
        <v>29862016.894584998</v>
      </c>
      <c r="I94" s="470"/>
      <c r="J94" s="667"/>
    </row>
    <row r="95" spans="1:12" s="26" customFormat="1">
      <c r="A95" s="28"/>
      <c r="B95" s="466"/>
      <c r="C95" s="466"/>
      <c r="D95" s="197"/>
      <c r="E95" s="198"/>
      <c r="F95" s="466"/>
      <c r="G95" s="474"/>
      <c r="H95" s="474"/>
      <c r="I95" s="470"/>
      <c r="J95" s="668"/>
    </row>
    <row r="96" spans="1:12" s="26" customFormat="1">
      <c r="A96" s="28">
        <v>87</v>
      </c>
      <c r="B96" s="196" t="s">
        <v>835</v>
      </c>
      <c r="C96" s="196" t="s">
        <v>836</v>
      </c>
      <c r="D96" s="193">
        <v>397</v>
      </c>
      <c r="E96" s="198">
        <v>78151</v>
      </c>
      <c r="F96" s="464">
        <f>+'State Allocation Formulas'!$C$21</f>
        <v>0.74850000000000005</v>
      </c>
      <c r="G96" s="195">
        <f t="shared" ref="G96:G122" si="13">+E96*F96</f>
        <v>58496.023500000003</v>
      </c>
      <c r="H96" s="195"/>
      <c r="I96" s="370"/>
      <c r="J96" s="666"/>
      <c r="L96" s="463"/>
    </row>
    <row r="97" spans="1:12" s="26" customFormat="1">
      <c r="A97" s="28">
        <v>88</v>
      </c>
      <c r="B97" s="196" t="s">
        <v>835</v>
      </c>
      <c r="C97" s="196" t="s">
        <v>838</v>
      </c>
      <c r="D97" s="193">
        <v>392</v>
      </c>
      <c r="E97" s="198">
        <v>1182172.56</v>
      </c>
      <c r="F97" s="196"/>
      <c r="G97" s="195">
        <f>+E97</f>
        <v>1182172.56</v>
      </c>
      <c r="H97" s="195"/>
      <c r="I97" s="370"/>
      <c r="J97" s="666"/>
      <c r="L97" s="463"/>
    </row>
    <row r="98" spans="1:12" s="26" customFormat="1">
      <c r="A98" s="28">
        <v>89</v>
      </c>
      <c r="B98" s="196" t="s">
        <v>835</v>
      </c>
      <c r="C98" s="196" t="s">
        <v>839</v>
      </c>
      <c r="D98" s="193">
        <v>396</v>
      </c>
      <c r="E98" s="198">
        <v>1727285.36</v>
      </c>
      <c r="F98" s="196"/>
      <c r="G98" s="195">
        <f t="shared" ref="G98:G99" si="14">+E98</f>
        <v>1727285.36</v>
      </c>
      <c r="H98" s="195"/>
      <c r="I98" s="370"/>
      <c r="J98" s="666"/>
      <c r="L98" s="463"/>
    </row>
    <row r="99" spans="1:12" s="26" customFormat="1">
      <c r="A99" s="28">
        <v>90</v>
      </c>
      <c r="B99" s="196" t="s">
        <v>835</v>
      </c>
      <c r="C99" s="196" t="s">
        <v>840</v>
      </c>
      <c r="D99" s="193">
        <v>397</v>
      </c>
      <c r="E99" s="198">
        <v>19663.8</v>
      </c>
      <c r="F99" s="196"/>
      <c r="G99" s="195">
        <f t="shared" si="14"/>
        <v>19663.8</v>
      </c>
      <c r="H99" s="195"/>
      <c r="I99" s="370"/>
      <c r="J99" s="666"/>
      <c r="L99" s="463"/>
    </row>
    <row r="100" spans="1:12" s="26" customFormat="1">
      <c r="A100" s="28">
        <v>91</v>
      </c>
      <c r="B100" s="196" t="s">
        <v>835</v>
      </c>
      <c r="C100" s="196" t="s">
        <v>841</v>
      </c>
      <c r="D100" s="193">
        <v>390</v>
      </c>
      <c r="E100" s="198">
        <v>15126</v>
      </c>
      <c r="F100" s="464">
        <f>+'State Allocation Formulas'!C21</f>
        <v>0.74850000000000005</v>
      </c>
      <c r="G100" s="195">
        <f t="shared" si="13"/>
        <v>11321.811000000002</v>
      </c>
      <c r="H100" s="195"/>
      <c r="I100" s="370"/>
      <c r="J100" s="666"/>
      <c r="L100" s="463"/>
    </row>
    <row r="101" spans="1:12" s="26" customFormat="1">
      <c r="A101" s="28">
        <v>92</v>
      </c>
      <c r="B101" s="196" t="s">
        <v>835</v>
      </c>
      <c r="C101" s="196" t="s">
        <v>842</v>
      </c>
      <c r="D101" s="193">
        <v>392</v>
      </c>
      <c r="E101" s="198">
        <v>82976.2</v>
      </c>
      <c r="F101" s="464">
        <f>+'State Allocation Formulas'!C21</f>
        <v>0.74850000000000005</v>
      </c>
      <c r="G101" s="195">
        <f t="shared" si="13"/>
        <v>62107.685700000002</v>
      </c>
      <c r="H101" s="195"/>
      <c r="I101" s="370"/>
      <c r="J101" s="666"/>
      <c r="L101" s="463"/>
    </row>
    <row r="102" spans="1:12" s="26" customFormat="1">
      <c r="A102" s="28">
        <v>93</v>
      </c>
      <c r="B102" s="196" t="s">
        <v>835</v>
      </c>
      <c r="C102" s="196" t="s">
        <v>843</v>
      </c>
      <c r="D102" s="193">
        <v>394</v>
      </c>
      <c r="E102" s="198">
        <v>143849.46</v>
      </c>
      <c r="F102" s="464">
        <f>+'State Allocation Formulas'!C21</f>
        <v>0.74850000000000005</v>
      </c>
      <c r="G102" s="195">
        <f t="shared" si="13"/>
        <v>107671.32081</v>
      </c>
      <c r="H102" s="195"/>
      <c r="I102" s="370"/>
      <c r="J102" s="666"/>
      <c r="L102" s="463"/>
    </row>
    <row r="103" spans="1:12" s="26" customFormat="1">
      <c r="A103" s="28">
        <v>94</v>
      </c>
      <c r="B103" s="196" t="s">
        <v>835</v>
      </c>
      <c r="C103" s="196" t="s">
        <v>844</v>
      </c>
      <c r="D103" s="193">
        <v>394</v>
      </c>
      <c r="E103" s="198">
        <v>51529.24</v>
      </c>
      <c r="F103" s="196"/>
      <c r="G103" s="195"/>
      <c r="H103" s="195"/>
      <c r="I103" s="370"/>
      <c r="J103" s="666"/>
    </row>
    <row r="104" spans="1:12" s="26" customFormat="1">
      <c r="A104" s="28">
        <v>95</v>
      </c>
      <c r="B104" s="196" t="s">
        <v>835</v>
      </c>
      <c r="C104" s="196" t="s">
        <v>1411</v>
      </c>
      <c r="D104" s="193">
        <v>394</v>
      </c>
      <c r="E104" s="198">
        <v>16336.08</v>
      </c>
      <c r="F104" s="196"/>
      <c r="G104" s="195"/>
      <c r="H104" s="195"/>
      <c r="I104" s="370"/>
      <c r="J104" s="666"/>
    </row>
    <row r="105" spans="1:12" s="26" customFormat="1">
      <c r="A105" s="28">
        <v>96</v>
      </c>
      <c r="B105" s="196" t="s">
        <v>835</v>
      </c>
      <c r="C105" s="196" t="s">
        <v>845</v>
      </c>
      <c r="D105" s="193">
        <v>394</v>
      </c>
      <c r="E105" s="198">
        <v>13815.08</v>
      </c>
      <c r="F105" s="196"/>
      <c r="G105" s="195">
        <f>+E105</f>
        <v>13815.08</v>
      </c>
      <c r="H105" s="195"/>
      <c r="I105" s="370"/>
      <c r="J105" s="666"/>
      <c r="L105" s="463"/>
    </row>
    <row r="106" spans="1:12" s="26" customFormat="1">
      <c r="A106" s="28">
        <v>97</v>
      </c>
      <c r="B106" s="196" t="s">
        <v>835</v>
      </c>
      <c r="C106" s="196" t="s">
        <v>1412</v>
      </c>
      <c r="D106" s="193">
        <v>391</v>
      </c>
      <c r="E106" s="198">
        <v>13109.2</v>
      </c>
      <c r="F106" s="464"/>
      <c r="G106" s="195">
        <f>+E106</f>
        <v>13109.2</v>
      </c>
      <c r="H106" s="195"/>
      <c r="I106" s="370"/>
      <c r="J106" s="666"/>
      <c r="L106" s="463"/>
    </row>
    <row r="107" spans="1:12" s="26" customFormat="1">
      <c r="A107" s="28">
        <v>98</v>
      </c>
      <c r="B107" s="196" t="s">
        <v>835</v>
      </c>
      <c r="C107" s="196" t="s">
        <v>1413</v>
      </c>
      <c r="D107" s="193">
        <v>391</v>
      </c>
      <c r="E107" s="198">
        <v>15126</v>
      </c>
      <c r="F107" s="196"/>
      <c r="G107" s="195">
        <f>+E107</f>
        <v>15126</v>
      </c>
      <c r="H107" s="195"/>
      <c r="I107" s="370"/>
      <c r="J107" s="666"/>
      <c r="L107" s="463"/>
    </row>
    <row r="108" spans="1:12" s="26" customFormat="1">
      <c r="A108" s="28">
        <v>99</v>
      </c>
      <c r="B108" s="196" t="s">
        <v>835</v>
      </c>
      <c r="C108" s="196" t="s">
        <v>1414</v>
      </c>
      <c r="D108" s="193">
        <v>394</v>
      </c>
      <c r="E108" s="198">
        <v>47899</v>
      </c>
      <c r="F108" s="196"/>
      <c r="G108" s="195">
        <f>+E108</f>
        <v>47899</v>
      </c>
      <c r="H108" s="195"/>
      <c r="I108" s="370"/>
      <c r="J108" s="666"/>
      <c r="L108" s="463"/>
    </row>
    <row r="109" spans="1:12" s="26" customFormat="1">
      <c r="A109" s="28">
        <v>100</v>
      </c>
      <c r="B109" s="196" t="s">
        <v>835</v>
      </c>
      <c r="C109" s="196" t="s">
        <v>1415</v>
      </c>
      <c r="D109" s="193">
        <v>394</v>
      </c>
      <c r="E109" s="198">
        <v>98924.04</v>
      </c>
      <c r="F109" s="196"/>
      <c r="G109" s="195">
        <f>+E109</f>
        <v>98924.04</v>
      </c>
      <c r="H109" s="195"/>
      <c r="I109" s="370"/>
      <c r="J109" s="666"/>
      <c r="L109" s="463"/>
    </row>
    <row r="110" spans="1:12" s="26" customFormat="1">
      <c r="A110" s="28">
        <v>101</v>
      </c>
      <c r="B110" s="196" t="s">
        <v>835</v>
      </c>
      <c r="C110" s="196" t="s">
        <v>846</v>
      </c>
      <c r="D110" s="193">
        <v>394</v>
      </c>
      <c r="E110" s="198">
        <v>41344.400000000001</v>
      </c>
      <c r="F110" s="196"/>
      <c r="G110" s="195">
        <f t="shared" ref="G110:G114" si="15">+E110</f>
        <v>41344.400000000001</v>
      </c>
      <c r="H110" s="195"/>
      <c r="I110" s="370"/>
      <c r="J110" s="666"/>
      <c r="L110" s="463"/>
    </row>
    <row r="111" spans="1:12" s="26" customFormat="1">
      <c r="A111" s="28">
        <v>102</v>
      </c>
      <c r="B111" s="196" t="s">
        <v>835</v>
      </c>
      <c r="C111" s="196" t="s">
        <v>847</v>
      </c>
      <c r="D111" s="193">
        <v>394</v>
      </c>
      <c r="E111" s="198">
        <v>29243.599999999999</v>
      </c>
      <c r="F111" s="196"/>
      <c r="G111" s="195">
        <f t="shared" si="15"/>
        <v>29243.599999999999</v>
      </c>
      <c r="H111" s="195"/>
      <c r="I111" s="370"/>
      <c r="J111" s="666"/>
      <c r="L111" s="463"/>
    </row>
    <row r="112" spans="1:12" s="26" customFormat="1">
      <c r="A112" s="28">
        <v>103</v>
      </c>
      <c r="B112" s="196" t="s">
        <v>835</v>
      </c>
      <c r="C112" s="196" t="s">
        <v>848</v>
      </c>
      <c r="D112" s="193">
        <v>394</v>
      </c>
      <c r="E112" s="198">
        <v>38319.199999999997</v>
      </c>
      <c r="F112" s="196"/>
      <c r="G112" s="195">
        <f t="shared" si="15"/>
        <v>38319.199999999997</v>
      </c>
      <c r="H112" s="195"/>
      <c r="I112" s="370"/>
      <c r="J112" s="666"/>
      <c r="L112" s="463"/>
    </row>
    <row r="113" spans="1:12" s="26" customFormat="1">
      <c r="A113" s="28">
        <v>104</v>
      </c>
      <c r="B113" s="196" t="s">
        <v>835</v>
      </c>
      <c r="C113" s="196" t="s">
        <v>1416</v>
      </c>
      <c r="D113" s="193">
        <v>394</v>
      </c>
      <c r="E113" s="198">
        <v>25714.2</v>
      </c>
      <c r="F113" s="196"/>
      <c r="G113" s="195">
        <f t="shared" si="15"/>
        <v>25714.2</v>
      </c>
      <c r="H113" s="195"/>
      <c r="I113" s="370"/>
      <c r="J113" s="666"/>
      <c r="L113" s="463"/>
    </row>
    <row r="114" spans="1:12" s="26" customFormat="1">
      <c r="A114" s="28">
        <v>105</v>
      </c>
      <c r="B114" s="196" t="s">
        <v>835</v>
      </c>
      <c r="C114" s="196" t="s">
        <v>849</v>
      </c>
      <c r="D114" s="193">
        <v>394</v>
      </c>
      <c r="E114" s="198">
        <v>26218.42</v>
      </c>
      <c r="F114" s="196"/>
      <c r="G114" s="195">
        <f t="shared" si="15"/>
        <v>26218.42</v>
      </c>
      <c r="H114" s="195"/>
      <c r="I114" s="370"/>
      <c r="J114" s="666"/>
      <c r="L114" s="463"/>
    </row>
    <row r="115" spans="1:12" s="26" customFormat="1">
      <c r="A115" s="28">
        <v>106</v>
      </c>
      <c r="B115" s="196" t="s">
        <v>835</v>
      </c>
      <c r="C115" s="196" t="s">
        <v>850</v>
      </c>
      <c r="D115" s="193">
        <v>391</v>
      </c>
      <c r="E115" s="198">
        <v>37815</v>
      </c>
      <c r="F115" s="464">
        <f>+'State Allocation Formulas'!C21</f>
        <v>0.74850000000000005</v>
      </c>
      <c r="G115" s="195">
        <f t="shared" si="13"/>
        <v>28304.527500000004</v>
      </c>
      <c r="H115" s="195"/>
      <c r="I115" s="370"/>
      <c r="J115" s="666"/>
      <c r="L115" s="463"/>
    </row>
    <row r="116" spans="1:12" s="26" customFormat="1">
      <c r="A116" s="28">
        <v>107</v>
      </c>
      <c r="B116" s="196" t="s">
        <v>835</v>
      </c>
      <c r="C116" s="196" t="s">
        <v>851</v>
      </c>
      <c r="D116" s="193">
        <v>391</v>
      </c>
      <c r="E116" s="198">
        <v>113041.64</v>
      </c>
      <c r="F116" s="464">
        <f>+'State Allocation Formulas'!C21</f>
        <v>0.74850000000000005</v>
      </c>
      <c r="G116" s="195">
        <f t="shared" si="13"/>
        <v>84611.667540000009</v>
      </c>
      <c r="H116" s="195"/>
      <c r="I116" s="370"/>
      <c r="J116" s="666"/>
      <c r="L116" s="463"/>
    </row>
    <row r="117" spans="1:12" s="26" customFormat="1">
      <c r="A117" s="28">
        <v>108</v>
      </c>
      <c r="B117" s="196" t="s">
        <v>835</v>
      </c>
      <c r="C117" s="196" t="s">
        <v>1419</v>
      </c>
      <c r="D117" s="193">
        <v>391</v>
      </c>
      <c r="E117" s="198">
        <v>125738.62</v>
      </c>
      <c r="F117" s="464">
        <f>+'State Allocation Formulas'!C21</f>
        <v>0.74850000000000005</v>
      </c>
      <c r="G117" s="195">
        <f t="shared" si="13"/>
        <v>94115.357069999998</v>
      </c>
      <c r="H117" s="195"/>
      <c r="I117" s="370"/>
      <c r="J117" s="666"/>
      <c r="L117" s="463"/>
    </row>
    <row r="118" spans="1:12" s="26" customFormat="1">
      <c r="A118" s="28">
        <v>109</v>
      </c>
      <c r="B118" s="196" t="s">
        <v>835</v>
      </c>
      <c r="C118" s="196" t="s">
        <v>852</v>
      </c>
      <c r="D118" s="193">
        <v>390</v>
      </c>
      <c r="E118" s="198">
        <v>1966245.17</v>
      </c>
      <c r="F118" s="196"/>
      <c r="G118" s="195">
        <f>+E118</f>
        <v>1966245.17</v>
      </c>
      <c r="H118" s="195">
        <f t="shared" ref="H118" si="16">+G118</f>
        <v>1966245.17</v>
      </c>
      <c r="I118" s="370">
        <f>+'MCP-6 - Supporting Explanations'!A12</f>
        <v>3</v>
      </c>
      <c r="J118" s="463">
        <v>43525</v>
      </c>
    </row>
    <row r="119" spans="1:12" s="26" customFormat="1">
      <c r="A119" s="28">
        <v>110</v>
      </c>
      <c r="B119" s="196" t="s">
        <v>835</v>
      </c>
      <c r="C119" s="196" t="s">
        <v>1439</v>
      </c>
      <c r="D119" s="193">
        <v>391</v>
      </c>
      <c r="E119" s="198">
        <v>75630</v>
      </c>
      <c r="F119" s="464">
        <f>+'State Allocation Formulas'!C21</f>
        <v>0.74850000000000005</v>
      </c>
      <c r="G119" s="195">
        <f t="shared" si="13"/>
        <v>56609.055000000008</v>
      </c>
      <c r="H119" s="195"/>
      <c r="I119" s="370"/>
      <c r="J119" s="666"/>
      <c r="L119" s="463"/>
    </row>
    <row r="120" spans="1:12" s="26" customFormat="1">
      <c r="A120" s="28">
        <v>111</v>
      </c>
      <c r="B120" s="196" t="s">
        <v>835</v>
      </c>
      <c r="C120" s="196" t="s">
        <v>1441</v>
      </c>
      <c r="D120" s="193">
        <v>397</v>
      </c>
      <c r="E120" s="198">
        <v>299529.03999999998</v>
      </c>
      <c r="F120" s="464">
        <f>+'State Allocation Formulas'!C21</f>
        <v>0.74850000000000005</v>
      </c>
      <c r="G120" s="195">
        <f t="shared" si="13"/>
        <v>224197.48644000001</v>
      </c>
      <c r="H120" s="195"/>
      <c r="I120" s="370"/>
      <c r="J120" s="666"/>
      <c r="L120" s="463"/>
    </row>
    <row r="121" spans="1:12" s="26" customFormat="1">
      <c r="A121" s="28">
        <v>112</v>
      </c>
      <c r="B121" s="196" t="s">
        <v>835</v>
      </c>
      <c r="C121" s="196" t="s">
        <v>1443</v>
      </c>
      <c r="D121" s="193">
        <v>391</v>
      </c>
      <c r="E121" s="198">
        <v>49915.8</v>
      </c>
      <c r="F121" s="464">
        <f>+'State Allocation Formulas'!C21</f>
        <v>0.74850000000000005</v>
      </c>
      <c r="G121" s="195">
        <f t="shared" si="13"/>
        <v>37361.976300000002</v>
      </c>
      <c r="H121" s="195"/>
      <c r="I121" s="370"/>
      <c r="J121" s="666"/>
      <c r="L121" s="463"/>
    </row>
    <row r="122" spans="1:12" s="26" customFormat="1">
      <c r="A122" s="28">
        <v>113</v>
      </c>
      <c r="B122" s="196" t="s">
        <v>835</v>
      </c>
      <c r="C122" s="196" t="s">
        <v>1449</v>
      </c>
      <c r="D122" s="193">
        <v>394</v>
      </c>
      <c r="E122" s="198">
        <v>58789.72</v>
      </c>
      <c r="F122" s="464">
        <f>+'State Allocation Formulas'!C21</f>
        <v>0.74850000000000005</v>
      </c>
      <c r="G122" s="195">
        <f t="shared" si="13"/>
        <v>44004.105420000007</v>
      </c>
      <c r="H122" s="195"/>
      <c r="I122" s="370"/>
      <c r="J122" s="666"/>
      <c r="L122" s="463"/>
    </row>
    <row r="123" spans="1:12" s="26" customFormat="1">
      <c r="A123" s="28">
        <v>114</v>
      </c>
      <c r="B123" s="196" t="s">
        <v>835</v>
      </c>
      <c r="C123" s="196" t="s">
        <v>1450</v>
      </c>
      <c r="D123" s="193">
        <v>390</v>
      </c>
      <c r="E123" s="198">
        <v>20168</v>
      </c>
      <c r="F123" s="196"/>
      <c r="G123" s="195">
        <f>+E123</f>
        <v>20168</v>
      </c>
      <c r="H123" s="195"/>
      <c r="I123" s="370"/>
      <c r="J123" s="666"/>
      <c r="L123" s="463"/>
    </row>
    <row r="124" spans="1:12" s="26" customFormat="1">
      <c r="A124" s="28">
        <v>115</v>
      </c>
      <c r="B124" s="196" t="s">
        <v>835</v>
      </c>
      <c r="C124" s="196" t="s">
        <v>1451</v>
      </c>
      <c r="D124" s="193">
        <v>390</v>
      </c>
      <c r="E124" s="198">
        <v>201680</v>
      </c>
      <c r="F124" s="196"/>
      <c r="G124" s="195">
        <f>+E124</f>
        <v>201680</v>
      </c>
      <c r="H124" s="195"/>
      <c r="I124" s="370"/>
      <c r="J124" s="666"/>
      <c r="L124" s="463"/>
    </row>
    <row r="125" spans="1:12" s="26" customFormat="1">
      <c r="A125" s="28">
        <v>116</v>
      </c>
      <c r="B125" s="196" t="s">
        <v>835</v>
      </c>
      <c r="C125" s="196" t="s">
        <v>1452</v>
      </c>
      <c r="D125" s="193">
        <v>390</v>
      </c>
      <c r="E125" s="198">
        <v>65546</v>
      </c>
      <c r="F125" s="196"/>
      <c r="G125" s="195">
        <f>+E125</f>
        <v>65546</v>
      </c>
      <c r="H125" s="195"/>
      <c r="I125" s="370"/>
      <c r="J125" s="666"/>
      <c r="L125" s="463"/>
    </row>
    <row r="126" spans="1:12" s="26" customFormat="1">
      <c r="A126" s="28">
        <v>117</v>
      </c>
      <c r="B126" s="466"/>
      <c r="C126" s="467" t="s">
        <v>834</v>
      </c>
      <c r="D126" s="199"/>
      <c r="E126" s="468">
        <f>SUM(E96:E125)</f>
        <v>6680901.830000001</v>
      </c>
      <c r="F126" s="466"/>
      <c r="G126" s="469">
        <f>SUM(G96:G125)</f>
        <v>6341275.0462799994</v>
      </c>
      <c r="H126" s="469">
        <f>SUM(H96:H125)</f>
        <v>1966245.17</v>
      </c>
      <c r="I126" s="470"/>
      <c r="J126" s="667"/>
    </row>
    <row r="127" spans="1:12" s="26" customFormat="1">
      <c r="A127" s="28"/>
      <c r="B127" s="466"/>
      <c r="C127" s="466"/>
      <c r="D127" s="197"/>
      <c r="E127" s="198"/>
      <c r="F127" s="466"/>
      <c r="G127" s="474"/>
      <c r="H127" s="474"/>
      <c r="I127" s="470"/>
      <c r="J127" s="667"/>
    </row>
    <row r="128" spans="1:12" s="26" customFormat="1">
      <c r="A128" s="28"/>
      <c r="B128" s="466"/>
      <c r="C128" s="467"/>
      <c r="D128" s="197"/>
      <c r="E128" s="198"/>
      <c r="F128" s="466"/>
      <c r="G128" s="474"/>
      <c r="H128" s="474"/>
      <c r="I128" s="470"/>
      <c r="J128" s="667"/>
    </row>
    <row r="129" spans="1:11" s="26" customFormat="1">
      <c r="A129" s="28"/>
      <c r="B129" s="466"/>
      <c r="C129" s="466"/>
      <c r="D129" s="197"/>
      <c r="E129" s="198"/>
      <c r="F129" s="466"/>
      <c r="G129" s="474"/>
      <c r="H129" s="474"/>
      <c r="I129" s="466"/>
      <c r="J129" s="667"/>
    </row>
    <row r="130" spans="1:11" s="26" customFormat="1" ht="16.5" thickBot="1">
      <c r="A130" s="28">
        <v>118</v>
      </c>
      <c r="B130" s="466"/>
      <c r="C130" s="467" t="s">
        <v>58</v>
      </c>
      <c r="D130" s="199"/>
      <c r="E130" s="468">
        <f>E20+E94+E126</f>
        <v>105379018.22999996</v>
      </c>
      <c r="F130" s="466"/>
      <c r="G130" s="475">
        <f>G20+G94+G126</f>
        <v>86635636.694012001</v>
      </c>
      <c r="H130" s="476">
        <f>H20+H94+H126</f>
        <v>32794040.464584999</v>
      </c>
      <c r="I130" s="466"/>
      <c r="J130" s="671"/>
      <c r="K130" s="26">
        <f>+J130/H130</f>
        <v>0</v>
      </c>
    </row>
    <row r="131" spans="1:11" s="26" customFormat="1" ht="16.5" thickTop="1">
      <c r="A131" s="28"/>
      <c r="B131" s="466"/>
      <c r="C131" s="466"/>
      <c r="D131" s="197"/>
      <c r="E131" s="198"/>
      <c r="F131" s="466"/>
      <c r="G131" s="474"/>
      <c r="H131" s="466"/>
      <c r="I131" s="466"/>
      <c r="J131" s="668"/>
    </row>
    <row r="132" spans="1:11" s="26" customFormat="1">
      <c r="A132" s="28"/>
      <c r="B132" s="466"/>
      <c r="C132" s="467"/>
      <c r="D132" s="197"/>
      <c r="E132" s="198"/>
      <c r="F132" s="466"/>
      <c r="G132" s="474"/>
      <c r="H132" s="466"/>
      <c r="I132" s="466"/>
      <c r="J132" s="466"/>
    </row>
    <row r="133" spans="1:11" s="26" customFormat="1">
      <c r="A133" s="28"/>
      <c r="B133" s="196"/>
      <c r="C133" s="196"/>
      <c r="D133" s="193"/>
      <c r="E133" s="193"/>
      <c r="F133" s="196"/>
      <c r="G133" s="196"/>
      <c r="H133" s="195"/>
      <c r="I133" s="196"/>
      <c r="J133" s="196"/>
    </row>
    <row r="134" spans="1:11" s="26" customFormat="1">
      <c r="A134" s="28">
        <v>119</v>
      </c>
      <c r="B134" s="196" t="s">
        <v>853</v>
      </c>
      <c r="C134" s="196"/>
      <c r="D134" s="193"/>
      <c r="E134" s="193"/>
      <c r="F134" s="196"/>
      <c r="G134" s="472"/>
      <c r="H134" s="196"/>
      <c r="I134" s="196"/>
      <c r="J134" s="196"/>
    </row>
    <row r="135" spans="1:11" s="26" customFormat="1">
      <c r="A135" s="28">
        <v>120</v>
      </c>
      <c r="B135" s="477"/>
      <c r="C135" s="196"/>
      <c r="D135" s="193"/>
      <c r="E135" s="193"/>
      <c r="F135" s="196"/>
      <c r="G135" s="370" t="s">
        <v>857</v>
      </c>
      <c r="H135" s="370" t="s">
        <v>1456</v>
      </c>
      <c r="I135" s="370" t="s">
        <v>1180</v>
      </c>
      <c r="J135" s="370" t="s">
        <v>855</v>
      </c>
    </row>
    <row r="136" spans="1:11" s="26" customFormat="1">
      <c r="A136" s="28">
        <v>121</v>
      </c>
      <c r="B136" s="370" t="s">
        <v>884</v>
      </c>
      <c r="C136" s="196" t="s">
        <v>775</v>
      </c>
      <c r="D136" s="193"/>
      <c r="E136" s="193">
        <f>+G54+G58+G46+G47+G50+G62+G65+G77+G85</f>
        <v>15432064.859999999</v>
      </c>
      <c r="F136" s="196"/>
      <c r="G136" s="370" t="s">
        <v>858</v>
      </c>
      <c r="H136" s="370" t="s">
        <v>380</v>
      </c>
      <c r="I136" s="28" t="s">
        <v>1181</v>
      </c>
      <c r="J136" s="370" t="s">
        <v>856</v>
      </c>
    </row>
    <row r="137" spans="1:11" s="26" customFormat="1">
      <c r="A137" s="28">
        <v>122</v>
      </c>
      <c r="B137" s="370" t="s">
        <v>890</v>
      </c>
      <c r="C137" s="196" t="s">
        <v>854</v>
      </c>
      <c r="D137" s="193"/>
      <c r="E137" s="788">
        <f>+G33+G35+G37+G38+G39+G40+G42+G43+G45+G53+G57+G73+G79+G86+G87+G89+G93</f>
        <v>23378850.809392001</v>
      </c>
      <c r="F137" s="196"/>
      <c r="G137" s="196">
        <v>303</v>
      </c>
      <c r="H137" s="195">
        <f>+H20</f>
        <v>965778.4</v>
      </c>
      <c r="I137" s="196">
        <v>12.81</v>
      </c>
      <c r="J137" s="478">
        <f>+H137*I137/100</f>
        <v>123716.21304000002</v>
      </c>
    </row>
    <row r="138" spans="1:11" s="26" customFormat="1">
      <c r="A138" s="28">
        <v>123</v>
      </c>
      <c r="B138" s="477"/>
      <c r="C138" s="477" t="s">
        <v>2140</v>
      </c>
      <c r="D138" s="193"/>
      <c r="E138" s="193">
        <f>SUM(E136:E137)</f>
        <v>38810915.669392005</v>
      </c>
      <c r="F138" s="196"/>
      <c r="G138" s="196">
        <v>367</v>
      </c>
      <c r="H138" s="195">
        <f>+H85</f>
        <v>0</v>
      </c>
      <c r="I138" s="196">
        <v>1.82</v>
      </c>
      <c r="J138" s="478">
        <f t="shared" ref="J138:J151" si="17">+H138*I138/100</f>
        <v>0</v>
      </c>
    </row>
    <row r="139" spans="1:11" s="26" customFormat="1">
      <c r="A139" s="28">
        <v>124</v>
      </c>
      <c r="B139" s="477"/>
      <c r="C139" s="196"/>
      <c r="D139" s="193"/>
      <c r="E139" s="193"/>
      <c r="F139" s="196"/>
      <c r="G139" s="196">
        <v>376</v>
      </c>
      <c r="H139" s="195">
        <f>+H33+H34+H46+H47+H49+H50+H51+H53+H54+H56+H58+H59+H62+H63+H64+H65+H66+H72+H73+H74+H77+H80+H84+H86+H88+H90+H91+H93</f>
        <v>15620388.870000001</v>
      </c>
      <c r="I139" s="196">
        <v>1.25</v>
      </c>
      <c r="J139" s="478">
        <f t="shared" si="17"/>
        <v>195254.86087500001</v>
      </c>
    </row>
    <row r="140" spans="1:11" s="26" customFormat="1">
      <c r="A140" s="28">
        <v>125</v>
      </c>
      <c r="B140" s="477"/>
      <c r="C140" s="196"/>
      <c r="D140" s="193"/>
      <c r="E140" s="193"/>
      <c r="F140" s="196"/>
      <c r="G140" s="196">
        <v>378</v>
      </c>
      <c r="H140" s="195">
        <f>+H35+H36+H45+H55+H57+H61+H67+H69+H78+H79+H81+H82+H87+H89</f>
        <v>5126885.1399999997</v>
      </c>
      <c r="I140" s="196">
        <v>1.92</v>
      </c>
      <c r="J140" s="478">
        <f t="shared" si="17"/>
        <v>98436.194687999989</v>
      </c>
    </row>
    <row r="141" spans="1:11" s="26" customFormat="1">
      <c r="A141" s="28">
        <v>126</v>
      </c>
      <c r="B141" s="477"/>
      <c r="C141" s="196"/>
      <c r="D141" s="193"/>
      <c r="E141" s="193"/>
      <c r="F141" s="196"/>
      <c r="G141" s="196">
        <v>380</v>
      </c>
      <c r="H141" s="195">
        <f>+H37+H44</f>
        <v>0</v>
      </c>
      <c r="I141" s="196">
        <v>3.88</v>
      </c>
      <c r="J141" s="478">
        <f t="shared" si="17"/>
        <v>0</v>
      </c>
    </row>
    <row r="142" spans="1:11" s="26" customFormat="1">
      <c r="A142" s="28">
        <v>127</v>
      </c>
      <c r="B142" s="477"/>
      <c r="C142" s="196"/>
      <c r="D142" s="193"/>
      <c r="E142" s="193"/>
      <c r="F142" s="196"/>
      <c r="G142" s="196">
        <v>381</v>
      </c>
      <c r="H142" s="195">
        <f>+H42+H60</f>
        <v>9114742.8845850006</v>
      </c>
      <c r="I142" s="196">
        <v>2.27</v>
      </c>
      <c r="J142" s="478">
        <f t="shared" si="17"/>
        <v>206904.6634800795</v>
      </c>
    </row>
    <row r="143" spans="1:11" s="26" customFormat="1">
      <c r="A143" s="28">
        <v>128</v>
      </c>
      <c r="B143" s="477"/>
      <c r="C143" s="196"/>
      <c r="D143" s="193"/>
      <c r="E143" s="193"/>
      <c r="F143" s="196"/>
      <c r="G143" s="196">
        <v>382</v>
      </c>
      <c r="H143" s="195">
        <f>+H38+H39</f>
        <v>0</v>
      </c>
      <c r="I143" s="196">
        <v>1.86</v>
      </c>
      <c r="J143" s="478">
        <f t="shared" si="17"/>
        <v>0</v>
      </c>
    </row>
    <row r="144" spans="1:11" s="26" customFormat="1">
      <c r="A144" s="28">
        <v>129</v>
      </c>
      <c r="B144" s="196"/>
      <c r="C144" s="196"/>
      <c r="D144" s="193"/>
      <c r="E144" s="193"/>
      <c r="F144" s="196"/>
      <c r="G144" s="26">
        <v>383</v>
      </c>
      <c r="H144" s="328">
        <f>+H43</f>
        <v>0</v>
      </c>
      <c r="I144" s="26">
        <v>2.3199999999999998</v>
      </c>
      <c r="J144" s="478">
        <f t="shared" si="17"/>
        <v>0</v>
      </c>
    </row>
    <row r="145" spans="1:11" s="26" customFormat="1">
      <c r="A145" s="28">
        <v>130</v>
      </c>
      <c r="B145" s="196"/>
      <c r="C145" s="196"/>
      <c r="D145" s="193"/>
      <c r="E145" s="193"/>
      <c r="F145" s="196"/>
      <c r="G145" s="196">
        <v>385</v>
      </c>
      <c r="H145" s="195">
        <f>+H40+H41</f>
        <v>0</v>
      </c>
      <c r="I145" s="196">
        <v>2.1800000000000002</v>
      </c>
      <c r="J145" s="478">
        <f t="shared" si="17"/>
        <v>0</v>
      </c>
    </row>
    <row r="146" spans="1:11" s="26" customFormat="1">
      <c r="A146" s="28">
        <v>131</v>
      </c>
      <c r="B146" s="196"/>
      <c r="C146" s="196"/>
      <c r="D146" s="193"/>
      <c r="E146" s="193"/>
      <c r="F146" s="196"/>
      <c r="G146" s="196">
        <v>390</v>
      </c>
      <c r="H146" s="195">
        <f>+H100+H118+H123+H124+H125</f>
        <v>1966245.17</v>
      </c>
      <c r="I146" s="196">
        <v>1.24</v>
      </c>
      <c r="J146" s="478">
        <f t="shared" si="17"/>
        <v>24381.440107999999</v>
      </c>
    </row>
    <row r="147" spans="1:11" s="26" customFormat="1">
      <c r="A147" s="28">
        <v>132</v>
      </c>
      <c r="B147" s="196"/>
      <c r="C147" s="196"/>
      <c r="D147" s="193"/>
      <c r="E147" s="193"/>
      <c r="F147" s="196"/>
      <c r="G147" s="196">
        <v>391</v>
      </c>
      <c r="H147" s="195">
        <f>+H106+H107+H115+H116+H117+H119+H121</f>
        <v>0</v>
      </c>
      <c r="I147" s="196">
        <v>0.05</v>
      </c>
      <c r="J147" s="478">
        <f t="shared" si="17"/>
        <v>0</v>
      </c>
    </row>
    <row r="148" spans="1:11" s="26" customFormat="1">
      <c r="A148" s="28">
        <v>133</v>
      </c>
      <c r="B148" s="196"/>
      <c r="C148" s="196"/>
      <c r="D148" s="193"/>
      <c r="E148" s="193"/>
      <c r="F148" s="196"/>
      <c r="G148" s="196">
        <v>392</v>
      </c>
      <c r="H148" s="195">
        <f>+H97+H101</f>
        <v>0</v>
      </c>
      <c r="I148" s="196">
        <v>6.15</v>
      </c>
      <c r="J148" s="478">
        <f t="shared" si="17"/>
        <v>0</v>
      </c>
    </row>
    <row r="149" spans="1:11" s="26" customFormat="1">
      <c r="A149" s="28">
        <v>134</v>
      </c>
      <c r="B149" s="196"/>
      <c r="C149" s="196"/>
      <c r="D149" s="193"/>
      <c r="E149" s="193"/>
      <c r="F149" s="196"/>
      <c r="G149" s="196">
        <v>394</v>
      </c>
      <c r="H149" s="195">
        <f>+H102+H105+H108+H109+H110+H111+H112+H113+H114+H122</f>
        <v>0</v>
      </c>
      <c r="I149" s="196">
        <v>3.56</v>
      </c>
      <c r="J149" s="478">
        <f t="shared" si="17"/>
        <v>0</v>
      </c>
    </row>
    <row r="150" spans="1:11" s="26" customFormat="1">
      <c r="A150" s="28">
        <v>135</v>
      </c>
      <c r="B150" s="196"/>
      <c r="C150" s="196"/>
      <c r="D150" s="193"/>
      <c r="E150" s="193"/>
      <c r="F150" s="196"/>
      <c r="G150" s="196">
        <v>396</v>
      </c>
      <c r="H150" s="195">
        <f>+H98</f>
        <v>0</v>
      </c>
      <c r="I150" s="196">
        <v>5.18</v>
      </c>
      <c r="J150" s="478">
        <f t="shared" si="17"/>
        <v>0</v>
      </c>
    </row>
    <row r="151" spans="1:11" s="26" customFormat="1">
      <c r="A151" s="28">
        <v>136</v>
      </c>
      <c r="B151" s="196"/>
      <c r="C151" s="196"/>
      <c r="D151" s="193"/>
      <c r="E151" s="193"/>
      <c r="F151" s="196"/>
      <c r="G151" s="196">
        <v>397</v>
      </c>
      <c r="H151" s="195">
        <f>+H96+H99+H120</f>
        <v>0</v>
      </c>
      <c r="I151" s="196">
        <v>0.13</v>
      </c>
      <c r="J151" s="478">
        <f t="shared" si="17"/>
        <v>0</v>
      </c>
    </row>
    <row r="152" spans="1:11">
      <c r="A152" s="28">
        <v>137</v>
      </c>
      <c r="B152" s="192"/>
      <c r="C152" s="192"/>
      <c r="D152" s="200"/>
      <c r="E152" s="200"/>
      <c r="F152" s="192" t="s">
        <v>681</v>
      </c>
      <c r="G152" s="192"/>
      <c r="H152" s="195">
        <f>SUM(H137:H151)</f>
        <v>32794040.464584999</v>
      </c>
      <c r="I152" s="192"/>
      <c r="J152" s="194">
        <f>SUM(J137:J151)</f>
        <v>648693.37219107943</v>
      </c>
      <c r="K152" s="4">
        <f>+J152/H152</f>
        <v>1.9780830998596149E-2</v>
      </c>
    </row>
    <row r="153" spans="1:11">
      <c r="A153" s="28">
        <v>138</v>
      </c>
      <c r="B153" s="192"/>
      <c r="C153" s="192"/>
      <c r="D153" s="200"/>
      <c r="E153" s="200"/>
      <c r="F153" s="192"/>
      <c r="G153" s="192"/>
      <c r="H153" s="192"/>
      <c r="I153" s="192"/>
      <c r="J153" s="192"/>
    </row>
    <row r="154" spans="1:11">
      <c r="A154" s="28">
        <v>139</v>
      </c>
      <c r="B154" s="192"/>
      <c r="C154" s="192"/>
      <c r="D154" s="200"/>
      <c r="E154" s="200"/>
      <c r="F154" s="192"/>
      <c r="G154" s="192"/>
      <c r="H154" s="194">
        <f>+H130-H152</f>
        <v>0</v>
      </c>
      <c r="I154" s="192"/>
      <c r="J154" s="192"/>
    </row>
  </sheetData>
  <mergeCells count="4">
    <mergeCell ref="C1:I1"/>
    <mergeCell ref="C2:I2"/>
    <mergeCell ref="C3:I3"/>
    <mergeCell ref="C4:I4"/>
  </mergeCells>
  <pageMargins left="0.7" right="0.7" top="0.75" bottom="0.75" header="0.3" footer="0.3"/>
  <pageSetup scale="45" fitToHeight="0" orientation="portrait" useFirstPageNumber="1" r:id="rId1"/>
  <headerFooter scaleWithDoc="0" alignWithMargins="0">
    <oddHeader>&amp;RDocket No. UG-19___
Exhibit _____ (MCP-6)
Page &amp;P of 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0"/>
  <sheetViews>
    <sheetView tabSelected="1" view="pageBreakPreview" zoomScale="90" zoomScaleNormal="100" zoomScaleSheetLayoutView="90" workbookViewId="0">
      <selection activeCell="U16" sqref="U16"/>
    </sheetView>
  </sheetViews>
  <sheetFormatPr defaultRowHeight="15.75"/>
  <cols>
    <col min="1" max="1" width="5.85546875" style="6" bestFit="1" customWidth="1"/>
    <col min="2" max="2" width="17.28515625" style="6" bestFit="1" customWidth="1"/>
    <col min="3" max="3" width="99" style="4" customWidth="1"/>
    <col min="4" max="16384" width="9.140625" style="4"/>
  </cols>
  <sheetData>
    <row r="1" spans="1:5">
      <c r="A1" s="884" t="s">
        <v>861</v>
      </c>
      <c r="B1" s="884"/>
      <c r="C1" s="884"/>
      <c r="D1" s="3"/>
      <c r="E1" s="3"/>
    </row>
    <row r="2" spans="1:5">
      <c r="A2" s="884" t="s">
        <v>872</v>
      </c>
      <c r="B2" s="884"/>
      <c r="C2" s="884"/>
      <c r="D2" s="3"/>
      <c r="E2" s="3"/>
    </row>
    <row r="3" spans="1:5">
      <c r="A3" s="884" t="s">
        <v>1377</v>
      </c>
      <c r="B3" s="884"/>
      <c r="C3" s="884"/>
      <c r="D3" s="3"/>
      <c r="E3" s="3"/>
    </row>
    <row r="4" spans="1:5">
      <c r="A4" s="14"/>
      <c r="B4" s="14"/>
      <c r="C4" s="5"/>
      <c r="D4" s="5"/>
      <c r="E4" s="5"/>
    </row>
    <row r="5" spans="1:5">
      <c r="A5" s="15"/>
      <c r="B5" s="15"/>
      <c r="C5" s="16"/>
    </row>
    <row r="6" spans="1:5">
      <c r="A6" s="12" t="s">
        <v>859</v>
      </c>
      <c r="B6" s="12" t="s">
        <v>2107</v>
      </c>
      <c r="C6" s="12" t="s">
        <v>860</v>
      </c>
    </row>
    <row r="8" spans="1:5" ht="47.25">
      <c r="A8" s="13">
        <v>1</v>
      </c>
      <c r="B8" s="13">
        <v>101192</v>
      </c>
      <c r="C8" s="9" t="s">
        <v>2132</v>
      </c>
    </row>
    <row r="9" spans="1:5">
      <c r="A9" s="13"/>
      <c r="B9" s="13"/>
      <c r="C9" s="9"/>
    </row>
    <row r="10" spans="1:5" ht="78.75">
      <c r="A10" s="13">
        <v>2</v>
      </c>
      <c r="B10" s="13">
        <v>302596</v>
      </c>
      <c r="C10" s="8" t="s">
        <v>2141</v>
      </c>
    </row>
    <row r="11" spans="1:5">
      <c r="A11" s="13"/>
      <c r="B11" s="13"/>
      <c r="C11" s="8"/>
    </row>
    <row r="12" spans="1:5">
      <c r="A12" s="13">
        <v>3</v>
      </c>
      <c r="B12" s="13">
        <v>307020</v>
      </c>
      <c r="C12" s="8" t="s">
        <v>2114</v>
      </c>
    </row>
    <row r="13" spans="1:5">
      <c r="A13" s="13"/>
      <c r="B13" s="13"/>
      <c r="C13" s="8"/>
    </row>
    <row r="14" spans="1:5" ht="63">
      <c r="A14" s="13">
        <v>4</v>
      </c>
      <c r="B14" s="13">
        <v>307221</v>
      </c>
      <c r="C14" s="8" t="s">
        <v>2108</v>
      </c>
    </row>
    <row r="15" spans="1:5">
      <c r="A15" s="13"/>
      <c r="B15" s="13"/>
      <c r="C15" s="8"/>
    </row>
    <row r="16" spans="1:5" ht="47.25">
      <c r="A16" s="13">
        <v>5</v>
      </c>
      <c r="B16" s="13">
        <v>308023</v>
      </c>
      <c r="C16" s="8" t="s">
        <v>2142</v>
      </c>
    </row>
    <row r="17" spans="1:3">
      <c r="A17" s="13"/>
      <c r="B17" s="13"/>
      <c r="C17" s="8"/>
    </row>
    <row r="18" spans="1:3" ht="94.5">
      <c r="A18" s="13">
        <v>6</v>
      </c>
      <c r="B18" s="13">
        <v>316429</v>
      </c>
      <c r="C18" s="7" t="s">
        <v>2109</v>
      </c>
    </row>
    <row r="19" spans="1:3">
      <c r="A19" s="13"/>
      <c r="B19" s="13"/>
      <c r="C19" s="7"/>
    </row>
    <row r="20" spans="1:3" ht="31.5">
      <c r="A20" s="13">
        <v>7</v>
      </c>
      <c r="B20" s="13">
        <v>316586</v>
      </c>
      <c r="C20" s="10" t="s">
        <v>2110</v>
      </c>
    </row>
    <row r="21" spans="1:3">
      <c r="A21" s="13"/>
      <c r="B21" s="13"/>
      <c r="C21" s="10"/>
    </row>
    <row r="22" spans="1:3">
      <c r="A22" s="13">
        <v>8</v>
      </c>
      <c r="B22" s="13">
        <v>316670</v>
      </c>
      <c r="C22" s="31" t="s">
        <v>2112</v>
      </c>
    </row>
    <row r="23" spans="1:3">
      <c r="A23" s="13"/>
      <c r="B23" s="13"/>
      <c r="C23" s="31"/>
    </row>
    <row r="24" spans="1:3" ht="47.25">
      <c r="A24" s="13">
        <v>9</v>
      </c>
      <c r="B24" s="13">
        <v>317060</v>
      </c>
      <c r="C24" s="8" t="s">
        <v>2113</v>
      </c>
    </row>
    <row r="25" spans="1:3">
      <c r="A25" s="13"/>
      <c r="B25" s="13"/>
      <c r="C25" s="8"/>
    </row>
    <row r="26" spans="1:3" ht="31.5">
      <c r="A26" s="13">
        <v>10</v>
      </c>
      <c r="B26" s="13">
        <v>317322</v>
      </c>
      <c r="C26" s="780" t="s">
        <v>2111</v>
      </c>
    </row>
    <row r="27" spans="1:3">
      <c r="A27" s="13"/>
      <c r="B27" s="13"/>
      <c r="C27" s="11"/>
    </row>
    <row r="28" spans="1:3">
      <c r="C28" s="8"/>
    </row>
    <row r="29" spans="1:3">
      <c r="C29" s="8"/>
    </row>
    <row r="30" spans="1:3">
      <c r="C30" s="8"/>
    </row>
    <row r="31" spans="1:3">
      <c r="C31" s="8"/>
    </row>
    <row r="32" spans="1:3">
      <c r="C32" s="8"/>
    </row>
    <row r="33" spans="3:3">
      <c r="C33" s="8"/>
    </row>
    <row r="34" spans="3:3">
      <c r="C34" s="8"/>
    </row>
    <row r="35" spans="3:3">
      <c r="C35" s="8"/>
    </row>
    <row r="36" spans="3:3">
      <c r="C36" s="8"/>
    </row>
    <row r="37" spans="3:3">
      <c r="C37" s="8"/>
    </row>
    <row r="38" spans="3:3">
      <c r="C38" s="8"/>
    </row>
    <row r="39" spans="3:3">
      <c r="C39" s="8"/>
    </row>
    <row r="40" spans="3:3">
      <c r="C40" s="8"/>
    </row>
  </sheetData>
  <mergeCells count="3">
    <mergeCell ref="A1:C1"/>
    <mergeCell ref="A2:C2"/>
    <mergeCell ref="A3:C3"/>
  </mergeCells>
  <printOptions horizontalCentered="1"/>
  <pageMargins left="0.7" right="0.7" top="1" bottom="1" header="0.3" footer="0.3"/>
  <pageSetup scale="65" fitToHeight="0" orientation="portrait" useFirstPageNumber="1" r:id="rId1"/>
  <headerFooter scaleWithDoc="0" alignWithMargins="0">
    <oddHeader>&amp;RDocket No. UG-19___
Exhibit _____ (MCP-6)
Page 3 of 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
  <sheetViews>
    <sheetView workbookViewId="0">
      <selection activeCell="A4" sqref="A4:I4"/>
    </sheetView>
  </sheetViews>
  <sheetFormatPr defaultRowHeight="15.75"/>
  <cols>
    <col min="1" max="16384" width="9.140625" style="4"/>
  </cols>
  <sheetData>
    <row r="2" spans="1:9">
      <c r="A2" s="884" t="s">
        <v>60</v>
      </c>
      <c r="B2" s="884"/>
      <c r="C2" s="884"/>
      <c r="D2" s="884"/>
      <c r="E2" s="884"/>
      <c r="F2" s="884"/>
      <c r="G2" s="884"/>
      <c r="H2" s="884"/>
      <c r="I2" s="884"/>
    </row>
    <row r="3" spans="1:9">
      <c r="A3" s="884" t="s">
        <v>1390</v>
      </c>
      <c r="B3" s="884"/>
      <c r="C3" s="884"/>
      <c r="D3" s="884"/>
      <c r="E3" s="884"/>
      <c r="F3" s="884"/>
      <c r="G3" s="884"/>
      <c r="H3" s="884"/>
      <c r="I3" s="884"/>
    </row>
    <row r="4" spans="1:9">
      <c r="A4" s="884" t="s">
        <v>1655</v>
      </c>
      <c r="B4" s="884"/>
      <c r="C4" s="884"/>
      <c r="D4" s="884"/>
      <c r="E4" s="884"/>
      <c r="F4" s="884"/>
      <c r="G4" s="884"/>
      <c r="H4" s="884"/>
      <c r="I4" s="884"/>
    </row>
    <row r="5" spans="1:9">
      <c r="A5" s="884"/>
      <c r="B5" s="884"/>
      <c r="C5" s="884"/>
      <c r="D5" s="884"/>
      <c r="E5" s="884"/>
      <c r="F5" s="884"/>
      <c r="G5" s="884"/>
      <c r="H5" s="884"/>
      <c r="I5" s="884"/>
    </row>
    <row r="6" spans="1:9">
      <c r="A6" s="884"/>
      <c r="B6" s="884"/>
      <c r="C6" s="884"/>
      <c r="D6" s="884"/>
      <c r="E6" s="884"/>
      <c r="F6" s="884"/>
      <c r="G6" s="884"/>
      <c r="H6" s="884"/>
      <c r="I6" s="884"/>
    </row>
    <row r="11" spans="1:9">
      <c r="G11" s="16"/>
    </row>
    <row r="14" spans="1:9">
      <c r="A14" s="887" t="s">
        <v>877</v>
      </c>
      <c r="B14" s="887"/>
      <c r="C14" s="887"/>
      <c r="D14" s="887"/>
      <c r="E14" s="887"/>
      <c r="F14" s="887"/>
      <c r="G14" s="887"/>
      <c r="H14" s="887"/>
      <c r="I14" s="887"/>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1"/>
  <sheetViews>
    <sheetView view="pageBreakPreview" zoomScaleNormal="100" zoomScaleSheetLayoutView="100" workbookViewId="0">
      <selection activeCell="F15" sqref="F15"/>
    </sheetView>
  </sheetViews>
  <sheetFormatPr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94" bestFit="1" customWidth="1"/>
    <col min="7" max="7" width="9.140625" style="4"/>
    <col min="8" max="8" width="8.140625" style="4" bestFit="1" customWidth="1"/>
    <col min="9" max="16384" width="9.140625" style="4"/>
  </cols>
  <sheetData>
    <row r="1" spans="1:10">
      <c r="A1" s="31"/>
      <c r="B1" s="31"/>
      <c r="C1" s="31"/>
      <c r="D1" s="31"/>
      <c r="E1" s="31"/>
    </row>
    <row r="2" spans="1:10">
      <c r="A2" s="884" t="s">
        <v>60</v>
      </c>
      <c r="B2" s="884"/>
      <c r="C2" s="884"/>
      <c r="D2" s="884"/>
      <c r="E2" s="884"/>
      <c r="F2" s="884"/>
      <c r="G2" s="3"/>
      <c r="H2" s="3"/>
    </row>
    <row r="3" spans="1:10">
      <c r="A3" s="884" t="s">
        <v>1390</v>
      </c>
      <c r="B3" s="884"/>
      <c r="C3" s="884"/>
      <c r="D3" s="884"/>
      <c r="E3" s="884"/>
      <c r="F3" s="884"/>
      <c r="G3" s="3"/>
      <c r="H3" s="3"/>
    </row>
    <row r="4" spans="1:10">
      <c r="A4" s="884" t="s">
        <v>1388</v>
      </c>
      <c r="B4" s="884"/>
      <c r="C4" s="884"/>
      <c r="D4" s="884"/>
      <c r="E4" s="884"/>
      <c r="F4" s="884"/>
      <c r="G4" s="3"/>
      <c r="H4" s="3"/>
    </row>
    <row r="5" spans="1:10">
      <c r="A5" s="884" t="s">
        <v>873</v>
      </c>
      <c r="B5" s="884"/>
      <c r="C5" s="884"/>
      <c r="D5" s="884"/>
      <c r="E5" s="884"/>
      <c r="F5" s="884"/>
      <c r="G5" s="3"/>
      <c r="H5" s="3"/>
    </row>
    <row r="6" spans="1:10">
      <c r="A6" s="884" t="s">
        <v>1376</v>
      </c>
      <c r="B6" s="884"/>
      <c r="C6" s="884"/>
      <c r="D6" s="884"/>
      <c r="E6" s="884"/>
      <c r="F6" s="884"/>
      <c r="G6" s="3"/>
      <c r="H6" s="3"/>
    </row>
    <row r="7" spans="1:10">
      <c r="B7" s="29"/>
      <c r="C7" s="29"/>
      <c r="D7" s="29"/>
      <c r="E7" s="29"/>
      <c r="F7" s="32"/>
      <c r="G7" s="3"/>
      <c r="H7" s="3"/>
    </row>
    <row r="8" spans="1:10">
      <c r="B8" s="6" t="s">
        <v>882</v>
      </c>
      <c r="C8" s="6"/>
      <c r="D8" s="6" t="s">
        <v>883</v>
      </c>
      <c r="E8" s="6"/>
      <c r="F8" s="294" t="s">
        <v>884</v>
      </c>
    </row>
    <row r="9" spans="1:10">
      <c r="B9" s="30"/>
      <c r="C9" s="30"/>
      <c r="D9" s="30"/>
      <c r="E9" s="30"/>
      <c r="F9" s="324"/>
    </row>
    <row r="10" spans="1:10">
      <c r="A10" s="27" t="s">
        <v>881</v>
      </c>
      <c r="B10" s="24" t="s">
        <v>1139</v>
      </c>
      <c r="D10" s="24" t="s">
        <v>875</v>
      </c>
      <c r="E10" s="24"/>
      <c r="F10" s="325" t="s">
        <v>874</v>
      </c>
      <c r="G10" s="24"/>
    </row>
    <row r="11" spans="1:10">
      <c r="A11" s="27"/>
      <c r="B11" s="6" t="s">
        <v>1192</v>
      </c>
      <c r="D11" s="24"/>
      <c r="E11" s="24"/>
      <c r="F11" s="325"/>
      <c r="G11" s="24"/>
    </row>
    <row r="12" spans="1:10">
      <c r="A12" s="6">
        <v>1</v>
      </c>
      <c r="B12" s="4" t="s">
        <v>873</v>
      </c>
      <c r="D12" s="4" t="s">
        <v>1388</v>
      </c>
      <c r="F12" s="294">
        <v>1</v>
      </c>
    </row>
    <row r="13" spans="1:10">
      <c r="A13" s="6">
        <f>A12+1</f>
        <v>2</v>
      </c>
      <c r="B13" s="4" t="s">
        <v>792</v>
      </c>
      <c r="D13" s="4" t="s">
        <v>1391</v>
      </c>
      <c r="F13" s="326" t="s">
        <v>390</v>
      </c>
    </row>
    <row r="14" spans="1:10">
      <c r="A14" s="6">
        <f t="shared" ref="A14:A31" si="0">A13+1</f>
        <v>3</v>
      </c>
      <c r="B14" s="4" t="s">
        <v>41</v>
      </c>
      <c r="D14" s="4" t="s">
        <v>1457</v>
      </c>
      <c r="F14" s="294">
        <v>9</v>
      </c>
    </row>
    <row r="15" spans="1:10">
      <c r="A15" s="6">
        <f t="shared" si="0"/>
        <v>4</v>
      </c>
      <c r="B15" s="4" t="s">
        <v>1120</v>
      </c>
      <c r="D15" s="4" t="s">
        <v>1568</v>
      </c>
      <c r="F15" s="871" t="s">
        <v>2188</v>
      </c>
    </row>
    <row r="16" spans="1:10">
      <c r="A16" s="6">
        <f t="shared" si="0"/>
        <v>5</v>
      </c>
      <c r="B16" s="4" t="s">
        <v>1138</v>
      </c>
      <c r="C16" s="25"/>
      <c r="D16" s="4" t="s">
        <v>1555</v>
      </c>
      <c r="E16" s="25"/>
      <c r="F16" s="294" t="s">
        <v>2182</v>
      </c>
      <c r="G16" s="25"/>
      <c r="H16" s="25"/>
      <c r="I16" s="25"/>
      <c r="J16" s="25"/>
    </row>
    <row r="17" spans="1:6">
      <c r="A17" s="6">
        <f t="shared" si="0"/>
        <v>6</v>
      </c>
      <c r="B17" s="25" t="s">
        <v>746</v>
      </c>
      <c r="D17" s="4" t="s">
        <v>1641</v>
      </c>
      <c r="F17" s="294">
        <v>35</v>
      </c>
    </row>
    <row r="18" spans="1:6">
      <c r="A18" s="6">
        <f t="shared" si="0"/>
        <v>7</v>
      </c>
      <c r="B18" s="25" t="s">
        <v>1179</v>
      </c>
      <c r="D18" s="4" t="s">
        <v>1642</v>
      </c>
      <c r="F18" s="294">
        <v>36</v>
      </c>
    </row>
    <row r="19" spans="1:6">
      <c r="A19" s="6"/>
      <c r="B19" s="6" t="s">
        <v>878</v>
      </c>
    </row>
    <row r="20" spans="1:6">
      <c r="A20" s="6">
        <v>8</v>
      </c>
      <c r="B20" s="4" t="s">
        <v>2149</v>
      </c>
      <c r="D20" s="4" t="s">
        <v>1392</v>
      </c>
      <c r="F20" s="294">
        <v>38</v>
      </c>
    </row>
    <row r="21" spans="1:6">
      <c r="A21" s="6">
        <f t="shared" si="0"/>
        <v>9</v>
      </c>
      <c r="B21" s="4" t="s">
        <v>879</v>
      </c>
      <c r="D21" s="4" t="s">
        <v>1385</v>
      </c>
      <c r="F21" s="294" t="s">
        <v>2183</v>
      </c>
    </row>
    <row r="22" spans="1:6">
      <c r="A22" s="6">
        <f t="shared" si="0"/>
        <v>10</v>
      </c>
      <c r="B22" s="4" t="s">
        <v>2159</v>
      </c>
      <c r="D22" s="4" t="s">
        <v>1386</v>
      </c>
      <c r="F22" s="294">
        <v>41</v>
      </c>
    </row>
    <row r="23" spans="1:6">
      <c r="A23" s="6">
        <f t="shared" si="0"/>
        <v>11</v>
      </c>
      <c r="B23" s="4" t="s">
        <v>2154</v>
      </c>
      <c r="D23" s="4" t="s">
        <v>1387</v>
      </c>
      <c r="F23" s="294">
        <v>42</v>
      </c>
    </row>
    <row r="24" spans="1:6">
      <c r="A24" s="6">
        <f t="shared" si="0"/>
        <v>12</v>
      </c>
      <c r="B24" s="4" t="s">
        <v>2164</v>
      </c>
      <c r="D24" s="4" t="s">
        <v>1643</v>
      </c>
      <c r="F24" s="294">
        <v>43</v>
      </c>
    </row>
    <row r="25" spans="1:6">
      <c r="A25" s="6">
        <f t="shared" si="0"/>
        <v>13</v>
      </c>
      <c r="B25" s="4" t="s">
        <v>2160</v>
      </c>
      <c r="D25" s="4" t="s">
        <v>1518</v>
      </c>
      <c r="F25" s="294" t="s">
        <v>2187</v>
      </c>
    </row>
    <row r="26" spans="1:6">
      <c r="A26" s="6">
        <f t="shared" si="0"/>
        <v>14</v>
      </c>
      <c r="B26" s="4" t="s">
        <v>1639</v>
      </c>
      <c r="D26" s="4" t="s">
        <v>1519</v>
      </c>
      <c r="F26" s="294">
        <v>47</v>
      </c>
    </row>
    <row r="27" spans="1:6">
      <c r="A27" s="6">
        <f t="shared" si="0"/>
        <v>15</v>
      </c>
      <c r="B27" s="4" t="s">
        <v>84</v>
      </c>
      <c r="D27" s="4" t="s">
        <v>1520</v>
      </c>
      <c r="F27" s="294">
        <v>48</v>
      </c>
    </row>
    <row r="28" spans="1:6">
      <c r="A28" s="6">
        <f t="shared" si="0"/>
        <v>16</v>
      </c>
      <c r="B28" s="4" t="s">
        <v>747</v>
      </c>
      <c r="D28" s="4" t="s">
        <v>1524</v>
      </c>
      <c r="F28" s="294">
        <v>49</v>
      </c>
    </row>
    <row r="29" spans="1:6">
      <c r="A29" s="6">
        <f t="shared" si="0"/>
        <v>17</v>
      </c>
      <c r="B29" s="4" t="s">
        <v>765</v>
      </c>
      <c r="D29" s="4" t="s">
        <v>1644</v>
      </c>
      <c r="F29" s="294">
        <v>50</v>
      </c>
    </row>
    <row r="30" spans="1:6">
      <c r="A30" s="6">
        <f t="shared" si="0"/>
        <v>18</v>
      </c>
      <c r="B30" s="4" t="s">
        <v>2162</v>
      </c>
      <c r="D30" s="4" t="s">
        <v>1525</v>
      </c>
      <c r="F30" s="294" t="s">
        <v>2184</v>
      </c>
    </row>
    <row r="31" spans="1:6">
      <c r="A31" s="6">
        <f t="shared" si="0"/>
        <v>19</v>
      </c>
      <c r="B31" s="4" t="s">
        <v>2161</v>
      </c>
      <c r="D31" s="4" t="s">
        <v>1645</v>
      </c>
      <c r="F31" s="294" t="s">
        <v>2185</v>
      </c>
    </row>
    <row r="32" spans="1:6">
      <c r="A32" s="6">
        <v>21</v>
      </c>
      <c r="B32" s="4" t="s">
        <v>2163</v>
      </c>
      <c r="D32" s="4" t="s">
        <v>1526</v>
      </c>
      <c r="F32" s="294" t="s">
        <v>2186</v>
      </c>
    </row>
    <row r="33" spans="1:4">
      <c r="A33" s="6">
        <v>22</v>
      </c>
    </row>
    <row r="34" spans="1:4">
      <c r="A34" s="6">
        <v>23</v>
      </c>
      <c r="D34" s="870"/>
    </row>
    <row r="35" spans="1:4">
      <c r="D35" s="870"/>
    </row>
    <row r="41" spans="1:4">
      <c r="B41" s="4" t="s">
        <v>880</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188"/>
  <sheetViews>
    <sheetView view="pageBreakPreview" zoomScale="60" zoomScaleNormal="100" workbookViewId="0">
      <pane xSplit="2" ySplit="5" topLeftCell="C99" activePane="bottomRight" state="frozen"/>
      <selection activeCell="D30" sqref="D30:D32"/>
      <selection pane="topRight" activeCell="D30" sqref="D30:D32"/>
      <selection pane="bottomLeft" activeCell="D30" sqref="D30:D32"/>
      <selection pane="bottomRight" activeCell="D30" sqref="D30:D32"/>
    </sheetView>
  </sheetViews>
  <sheetFormatPr defaultRowHeight="15.75"/>
  <cols>
    <col min="1" max="1" width="9.28515625" style="509" bestFit="1" customWidth="1"/>
    <col min="2" max="2" width="10.42578125" style="26" bestFit="1" customWidth="1"/>
    <col min="3" max="3" width="44.28515625" style="26" customWidth="1"/>
    <col min="4" max="4" width="2.7109375" style="26" customWidth="1"/>
    <col min="5" max="5" width="20.5703125" style="26" bestFit="1" customWidth="1"/>
    <col min="6" max="6" width="25.42578125" style="26" bestFit="1" customWidth="1"/>
    <col min="7" max="7" width="26.28515625" style="26" bestFit="1" customWidth="1"/>
    <col min="8" max="8" width="14.140625" style="26" customWidth="1"/>
    <col min="9" max="9" width="18.7109375" style="488" bestFit="1" customWidth="1"/>
    <col min="10" max="10" width="16.42578125" style="488" bestFit="1" customWidth="1"/>
    <col min="11" max="11" width="22.28515625" style="328" customWidth="1"/>
    <col min="12" max="12" width="17.7109375" style="488" bestFit="1" customWidth="1"/>
    <col min="13" max="13" width="18.42578125" style="488" bestFit="1" customWidth="1"/>
    <col min="14" max="14" width="16.85546875" style="488" bestFit="1" customWidth="1"/>
    <col min="15" max="15" width="17.28515625" style="488" bestFit="1" customWidth="1"/>
    <col min="16" max="17" width="18.42578125" style="488" bestFit="1" customWidth="1"/>
    <col min="18" max="18" width="16.85546875" style="678" bestFit="1" customWidth="1"/>
    <col min="19" max="20" width="2.140625" style="26" customWidth="1"/>
    <col min="21" max="21" width="19.140625" style="26" bestFit="1" customWidth="1"/>
    <col min="22" max="22" width="24.140625" style="26" bestFit="1" customWidth="1"/>
    <col min="23" max="16384" width="9.140625" style="26"/>
  </cols>
  <sheetData>
    <row r="1" spans="1:22">
      <c r="C1" s="884" t="s">
        <v>60</v>
      </c>
      <c r="D1" s="884"/>
      <c r="E1" s="884"/>
      <c r="F1" s="884"/>
      <c r="G1" s="884"/>
      <c r="K1" s="884" t="s">
        <v>60</v>
      </c>
      <c r="L1" s="884"/>
      <c r="M1" s="884"/>
      <c r="N1" s="884"/>
      <c r="O1" s="884"/>
      <c r="P1" s="884"/>
      <c r="Q1" s="884"/>
      <c r="S1" s="884"/>
      <c r="T1" s="884"/>
    </row>
    <row r="2" spans="1:22">
      <c r="C2" s="884" t="s">
        <v>1390</v>
      </c>
      <c r="D2" s="884"/>
      <c r="E2" s="884"/>
      <c r="F2" s="884"/>
      <c r="G2" s="884"/>
      <c r="K2" s="884" t="s">
        <v>1390</v>
      </c>
      <c r="L2" s="884"/>
      <c r="M2" s="884"/>
      <c r="N2" s="884"/>
      <c r="O2" s="884"/>
      <c r="P2" s="884"/>
      <c r="Q2" s="884"/>
      <c r="S2" s="884"/>
      <c r="T2" s="884"/>
    </row>
    <row r="3" spans="1:22">
      <c r="C3" s="884" t="s">
        <v>1391</v>
      </c>
      <c r="D3" s="884"/>
      <c r="E3" s="884"/>
      <c r="F3" s="884"/>
      <c r="G3" s="884"/>
      <c r="K3" s="884" t="s">
        <v>1391</v>
      </c>
      <c r="L3" s="884"/>
      <c r="M3" s="884"/>
      <c r="N3" s="884"/>
      <c r="O3" s="884"/>
      <c r="P3" s="884"/>
      <c r="Q3" s="884"/>
      <c r="S3" s="884"/>
      <c r="T3" s="884"/>
    </row>
    <row r="4" spans="1:22">
      <c r="C4" s="884" t="s">
        <v>1182</v>
      </c>
      <c r="D4" s="884"/>
      <c r="E4" s="884"/>
      <c r="F4" s="884"/>
      <c r="G4" s="884"/>
      <c r="K4" s="884" t="s">
        <v>792</v>
      </c>
      <c r="L4" s="884"/>
      <c r="M4" s="884"/>
      <c r="N4" s="884"/>
      <c r="O4" s="884"/>
      <c r="P4" s="884"/>
      <c r="Q4" s="884"/>
      <c r="S4" s="884"/>
      <c r="T4" s="884"/>
    </row>
    <row r="5" spans="1:22">
      <c r="C5" s="884" t="s">
        <v>1376</v>
      </c>
      <c r="D5" s="884"/>
      <c r="E5" s="884"/>
      <c r="F5" s="884"/>
      <c r="G5" s="884"/>
      <c r="K5" s="884" t="s">
        <v>1376</v>
      </c>
      <c r="L5" s="884"/>
      <c r="M5" s="884"/>
      <c r="N5" s="884"/>
      <c r="O5" s="884"/>
      <c r="P5" s="884"/>
      <c r="Q5" s="884"/>
      <c r="S5" s="884"/>
      <c r="T5" s="884"/>
    </row>
    <row r="7" spans="1:22" s="509" customFormat="1">
      <c r="A7" s="509" t="s">
        <v>1104</v>
      </c>
      <c r="B7" s="509" t="s">
        <v>885</v>
      </c>
      <c r="C7" s="509" t="s">
        <v>883</v>
      </c>
      <c r="E7" s="509" t="s">
        <v>884</v>
      </c>
      <c r="F7" s="509" t="s">
        <v>887</v>
      </c>
      <c r="G7" s="509" t="s">
        <v>888</v>
      </c>
      <c r="H7" s="509" t="s">
        <v>889</v>
      </c>
      <c r="I7" s="816" t="s">
        <v>890</v>
      </c>
      <c r="J7" s="816" t="s">
        <v>891</v>
      </c>
      <c r="K7" s="817" t="s">
        <v>892</v>
      </c>
      <c r="L7" s="816" t="s">
        <v>893</v>
      </c>
      <c r="M7" s="816" t="s">
        <v>894</v>
      </c>
      <c r="N7" s="816" t="s">
        <v>895</v>
      </c>
      <c r="O7" s="816" t="s">
        <v>896</v>
      </c>
      <c r="P7" s="816" t="s">
        <v>897</v>
      </c>
      <c r="Q7" s="816" t="s">
        <v>898</v>
      </c>
      <c r="R7" s="816" t="s">
        <v>2156</v>
      </c>
      <c r="S7" s="818"/>
      <c r="T7" s="818"/>
      <c r="U7" s="816" t="s">
        <v>1106</v>
      </c>
      <c r="V7" s="816" t="s">
        <v>1107</v>
      </c>
    </row>
    <row r="8" spans="1:22" ht="31.5">
      <c r="A8" s="509">
        <v>1</v>
      </c>
      <c r="B8" s="679" t="s">
        <v>792</v>
      </c>
      <c r="C8" s="680"/>
      <c r="D8" s="295"/>
      <c r="E8" s="681"/>
      <c r="F8" s="682" t="s">
        <v>115</v>
      </c>
      <c r="G8" s="682" t="s">
        <v>116</v>
      </c>
      <c r="H8" s="682" t="s">
        <v>117</v>
      </c>
    </row>
    <row r="9" spans="1:22">
      <c r="A9" s="509">
        <v>2</v>
      </c>
      <c r="B9" s="683" t="s">
        <v>1389</v>
      </c>
      <c r="C9" s="458"/>
      <c r="D9" s="295"/>
      <c r="E9" s="684" t="s">
        <v>118</v>
      </c>
      <c r="F9" s="685">
        <f>+'State Allocation Formulas'!C21</f>
        <v>0.74850000000000005</v>
      </c>
      <c r="G9" s="686">
        <f>+'State Allocation Formulas'!C16</f>
        <v>0.74490000000000001</v>
      </c>
      <c r="H9" s="686">
        <f>+'State Allocation Formulas'!T21</f>
        <v>0.76729999999999998</v>
      </c>
    </row>
    <row r="10" spans="1:22">
      <c r="A10" s="509">
        <v>3</v>
      </c>
      <c r="B10" s="683"/>
      <c r="C10" s="458"/>
      <c r="D10" s="295"/>
      <c r="E10" s="684" t="s">
        <v>119</v>
      </c>
      <c r="F10" s="685">
        <f>+'State Allocation Formulas'!D21</f>
        <v>0.25146666666666667</v>
      </c>
      <c r="G10" s="686">
        <f>+'State Allocation Formulas'!D16</f>
        <v>0.25509999999999999</v>
      </c>
      <c r="H10" s="686">
        <f>+'State Allocation Formulas'!T22</f>
        <v>0.23270000000000002</v>
      </c>
      <c r="I10" s="201" t="s">
        <v>2145</v>
      </c>
      <c r="J10" s="201" t="s">
        <v>61</v>
      </c>
      <c r="K10" s="796" t="s">
        <v>744</v>
      </c>
      <c r="L10" s="797" t="s">
        <v>744</v>
      </c>
      <c r="M10" s="459" t="s">
        <v>1654</v>
      </c>
      <c r="N10" s="582" t="s">
        <v>1195</v>
      </c>
      <c r="O10" s="201" t="s">
        <v>63</v>
      </c>
      <c r="P10" s="201" t="s">
        <v>705</v>
      </c>
      <c r="Q10" s="201" t="s">
        <v>745</v>
      </c>
      <c r="R10" s="202" t="s">
        <v>762</v>
      </c>
      <c r="S10" s="116"/>
      <c r="U10" s="203" t="s">
        <v>58</v>
      </c>
      <c r="V10" s="203" t="s">
        <v>705</v>
      </c>
    </row>
    <row r="11" spans="1:22">
      <c r="A11" s="204">
        <v>4</v>
      </c>
      <c r="B11" s="892" t="s">
        <v>120</v>
      </c>
      <c r="C11" s="893"/>
      <c r="D11" s="295"/>
      <c r="E11" s="896" t="s">
        <v>121</v>
      </c>
      <c r="F11" s="897"/>
      <c r="G11" s="897"/>
      <c r="I11" s="205" t="s">
        <v>775</v>
      </c>
      <c r="J11" s="205" t="s">
        <v>57</v>
      </c>
      <c r="K11" s="798" t="s">
        <v>80</v>
      </c>
      <c r="L11" s="205" t="s">
        <v>1650</v>
      </c>
      <c r="M11" s="120" t="s">
        <v>108</v>
      </c>
      <c r="N11" s="119" t="s">
        <v>1196</v>
      </c>
      <c r="O11" s="205" t="s">
        <v>64</v>
      </c>
      <c r="P11" s="205" t="s">
        <v>709</v>
      </c>
      <c r="Q11" s="205" t="s">
        <v>65</v>
      </c>
      <c r="R11" s="206" t="s">
        <v>763</v>
      </c>
      <c r="S11" s="120"/>
      <c r="U11" s="203" t="s">
        <v>1</v>
      </c>
      <c r="V11" s="203" t="s">
        <v>706</v>
      </c>
    </row>
    <row r="12" spans="1:22">
      <c r="A12" s="509">
        <v>5</v>
      </c>
      <c r="B12" s="894"/>
      <c r="C12" s="895"/>
      <c r="D12" s="687"/>
      <c r="E12" s="898" t="s">
        <v>122</v>
      </c>
      <c r="F12" s="899"/>
      <c r="G12" s="900"/>
      <c r="I12" s="794" t="s">
        <v>62</v>
      </c>
      <c r="J12" s="794" t="s">
        <v>62</v>
      </c>
      <c r="K12" s="799"/>
      <c r="L12" s="794" t="s">
        <v>62</v>
      </c>
      <c r="M12" s="800"/>
      <c r="N12" s="801"/>
      <c r="O12" s="794" t="s">
        <v>62</v>
      </c>
      <c r="P12" s="794" t="s">
        <v>62</v>
      </c>
      <c r="Q12" s="794"/>
      <c r="R12" s="795" t="s">
        <v>764</v>
      </c>
      <c r="S12" s="120"/>
      <c r="V12" s="28" t="s">
        <v>707</v>
      </c>
    </row>
    <row r="13" spans="1:22">
      <c r="A13" s="509">
        <v>6</v>
      </c>
      <c r="B13" s="888" t="s">
        <v>123</v>
      </c>
      <c r="C13" s="889"/>
      <c r="D13" s="688"/>
      <c r="E13" s="689" t="s">
        <v>124</v>
      </c>
      <c r="F13" s="688" t="s">
        <v>125</v>
      </c>
      <c r="G13" s="690" t="s">
        <v>126</v>
      </c>
      <c r="I13" s="691" t="s">
        <v>700</v>
      </c>
      <c r="J13" s="691" t="s">
        <v>701</v>
      </c>
      <c r="K13" s="802" t="s">
        <v>743</v>
      </c>
      <c r="L13" s="691" t="s">
        <v>774</v>
      </c>
      <c r="M13" s="691" t="s">
        <v>1651</v>
      </c>
      <c r="N13" s="691" t="s">
        <v>1652</v>
      </c>
      <c r="O13" s="691" t="s">
        <v>702</v>
      </c>
      <c r="P13" s="691" t="s">
        <v>703</v>
      </c>
      <c r="Q13" s="691" t="s">
        <v>776</v>
      </c>
      <c r="R13" s="692" t="s">
        <v>704</v>
      </c>
      <c r="S13" s="693"/>
      <c r="T13" s="693"/>
    </row>
    <row r="14" spans="1:22">
      <c r="A14" s="204">
        <v>7</v>
      </c>
      <c r="B14" s="213" t="s">
        <v>127</v>
      </c>
      <c r="C14" s="210"/>
      <c r="D14" s="458"/>
      <c r="E14" s="683"/>
      <c r="F14" s="458"/>
      <c r="G14" s="99"/>
    </row>
    <row r="15" spans="1:22">
      <c r="A15" s="509">
        <v>8</v>
      </c>
      <c r="B15" s="211" t="s">
        <v>128</v>
      </c>
      <c r="C15" s="212" t="s">
        <v>129</v>
      </c>
      <c r="D15" s="694"/>
      <c r="E15" s="695">
        <v>112388247.12</v>
      </c>
      <c r="F15" s="696">
        <v>0</v>
      </c>
      <c r="G15" s="697">
        <f>SUM(E15:F15)</f>
        <v>112388247.12</v>
      </c>
      <c r="I15" s="488">
        <f>+'Annualize CRM Adjustment'!D11</f>
        <v>684346.33995482326</v>
      </c>
      <c r="K15" s="328">
        <f>+'Restate Revenues Adjustment'!H25</f>
        <v>2733771.6600000057</v>
      </c>
      <c r="L15" s="488">
        <f>+'EOP Revenue Adjustment'!F9</f>
        <v>678910</v>
      </c>
      <c r="U15" s="495">
        <f>SUM(I15:T15)</f>
        <v>4097027.999954829</v>
      </c>
      <c r="V15" s="495">
        <f>+G15+U15</f>
        <v>116485275.11995484</v>
      </c>
    </row>
    <row r="16" spans="1:22">
      <c r="A16" s="509">
        <v>9</v>
      </c>
      <c r="B16" s="211" t="s">
        <v>130</v>
      </c>
      <c r="C16" s="212" t="s">
        <v>131</v>
      </c>
      <c r="D16" s="694"/>
      <c r="E16" s="695">
        <v>90577549.189999998</v>
      </c>
      <c r="F16" s="696">
        <v>0</v>
      </c>
      <c r="G16" s="697">
        <f>SUM(E16:F16)</f>
        <v>90577549.189999998</v>
      </c>
      <c r="U16" s="495">
        <f>SUM(I16:T16)</f>
        <v>0</v>
      </c>
      <c r="V16" s="495">
        <f>+G16+U16</f>
        <v>90577549.189999998</v>
      </c>
    </row>
    <row r="17" spans="1:22">
      <c r="A17" s="204">
        <v>10</v>
      </c>
      <c r="B17" s="213" t="s">
        <v>132</v>
      </c>
      <c r="C17" s="210"/>
      <c r="D17" s="698"/>
      <c r="E17" s="699">
        <f t="shared" ref="E17:R17" si="0">SUM(E15:E16)</f>
        <v>202965796.31</v>
      </c>
      <c r="F17" s="700">
        <f t="shared" si="0"/>
        <v>0</v>
      </c>
      <c r="G17" s="701">
        <f t="shared" si="0"/>
        <v>202965796.31</v>
      </c>
      <c r="I17" s="701">
        <f t="shared" si="0"/>
        <v>684346.33995482326</v>
      </c>
      <c r="J17" s="701">
        <f t="shared" si="0"/>
        <v>0</v>
      </c>
      <c r="K17" s="329">
        <f>SUM(K15:K16)</f>
        <v>2733771.6600000057</v>
      </c>
      <c r="L17" s="701">
        <f t="shared" si="0"/>
        <v>678910</v>
      </c>
      <c r="M17" s="701">
        <f t="shared" ref="M17:N17" si="1">SUM(M15:M16)</f>
        <v>0</v>
      </c>
      <c r="N17" s="701">
        <f t="shared" si="1"/>
        <v>0</v>
      </c>
      <c r="O17" s="701">
        <f t="shared" si="0"/>
        <v>0</v>
      </c>
      <c r="P17" s="701">
        <f t="shared" si="0"/>
        <v>0</v>
      </c>
      <c r="Q17" s="701">
        <f t="shared" si="0"/>
        <v>0</v>
      </c>
      <c r="R17" s="702">
        <f t="shared" si="0"/>
        <v>0</v>
      </c>
      <c r="S17" s="701">
        <f t="shared" ref="S17:U17" si="2">SUM(S15:S16)</f>
        <v>0</v>
      </c>
      <c r="T17" s="701">
        <f t="shared" si="2"/>
        <v>0</v>
      </c>
      <c r="U17" s="701">
        <f t="shared" si="2"/>
        <v>4097027.999954829</v>
      </c>
      <c r="V17" s="701">
        <f>SUM(V15:V16)</f>
        <v>207062824.30995482</v>
      </c>
    </row>
    <row r="18" spans="1:22">
      <c r="A18" s="509">
        <v>11</v>
      </c>
      <c r="B18" s="703"/>
      <c r="C18" s="210"/>
      <c r="D18" s="694"/>
      <c r="E18" s="695"/>
      <c r="F18" s="694"/>
      <c r="G18" s="697"/>
    </row>
    <row r="19" spans="1:22">
      <c r="A19" s="204">
        <v>12</v>
      </c>
      <c r="B19" s="213" t="s">
        <v>133</v>
      </c>
      <c r="C19" s="210"/>
      <c r="D19" s="694"/>
      <c r="E19" s="695"/>
      <c r="F19" s="694"/>
      <c r="G19" s="697"/>
    </row>
    <row r="20" spans="1:22">
      <c r="A20" s="509">
        <v>13</v>
      </c>
      <c r="B20" s="211" t="s">
        <v>134</v>
      </c>
      <c r="C20" s="212" t="s">
        <v>135</v>
      </c>
      <c r="D20" s="694"/>
      <c r="E20" s="695">
        <v>778716.7</v>
      </c>
      <c r="F20" s="694">
        <v>0</v>
      </c>
      <c r="G20" s="697">
        <f t="shared" ref="G20:G26" si="3">SUM(E20:F20)</f>
        <v>778716.7</v>
      </c>
      <c r="U20" s="495">
        <f t="shared" ref="U20:U25" si="4">SUM(I20:T20)</f>
        <v>0</v>
      </c>
      <c r="V20" s="811">
        <f t="shared" ref="V20:V25" si="5">+G20+U20</f>
        <v>778716.7</v>
      </c>
    </row>
    <row r="21" spans="1:22">
      <c r="A21" s="204">
        <v>14</v>
      </c>
      <c r="B21" s="704" t="s">
        <v>136</v>
      </c>
      <c r="C21" s="212" t="s">
        <v>137</v>
      </c>
      <c r="D21" s="694"/>
      <c r="E21" s="695">
        <v>23006329.140000001</v>
      </c>
      <c r="F21" s="696">
        <v>0</v>
      </c>
      <c r="G21" s="697">
        <f t="shared" si="3"/>
        <v>23006329.140000001</v>
      </c>
      <c r="Q21" s="488">
        <f>+'Pro Forma Plant Additions'!E14</f>
        <v>0</v>
      </c>
      <c r="U21" s="495">
        <f t="shared" si="4"/>
        <v>0</v>
      </c>
      <c r="V21" s="495">
        <f t="shared" si="5"/>
        <v>23006329.140000001</v>
      </c>
    </row>
    <row r="22" spans="1:22">
      <c r="A22" s="509">
        <v>15</v>
      </c>
      <c r="B22" s="704" t="s">
        <v>138</v>
      </c>
      <c r="C22" s="212" t="s">
        <v>139</v>
      </c>
      <c r="D22" s="694"/>
      <c r="E22" s="705">
        <v>100</v>
      </c>
      <c r="F22" s="694">
        <v>0</v>
      </c>
      <c r="G22" s="697">
        <f t="shared" si="3"/>
        <v>100</v>
      </c>
      <c r="U22" s="495">
        <f t="shared" si="4"/>
        <v>0</v>
      </c>
      <c r="V22" s="495">
        <f t="shared" si="5"/>
        <v>100</v>
      </c>
    </row>
    <row r="23" spans="1:22">
      <c r="A23" s="204">
        <v>16</v>
      </c>
      <c r="B23" s="704" t="s">
        <v>140</v>
      </c>
      <c r="C23" s="212" t="s">
        <v>141</v>
      </c>
      <c r="D23" s="694"/>
      <c r="E23" s="705">
        <v>0</v>
      </c>
      <c r="F23" s="694">
        <v>85562.52</v>
      </c>
      <c r="G23" s="697">
        <f t="shared" si="3"/>
        <v>85562.52</v>
      </c>
      <c r="U23" s="495">
        <f t="shared" si="4"/>
        <v>0</v>
      </c>
      <c r="V23" s="495">
        <f t="shared" si="5"/>
        <v>85562.52</v>
      </c>
    </row>
    <row r="24" spans="1:22">
      <c r="A24" s="509">
        <v>17</v>
      </c>
      <c r="B24" s="704" t="s">
        <v>142</v>
      </c>
      <c r="C24" s="212" t="s">
        <v>143</v>
      </c>
      <c r="D24" s="694"/>
      <c r="E24" s="695">
        <v>30674.240000000002</v>
      </c>
      <c r="F24" s="694">
        <v>42187.07</v>
      </c>
      <c r="G24" s="697">
        <f t="shared" si="3"/>
        <v>72861.31</v>
      </c>
      <c r="U24" s="495">
        <f t="shared" si="4"/>
        <v>0</v>
      </c>
      <c r="V24" s="495">
        <f t="shared" si="5"/>
        <v>72861.31</v>
      </c>
    </row>
    <row r="25" spans="1:22">
      <c r="A25" s="204">
        <v>18</v>
      </c>
      <c r="B25" s="211" t="s">
        <v>144</v>
      </c>
      <c r="C25" s="212" t="s">
        <v>145</v>
      </c>
      <c r="D25" s="696"/>
      <c r="E25" s="705">
        <v>0</v>
      </c>
      <c r="F25" s="696">
        <v>0</v>
      </c>
      <c r="G25" s="706">
        <f t="shared" si="3"/>
        <v>0</v>
      </c>
      <c r="U25" s="495">
        <f t="shared" si="4"/>
        <v>0</v>
      </c>
      <c r="V25" s="495">
        <f t="shared" si="5"/>
        <v>0</v>
      </c>
    </row>
    <row r="26" spans="1:22">
      <c r="A26" s="509">
        <v>19</v>
      </c>
      <c r="B26" s="707">
        <v>4962</v>
      </c>
      <c r="C26" s="212" t="s">
        <v>1394</v>
      </c>
      <c r="D26" s="696"/>
      <c r="E26" s="708">
        <v>-2424725.08</v>
      </c>
      <c r="F26" s="696">
        <v>0</v>
      </c>
      <c r="G26" s="706">
        <f t="shared" si="3"/>
        <v>-2424725.08</v>
      </c>
      <c r="U26" s="495"/>
      <c r="V26" s="495"/>
    </row>
    <row r="27" spans="1:22">
      <c r="A27" s="204">
        <v>20</v>
      </c>
      <c r="B27" s="213" t="s">
        <v>146</v>
      </c>
      <c r="C27" s="210"/>
      <c r="D27" s="698"/>
      <c r="E27" s="699">
        <f>SUM(E20:E26)</f>
        <v>21391095</v>
      </c>
      <c r="F27" s="698">
        <f>SUM(F20:F26)</f>
        <v>127749.59</v>
      </c>
      <c r="G27" s="698">
        <f>SUM(G20:G26)</f>
        <v>21518844.589999996</v>
      </c>
      <c r="I27" s="701">
        <f t="shared" ref="I27:Q27" si="6">SUM(I20:I25)</f>
        <v>0</v>
      </c>
      <c r="J27" s="701">
        <f t="shared" si="6"/>
        <v>0</v>
      </c>
      <c r="K27" s="329">
        <f>SUM(K20:K25)</f>
        <v>0</v>
      </c>
      <c r="L27" s="701">
        <f>SUM(L20:L25)</f>
        <v>0</v>
      </c>
      <c r="M27" s="701">
        <f t="shared" ref="M27:N27" si="7">SUM(M20:M25)</f>
        <v>0</v>
      </c>
      <c r="N27" s="701">
        <f t="shared" si="7"/>
        <v>0</v>
      </c>
      <c r="O27" s="701">
        <f t="shared" si="6"/>
        <v>0</v>
      </c>
      <c r="P27" s="701">
        <f t="shared" si="6"/>
        <v>0</v>
      </c>
      <c r="Q27" s="701">
        <f t="shared" si="6"/>
        <v>0</v>
      </c>
      <c r="R27" s="702">
        <f>SUM(R20:R25)</f>
        <v>0</v>
      </c>
      <c r="S27" s="701">
        <f t="shared" ref="S27:V27" si="8">SUM(S20:S25)</f>
        <v>0</v>
      </c>
      <c r="T27" s="701">
        <f t="shared" si="8"/>
        <v>0</v>
      </c>
      <c r="U27" s="701">
        <f t="shared" si="8"/>
        <v>0</v>
      </c>
      <c r="V27" s="701">
        <f t="shared" si="8"/>
        <v>23943569.669999998</v>
      </c>
    </row>
    <row r="28" spans="1:22" ht="16.5" thickBot="1">
      <c r="A28" s="509">
        <v>21</v>
      </c>
      <c r="B28" s="213" t="s">
        <v>147</v>
      </c>
      <c r="C28" s="210"/>
      <c r="D28" s="709"/>
      <c r="E28" s="710">
        <f t="shared" ref="E28:G28" si="9">E17+E27</f>
        <v>224356891.31</v>
      </c>
      <c r="F28" s="709">
        <f t="shared" si="9"/>
        <v>127749.59</v>
      </c>
      <c r="G28" s="711">
        <f t="shared" si="9"/>
        <v>224484640.90000001</v>
      </c>
      <c r="I28" s="711">
        <f t="shared" ref="I28:Q28" si="10">I17+I27</f>
        <v>684346.33995482326</v>
      </c>
      <c r="J28" s="711">
        <f t="shared" si="10"/>
        <v>0</v>
      </c>
      <c r="K28" s="803">
        <f>K17+K27</f>
        <v>2733771.6600000057</v>
      </c>
      <c r="L28" s="711">
        <f>L17+L27</f>
        <v>678910</v>
      </c>
      <c r="M28" s="711">
        <f t="shared" ref="M28:N28" si="11">M17+M27</f>
        <v>0</v>
      </c>
      <c r="N28" s="711">
        <f t="shared" si="11"/>
        <v>0</v>
      </c>
      <c r="O28" s="711">
        <f t="shared" si="10"/>
        <v>0</v>
      </c>
      <c r="P28" s="711">
        <f t="shared" si="10"/>
        <v>0</v>
      </c>
      <c r="Q28" s="711">
        <f t="shared" si="10"/>
        <v>0</v>
      </c>
      <c r="R28" s="712">
        <f>R17+R27</f>
        <v>0</v>
      </c>
      <c r="S28" s="711">
        <f t="shared" ref="S28:V28" si="12">S17+S27</f>
        <v>0</v>
      </c>
      <c r="T28" s="711">
        <f t="shared" si="12"/>
        <v>0</v>
      </c>
      <c r="U28" s="711">
        <f t="shared" si="12"/>
        <v>4097027.999954829</v>
      </c>
      <c r="V28" s="711">
        <f t="shared" si="12"/>
        <v>231006393.97995481</v>
      </c>
    </row>
    <row r="29" spans="1:22" ht="16.5" thickTop="1">
      <c r="A29" s="204">
        <v>22</v>
      </c>
      <c r="B29" s="209" t="s">
        <v>56</v>
      </c>
      <c r="C29" s="210" t="s">
        <v>56</v>
      </c>
      <c r="D29" s="694"/>
      <c r="E29" s="695"/>
      <c r="F29" s="694"/>
      <c r="G29" s="697"/>
    </row>
    <row r="30" spans="1:22">
      <c r="A30" s="509">
        <v>23</v>
      </c>
      <c r="B30" s="213" t="s">
        <v>148</v>
      </c>
      <c r="C30" s="210"/>
      <c r="D30" s="694"/>
      <c r="E30" s="695"/>
      <c r="F30" s="694"/>
      <c r="G30" s="697"/>
    </row>
    <row r="31" spans="1:22">
      <c r="A31" s="204">
        <v>24</v>
      </c>
      <c r="B31" s="211" t="s">
        <v>149</v>
      </c>
      <c r="C31" s="212" t="s">
        <v>150</v>
      </c>
      <c r="D31" s="694"/>
      <c r="E31" s="695">
        <v>144417052.00999999</v>
      </c>
      <c r="F31" s="696">
        <v>0</v>
      </c>
      <c r="G31" s="697">
        <f t="shared" ref="G31:G36" si="13">SUM(E31:F31)</f>
        <v>144417052.00999999</v>
      </c>
      <c r="U31" s="495">
        <f t="shared" ref="U31:U36" si="14">SUM(I31:T31)</f>
        <v>0</v>
      </c>
      <c r="V31" s="495">
        <f t="shared" ref="V31:V36" si="15">+G31+U31</f>
        <v>144417052.00999999</v>
      </c>
    </row>
    <row r="32" spans="1:22">
      <c r="A32" s="509">
        <v>25</v>
      </c>
      <c r="B32" s="211" t="s">
        <v>151</v>
      </c>
      <c r="C32" s="212" t="s">
        <v>152</v>
      </c>
      <c r="D32" s="696"/>
      <c r="E32" s="705">
        <v>0</v>
      </c>
      <c r="F32" s="696">
        <v>0</v>
      </c>
      <c r="G32" s="706">
        <f t="shared" si="13"/>
        <v>0</v>
      </c>
      <c r="U32" s="495">
        <f t="shared" si="14"/>
        <v>0</v>
      </c>
      <c r="V32" s="495">
        <f t="shared" si="15"/>
        <v>0</v>
      </c>
    </row>
    <row r="33" spans="1:22">
      <c r="A33" s="204">
        <v>26</v>
      </c>
      <c r="B33" s="211" t="s">
        <v>153</v>
      </c>
      <c r="C33" s="212" t="s">
        <v>154</v>
      </c>
      <c r="D33" s="694"/>
      <c r="E33" s="695">
        <v>-33249072.420000002</v>
      </c>
      <c r="F33" s="696">
        <v>0</v>
      </c>
      <c r="G33" s="697">
        <f t="shared" si="13"/>
        <v>-33249072.420000002</v>
      </c>
      <c r="U33" s="495">
        <f t="shared" si="14"/>
        <v>0</v>
      </c>
      <c r="V33" s="495">
        <f t="shared" si="15"/>
        <v>-33249072.420000002</v>
      </c>
    </row>
    <row r="34" spans="1:22">
      <c r="A34" s="509">
        <v>27</v>
      </c>
      <c r="B34" s="211" t="s">
        <v>155</v>
      </c>
      <c r="C34" s="212" t="s">
        <v>156</v>
      </c>
      <c r="D34" s="694"/>
      <c r="E34" s="695">
        <v>3626505.01</v>
      </c>
      <c r="F34" s="696">
        <v>0</v>
      </c>
      <c r="G34" s="697">
        <f t="shared" si="13"/>
        <v>3626505.01</v>
      </c>
      <c r="U34" s="495">
        <f t="shared" si="14"/>
        <v>0</v>
      </c>
      <c r="V34" s="495">
        <f t="shared" si="15"/>
        <v>3626505.01</v>
      </c>
    </row>
    <row r="35" spans="1:22">
      <c r="A35" s="204">
        <v>28</v>
      </c>
      <c r="B35" s="211" t="s">
        <v>157</v>
      </c>
      <c r="C35" s="212" t="s">
        <v>158</v>
      </c>
      <c r="D35" s="694"/>
      <c r="E35" s="695">
        <v>-4963076.4400000004</v>
      </c>
      <c r="F35" s="696">
        <v>0</v>
      </c>
      <c r="G35" s="697">
        <f t="shared" si="13"/>
        <v>-4963076.4400000004</v>
      </c>
      <c r="U35" s="495">
        <f t="shared" si="14"/>
        <v>0</v>
      </c>
      <c r="V35" s="495">
        <f t="shared" si="15"/>
        <v>-4963076.4400000004</v>
      </c>
    </row>
    <row r="36" spans="1:22">
      <c r="A36" s="509">
        <v>29</v>
      </c>
      <c r="B36" s="211" t="s">
        <v>159</v>
      </c>
      <c r="C36" s="212" t="s">
        <v>160</v>
      </c>
      <c r="D36" s="694"/>
      <c r="E36" s="695">
        <v>-48203.98</v>
      </c>
      <c r="F36" s="696">
        <v>0</v>
      </c>
      <c r="G36" s="697">
        <f t="shared" si="13"/>
        <v>-48203.98</v>
      </c>
      <c r="U36" s="495">
        <f t="shared" si="14"/>
        <v>0</v>
      </c>
      <c r="V36" s="495">
        <f t="shared" si="15"/>
        <v>-48203.98</v>
      </c>
    </row>
    <row r="37" spans="1:22">
      <c r="A37" s="204">
        <v>30</v>
      </c>
      <c r="B37" s="213" t="s">
        <v>161</v>
      </c>
      <c r="C37" s="210"/>
      <c r="D37" s="698"/>
      <c r="E37" s="699">
        <f t="shared" ref="E37:R37" si="16">SUM(E31:E36)</f>
        <v>109783204.17999999</v>
      </c>
      <c r="F37" s="700">
        <f t="shared" si="16"/>
        <v>0</v>
      </c>
      <c r="G37" s="701">
        <f t="shared" si="16"/>
        <v>109783204.17999999</v>
      </c>
      <c r="I37" s="701">
        <f t="shared" si="16"/>
        <v>0</v>
      </c>
      <c r="J37" s="701">
        <f t="shared" si="16"/>
        <v>0</v>
      </c>
      <c r="K37" s="329">
        <f>SUM(K31:K36)</f>
        <v>0</v>
      </c>
      <c r="L37" s="701">
        <f t="shared" si="16"/>
        <v>0</v>
      </c>
      <c r="M37" s="701">
        <f t="shared" ref="M37:N37" si="17">SUM(M31:M36)</f>
        <v>0</v>
      </c>
      <c r="N37" s="701">
        <f t="shared" si="17"/>
        <v>0</v>
      </c>
      <c r="O37" s="701">
        <f t="shared" si="16"/>
        <v>0</v>
      </c>
      <c r="P37" s="701">
        <f t="shared" si="16"/>
        <v>0</v>
      </c>
      <c r="Q37" s="701">
        <f t="shared" si="16"/>
        <v>0</v>
      </c>
      <c r="R37" s="702">
        <f t="shared" si="16"/>
        <v>0</v>
      </c>
      <c r="S37" s="701">
        <f t="shared" ref="S37:V37" si="18">SUM(S31:S36)</f>
        <v>0</v>
      </c>
      <c r="T37" s="701">
        <f t="shared" si="18"/>
        <v>0</v>
      </c>
      <c r="U37" s="701">
        <f t="shared" si="18"/>
        <v>0</v>
      </c>
      <c r="V37" s="701">
        <f t="shared" si="18"/>
        <v>109783204.17999999</v>
      </c>
    </row>
    <row r="38" spans="1:22">
      <c r="A38" s="509">
        <v>31</v>
      </c>
      <c r="B38" s="209"/>
      <c r="C38" s="210"/>
      <c r="D38" s="694"/>
      <c r="E38" s="695"/>
      <c r="F38" s="694"/>
      <c r="G38" s="697"/>
    </row>
    <row r="39" spans="1:22">
      <c r="A39" s="204">
        <v>32</v>
      </c>
      <c r="B39" s="213" t="s">
        <v>162</v>
      </c>
      <c r="C39" s="210"/>
      <c r="D39" s="694"/>
      <c r="E39" s="695"/>
      <c r="F39" s="694"/>
      <c r="G39" s="697"/>
    </row>
    <row r="40" spans="1:22">
      <c r="A40" s="509">
        <v>33</v>
      </c>
      <c r="B40" s="211" t="s">
        <v>163</v>
      </c>
      <c r="C40" s="212" t="s">
        <v>164</v>
      </c>
      <c r="D40" s="696"/>
      <c r="E40" s="705">
        <v>0</v>
      </c>
      <c r="F40" s="696">
        <v>0</v>
      </c>
      <c r="G40" s="706">
        <v>0</v>
      </c>
      <c r="U40" s="495">
        <f t="shared" ref="U40:U50" si="19">SUM(I40:T40)</f>
        <v>0</v>
      </c>
      <c r="V40" s="495">
        <f t="shared" ref="V40:V50" si="20">+G40+U40</f>
        <v>0</v>
      </c>
    </row>
    <row r="41" spans="1:22">
      <c r="A41" s="204">
        <v>34</v>
      </c>
      <c r="B41" s="211" t="s">
        <v>165</v>
      </c>
      <c r="C41" s="212" t="s">
        <v>166</v>
      </c>
      <c r="D41" s="696"/>
      <c r="E41" s="705">
        <v>0</v>
      </c>
      <c r="F41" s="696">
        <v>0</v>
      </c>
      <c r="G41" s="706">
        <v>0</v>
      </c>
      <c r="U41" s="495">
        <f t="shared" si="19"/>
        <v>0</v>
      </c>
      <c r="V41" s="495">
        <f t="shared" si="20"/>
        <v>0</v>
      </c>
    </row>
    <row r="42" spans="1:22">
      <c r="A42" s="509">
        <v>35</v>
      </c>
      <c r="B42" s="211" t="s">
        <v>167</v>
      </c>
      <c r="C42" s="212" t="s">
        <v>168</v>
      </c>
      <c r="D42" s="696"/>
      <c r="E42" s="705">
        <v>0</v>
      </c>
      <c r="F42" s="696">
        <v>0</v>
      </c>
      <c r="G42" s="706">
        <v>0</v>
      </c>
      <c r="U42" s="495">
        <f t="shared" si="19"/>
        <v>0</v>
      </c>
      <c r="V42" s="495">
        <f t="shared" si="20"/>
        <v>0</v>
      </c>
    </row>
    <row r="43" spans="1:22">
      <c r="A43" s="204">
        <v>36</v>
      </c>
      <c r="B43" s="211" t="s">
        <v>169</v>
      </c>
      <c r="C43" s="212" t="s">
        <v>170</v>
      </c>
      <c r="D43" s="696"/>
      <c r="E43" s="705">
        <v>0</v>
      </c>
      <c r="F43" s="696">
        <v>0</v>
      </c>
      <c r="G43" s="706">
        <v>0</v>
      </c>
      <c r="U43" s="495">
        <f t="shared" si="19"/>
        <v>0</v>
      </c>
      <c r="V43" s="495">
        <f t="shared" si="20"/>
        <v>0</v>
      </c>
    </row>
    <row r="44" spans="1:22">
      <c r="A44" s="509">
        <v>37</v>
      </c>
      <c r="B44" s="211" t="s">
        <v>171</v>
      </c>
      <c r="C44" s="212" t="s">
        <v>172</v>
      </c>
      <c r="D44" s="696"/>
      <c r="E44" s="705">
        <v>0</v>
      </c>
      <c r="F44" s="696">
        <v>0</v>
      </c>
      <c r="G44" s="706">
        <v>0</v>
      </c>
      <c r="U44" s="495">
        <f t="shared" si="19"/>
        <v>0</v>
      </c>
      <c r="V44" s="495">
        <f t="shared" si="20"/>
        <v>0</v>
      </c>
    </row>
    <row r="45" spans="1:22">
      <c r="A45" s="204">
        <v>38</v>
      </c>
      <c r="B45" s="211" t="s">
        <v>173</v>
      </c>
      <c r="C45" s="212" t="s">
        <v>174</v>
      </c>
      <c r="D45" s="696"/>
      <c r="E45" s="705">
        <v>0</v>
      </c>
      <c r="F45" s="696">
        <v>0</v>
      </c>
      <c r="G45" s="706">
        <v>0</v>
      </c>
      <c r="U45" s="495">
        <f t="shared" si="19"/>
        <v>0</v>
      </c>
      <c r="V45" s="495">
        <f t="shared" si="20"/>
        <v>0</v>
      </c>
    </row>
    <row r="46" spans="1:22">
      <c r="A46" s="509">
        <v>39</v>
      </c>
      <c r="B46" s="211" t="s">
        <v>175</v>
      </c>
      <c r="C46" s="212" t="s">
        <v>176</v>
      </c>
      <c r="D46" s="696"/>
      <c r="E46" s="713">
        <v>0</v>
      </c>
      <c r="F46" s="696">
        <v>0</v>
      </c>
      <c r="G46" s="706">
        <v>0</v>
      </c>
      <c r="U46" s="495">
        <f t="shared" si="19"/>
        <v>0</v>
      </c>
      <c r="V46" s="495">
        <f t="shared" si="20"/>
        <v>0</v>
      </c>
    </row>
    <row r="47" spans="1:22">
      <c r="A47" s="204">
        <v>40</v>
      </c>
      <c r="B47" s="211" t="s">
        <v>177</v>
      </c>
      <c r="C47" s="212" t="s">
        <v>178</v>
      </c>
      <c r="D47" s="696"/>
      <c r="E47" s="705">
        <v>0</v>
      </c>
      <c r="F47" s="696">
        <v>0</v>
      </c>
      <c r="G47" s="706">
        <v>0</v>
      </c>
      <c r="U47" s="495">
        <f t="shared" si="19"/>
        <v>0</v>
      </c>
      <c r="V47" s="495">
        <f t="shared" si="20"/>
        <v>0</v>
      </c>
    </row>
    <row r="48" spans="1:22">
      <c r="A48" s="509">
        <v>41</v>
      </c>
      <c r="B48" s="211" t="s">
        <v>179</v>
      </c>
      <c r="C48" s="212" t="s">
        <v>180</v>
      </c>
      <c r="D48" s="696"/>
      <c r="E48" s="705">
        <v>0</v>
      </c>
      <c r="F48" s="696">
        <v>0</v>
      </c>
      <c r="G48" s="706">
        <v>0</v>
      </c>
      <c r="U48" s="495">
        <f t="shared" si="19"/>
        <v>0</v>
      </c>
      <c r="V48" s="495">
        <f t="shared" si="20"/>
        <v>0</v>
      </c>
    </row>
    <row r="49" spans="1:22">
      <c r="A49" s="204">
        <v>42</v>
      </c>
      <c r="B49" s="211" t="s">
        <v>181</v>
      </c>
      <c r="C49" s="212" t="s">
        <v>182</v>
      </c>
      <c r="D49" s="696"/>
      <c r="E49" s="705">
        <v>0</v>
      </c>
      <c r="F49" s="696">
        <v>0</v>
      </c>
      <c r="G49" s="706">
        <v>0</v>
      </c>
      <c r="U49" s="495">
        <f t="shared" si="19"/>
        <v>0</v>
      </c>
      <c r="V49" s="495">
        <f t="shared" si="20"/>
        <v>0</v>
      </c>
    </row>
    <row r="50" spans="1:22">
      <c r="A50" s="509">
        <v>43</v>
      </c>
      <c r="B50" s="211" t="s">
        <v>183</v>
      </c>
      <c r="C50" s="212" t="s">
        <v>184</v>
      </c>
      <c r="D50" s="696"/>
      <c r="E50" s="705">
        <v>0</v>
      </c>
      <c r="F50" s="696">
        <v>0</v>
      </c>
      <c r="G50" s="706">
        <v>0</v>
      </c>
      <c r="U50" s="495">
        <f t="shared" si="19"/>
        <v>0</v>
      </c>
      <c r="V50" s="495">
        <f t="shared" si="20"/>
        <v>0</v>
      </c>
    </row>
    <row r="51" spans="1:22">
      <c r="A51" s="204">
        <v>44</v>
      </c>
      <c r="B51" s="213" t="s">
        <v>185</v>
      </c>
      <c r="C51" s="714"/>
      <c r="D51" s="700"/>
      <c r="E51" s="715">
        <f t="shared" ref="E51:G51" si="21">SUM(E40:E50)</f>
        <v>0</v>
      </c>
      <c r="F51" s="700">
        <f t="shared" si="21"/>
        <v>0</v>
      </c>
      <c r="G51" s="329">
        <f t="shared" si="21"/>
        <v>0</v>
      </c>
      <c r="I51" s="701">
        <f t="shared" ref="I51:R51" si="22">SUM(I40:I50)</f>
        <v>0</v>
      </c>
      <c r="J51" s="701">
        <f t="shared" si="22"/>
        <v>0</v>
      </c>
      <c r="K51" s="329">
        <f>SUM(K40:K50)</f>
        <v>0</v>
      </c>
      <c r="L51" s="701">
        <f t="shared" si="22"/>
        <v>0</v>
      </c>
      <c r="M51" s="701">
        <f t="shared" ref="M51:N51" si="23">SUM(M40:M50)</f>
        <v>0</v>
      </c>
      <c r="N51" s="701">
        <f t="shared" si="23"/>
        <v>0</v>
      </c>
      <c r="O51" s="701">
        <f t="shared" si="22"/>
        <v>0</v>
      </c>
      <c r="P51" s="701">
        <f t="shared" si="22"/>
        <v>0</v>
      </c>
      <c r="Q51" s="701">
        <f t="shared" si="22"/>
        <v>0</v>
      </c>
      <c r="R51" s="702">
        <f t="shared" si="22"/>
        <v>0</v>
      </c>
      <c r="S51" s="329">
        <f t="shared" ref="S51:V51" si="24">SUM(S40:S50)</f>
        <v>0</v>
      </c>
      <c r="T51" s="329">
        <f t="shared" si="24"/>
        <v>0</v>
      </c>
      <c r="U51" s="329">
        <f t="shared" si="24"/>
        <v>0</v>
      </c>
      <c r="V51" s="329">
        <f t="shared" si="24"/>
        <v>0</v>
      </c>
    </row>
    <row r="52" spans="1:22">
      <c r="A52" s="509">
        <v>45</v>
      </c>
      <c r="B52" s="209"/>
      <c r="C52" s="210"/>
      <c r="D52" s="694"/>
      <c r="E52" s="695"/>
      <c r="F52" s="694"/>
      <c r="G52" s="697"/>
      <c r="I52" s="697"/>
      <c r="J52" s="697"/>
      <c r="K52" s="706"/>
      <c r="L52" s="697"/>
      <c r="M52" s="697"/>
      <c r="N52" s="697"/>
      <c r="O52" s="697"/>
      <c r="P52" s="697"/>
      <c r="Q52" s="697"/>
      <c r="R52" s="716"/>
      <c r="S52" s="697"/>
      <c r="T52" s="697"/>
      <c r="U52" s="697"/>
      <c r="V52" s="697"/>
    </row>
    <row r="53" spans="1:22">
      <c r="A53" s="204">
        <v>46</v>
      </c>
      <c r="B53" s="211" t="s">
        <v>186</v>
      </c>
      <c r="C53" s="212" t="s">
        <v>33</v>
      </c>
      <c r="D53" s="492"/>
      <c r="E53" s="717">
        <v>19055890.390000001</v>
      </c>
      <c r="F53" s="718">
        <v>0</v>
      </c>
      <c r="G53" s="719">
        <f>SUM(E53:F53)</f>
        <v>19055890.390000001</v>
      </c>
      <c r="I53" s="804">
        <f>+I28*(+'Exh MCP-4 - Conversion Factor'!C9+'Exh MCP-4 - Conversion Factor'!C10)</f>
        <v>27729.71369496944</v>
      </c>
      <c r="J53" s="804">
        <f>+J28*(+'Exh MCP-4 - Conversion Factor'!B9+'Exh MCP-4 - Conversion Factor'!B10)</f>
        <v>0</v>
      </c>
      <c r="K53" s="804">
        <f>+K28*(+'Exh MCP-4 - Conversion Factor'!C9+'Exh MCP-4 - Conversion Factor'!C10)</f>
        <v>110772.42766320023</v>
      </c>
      <c r="L53" s="804">
        <f>+L28*(+'Exh MCP-4 - Conversion Factor'!C9+'Exh MCP-4 - Conversion Factor'!C10)</f>
        <v>27509.433199999999</v>
      </c>
      <c r="M53" s="719">
        <f>+'Exh MCP-5 - Summary of Adj'!K23</f>
        <v>0</v>
      </c>
      <c r="N53" s="719">
        <f>+'Exh MCP-5 - Summary of Adj'!L23</f>
        <v>0</v>
      </c>
      <c r="O53" s="719"/>
      <c r="P53" s="719">
        <f>+'Exh MCP-5 - Summary of Adj'!M23</f>
        <v>0</v>
      </c>
      <c r="Q53" s="719">
        <f>+'Exh MCP-5 - Summary of Adj'!O23</f>
        <v>0</v>
      </c>
      <c r="R53" s="720">
        <v>0</v>
      </c>
      <c r="S53" s="719"/>
      <c r="T53" s="719"/>
      <c r="U53" s="809">
        <f>SUM(I53:T53)</f>
        <v>166011.57455816967</v>
      </c>
      <c r="V53" s="810">
        <f>+G53+U53</f>
        <v>19221901.964558169</v>
      </c>
    </row>
    <row r="54" spans="1:22" ht="16.5" thickBot="1">
      <c r="A54" s="509">
        <v>47</v>
      </c>
      <c r="B54" s="213" t="s">
        <v>187</v>
      </c>
      <c r="C54" s="210"/>
      <c r="D54" s="709"/>
      <c r="E54" s="710">
        <f t="shared" ref="E54:G54" si="25">E28-E37-E53</f>
        <v>95517796.74000001</v>
      </c>
      <c r="F54" s="721">
        <f t="shared" si="25"/>
        <v>127749.59</v>
      </c>
      <c r="G54" s="711">
        <f t="shared" si="25"/>
        <v>95645546.330000013</v>
      </c>
      <c r="I54" s="711">
        <f t="shared" ref="I54:R54" si="26">I28-I37-I53</f>
        <v>656616.62625985383</v>
      </c>
      <c r="J54" s="711">
        <f t="shared" si="26"/>
        <v>0</v>
      </c>
      <c r="K54" s="803">
        <f>K28-K37-K53</f>
        <v>2622999.2323368057</v>
      </c>
      <c r="L54" s="711">
        <f>L28-L37-L53</f>
        <v>651400.56680000003</v>
      </c>
      <c r="M54" s="711">
        <f t="shared" ref="M54:N54" si="27">M28-M37-M53</f>
        <v>0</v>
      </c>
      <c r="N54" s="711">
        <f t="shared" si="27"/>
        <v>0</v>
      </c>
      <c r="O54" s="711">
        <f t="shared" si="26"/>
        <v>0</v>
      </c>
      <c r="P54" s="711">
        <f t="shared" si="26"/>
        <v>0</v>
      </c>
      <c r="Q54" s="711">
        <f t="shared" si="26"/>
        <v>0</v>
      </c>
      <c r="R54" s="712">
        <f t="shared" si="26"/>
        <v>0</v>
      </c>
      <c r="S54" s="711">
        <f t="shared" ref="S54:V54" si="28">S28-S37-S53</f>
        <v>0</v>
      </c>
      <c r="T54" s="711">
        <f t="shared" si="28"/>
        <v>0</v>
      </c>
      <c r="U54" s="711">
        <f t="shared" si="28"/>
        <v>3931016.4253966594</v>
      </c>
      <c r="V54" s="711">
        <f t="shared" si="28"/>
        <v>102001287.83539665</v>
      </c>
    </row>
    <row r="55" spans="1:22" ht="16.5" thickTop="1">
      <c r="A55" s="204">
        <v>48</v>
      </c>
      <c r="B55" s="209"/>
      <c r="C55" s="210"/>
      <c r="D55" s="694"/>
      <c r="E55" s="695"/>
      <c r="F55" s="694"/>
      <c r="G55" s="697"/>
    </row>
    <row r="56" spans="1:22">
      <c r="A56" s="509">
        <v>49</v>
      </c>
      <c r="B56" s="213" t="s">
        <v>188</v>
      </c>
      <c r="C56" s="210"/>
      <c r="D56" s="694"/>
      <c r="E56" s="695"/>
      <c r="F56" s="694"/>
      <c r="G56" s="697"/>
    </row>
    <row r="57" spans="1:22">
      <c r="A57" s="204">
        <v>50</v>
      </c>
      <c r="B57" s="722">
        <v>813</v>
      </c>
      <c r="C57" s="212" t="s">
        <v>189</v>
      </c>
      <c r="D57" s="694"/>
      <c r="E57" s="705">
        <v>4324.07</v>
      </c>
      <c r="F57" s="696">
        <v>237308.72</v>
      </c>
      <c r="G57" s="697">
        <f>SUM(E57:F57)</f>
        <v>241632.79</v>
      </c>
      <c r="M57" s="479"/>
      <c r="P57" s="488">
        <f>+'Restate &amp; Pro Forma Wage Adjust'!Q20</f>
        <v>7721.3045280000006</v>
      </c>
      <c r="U57" s="495">
        <f>SUM(I57:T57)</f>
        <v>7721.3045280000006</v>
      </c>
      <c r="V57" s="495">
        <f>+G57+U57</f>
        <v>249354.09452800002</v>
      </c>
    </row>
    <row r="58" spans="1:22">
      <c r="A58" s="509">
        <v>51</v>
      </c>
      <c r="B58" s="722"/>
      <c r="C58" s="212"/>
      <c r="D58" s="694"/>
      <c r="E58" s="705"/>
      <c r="F58" s="696"/>
      <c r="G58" s="697"/>
    </row>
    <row r="59" spans="1:22">
      <c r="A59" s="204">
        <v>52</v>
      </c>
      <c r="B59" s="213" t="s">
        <v>190</v>
      </c>
      <c r="C59" s="210"/>
      <c r="D59" s="694"/>
      <c r="E59" s="695"/>
      <c r="F59" s="694"/>
      <c r="G59" s="697"/>
    </row>
    <row r="60" spans="1:22">
      <c r="A60" s="509">
        <v>53</v>
      </c>
      <c r="B60" s="213" t="s">
        <v>191</v>
      </c>
      <c r="C60" s="210"/>
      <c r="D60" s="694"/>
      <c r="E60" s="695"/>
      <c r="F60" s="694"/>
      <c r="G60" s="697"/>
    </row>
    <row r="61" spans="1:22">
      <c r="A61" s="204">
        <v>54</v>
      </c>
      <c r="B61" s="211" t="s">
        <v>192</v>
      </c>
      <c r="C61" s="212" t="s">
        <v>193</v>
      </c>
      <c r="D61" s="694"/>
      <c r="E61" s="705">
        <v>1422944.92</v>
      </c>
      <c r="F61" s="696">
        <v>870165.97</v>
      </c>
      <c r="G61" s="697">
        <f t="shared" ref="G61:G71" si="29">SUM(E61:F61)</f>
        <v>2293110.8899999997</v>
      </c>
      <c r="M61" s="479">
        <f>+'Restate &amp; Pro Forma Wage Adjust'!P41</f>
        <v>0</v>
      </c>
      <c r="P61" s="479">
        <f>+'Restate &amp; Pro Forma Wage Adjust'!Q21+'Restate &amp; Pro Forma Wage Adjust'!Q41</f>
        <v>137177.66743199999</v>
      </c>
      <c r="R61" s="678">
        <f>'MAOP UG-160787 Deferral'!D15</f>
        <v>859550.71099999989</v>
      </c>
      <c r="U61" s="495">
        <f t="shared" ref="U61:U71" si="30">SUM(I61:T61)</f>
        <v>996728.37843199982</v>
      </c>
      <c r="V61" s="495">
        <f t="shared" ref="V61:V71" si="31">+G61+U61</f>
        <v>3289839.2684319997</v>
      </c>
    </row>
    <row r="62" spans="1:22">
      <c r="A62" s="509">
        <v>55</v>
      </c>
      <c r="B62" s="211" t="s">
        <v>194</v>
      </c>
      <c r="C62" s="212" t="s">
        <v>195</v>
      </c>
      <c r="D62" s="694"/>
      <c r="E62" s="705">
        <v>72169.509999999995</v>
      </c>
      <c r="F62" s="696">
        <v>221099.6</v>
      </c>
      <c r="G62" s="697">
        <f t="shared" si="29"/>
        <v>293269.11</v>
      </c>
      <c r="M62" s="479">
        <f>+'Restate &amp; Pro Forma Wage Adjust'!P22+'Restate &amp; Pro Forma Wage Adjust'!P42</f>
        <v>452.54039999999998</v>
      </c>
      <c r="P62" s="479">
        <f>+'Restate &amp; Pro Forma Wage Adjust'!Q22+'Restate &amp; Pro Forma Wage Adjust'!Q42</f>
        <v>19520.693301359999</v>
      </c>
      <c r="U62" s="495">
        <f t="shared" si="30"/>
        <v>19973.233701360001</v>
      </c>
      <c r="V62" s="495">
        <f t="shared" si="31"/>
        <v>313242.34370135999</v>
      </c>
    </row>
    <row r="63" spans="1:22">
      <c r="A63" s="204">
        <v>56</v>
      </c>
      <c r="B63" s="704" t="s">
        <v>196</v>
      </c>
      <c r="C63" s="212" t="s">
        <v>197</v>
      </c>
      <c r="D63" s="696"/>
      <c r="E63" s="705">
        <v>70483.679999999993</v>
      </c>
      <c r="F63" s="696">
        <v>0</v>
      </c>
      <c r="G63" s="697">
        <f t="shared" si="29"/>
        <v>70483.679999999993</v>
      </c>
      <c r="M63" s="479">
        <f>+'Restate &amp; Pro Forma Wage Adjust'!P43</f>
        <v>206.11829999999995</v>
      </c>
      <c r="P63" s="479">
        <f>+'Restate &amp; Pro Forma Wage Adjust'!Q43</f>
        <v>1525.9096874699999</v>
      </c>
      <c r="U63" s="495">
        <f t="shared" si="30"/>
        <v>1732.0279874699997</v>
      </c>
      <c r="V63" s="495">
        <f t="shared" si="31"/>
        <v>72215.707987469999</v>
      </c>
    </row>
    <row r="64" spans="1:22">
      <c r="A64" s="509">
        <v>57</v>
      </c>
      <c r="B64" s="704" t="s">
        <v>198</v>
      </c>
      <c r="C64" s="212" t="s">
        <v>199</v>
      </c>
      <c r="D64" s="694"/>
      <c r="E64" s="705">
        <v>3213167.75</v>
      </c>
      <c r="F64" s="696">
        <v>794381.18</v>
      </c>
      <c r="G64" s="697">
        <f t="shared" si="29"/>
        <v>4007548.93</v>
      </c>
      <c r="M64" s="479">
        <f>+'Restate &amp; Pro Forma Wage Adjust'!P44</f>
        <v>12471.626099999918</v>
      </c>
      <c r="P64" s="479">
        <f>+'Restate &amp; Pro Forma Wage Adjust'!Q23+'Restate &amp; Pro Forma Wage Adjust'!Q44</f>
        <v>144026.07362049</v>
      </c>
      <c r="S64" s="479"/>
      <c r="U64" s="495">
        <f t="shared" si="30"/>
        <v>156497.69972048991</v>
      </c>
      <c r="V64" s="495">
        <f t="shared" si="31"/>
        <v>4164046.62972049</v>
      </c>
    </row>
    <row r="65" spans="1:22">
      <c r="A65" s="204">
        <v>58</v>
      </c>
      <c r="B65" s="211" t="s">
        <v>200</v>
      </c>
      <c r="C65" s="212" t="s">
        <v>201</v>
      </c>
      <c r="D65" s="694"/>
      <c r="E65" s="705">
        <v>392384.81</v>
      </c>
      <c r="F65" s="696">
        <v>75806.98</v>
      </c>
      <c r="G65" s="697">
        <f t="shared" si="29"/>
        <v>468191.79</v>
      </c>
      <c r="M65" s="479">
        <f>+'Restate &amp; Pro Forma Wage Adjust'!P45</f>
        <v>1971.2790000000018</v>
      </c>
      <c r="P65" s="479">
        <f>+'Restate &amp; Pro Forma Wage Adjust'!Q45</f>
        <v>14011.659398100001</v>
      </c>
      <c r="U65" s="495">
        <f t="shared" si="30"/>
        <v>15982.938398100003</v>
      </c>
      <c r="V65" s="495">
        <f t="shared" si="31"/>
        <v>484174.72839810001</v>
      </c>
    </row>
    <row r="66" spans="1:22">
      <c r="A66" s="509">
        <v>59</v>
      </c>
      <c r="B66" s="211" t="s">
        <v>202</v>
      </c>
      <c r="C66" s="212" t="s">
        <v>203</v>
      </c>
      <c r="D66" s="694"/>
      <c r="E66" s="705">
        <v>163568.1</v>
      </c>
      <c r="F66" s="696">
        <v>16.329999999999998</v>
      </c>
      <c r="G66" s="697">
        <f t="shared" si="29"/>
        <v>163584.43</v>
      </c>
      <c r="M66" s="479">
        <f>+'Restate &amp; Pro Forma Wage Adjust'!P46</f>
        <v>877.34369999999979</v>
      </c>
      <c r="P66" s="479">
        <f>+'Restate &amp; Pro Forma Wage Adjust'!Q46</f>
        <v>5810.8894353300002</v>
      </c>
      <c r="U66" s="495">
        <f t="shared" si="30"/>
        <v>6688.2331353299996</v>
      </c>
      <c r="V66" s="495">
        <f t="shared" si="31"/>
        <v>170272.66313532999</v>
      </c>
    </row>
    <row r="67" spans="1:22">
      <c r="A67" s="204">
        <v>60</v>
      </c>
      <c r="B67" s="211" t="s">
        <v>204</v>
      </c>
      <c r="C67" s="212" t="s">
        <v>205</v>
      </c>
      <c r="D67" s="694"/>
      <c r="E67" s="705">
        <v>1065519.68</v>
      </c>
      <c r="F67" s="696">
        <v>66.900000000000006</v>
      </c>
      <c r="G67" s="697">
        <f t="shared" si="29"/>
        <v>1065586.5799999998</v>
      </c>
      <c r="M67" s="479">
        <f>+'Restate &amp; Pro Forma Wage Adjust'!P47</f>
        <v>6216.323400000022</v>
      </c>
      <c r="P67" s="479">
        <f>+'Restate &amp; Pro Forma Wage Adjust'!Q47</f>
        <v>54606.542442059996</v>
      </c>
      <c r="U67" s="495">
        <f t="shared" si="30"/>
        <v>60822.865842060019</v>
      </c>
      <c r="V67" s="495">
        <f t="shared" si="31"/>
        <v>1126409.4458420598</v>
      </c>
    </row>
    <row r="68" spans="1:22">
      <c r="A68" s="509">
        <v>61</v>
      </c>
      <c r="B68" s="211" t="s">
        <v>206</v>
      </c>
      <c r="C68" s="212" t="s">
        <v>207</v>
      </c>
      <c r="D68" s="694"/>
      <c r="E68" s="705">
        <v>763031.1</v>
      </c>
      <c r="F68" s="696">
        <v>14.97</v>
      </c>
      <c r="G68" s="697">
        <f t="shared" si="29"/>
        <v>763046.07</v>
      </c>
      <c r="M68" s="479">
        <f>+'Restate &amp; Pro Forma Wage Adjust'!P48</f>
        <v>6338.3286000000562</v>
      </c>
      <c r="P68" s="479">
        <f>+'Restate &amp; Pro Forma Wage Adjust'!Q48</f>
        <v>42731.892313739998</v>
      </c>
      <c r="U68" s="495">
        <f t="shared" si="30"/>
        <v>49070.220913740057</v>
      </c>
      <c r="V68" s="495">
        <f t="shared" si="31"/>
        <v>812116.29091374006</v>
      </c>
    </row>
    <row r="69" spans="1:22">
      <c r="A69" s="204">
        <v>62</v>
      </c>
      <c r="B69" s="211" t="s">
        <v>208</v>
      </c>
      <c r="C69" s="212" t="s">
        <v>209</v>
      </c>
      <c r="D69" s="694"/>
      <c r="E69" s="705">
        <v>3356742.15</v>
      </c>
      <c r="F69" s="696">
        <v>821402.8</v>
      </c>
      <c r="G69" s="697">
        <f t="shared" si="29"/>
        <v>4178144.95</v>
      </c>
      <c r="M69" s="479">
        <f>+'Restate &amp; Pro Forma Wage Adjust'!P49</f>
        <v>20512.900200000036</v>
      </c>
      <c r="P69" s="479">
        <f>+'Restate &amp; Pro Forma Wage Adjust'!Q24+'Restate &amp; Pro Forma Wage Adjust'!Q49</f>
        <v>177401.42349617995</v>
      </c>
      <c r="U69" s="495">
        <f t="shared" si="30"/>
        <v>197914.32369617998</v>
      </c>
      <c r="V69" s="495">
        <f t="shared" si="31"/>
        <v>4376059.2736961804</v>
      </c>
    </row>
    <row r="70" spans="1:22">
      <c r="A70" s="509">
        <v>63</v>
      </c>
      <c r="B70" s="211" t="s">
        <v>210</v>
      </c>
      <c r="C70" s="212" t="s">
        <v>211</v>
      </c>
      <c r="D70" s="694"/>
      <c r="E70" s="705">
        <v>117557.99</v>
      </c>
      <c r="F70" s="696">
        <v>3040.22</v>
      </c>
      <c r="G70" s="697">
        <f t="shared" si="29"/>
        <v>120598.21</v>
      </c>
      <c r="U70" s="495">
        <f t="shared" si="30"/>
        <v>0</v>
      </c>
      <c r="V70" s="495">
        <f t="shared" si="31"/>
        <v>120598.21</v>
      </c>
    </row>
    <row r="71" spans="1:22">
      <c r="A71" s="204">
        <v>64</v>
      </c>
      <c r="B71" s="211" t="s">
        <v>212</v>
      </c>
      <c r="C71" s="212" t="s">
        <v>213</v>
      </c>
      <c r="D71" s="696"/>
      <c r="E71" s="705">
        <v>0</v>
      </c>
      <c r="F71" s="696">
        <v>0</v>
      </c>
      <c r="G71" s="697">
        <f t="shared" si="29"/>
        <v>0</v>
      </c>
      <c r="U71" s="495">
        <f t="shared" si="30"/>
        <v>0</v>
      </c>
      <c r="V71" s="495">
        <f t="shared" si="31"/>
        <v>0</v>
      </c>
    </row>
    <row r="72" spans="1:22">
      <c r="A72" s="509">
        <v>65</v>
      </c>
      <c r="B72" s="209"/>
      <c r="C72" s="723" t="s">
        <v>214</v>
      </c>
      <c r="D72" s="698"/>
      <c r="E72" s="699">
        <f t="shared" ref="E72:R72" si="32">SUM(E61:E71)</f>
        <v>10637569.689999998</v>
      </c>
      <c r="F72" s="698">
        <f t="shared" si="32"/>
        <v>2785994.95</v>
      </c>
      <c r="G72" s="701">
        <f t="shared" si="32"/>
        <v>13423564.640000001</v>
      </c>
      <c r="I72" s="701">
        <f t="shared" si="32"/>
        <v>0</v>
      </c>
      <c r="J72" s="701">
        <f t="shared" si="32"/>
        <v>0</v>
      </c>
      <c r="K72" s="329">
        <f>SUM(K61:K71)</f>
        <v>0</v>
      </c>
      <c r="L72" s="701">
        <f t="shared" si="32"/>
        <v>0</v>
      </c>
      <c r="M72" s="701">
        <f t="shared" ref="M72:N72" si="33">SUM(M61:M71)</f>
        <v>49046.459700000036</v>
      </c>
      <c r="N72" s="701">
        <f t="shared" si="33"/>
        <v>0</v>
      </c>
      <c r="O72" s="701">
        <f t="shared" si="32"/>
        <v>0</v>
      </c>
      <c r="P72" s="701">
        <f t="shared" si="32"/>
        <v>596812.75112673</v>
      </c>
      <c r="Q72" s="701">
        <f t="shared" si="32"/>
        <v>0</v>
      </c>
      <c r="R72" s="702">
        <f t="shared" si="32"/>
        <v>859550.71099999989</v>
      </c>
      <c r="S72" s="701">
        <f t="shared" ref="S72:V72" si="34">SUM(S61:S71)</f>
        <v>0</v>
      </c>
      <c r="T72" s="701">
        <f t="shared" si="34"/>
        <v>0</v>
      </c>
      <c r="U72" s="701">
        <f t="shared" si="34"/>
        <v>1505409.9218267298</v>
      </c>
      <c r="V72" s="701">
        <f t="shared" si="34"/>
        <v>14928974.56182673</v>
      </c>
    </row>
    <row r="73" spans="1:22">
      <c r="A73" s="204">
        <v>66</v>
      </c>
      <c r="B73" s="209"/>
      <c r="C73" s="210"/>
      <c r="D73" s="694"/>
      <c r="E73" s="695"/>
      <c r="F73" s="694"/>
      <c r="G73" s="697"/>
    </row>
    <row r="74" spans="1:22">
      <c r="A74" s="509">
        <v>67</v>
      </c>
      <c r="B74" s="213" t="s">
        <v>215</v>
      </c>
      <c r="C74" s="210"/>
      <c r="D74" s="694"/>
      <c r="E74" s="695"/>
      <c r="F74" s="694"/>
      <c r="G74" s="697"/>
    </row>
    <row r="75" spans="1:22">
      <c r="A75" s="204">
        <v>68</v>
      </c>
      <c r="B75" s="211" t="s">
        <v>216</v>
      </c>
      <c r="C75" s="212" t="s">
        <v>217</v>
      </c>
      <c r="D75" s="696"/>
      <c r="E75" s="705">
        <v>864741.97</v>
      </c>
      <c r="F75" s="696">
        <v>120405.03</v>
      </c>
      <c r="G75" s="706">
        <f t="shared" ref="G75:G83" si="35">SUM(E75:F75)</f>
        <v>985147</v>
      </c>
      <c r="M75" s="479"/>
      <c r="P75" s="479">
        <f>+'Restate &amp; Pro Forma Wage Adjust'!Q25</f>
        <v>66753.316560000007</v>
      </c>
      <c r="U75" s="495">
        <f t="shared" ref="U75:U83" si="36">SUM(I75:T75)</f>
        <v>66753.316560000007</v>
      </c>
      <c r="V75" s="495">
        <f t="shared" ref="V75:V83" si="37">+G75+U75</f>
        <v>1051900.3165599999</v>
      </c>
    </row>
    <row r="76" spans="1:22">
      <c r="A76" s="509">
        <v>69</v>
      </c>
      <c r="B76" s="211" t="s">
        <v>218</v>
      </c>
      <c r="C76" s="212" t="s">
        <v>219</v>
      </c>
      <c r="D76" s="694"/>
      <c r="E76" s="705">
        <v>20064.63</v>
      </c>
      <c r="F76" s="696">
        <v>1313.54</v>
      </c>
      <c r="G76" s="697">
        <f t="shared" si="35"/>
        <v>21378.170000000002</v>
      </c>
      <c r="M76" s="479"/>
      <c r="U76" s="495">
        <f t="shared" si="36"/>
        <v>0</v>
      </c>
      <c r="V76" s="495">
        <f t="shared" si="37"/>
        <v>21378.170000000002</v>
      </c>
    </row>
    <row r="77" spans="1:22">
      <c r="A77" s="204">
        <v>70</v>
      </c>
      <c r="B77" s="211" t="s">
        <v>220</v>
      </c>
      <c r="C77" s="212" t="s">
        <v>221</v>
      </c>
      <c r="D77" s="694"/>
      <c r="E77" s="705">
        <v>1294763.6100000001</v>
      </c>
      <c r="F77" s="696">
        <v>140327.07999999999</v>
      </c>
      <c r="G77" s="697">
        <f t="shared" si="35"/>
        <v>1435090.6900000002</v>
      </c>
      <c r="M77" s="479">
        <f>+'Restate &amp; Pro Forma Wage Adjust'!P50</f>
        <v>4014.6419999999885</v>
      </c>
      <c r="P77" s="479">
        <f>+'Restate &amp; Pro Forma Wage Adjust'!Q26+'Restate &amp; Pro Forma Wage Adjust'!Q50</f>
        <v>29758.176730799998</v>
      </c>
      <c r="U77" s="495">
        <f t="shared" si="36"/>
        <v>33772.818730799983</v>
      </c>
      <c r="V77" s="495">
        <f t="shared" si="37"/>
        <v>1468863.5087308001</v>
      </c>
    </row>
    <row r="78" spans="1:22">
      <c r="A78" s="509">
        <v>71</v>
      </c>
      <c r="B78" s="704" t="s">
        <v>222</v>
      </c>
      <c r="C78" s="212" t="s">
        <v>197</v>
      </c>
      <c r="D78" s="696"/>
      <c r="E78" s="705">
        <v>56405.67</v>
      </c>
      <c r="F78" s="696">
        <v>0</v>
      </c>
      <c r="G78" s="706">
        <f t="shared" si="35"/>
        <v>56405.67</v>
      </c>
      <c r="M78" s="479">
        <f>+'Restate &amp; Pro Forma Wage Adjust'!P51</f>
        <v>329.91390000000018</v>
      </c>
      <c r="P78" s="479">
        <f>+'Restate &amp; Pro Forma Wage Adjust'!Q51</f>
        <v>2564.1460175100001</v>
      </c>
      <c r="U78" s="495">
        <f t="shared" si="36"/>
        <v>2894.0599175100001</v>
      </c>
      <c r="V78" s="495">
        <f t="shared" si="37"/>
        <v>59299.729917509998</v>
      </c>
    </row>
    <row r="79" spans="1:22">
      <c r="A79" s="204">
        <v>72</v>
      </c>
      <c r="B79" s="211" t="s">
        <v>223</v>
      </c>
      <c r="C79" s="212" t="s">
        <v>224</v>
      </c>
      <c r="D79" s="694"/>
      <c r="E79" s="705">
        <v>419880.48</v>
      </c>
      <c r="F79" s="694">
        <v>49673.88</v>
      </c>
      <c r="G79" s="697">
        <f t="shared" si="35"/>
        <v>469554.36</v>
      </c>
      <c r="M79" s="479">
        <f>+'Restate &amp; Pro Forma Wage Adjust'!P52</f>
        <v>1627.9047000000021</v>
      </c>
      <c r="P79" s="479">
        <f>+'Restate &amp; Pro Forma Wage Adjust'!Q27+'Restate &amp; Pro Forma Wage Adjust'!Q52</f>
        <v>14759.55783423</v>
      </c>
      <c r="U79" s="495">
        <f t="shared" si="36"/>
        <v>16387.462534230002</v>
      </c>
      <c r="V79" s="495">
        <f t="shared" si="37"/>
        <v>485941.82253423001</v>
      </c>
    </row>
    <row r="80" spans="1:22">
      <c r="A80" s="509">
        <v>73</v>
      </c>
      <c r="B80" s="211" t="s">
        <v>225</v>
      </c>
      <c r="C80" s="212" t="s">
        <v>226</v>
      </c>
      <c r="D80" s="694"/>
      <c r="E80" s="705">
        <v>42498.3</v>
      </c>
      <c r="F80" s="694">
        <v>14.97</v>
      </c>
      <c r="G80" s="697">
        <f t="shared" si="35"/>
        <v>42513.270000000004</v>
      </c>
      <c r="M80" s="479">
        <f>+'Restate &amp; Pro Forma Wage Adjust'!P53</f>
        <v>57.839699999999993</v>
      </c>
      <c r="P80" s="479">
        <f>+'Restate &amp; Pro Forma Wage Adjust'!Q28+'Restate &amp; Pro Forma Wage Adjust'!Q53</f>
        <v>676.45883073000005</v>
      </c>
      <c r="U80" s="495">
        <f t="shared" si="36"/>
        <v>734.29853073000004</v>
      </c>
      <c r="V80" s="495">
        <f t="shared" si="37"/>
        <v>43247.568530730001</v>
      </c>
    </row>
    <row r="81" spans="1:22">
      <c r="A81" s="204">
        <v>74</v>
      </c>
      <c r="B81" s="211" t="s">
        <v>227</v>
      </c>
      <c r="C81" s="212" t="s">
        <v>107</v>
      </c>
      <c r="D81" s="694"/>
      <c r="E81" s="705">
        <v>1365335.65</v>
      </c>
      <c r="F81" s="694">
        <v>770.83</v>
      </c>
      <c r="G81" s="697">
        <f t="shared" si="35"/>
        <v>1366106.48</v>
      </c>
      <c r="M81" s="479">
        <f>+'Restate &amp; Pro Forma Wage Adjust'!P29+'Restate &amp; Pro Forma Wage Adjust'!P54</f>
        <v>7042.7912999999853</v>
      </c>
      <c r="P81" s="479">
        <f>+'Restate &amp; Pro Forma Wage Adjust'!Q29+'Restate &amp; Pro Forma Wage Adjust'!Q54</f>
        <v>52694.24722017</v>
      </c>
      <c r="U81" s="495">
        <f t="shared" si="36"/>
        <v>59737.038520169983</v>
      </c>
      <c r="V81" s="495">
        <f t="shared" si="37"/>
        <v>1425843.5185201699</v>
      </c>
    </row>
    <row r="82" spans="1:22">
      <c r="A82" s="509">
        <v>75</v>
      </c>
      <c r="B82" s="211" t="s">
        <v>228</v>
      </c>
      <c r="C82" s="212" t="s">
        <v>229</v>
      </c>
      <c r="D82" s="694"/>
      <c r="E82" s="705">
        <v>807896.6</v>
      </c>
      <c r="F82" s="694">
        <v>207667.28</v>
      </c>
      <c r="G82" s="697">
        <f t="shared" si="35"/>
        <v>1015563.88</v>
      </c>
      <c r="M82" s="479">
        <f>+'Restate &amp; Pro Forma Wage Adjust'!P30+'Restate &amp; Pro Forma Wage Adjust'!P55</f>
        <v>6819.2813999999662</v>
      </c>
      <c r="P82" s="479">
        <f>+'Restate &amp; Pro Forma Wage Adjust'!Q30+'Restate &amp; Pro Forma Wage Adjust'!Q55</f>
        <v>48974.115265259999</v>
      </c>
      <c r="U82" s="495">
        <f t="shared" si="36"/>
        <v>55793.396665259963</v>
      </c>
      <c r="V82" s="495">
        <f t="shared" si="37"/>
        <v>1071357.2766652601</v>
      </c>
    </row>
    <row r="83" spans="1:22">
      <c r="A83" s="204">
        <v>76</v>
      </c>
      <c r="B83" s="211" t="s">
        <v>230</v>
      </c>
      <c r="C83" s="212" t="s">
        <v>231</v>
      </c>
      <c r="D83" s="694"/>
      <c r="E83" s="705">
        <v>757735.88</v>
      </c>
      <c r="F83" s="694">
        <v>87988.63</v>
      </c>
      <c r="G83" s="697">
        <f t="shared" si="35"/>
        <v>845724.51</v>
      </c>
      <c r="M83" s="479">
        <f>+'Restate &amp; Pro Forma Wage Adjust'!P56</f>
        <v>5611.5570000000143</v>
      </c>
      <c r="P83" s="479">
        <f>+'Restate &amp; Pro Forma Wage Adjust'!Q31+'Restate &amp; Pro Forma Wage Adjust'!Q56</f>
        <v>43291.204506300004</v>
      </c>
      <c r="U83" s="495">
        <f t="shared" si="36"/>
        <v>48902.761506300019</v>
      </c>
      <c r="V83" s="812">
        <f t="shared" si="37"/>
        <v>894627.27150630008</v>
      </c>
    </row>
    <row r="84" spans="1:22">
      <c r="A84" s="509">
        <v>77</v>
      </c>
      <c r="B84" s="209"/>
      <c r="C84" s="723" t="s">
        <v>232</v>
      </c>
      <c r="D84" s="698"/>
      <c r="E84" s="699">
        <f t="shared" ref="E84:G84" si="38">SUM(E75:E83)</f>
        <v>5629322.7899999991</v>
      </c>
      <c r="F84" s="698">
        <f t="shared" si="38"/>
        <v>608161.24</v>
      </c>
      <c r="G84" s="701">
        <f t="shared" si="38"/>
        <v>6237484.0300000003</v>
      </c>
      <c r="I84" s="701">
        <f t="shared" ref="I84:Q84" si="39">SUM(I75:I83)</f>
        <v>0</v>
      </c>
      <c r="J84" s="701">
        <f t="shared" si="39"/>
        <v>0</v>
      </c>
      <c r="K84" s="329">
        <f>SUM(K75:K83)</f>
        <v>0</v>
      </c>
      <c r="L84" s="701">
        <f>SUM(L75:L83)</f>
        <v>0</v>
      </c>
      <c r="M84" s="701">
        <f t="shared" ref="M84:N84" si="40">SUM(M75:M83)</f>
        <v>25503.929999999957</v>
      </c>
      <c r="N84" s="701">
        <f t="shared" si="40"/>
        <v>0</v>
      </c>
      <c r="O84" s="701">
        <f t="shared" si="39"/>
        <v>0</v>
      </c>
      <c r="P84" s="701">
        <f t="shared" si="39"/>
        <v>259471.22296499999</v>
      </c>
      <c r="Q84" s="701">
        <f t="shared" si="39"/>
        <v>0</v>
      </c>
      <c r="R84" s="702">
        <f>SUM(R75:R83)</f>
        <v>0</v>
      </c>
      <c r="S84" s="701">
        <f t="shared" ref="S84:V84" si="41">SUM(S75:S83)</f>
        <v>0</v>
      </c>
      <c r="T84" s="701">
        <f t="shared" si="41"/>
        <v>0</v>
      </c>
      <c r="U84" s="701">
        <f t="shared" si="41"/>
        <v>284975.15296499996</v>
      </c>
      <c r="V84" s="701">
        <f t="shared" si="41"/>
        <v>6522459.1829650002</v>
      </c>
    </row>
    <row r="85" spans="1:22">
      <c r="A85" s="204">
        <v>78</v>
      </c>
      <c r="B85" s="213" t="s">
        <v>233</v>
      </c>
      <c r="C85" s="210"/>
      <c r="D85" s="492"/>
      <c r="E85" s="717">
        <f t="shared" ref="E85:G85" si="42">E72+E84</f>
        <v>16266892.479999997</v>
      </c>
      <c r="F85" s="492">
        <f t="shared" si="42"/>
        <v>3394156.1900000004</v>
      </c>
      <c r="G85" s="719">
        <f t="shared" si="42"/>
        <v>19661048.670000002</v>
      </c>
      <c r="I85" s="719">
        <f t="shared" ref="I85:Q85" si="43">I72+I84</f>
        <v>0</v>
      </c>
      <c r="J85" s="719">
        <f t="shared" si="43"/>
        <v>0</v>
      </c>
      <c r="K85" s="804">
        <f>K72+K84</f>
        <v>0</v>
      </c>
      <c r="L85" s="719">
        <f>L72+L84</f>
        <v>0</v>
      </c>
      <c r="M85" s="719">
        <f t="shared" ref="M85:N85" si="44">M72+M84</f>
        <v>74550.3897</v>
      </c>
      <c r="N85" s="719">
        <f t="shared" si="44"/>
        <v>0</v>
      </c>
      <c r="O85" s="719">
        <f t="shared" si="43"/>
        <v>0</v>
      </c>
      <c r="P85" s="719">
        <f>P72+P84</f>
        <v>856283.97409172996</v>
      </c>
      <c r="Q85" s="719">
        <f t="shared" si="43"/>
        <v>0</v>
      </c>
      <c r="R85" s="720">
        <f>R72+R84</f>
        <v>859550.71099999989</v>
      </c>
      <c r="S85" s="719">
        <f t="shared" ref="S85:V85" si="45">S72+S84</f>
        <v>0</v>
      </c>
      <c r="T85" s="719">
        <f t="shared" si="45"/>
        <v>0</v>
      </c>
      <c r="U85" s="719">
        <f t="shared" si="45"/>
        <v>1790385.0747917297</v>
      </c>
      <c r="V85" s="719">
        <f t="shared" si="45"/>
        <v>21451433.744791731</v>
      </c>
    </row>
    <row r="86" spans="1:22">
      <c r="A86" s="509">
        <v>79</v>
      </c>
      <c r="B86" s="209"/>
      <c r="C86" s="210"/>
      <c r="D86" s="694"/>
      <c r="E86" s="695"/>
      <c r="F86" s="694"/>
      <c r="G86" s="697"/>
    </row>
    <row r="87" spans="1:22">
      <c r="A87" s="204">
        <v>80</v>
      </c>
      <c r="B87" s="213" t="s">
        <v>234</v>
      </c>
      <c r="C87" s="210"/>
      <c r="D87" s="694"/>
      <c r="E87" s="695"/>
      <c r="F87" s="694"/>
      <c r="G87" s="697"/>
    </row>
    <row r="88" spans="1:22">
      <c r="A88" s="509">
        <v>81</v>
      </c>
      <c r="B88" s="211" t="s">
        <v>235</v>
      </c>
      <c r="C88" s="212" t="s">
        <v>236</v>
      </c>
      <c r="D88" s="694"/>
      <c r="E88" s="705">
        <v>4194</v>
      </c>
      <c r="F88" s="694">
        <v>101176.08</v>
      </c>
      <c r="G88" s="697">
        <f>SUM(E88:F88)</f>
        <v>105370.08</v>
      </c>
      <c r="P88" s="479">
        <f>+'Restate &amp; Pro Forma Wage Adjust'!Q32</f>
        <v>5613.6352800000004</v>
      </c>
      <c r="U88" s="495">
        <f>SUM(I88:T88)</f>
        <v>5613.6352800000004</v>
      </c>
      <c r="V88" s="495">
        <f>+G88+U88</f>
        <v>110983.71528</v>
      </c>
    </row>
    <row r="89" spans="1:22">
      <c r="A89" s="204">
        <v>82</v>
      </c>
      <c r="B89" s="211" t="s">
        <v>237</v>
      </c>
      <c r="C89" s="212" t="s">
        <v>238</v>
      </c>
      <c r="D89" s="694"/>
      <c r="E89" s="705">
        <v>412710.22</v>
      </c>
      <c r="F89" s="694">
        <v>164703.56</v>
      </c>
      <c r="G89" s="697">
        <f>SUM(E89:F89)</f>
        <v>577413.78</v>
      </c>
      <c r="M89" s="479">
        <f>+'Restate &amp; Pro Forma Wage Adjust'!P57</f>
        <v>2945.0411999999947</v>
      </c>
      <c r="P89" s="479">
        <f>+'Restate &amp; Pro Forma Wage Adjust'!Q33+'Restate &amp; Pro Forma Wage Adjust'!Q57</f>
        <v>23303.880100080001</v>
      </c>
      <c r="U89" s="495">
        <f>SUM(I89:T89)</f>
        <v>26248.921300079997</v>
      </c>
      <c r="V89" s="495">
        <f>+G89+U89</f>
        <v>603662.70130008005</v>
      </c>
    </row>
    <row r="90" spans="1:22">
      <c r="A90" s="509">
        <v>83</v>
      </c>
      <c r="B90" s="211" t="s">
        <v>239</v>
      </c>
      <c r="C90" s="212" t="s">
        <v>240</v>
      </c>
      <c r="D90" s="694"/>
      <c r="E90" s="705">
        <v>441218.11</v>
      </c>
      <c r="F90" s="694">
        <v>3643839.93</v>
      </c>
      <c r="G90" s="697">
        <f>SUM(E90:F90)</f>
        <v>4085058.04</v>
      </c>
      <c r="M90" s="479">
        <f>+'Restate &amp; Pro Forma Wage Adjust'!P58</f>
        <v>705.0260999999997</v>
      </c>
      <c r="P90" s="479">
        <f>+'Restate &amp; Pro Forma Wage Adjust'!Q34+'Restate &amp; Pro Forma Wage Adjust'!Q58</f>
        <v>54804.954188490003</v>
      </c>
      <c r="U90" s="495">
        <f>SUM(I90:T90)</f>
        <v>55509.980288490005</v>
      </c>
      <c r="V90" s="495">
        <f>+G90+U90</f>
        <v>4140568.0202884902</v>
      </c>
    </row>
    <row r="91" spans="1:22">
      <c r="A91" s="204">
        <v>84</v>
      </c>
      <c r="B91" s="211" t="s">
        <v>241</v>
      </c>
      <c r="C91" s="212" t="s">
        <v>23</v>
      </c>
      <c r="D91" s="694"/>
      <c r="E91" s="705">
        <v>678646.01</v>
      </c>
      <c r="F91" s="694">
        <v>16437.93</v>
      </c>
      <c r="G91" s="697">
        <f>SUM(E91:F91)</f>
        <v>695083.94000000006</v>
      </c>
      <c r="I91" s="328">
        <f>+I28*'Exh MCP-4 - Conversion Factor'!C8</f>
        <v>2118.9786009113909</v>
      </c>
      <c r="J91" s="328"/>
      <c r="K91" s="328">
        <f>+K28*'Exh MCP-4 - Conversion Factor'!C8</f>
        <v>8464.7251093655759</v>
      </c>
      <c r="L91" s="328">
        <f>+L28*'Exh MCP-4 - Conversion Factor'!C8</f>
        <v>2102.1457673606033</v>
      </c>
      <c r="Q91" s="724">
        <f>+'Exh MCP-5 - Summary of Adj'!O26</f>
        <v>0</v>
      </c>
      <c r="U91" s="495">
        <f>SUM(I91:T91)</f>
        <v>12685.84947763757</v>
      </c>
      <c r="V91" s="495">
        <f>+G91+U91</f>
        <v>707769.78947763762</v>
      </c>
    </row>
    <row r="92" spans="1:22">
      <c r="A92" s="509">
        <v>85</v>
      </c>
      <c r="B92" s="211" t="s">
        <v>242</v>
      </c>
      <c r="C92" s="212" t="s">
        <v>243</v>
      </c>
      <c r="D92" s="694"/>
      <c r="E92" s="705">
        <v>0</v>
      </c>
      <c r="F92" s="694">
        <v>5.27</v>
      </c>
      <c r="G92" s="697">
        <f>SUM(E92:F92)</f>
        <v>5.27</v>
      </c>
      <c r="U92" s="495">
        <f>SUM(I92:T92)</f>
        <v>0</v>
      </c>
      <c r="V92" s="495">
        <f>+G92+U92</f>
        <v>5.27</v>
      </c>
    </row>
    <row r="93" spans="1:22">
      <c r="A93" s="204">
        <v>86</v>
      </c>
      <c r="B93" s="213" t="s">
        <v>244</v>
      </c>
      <c r="C93" s="210"/>
      <c r="D93" s="698"/>
      <c r="E93" s="699">
        <f t="shared" ref="E93:R93" si="46">SUM(E88:E92)</f>
        <v>1536768.3399999999</v>
      </c>
      <c r="F93" s="698">
        <f t="shared" si="46"/>
        <v>3926162.7700000005</v>
      </c>
      <c r="G93" s="701">
        <f t="shared" si="46"/>
        <v>5462931.1100000003</v>
      </c>
      <c r="I93" s="701">
        <f t="shared" si="46"/>
        <v>2118.9786009113909</v>
      </c>
      <c r="J93" s="701">
        <f t="shared" si="46"/>
        <v>0</v>
      </c>
      <c r="K93" s="329">
        <f>SUM(K88:K92)</f>
        <v>8464.7251093655759</v>
      </c>
      <c r="L93" s="701">
        <f t="shared" si="46"/>
        <v>2102.1457673606033</v>
      </c>
      <c r="M93" s="701">
        <f t="shared" ref="M93:N93" si="47">SUM(M88:M92)</f>
        <v>3650.0672999999942</v>
      </c>
      <c r="N93" s="701">
        <f t="shared" si="47"/>
        <v>0</v>
      </c>
      <c r="O93" s="701">
        <f t="shared" si="46"/>
        <v>0</v>
      </c>
      <c r="P93" s="701">
        <f t="shared" si="46"/>
        <v>83722.469568569999</v>
      </c>
      <c r="Q93" s="701">
        <f t="shared" si="46"/>
        <v>0</v>
      </c>
      <c r="R93" s="702">
        <f t="shared" si="46"/>
        <v>0</v>
      </c>
      <c r="S93" s="701">
        <f t="shared" ref="S93:V93" si="48">SUM(S88:S92)</f>
        <v>0</v>
      </c>
      <c r="T93" s="701">
        <f t="shared" si="48"/>
        <v>0</v>
      </c>
      <c r="U93" s="701">
        <f t="shared" si="48"/>
        <v>100058.38634620757</v>
      </c>
      <c r="V93" s="701">
        <f t="shared" si="48"/>
        <v>5562989.4963462083</v>
      </c>
    </row>
    <row r="94" spans="1:22">
      <c r="A94" s="509">
        <v>87</v>
      </c>
      <c r="B94" s="209"/>
      <c r="C94" s="210"/>
      <c r="D94" s="694"/>
      <c r="E94" s="695"/>
      <c r="F94" s="694"/>
      <c r="G94" s="697"/>
    </row>
    <row r="95" spans="1:22">
      <c r="A95" s="204">
        <v>88</v>
      </c>
      <c r="B95" s="213" t="s">
        <v>245</v>
      </c>
      <c r="C95" s="210"/>
      <c r="D95" s="694"/>
      <c r="E95" s="695"/>
      <c r="F95" s="694"/>
      <c r="G95" s="697"/>
    </row>
    <row r="96" spans="1:22">
      <c r="A96" s="509">
        <v>89</v>
      </c>
      <c r="B96" s="211" t="s">
        <v>246</v>
      </c>
      <c r="C96" s="212" t="s">
        <v>236</v>
      </c>
      <c r="D96" s="694"/>
      <c r="E96" s="705">
        <v>0</v>
      </c>
      <c r="F96" s="694" t="s">
        <v>748</v>
      </c>
      <c r="G96" s="697">
        <f>SUM(E96:F96)</f>
        <v>0</v>
      </c>
      <c r="U96" s="495">
        <f>SUM(I96:T96)</f>
        <v>0</v>
      </c>
      <c r="V96" s="495">
        <f>+G96+U96</f>
        <v>0</v>
      </c>
    </row>
    <row r="97" spans="1:22">
      <c r="A97" s="204">
        <v>90</v>
      </c>
      <c r="B97" s="211" t="s">
        <v>247</v>
      </c>
      <c r="C97" s="212" t="s">
        <v>248</v>
      </c>
      <c r="D97" s="694"/>
      <c r="E97" s="705">
        <v>3824236.45</v>
      </c>
      <c r="F97" s="694">
        <v>189938.87</v>
      </c>
      <c r="G97" s="697">
        <f>SUM(E97:F97)</f>
        <v>4014175.3200000003</v>
      </c>
      <c r="L97" s="805"/>
      <c r="M97" s="805"/>
      <c r="N97" s="805"/>
      <c r="P97" s="479">
        <f>+'Restate &amp; Pro Forma Wage Adjust'!Q35</f>
        <v>34313.980752000003</v>
      </c>
      <c r="U97" s="495">
        <f>SUM(I97:T97)</f>
        <v>34313.980752000003</v>
      </c>
      <c r="V97" s="495">
        <f>+G97+U97</f>
        <v>4048489.3007520004</v>
      </c>
    </row>
    <row r="98" spans="1:22">
      <c r="A98" s="509">
        <v>91</v>
      </c>
      <c r="B98" s="211" t="s">
        <v>249</v>
      </c>
      <c r="C98" s="212" t="s">
        <v>250</v>
      </c>
      <c r="D98" s="694"/>
      <c r="E98" s="705">
        <v>18721.37</v>
      </c>
      <c r="F98" s="694">
        <v>8878.7000000000007</v>
      </c>
      <c r="G98" s="697">
        <f>SUM(E98:F98)</f>
        <v>27600.07</v>
      </c>
      <c r="U98" s="495">
        <f t="shared" ref="U98:U99" si="49">SUM(I98:T98)</f>
        <v>0</v>
      </c>
      <c r="V98" s="495">
        <f>+G98+U98</f>
        <v>27600.07</v>
      </c>
    </row>
    <row r="99" spans="1:22">
      <c r="A99" s="204">
        <v>92</v>
      </c>
      <c r="B99" s="725" t="s">
        <v>251</v>
      </c>
      <c r="C99" s="212" t="s">
        <v>252</v>
      </c>
      <c r="D99" s="696"/>
      <c r="E99" s="705">
        <v>0</v>
      </c>
      <c r="F99" s="694">
        <v>256476.74</v>
      </c>
      <c r="G99" s="706">
        <f>SUM(E99:F99)</f>
        <v>256476.74</v>
      </c>
      <c r="P99" s="479">
        <f>+'Restate &amp; Pro Forma Wage Adjust'!Q36</f>
        <v>17986.664496000001</v>
      </c>
      <c r="U99" s="495">
        <f t="shared" si="49"/>
        <v>17986.664496000001</v>
      </c>
      <c r="V99" s="495">
        <f>+G99+U99</f>
        <v>274463.40449599997</v>
      </c>
    </row>
    <row r="100" spans="1:22">
      <c r="A100" s="509">
        <v>93</v>
      </c>
      <c r="B100" s="703" t="s">
        <v>253</v>
      </c>
      <c r="C100" s="210"/>
      <c r="D100" s="698"/>
      <c r="E100" s="699">
        <f t="shared" ref="E100:R100" si="50">SUM(E96:E99)</f>
        <v>3842957.8200000003</v>
      </c>
      <c r="F100" s="698">
        <f t="shared" si="50"/>
        <v>455294.31</v>
      </c>
      <c r="G100" s="701">
        <f t="shared" si="50"/>
        <v>4298252.13</v>
      </c>
      <c r="I100" s="701">
        <f t="shared" si="50"/>
        <v>0</v>
      </c>
      <c r="J100" s="701">
        <f t="shared" si="50"/>
        <v>0</v>
      </c>
      <c r="K100" s="329">
        <f>SUM(K96:K99)</f>
        <v>0</v>
      </c>
      <c r="L100" s="701">
        <f t="shared" si="50"/>
        <v>0</v>
      </c>
      <c r="M100" s="701">
        <f t="shared" ref="M100:N100" si="51">SUM(M96:M99)</f>
        <v>0</v>
      </c>
      <c r="N100" s="701">
        <f t="shared" si="51"/>
        <v>0</v>
      </c>
      <c r="O100" s="701">
        <f t="shared" si="50"/>
        <v>0</v>
      </c>
      <c r="P100" s="701">
        <f t="shared" si="50"/>
        <v>52300.645248000001</v>
      </c>
      <c r="Q100" s="701">
        <f t="shared" si="50"/>
        <v>0</v>
      </c>
      <c r="R100" s="702">
        <f t="shared" si="50"/>
        <v>0</v>
      </c>
      <c r="S100" s="701">
        <f t="shared" ref="S100:V100" si="52">SUM(S96:S99)</f>
        <v>0</v>
      </c>
      <c r="T100" s="701">
        <f t="shared" si="52"/>
        <v>0</v>
      </c>
      <c r="U100" s="701">
        <f t="shared" si="52"/>
        <v>52300.645248000001</v>
      </c>
      <c r="V100" s="701">
        <f t="shared" si="52"/>
        <v>4350552.7752480004</v>
      </c>
    </row>
    <row r="101" spans="1:22">
      <c r="A101" s="204">
        <v>94</v>
      </c>
      <c r="B101" s="209"/>
      <c r="C101" s="210"/>
      <c r="D101" s="694"/>
      <c r="E101" s="695"/>
      <c r="F101" s="694"/>
      <c r="G101" s="697"/>
    </row>
    <row r="102" spans="1:22">
      <c r="A102" s="509">
        <v>95</v>
      </c>
      <c r="B102" s="213" t="s">
        <v>254</v>
      </c>
      <c r="C102" s="210"/>
      <c r="D102" s="694"/>
      <c r="E102" s="695"/>
      <c r="F102" s="694"/>
      <c r="G102" s="697"/>
    </row>
    <row r="103" spans="1:22">
      <c r="A103" s="204">
        <v>96</v>
      </c>
      <c r="B103" s="211" t="s">
        <v>255</v>
      </c>
      <c r="C103" s="212" t="s">
        <v>236</v>
      </c>
      <c r="D103" s="696"/>
      <c r="E103" s="705">
        <v>0</v>
      </c>
      <c r="F103" s="696">
        <v>0</v>
      </c>
      <c r="G103" s="706">
        <f>SUM(E103:F103)</f>
        <v>0</v>
      </c>
      <c r="U103" s="495">
        <f>SUM(I103:T103)</f>
        <v>0</v>
      </c>
      <c r="V103" s="495">
        <f>+G103+U103</f>
        <v>0</v>
      </c>
    </row>
    <row r="104" spans="1:22">
      <c r="A104" s="509">
        <v>97</v>
      </c>
      <c r="B104" s="211" t="s">
        <v>256</v>
      </c>
      <c r="C104" s="212" t="s">
        <v>257</v>
      </c>
      <c r="D104" s="696"/>
      <c r="E104" s="705">
        <v>0</v>
      </c>
      <c r="F104" s="696">
        <v>0</v>
      </c>
      <c r="G104" s="706">
        <f>SUM(E104:F104)</f>
        <v>0</v>
      </c>
      <c r="U104" s="495">
        <f>SUM(I104:T104)</f>
        <v>0</v>
      </c>
      <c r="V104" s="495">
        <f>+G104+U104</f>
        <v>0</v>
      </c>
    </row>
    <row r="105" spans="1:22">
      <c r="A105" s="204">
        <v>98</v>
      </c>
      <c r="B105" s="211" t="s">
        <v>258</v>
      </c>
      <c r="C105" s="212" t="s">
        <v>57</v>
      </c>
      <c r="D105" s="696"/>
      <c r="E105" s="705">
        <v>500</v>
      </c>
      <c r="F105" s="696">
        <v>1046.6500000000001</v>
      </c>
      <c r="G105" s="706">
        <f>SUM(E105:F105)</f>
        <v>1546.65</v>
      </c>
      <c r="J105" s="488">
        <f>-'Advertising Adj'!F29</f>
        <v>-1546.6574900000001</v>
      </c>
      <c r="U105" s="495">
        <f>SUM(I105:T105)</f>
        <v>-1546.6574900000001</v>
      </c>
      <c r="V105" s="495">
        <f>+G105+U105</f>
        <v>-7.4899999999615829E-3</v>
      </c>
    </row>
    <row r="106" spans="1:22">
      <c r="A106" s="509">
        <v>99</v>
      </c>
      <c r="B106" s="211" t="s">
        <v>259</v>
      </c>
      <c r="C106" s="212" t="s">
        <v>260</v>
      </c>
      <c r="D106" s="696"/>
      <c r="E106" s="705">
        <v>0</v>
      </c>
      <c r="F106" s="696">
        <v>0</v>
      </c>
      <c r="G106" s="706">
        <f>SUM(E106:F106)</f>
        <v>0</v>
      </c>
      <c r="U106" s="495">
        <f>SUM(I106:T106)</f>
        <v>0</v>
      </c>
      <c r="V106" s="495">
        <f>+G106+U106</f>
        <v>0</v>
      </c>
    </row>
    <row r="107" spans="1:22">
      <c r="A107" s="204">
        <v>100</v>
      </c>
      <c r="B107" s="213" t="s">
        <v>261</v>
      </c>
      <c r="C107" s="210"/>
      <c r="D107" s="700"/>
      <c r="E107" s="715">
        <f t="shared" ref="E107:R107" si="53">SUM(E103:E106)</f>
        <v>500</v>
      </c>
      <c r="F107" s="700">
        <f t="shared" si="53"/>
        <v>1046.6500000000001</v>
      </c>
      <c r="G107" s="329">
        <f t="shared" si="53"/>
        <v>1546.65</v>
      </c>
      <c r="I107" s="701">
        <f t="shared" si="53"/>
        <v>0</v>
      </c>
      <c r="J107" s="701">
        <f t="shared" si="53"/>
        <v>-1546.6574900000001</v>
      </c>
      <c r="K107" s="329">
        <f>SUM(K103:K106)</f>
        <v>0</v>
      </c>
      <c r="L107" s="701">
        <f t="shared" si="53"/>
        <v>0</v>
      </c>
      <c r="M107" s="701">
        <f t="shared" ref="M107:N107" si="54">SUM(M103:M106)</f>
        <v>0</v>
      </c>
      <c r="N107" s="701">
        <f t="shared" si="54"/>
        <v>0</v>
      </c>
      <c r="O107" s="701">
        <f t="shared" si="53"/>
        <v>0</v>
      </c>
      <c r="P107" s="701">
        <f t="shared" si="53"/>
        <v>0</v>
      </c>
      <c r="Q107" s="701">
        <f t="shared" si="53"/>
        <v>0</v>
      </c>
      <c r="R107" s="702">
        <f t="shared" si="53"/>
        <v>0</v>
      </c>
      <c r="S107" s="329">
        <f t="shared" ref="S107:V107" si="55">SUM(S103:S106)</f>
        <v>0</v>
      </c>
      <c r="T107" s="329">
        <f t="shared" si="55"/>
        <v>0</v>
      </c>
      <c r="U107" s="329">
        <f t="shared" si="55"/>
        <v>-1546.6574900000001</v>
      </c>
      <c r="V107" s="329">
        <f t="shared" si="55"/>
        <v>-7.4899999999615829E-3</v>
      </c>
    </row>
    <row r="108" spans="1:22">
      <c r="A108" s="509">
        <v>101</v>
      </c>
      <c r="B108" s="209"/>
      <c r="C108" s="210"/>
      <c r="D108" s="694"/>
      <c r="E108" s="695"/>
      <c r="F108" s="694"/>
      <c r="G108" s="697"/>
    </row>
    <row r="109" spans="1:22">
      <c r="A109" s="204">
        <v>102</v>
      </c>
      <c r="B109" s="213" t="s">
        <v>262</v>
      </c>
      <c r="C109" s="210"/>
      <c r="D109" s="694"/>
      <c r="E109" s="695"/>
      <c r="F109" s="694"/>
      <c r="G109" s="697"/>
    </row>
    <row r="110" spans="1:22">
      <c r="A110" s="509">
        <v>103</v>
      </c>
      <c r="B110" s="211" t="s">
        <v>263</v>
      </c>
      <c r="C110" s="212" t="s">
        <v>264</v>
      </c>
      <c r="D110" s="694"/>
      <c r="E110" s="695" t="s">
        <v>749</v>
      </c>
      <c r="F110" s="694">
        <v>5601437.96</v>
      </c>
      <c r="G110" s="697">
        <f t="shared" ref="G110:G120" si="56">SUM(E110:F110)</f>
        <v>5601437.96</v>
      </c>
      <c r="M110" s="479">
        <f>+'Restate &amp; Pro Forma Wage Adjust'!P59</f>
        <v>71.442899999999995</v>
      </c>
      <c r="P110" s="479">
        <f>+'Restate &amp; Pro Forma Wage Adjust'!Q37+'Restate &amp; Pro Forma Wage Adjust'!Q59+'Restate &amp; Pro Forma Wage Adjust'!Q95</f>
        <v>508993.53867861006</v>
      </c>
      <c r="U110" s="495">
        <f t="shared" ref="U110:U120" si="57">SUM(I110:T110)</f>
        <v>509064.98157861008</v>
      </c>
      <c r="V110" s="495">
        <f t="shared" ref="V110:V120" si="58">+G110+U110</f>
        <v>6110502.9415786099</v>
      </c>
    </row>
    <row r="111" spans="1:22">
      <c r="A111" s="204">
        <v>104</v>
      </c>
      <c r="B111" s="211" t="s">
        <v>265</v>
      </c>
      <c r="C111" s="212" t="s">
        <v>266</v>
      </c>
      <c r="D111" s="694"/>
      <c r="E111" s="695">
        <v>27143.599999999999</v>
      </c>
      <c r="F111" s="694">
        <v>3077211.02</v>
      </c>
      <c r="G111" s="697">
        <f t="shared" si="56"/>
        <v>3104354.62</v>
      </c>
      <c r="M111" s="479"/>
      <c r="U111" s="495">
        <f t="shared" si="57"/>
        <v>0</v>
      </c>
      <c r="V111" s="495">
        <f t="shared" si="58"/>
        <v>3104354.62</v>
      </c>
    </row>
    <row r="112" spans="1:22">
      <c r="A112" s="509">
        <v>105</v>
      </c>
      <c r="B112" s="211" t="s">
        <v>267</v>
      </c>
      <c r="C112" s="212" t="s">
        <v>268</v>
      </c>
      <c r="D112" s="694"/>
      <c r="E112" s="695">
        <v>359206.12</v>
      </c>
      <c r="F112" s="694">
        <v>654522.85</v>
      </c>
      <c r="G112" s="697">
        <f t="shared" si="56"/>
        <v>1013728.97</v>
      </c>
      <c r="U112" s="495">
        <f t="shared" si="57"/>
        <v>0</v>
      </c>
      <c r="V112" s="495">
        <f t="shared" si="58"/>
        <v>1013728.97</v>
      </c>
    </row>
    <row r="113" spans="1:22">
      <c r="A113" s="204">
        <v>106</v>
      </c>
      <c r="B113" s="211" t="s">
        <v>269</v>
      </c>
      <c r="C113" s="212" t="s">
        <v>270</v>
      </c>
      <c r="D113" s="694"/>
      <c r="E113" s="705">
        <v>0</v>
      </c>
      <c r="F113" s="694">
        <v>61366.28</v>
      </c>
      <c r="G113" s="697">
        <f t="shared" si="56"/>
        <v>61366.28</v>
      </c>
      <c r="U113" s="495">
        <f t="shared" si="57"/>
        <v>0</v>
      </c>
      <c r="V113" s="495">
        <f t="shared" si="58"/>
        <v>61366.28</v>
      </c>
    </row>
    <row r="114" spans="1:22">
      <c r="A114" s="509">
        <v>107</v>
      </c>
      <c r="B114" s="211" t="s">
        <v>271</v>
      </c>
      <c r="C114" s="212" t="s">
        <v>272</v>
      </c>
      <c r="D114" s="694"/>
      <c r="E114" s="695">
        <v>197018.78</v>
      </c>
      <c r="F114" s="694">
        <v>909471.34</v>
      </c>
      <c r="G114" s="697">
        <f t="shared" si="56"/>
        <v>1106490.1199999999</v>
      </c>
      <c r="U114" s="495">
        <f t="shared" si="57"/>
        <v>0</v>
      </c>
      <c r="V114" s="495">
        <f t="shared" si="58"/>
        <v>1106490.1199999999</v>
      </c>
    </row>
    <row r="115" spans="1:22">
      <c r="A115" s="204">
        <v>108</v>
      </c>
      <c r="B115" s="211" t="s">
        <v>273</v>
      </c>
      <c r="C115" s="212" t="s">
        <v>274</v>
      </c>
      <c r="D115" s="694"/>
      <c r="E115" s="695">
        <v>2688881.34</v>
      </c>
      <c r="F115" s="694">
        <v>1598185.01</v>
      </c>
      <c r="G115" s="697">
        <f t="shared" si="56"/>
        <v>4287066.3499999996</v>
      </c>
      <c r="M115" s="479">
        <f>+'Restate &amp; Pro Forma Wage Adjust'!P60</f>
        <v>0</v>
      </c>
      <c r="N115" s="488">
        <f>+'Executive Incentives'!B31</f>
        <v>-894390.32</v>
      </c>
      <c r="P115" s="479">
        <f>+'Restate &amp; Pro Forma Wage Adjust'!Q38+'Restate &amp; Pro Forma Wage Adjust'!Q60</f>
        <v>3504.3017879999998</v>
      </c>
      <c r="U115" s="495">
        <f t="shared" si="57"/>
        <v>-890886.01821199991</v>
      </c>
      <c r="V115" s="495">
        <f t="shared" si="58"/>
        <v>3396180.3317879997</v>
      </c>
    </row>
    <row r="116" spans="1:22">
      <c r="A116" s="509">
        <v>109</v>
      </c>
      <c r="B116" s="211" t="s">
        <v>275</v>
      </c>
      <c r="C116" s="212" t="s">
        <v>276</v>
      </c>
      <c r="D116" s="696"/>
      <c r="E116" s="705">
        <v>0</v>
      </c>
      <c r="F116" s="694">
        <v>0</v>
      </c>
      <c r="G116" s="706">
        <f t="shared" si="56"/>
        <v>0</v>
      </c>
      <c r="U116" s="495">
        <f t="shared" si="57"/>
        <v>0</v>
      </c>
      <c r="V116" s="495">
        <f t="shared" si="58"/>
        <v>0</v>
      </c>
    </row>
    <row r="117" spans="1:22">
      <c r="A117" s="204">
        <v>110</v>
      </c>
      <c r="B117" s="211" t="s">
        <v>277</v>
      </c>
      <c r="C117" s="212" t="s">
        <v>278</v>
      </c>
      <c r="D117" s="696"/>
      <c r="E117" s="695">
        <v>2022.56</v>
      </c>
      <c r="F117" s="694">
        <v>20411.900000000001</v>
      </c>
      <c r="G117" s="706">
        <f t="shared" si="56"/>
        <v>22434.460000000003</v>
      </c>
      <c r="J117" s="488">
        <f>-'Advertising Adj'!F75</f>
        <v>-22434.469370000003</v>
      </c>
      <c r="U117" s="495">
        <f t="shared" si="57"/>
        <v>-22434.469370000003</v>
      </c>
      <c r="V117" s="495">
        <f t="shared" si="58"/>
        <v>-9.3699999997625127E-3</v>
      </c>
    </row>
    <row r="118" spans="1:22">
      <c r="A118" s="509">
        <v>111</v>
      </c>
      <c r="B118" s="211" t="s">
        <v>279</v>
      </c>
      <c r="C118" s="212" t="s">
        <v>280</v>
      </c>
      <c r="D118" s="694"/>
      <c r="E118" s="705">
        <v>191751.2</v>
      </c>
      <c r="F118" s="694">
        <v>682171.9</v>
      </c>
      <c r="G118" s="697">
        <f t="shared" si="56"/>
        <v>873923.10000000009</v>
      </c>
      <c r="U118" s="495">
        <f t="shared" si="57"/>
        <v>0</v>
      </c>
      <c r="V118" s="495">
        <f t="shared" si="58"/>
        <v>873923.10000000009</v>
      </c>
    </row>
    <row r="119" spans="1:22">
      <c r="A119" s="204">
        <v>112</v>
      </c>
      <c r="B119" s="211" t="s">
        <v>281</v>
      </c>
      <c r="C119" s="212" t="s">
        <v>211</v>
      </c>
      <c r="D119" s="694"/>
      <c r="E119" s="695">
        <v>18544.46</v>
      </c>
      <c r="F119" s="694">
        <v>1147674</v>
      </c>
      <c r="G119" s="697">
        <f t="shared" si="56"/>
        <v>1166218.46</v>
      </c>
      <c r="U119" s="495">
        <f t="shared" si="57"/>
        <v>0</v>
      </c>
      <c r="V119" s="495">
        <f t="shared" si="58"/>
        <v>1166218.46</v>
      </c>
    </row>
    <row r="120" spans="1:22">
      <c r="A120" s="509">
        <v>113</v>
      </c>
      <c r="B120" s="211" t="s">
        <v>282</v>
      </c>
      <c r="C120" s="212" t="s">
        <v>283</v>
      </c>
      <c r="D120" s="492"/>
      <c r="E120" s="717">
        <v>24057.11</v>
      </c>
      <c r="F120" s="492">
        <v>5138.1400000000003</v>
      </c>
      <c r="G120" s="719">
        <f t="shared" si="56"/>
        <v>29195.25</v>
      </c>
      <c r="M120" s="479">
        <f>+'Restate &amp; Pro Forma Wage Adjust'!P61</f>
        <v>20.8965</v>
      </c>
      <c r="P120" s="479">
        <f>+'Restate &amp; Pro Forma Wage Adjust'!Q61</f>
        <v>102.41653485000001</v>
      </c>
      <c r="U120" s="495">
        <f t="shared" si="57"/>
        <v>123.31303485000001</v>
      </c>
      <c r="V120" s="495">
        <f t="shared" si="58"/>
        <v>29318.563034850002</v>
      </c>
    </row>
    <row r="121" spans="1:22">
      <c r="A121" s="204">
        <v>114</v>
      </c>
      <c r="B121" s="209"/>
      <c r="C121" s="210"/>
      <c r="D121" s="694"/>
      <c r="E121" s="695">
        <f t="shared" ref="E121:Q121" si="59">SUM(E110:E120)</f>
        <v>3508625.17</v>
      </c>
      <c r="F121" s="694">
        <f t="shared" si="59"/>
        <v>13757590.4</v>
      </c>
      <c r="G121" s="697">
        <f t="shared" si="59"/>
        <v>17266215.57</v>
      </c>
      <c r="I121" s="697">
        <f t="shared" si="59"/>
        <v>0</v>
      </c>
      <c r="J121" s="697">
        <f t="shared" si="59"/>
        <v>-22434.469370000003</v>
      </c>
      <c r="K121" s="706">
        <f>SUM(K110:K120)</f>
        <v>0</v>
      </c>
      <c r="L121" s="697">
        <f t="shared" si="59"/>
        <v>0</v>
      </c>
      <c r="M121" s="806">
        <f>SUM(M110:M120)</f>
        <v>92.339399999999998</v>
      </c>
      <c r="N121" s="697">
        <f t="shared" ref="N121" si="60">SUM(N110:N120)</f>
        <v>-894390.32</v>
      </c>
      <c r="O121" s="697">
        <f t="shared" si="59"/>
        <v>0</v>
      </c>
      <c r="P121" s="697">
        <f t="shared" si="59"/>
        <v>512600.25700146006</v>
      </c>
      <c r="Q121" s="697">
        <f t="shared" si="59"/>
        <v>0</v>
      </c>
      <c r="R121" s="716"/>
      <c r="S121" s="697">
        <f t="shared" ref="S121:V121" si="61">SUM(S110:S120)</f>
        <v>0</v>
      </c>
      <c r="T121" s="697">
        <f t="shared" si="61"/>
        <v>0</v>
      </c>
      <c r="U121" s="697">
        <f t="shared" si="61"/>
        <v>-404132.19296853984</v>
      </c>
      <c r="V121" s="697">
        <f t="shared" si="61"/>
        <v>16862083.37703146</v>
      </c>
    </row>
    <row r="122" spans="1:22">
      <c r="A122" s="509">
        <v>115</v>
      </c>
      <c r="B122" s="211" t="s">
        <v>284</v>
      </c>
      <c r="C122" s="212" t="s">
        <v>285</v>
      </c>
      <c r="D122" s="694"/>
      <c r="E122" s="695">
        <v>-82208.92</v>
      </c>
      <c r="F122" s="694">
        <v>-173585.25</v>
      </c>
      <c r="G122" s="697">
        <f>SUM(E122:F122)</f>
        <v>-255794.16999999998</v>
      </c>
      <c r="U122" s="495">
        <f>SUM(I122:T122)</f>
        <v>0</v>
      </c>
      <c r="V122" s="495">
        <f>+G122+U122</f>
        <v>-255794.16999999998</v>
      </c>
    </row>
    <row r="123" spans="1:22">
      <c r="A123" s="204">
        <v>116</v>
      </c>
      <c r="B123" s="213" t="s">
        <v>286</v>
      </c>
      <c r="C123" s="210"/>
      <c r="D123" s="698"/>
      <c r="E123" s="699">
        <f t="shared" ref="E123:Q123" si="62">E121+E122</f>
        <v>3426416.25</v>
      </c>
      <c r="F123" s="698">
        <f t="shared" si="62"/>
        <v>13584005.15</v>
      </c>
      <c r="G123" s="701">
        <f t="shared" si="62"/>
        <v>17010421.399999999</v>
      </c>
      <c r="I123" s="701">
        <f t="shared" si="62"/>
        <v>0</v>
      </c>
      <c r="J123" s="701">
        <f t="shared" si="62"/>
        <v>-22434.469370000003</v>
      </c>
      <c r="K123" s="329">
        <f>K121+K122</f>
        <v>0</v>
      </c>
      <c r="L123" s="701">
        <f t="shared" si="62"/>
        <v>0</v>
      </c>
      <c r="M123" s="701">
        <f t="shared" ref="M123:N123" si="63">M121+M122</f>
        <v>92.339399999999998</v>
      </c>
      <c r="N123" s="701">
        <f t="shared" si="63"/>
        <v>-894390.32</v>
      </c>
      <c r="O123" s="701">
        <f t="shared" si="62"/>
        <v>0</v>
      </c>
      <c r="P123" s="701">
        <f t="shared" si="62"/>
        <v>512600.25700146006</v>
      </c>
      <c r="Q123" s="701">
        <f t="shared" si="62"/>
        <v>0</v>
      </c>
      <c r="R123" s="702"/>
      <c r="S123" s="701">
        <f t="shared" ref="S123:V123" si="64">S121+S122</f>
        <v>0</v>
      </c>
      <c r="T123" s="701">
        <f t="shared" si="64"/>
        <v>0</v>
      </c>
      <c r="U123" s="701">
        <f t="shared" si="64"/>
        <v>-404132.19296853984</v>
      </c>
      <c r="V123" s="701">
        <f t="shared" si="64"/>
        <v>16606289.20703146</v>
      </c>
    </row>
    <row r="124" spans="1:22">
      <c r="A124" s="509">
        <v>117</v>
      </c>
      <c r="B124" s="209"/>
      <c r="C124" s="210"/>
      <c r="D124" s="694"/>
      <c r="E124" s="695"/>
      <c r="F124" s="694"/>
      <c r="G124" s="697"/>
    </row>
    <row r="125" spans="1:22" ht="16.5" thickBot="1">
      <c r="A125" s="204">
        <v>118</v>
      </c>
      <c r="B125" s="890" t="s">
        <v>287</v>
      </c>
      <c r="C125" s="891"/>
      <c r="D125" s="709">
        <f t="shared" ref="D125:G125" si="65">D85+D93+D100+D107+D123+D57</f>
        <v>0</v>
      </c>
      <c r="E125" s="710">
        <f t="shared" si="65"/>
        <v>25077858.959999997</v>
      </c>
      <c r="F125" s="709">
        <f t="shared" si="65"/>
        <v>21597973.789999999</v>
      </c>
      <c r="G125" s="711">
        <f t="shared" si="65"/>
        <v>46675832.749999993</v>
      </c>
    </row>
    <row r="126" spans="1:22" ht="16.5" thickTop="1">
      <c r="A126" s="509">
        <v>119</v>
      </c>
      <c r="B126" s="209"/>
      <c r="C126" s="210"/>
      <c r="D126" s="694"/>
      <c r="E126" s="695"/>
      <c r="F126" s="694"/>
      <c r="G126" s="697"/>
    </row>
    <row r="127" spans="1:22">
      <c r="A127" s="204">
        <v>120</v>
      </c>
      <c r="B127" s="213" t="s">
        <v>288</v>
      </c>
      <c r="C127" s="210"/>
      <c r="D127" s="694"/>
      <c r="E127" s="695"/>
      <c r="F127" s="694"/>
      <c r="G127" s="697"/>
    </row>
    <row r="128" spans="1:22">
      <c r="A128" s="509">
        <v>121</v>
      </c>
      <c r="B128" s="211" t="s">
        <v>289</v>
      </c>
      <c r="C128" s="212" t="s">
        <v>290</v>
      </c>
      <c r="D128" s="694"/>
      <c r="E128" s="695">
        <v>0</v>
      </c>
      <c r="F128" s="694">
        <v>22725279.309999999</v>
      </c>
      <c r="G128" s="697">
        <f t="shared" ref="G128:G134" si="66">SUM(E128:F128)</f>
        <v>22725279.309999999</v>
      </c>
      <c r="L128" s="488">
        <f>+'EOP Depreciation Expense Adj'!C49</f>
        <v>1490380.1299999952</v>
      </c>
      <c r="Q128" s="488">
        <f>+'Pro Forma Plant Additions'!E18</f>
        <v>648693.37219107943</v>
      </c>
      <c r="U128" s="495">
        <f t="shared" ref="U128:U134" si="67">SUM(I128:T128)</f>
        <v>2139073.5021910747</v>
      </c>
      <c r="V128" s="495">
        <f t="shared" ref="V128:V134" si="68">+G128+U128</f>
        <v>24864352.812191073</v>
      </c>
    </row>
    <row r="129" spans="1:22">
      <c r="A129" s="204">
        <v>122</v>
      </c>
      <c r="B129" s="209"/>
      <c r="C129" s="212" t="s">
        <v>291</v>
      </c>
      <c r="D129" s="696"/>
      <c r="E129" s="695">
        <v>0</v>
      </c>
      <c r="F129" s="694">
        <v>0</v>
      </c>
      <c r="G129" s="706">
        <f t="shared" si="66"/>
        <v>0</v>
      </c>
      <c r="U129" s="495">
        <f t="shared" si="67"/>
        <v>0</v>
      </c>
      <c r="V129" s="495">
        <f t="shared" si="68"/>
        <v>0</v>
      </c>
    </row>
    <row r="130" spans="1:22">
      <c r="A130" s="509">
        <v>123</v>
      </c>
      <c r="B130" s="209"/>
      <c r="C130" s="212" t="s">
        <v>292</v>
      </c>
      <c r="D130" s="696"/>
      <c r="E130" s="695">
        <v>0</v>
      </c>
      <c r="F130" s="694">
        <v>0</v>
      </c>
      <c r="G130" s="706">
        <f t="shared" si="66"/>
        <v>0</v>
      </c>
      <c r="U130" s="495">
        <f t="shared" si="67"/>
        <v>0</v>
      </c>
      <c r="V130" s="495">
        <f t="shared" si="68"/>
        <v>0</v>
      </c>
    </row>
    <row r="131" spans="1:22">
      <c r="A131" s="204">
        <v>124</v>
      </c>
      <c r="B131" s="209"/>
      <c r="C131" s="212" t="s">
        <v>293</v>
      </c>
      <c r="D131" s="694"/>
      <c r="E131" s="705">
        <v>0</v>
      </c>
      <c r="F131" s="694">
        <v>0</v>
      </c>
      <c r="G131" s="697">
        <f t="shared" si="66"/>
        <v>0</v>
      </c>
      <c r="U131" s="495">
        <f t="shared" si="67"/>
        <v>0</v>
      </c>
      <c r="V131" s="495">
        <f t="shared" si="68"/>
        <v>0</v>
      </c>
    </row>
    <row r="132" spans="1:22">
      <c r="A132" s="509">
        <v>125</v>
      </c>
      <c r="B132" s="209"/>
      <c r="C132" s="212" t="s">
        <v>294</v>
      </c>
      <c r="D132" s="696"/>
      <c r="E132" s="695">
        <v>0</v>
      </c>
      <c r="F132" s="694">
        <v>0</v>
      </c>
      <c r="G132" s="706">
        <f t="shared" si="66"/>
        <v>0</v>
      </c>
      <c r="U132" s="495">
        <f t="shared" si="67"/>
        <v>0</v>
      </c>
      <c r="V132" s="495">
        <f t="shared" si="68"/>
        <v>0</v>
      </c>
    </row>
    <row r="133" spans="1:22">
      <c r="A133" s="204">
        <v>126</v>
      </c>
      <c r="B133" s="209"/>
      <c r="C133" s="212" t="s">
        <v>295</v>
      </c>
      <c r="D133" s="696"/>
      <c r="E133" s="695">
        <v>0</v>
      </c>
      <c r="F133" s="694">
        <v>0</v>
      </c>
      <c r="G133" s="706">
        <f t="shared" si="66"/>
        <v>0</v>
      </c>
      <c r="U133" s="495">
        <f t="shared" si="67"/>
        <v>0</v>
      </c>
      <c r="V133" s="495">
        <f t="shared" si="68"/>
        <v>0</v>
      </c>
    </row>
    <row r="134" spans="1:22">
      <c r="A134" s="509">
        <v>127</v>
      </c>
      <c r="B134" s="211" t="s">
        <v>296</v>
      </c>
      <c r="C134" s="212" t="s">
        <v>297</v>
      </c>
      <c r="D134" s="696"/>
      <c r="E134" s="695">
        <v>0</v>
      </c>
      <c r="F134" s="694">
        <v>0</v>
      </c>
      <c r="G134" s="706">
        <f t="shared" si="66"/>
        <v>0</v>
      </c>
      <c r="U134" s="495">
        <f t="shared" si="67"/>
        <v>0</v>
      </c>
      <c r="V134" s="495">
        <f t="shared" si="68"/>
        <v>0</v>
      </c>
    </row>
    <row r="135" spans="1:22">
      <c r="A135" s="204">
        <v>128</v>
      </c>
      <c r="B135" s="213" t="s">
        <v>298</v>
      </c>
      <c r="C135" s="210"/>
      <c r="D135" s="698"/>
      <c r="E135" s="699">
        <f t="shared" ref="E135:R135" si="69">SUM(E128:E134)</f>
        <v>0</v>
      </c>
      <c r="F135" s="698">
        <f t="shared" si="69"/>
        <v>22725279.309999999</v>
      </c>
      <c r="G135" s="701">
        <f t="shared" si="69"/>
        <v>22725279.309999999</v>
      </c>
      <c r="I135" s="701">
        <f t="shared" si="69"/>
        <v>0</v>
      </c>
      <c r="J135" s="701">
        <f t="shared" si="69"/>
        <v>0</v>
      </c>
      <c r="K135" s="329">
        <f>SUM(K128:K134)</f>
        <v>0</v>
      </c>
      <c r="L135" s="701">
        <f t="shared" si="69"/>
        <v>1490380.1299999952</v>
      </c>
      <c r="M135" s="701">
        <f t="shared" ref="M135:N135" si="70">SUM(M128:M134)</f>
        <v>0</v>
      </c>
      <c r="N135" s="701">
        <f t="shared" si="70"/>
        <v>0</v>
      </c>
      <c r="O135" s="701">
        <f t="shared" si="69"/>
        <v>0</v>
      </c>
      <c r="P135" s="701">
        <f t="shared" si="69"/>
        <v>0</v>
      </c>
      <c r="Q135" s="701">
        <f t="shared" si="69"/>
        <v>648693.37219107943</v>
      </c>
      <c r="R135" s="702">
        <f t="shared" si="69"/>
        <v>0</v>
      </c>
      <c r="S135" s="701">
        <f t="shared" ref="S135:V135" si="71">SUM(S128:S134)</f>
        <v>0</v>
      </c>
      <c r="T135" s="701">
        <f t="shared" si="71"/>
        <v>0</v>
      </c>
      <c r="U135" s="701">
        <f t="shared" si="71"/>
        <v>2139073.5021910747</v>
      </c>
      <c r="V135" s="701">
        <f t="shared" si="71"/>
        <v>24864352.812191073</v>
      </c>
    </row>
    <row r="136" spans="1:22">
      <c r="A136" s="509">
        <v>129</v>
      </c>
      <c r="B136" s="209"/>
      <c r="C136" s="210"/>
      <c r="D136" s="694"/>
      <c r="E136" s="695"/>
      <c r="F136" s="694"/>
      <c r="G136" s="697"/>
    </row>
    <row r="137" spans="1:22">
      <c r="A137" s="204">
        <v>130</v>
      </c>
      <c r="B137" s="704" t="s">
        <v>299</v>
      </c>
      <c r="C137" s="210" t="s">
        <v>37</v>
      </c>
      <c r="D137" s="696"/>
      <c r="E137" s="705">
        <v>0</v>
      </c>
      <c r="F137" s="696">
        <v>0</v>
      </c>
      <c r="G137" s="706">
        <f>SUM(E137:F137)</f>
        <v>0</v>
      </c>
    </row>
    <row r="138" spans="1:22">
      <c r="A138" s="509">
        <v>131</v>
      </c>
      <c r="B138" s="209"/>
      <c r="C138" s="210"/>
      <c r="D138" s="694"/>
      <c r="E138" s="695"/>
      <c r="F138" s="694"/>
      <c r="G138" s="697"/>
      <c r="U138" s="495"/>
      <c r="V138" s="495"/>
    </row>
    <row r="139" spans="1:22">
      <c r="A139" s="204">
        <v>132</v>
      </c>
      <c r="B139" s="213" t="s">
        <v>300</v>
      </c>
      <c r="C139" s="210"/>
      <c r="D139" s="694"/>
      <c r="E139" s="695"/>
      <c r="F139" s="694"/>
      <c r="G139" s="697"/>
    </row>
    <row r="140" spans="1:22">
      <c r="A140" s="509">
        <v>133</v>
      </c>
      <c r="B140" s="211" t="s">
        <v>301</v>
      </c>
      <c r="C140" s="212" t="s">
        <v>302</v>
      </c>
      <c r="D140" s="492"/>
      <c r="E140" s="717">
        <v>3337499.99</v>
      </c>
      <c r="F140" s="492">
        <v>931127.37</v>
      </c>
      <c r="G140" s="719">
        <f>SUM(E140:F140)</f>
        <v>4268627.3600000003</v>
      </c>
      <c r="M140" s="479">
        <f>+'Restate &amp; Pro Forma Wage Adjust'!P17</f>
        <v>5989.3989245999992</v>
      </c>
      <c r="P140" s="488">
        <f>+'Restate &amp; Pro Forma Wage Adjust'!Q17</f>
        <v>88724.599997192621</v>
      </c>
      <c r="Q140" s="488">
        <f>+'Pro Forma Plant Additions'!E12</f>
        <v>396050.14785590791</v>
      </c>
      <c r="U140" s="495">
        <f>SUM(I140:T140)</f>
        <v>490764.14677770052</v>
      </c>
      <c r="V140" s="495">
        <f>+G140+U140</f>
        <v>4759391.506777701</v>
      </c>
    </row>
    <row r="141" spans="1:22">
      <c r="A141" s="204">
        <v>134</v>
      </c>
      <c r="B141" s="209"/>
      <c r="C141" s="210"/>
      <c r="D141" s="694"/>
      <c r="E141" s="695"/>
      <c r="F141" s="694"/>
      <c r="G141" s="697"/>
    </row>
    <row r="142" spans="1:22">
      <c r="A142" s="509">
        <v>135</v>
      </c>
      <c r="B142" s="213" t="s">
        <v>303</v>
      </c>
      <c r="C142" s="210"/>
      <c r="D142" s="694"/>
      <c r="E142" s="695"/>
      <c r="F142" s="694"/>
      <c r="G142" s="697"/>
    </row>
    <row r="143" spans="1:22">
      <c r="A143" s="204">
        <v>136</v>
      </c>
      <c r="B143" s="211" t="s">
        <v>304</v>
      </c>
      <c r="C143" s="212" t="s">
        <v>305</v>
      </c>
      <c r="D143" s="696"/>
      <c r="E143" s="705">
        <v>-5897972.5800000001</v>
      </c>
      <c r="F143" s="696">
        <v>0</v>
      </c>
      <c r="G143" s="706">
        <f>+E143</f>
        <v>-5897972.5800000001</v>
      </c>
      <c r="I143" s="328">
        <f>(I28-I53-I93)*'Exh MCP-4 - Conversion Factor'!C33</f>
        <v>137444.50600837791</v>
      </c>
      <c r="J143" s="328">
        <f>(J28-SUM(J105+J117))*'Exh MCP-4 - Conversion Factor'!C33</f>
        <v>5036.0366406000003</v>
      </c>
      <c r="K143" s="328">
        <f>(K28-K53-K93)*'Exh MCP-4 - Conversion Factor'!C33</f>
        <v>549052.24651776231</v>
      </c>
      <c r="L143" s="328">
        <f>(L28-L53-L93-L135)*'Exh MCP-4 - Conversion Factor'!C33</f>
        <v>-176627.1588831447</v>
      </c>
      <c r="M143" s="488">
        <f>+M28-SUM(M51+M54+M85+M93+M100+M107+M123+M135+M140)*'Exh MCP-4 - Conversion Factor'!C33</f>
        <v>-17699.261018165998</v>
      </c>
      <c r="N143" s="488">
        <f>+(N28-N123)*'Exh MCP-4 - Conversion Factor'!C33</f>
        <v>187821.96719999998</v>
      </c>
      <c r="O143" s="488">
        <f>+'Interest Coord. Adj.'!H16</f>
        <v>-285942.76753624319</v>
      </c>
      <c r="P143" s="488">
        <f>+P28-SUM(P85+P93+P57+P100+P107+P123+P135+P140)*'Exh MCP-4 - Conversion Factor'!C33</f>
        <v>-336284.1825913401</v>
      </c>
      <c r="Q143" s="488">
        <f>+Q28-SUM(Q135+Q140)*'Exh MCP-4 - Conversion Factor'!C33</f>
        <v>-219396.13920986734</v>
      </c>
      <c r="R143" s="678">
        <f>+(R28-R72)*'Exh MCP-4 - Conversion Factor'!C33</f>
        <v>-180505.64930999998</v>
      </c>
      <c r="S143" s="726"/>
      <c r="U143" s="495">
        <f t="shared" ref="U143:U148" si="72">SUM(I143:T143)</f>
        <v>-337100.40218202106</v>
      </c>
      <c r="V143" s="495">
        <f t="shared" ref="V143:V148" si="73">+G143+U143</f>
        <v>-6235072.9821820213</v>
      </c>
    </row>
    <row r="144" spans="1:22">
      <c r="A144" s="509">
        <v>137</v>
      </c>
      <c r="B144" s="211" t="s">
        <v>304</v>
      </c>
      <c r="C144" s="212" t="s">
        <v>306</v>
      </c>
      <c r="D144" s="696"/>
      <c r="E144" s="705">
        <v>0</v>
      </c>
      <c r="F144" s="696">
        <v>0</v>
      </c>
      <c r="G144" s="706">
        <f t="shared" ref="G144:G148" si="74">SUM(E144:F144)</f>
        <v>0</v>
      </c>
      <c r="U144" s="495">
        <f t="shared" si="72"/>
        <v>0</v>
      </c>
      <c r="V144" s="495">
        <f t="shared" si="73"/>
        <v>0</v>
      </c>
    </row>
    <row r="145" spans="1:22">
      <c r="A145" s="204">
        <v>138</v>
      </c>
      <c r="B145" s="211" t="s">
        <v>307</v>
      </c>
      <c r="C145" s="212" t="s">
        <v>308</v>
      </c>
      <c r="D145" s="696"/>
      <c r="E145" s="705">
        <v>14687003.68</v>
      </c>
      <c r="F145" s="696">
        <v>0</v>
      </c>
      <c r="G145" s="706">
        <f t="shared" si="74"/>
        <v>14687003.68</v>
      </c>
      <c r="U145" s="495">
        <f t="shared" si="72"/>
        <v>0</v>
      </c>
      <c r="V145" s="495">
        <f t="shared" si="73"/>
        <v>14687003.68</v>
      </c>
    </row>
    <row r="146" spans="1:22">
      <c r="A146" s="509">
        <v>139</v>
      </c>
      <c r="B146" s="211" t="s">
        <v>307</v>
      </c>
      <c r="C146" s="212" t="s">
        <v>309</v>
      </c>
      <c r="D146" s="696"/>
      <c r="E146" s="705">
        <v>0</v>
      </c>
      <c r="F146" s="696">
        <v>0</v>
      </c>
      <c r="G146" s="706">
        <f t="shared" si="74"/>
        <v>0</v>
      </c>
      <c r="U146" s="495">
        <f t="shared" si="72"/>
        <v>0</v>
      </c>
      <c r="V146" s="495">
        <f t="shared" si="73"/>
        <v>0</v>
      </c>
    </row>
    <row r="147" spans="1:22">
      <c r="A147" s="204">
        <v>140</v>
      </c>
      <c r="B147" s="211" t="s">
        <v>310</v>
      </c>
      <c r="C147" s="212" t="s">
        <v>311</v>
      </c>
      <c r="D147" s="696"/>
      <c r="E147" s="705">
        <v>-8395783.8699999992</v>
      </c>
      <c r="F147" s="696">
        <v>0</v>
      </c>
      <c r="G147" s="706">
        <f t="shared" si="74"/>
        <v>-8395783.8699999992</v>
      </c>
      <c r="U147" s="495">
        <f t="shared" si="72"/>
        <v>0</v>
      </c>
      <c r="V147" s="495">
        <f t="shared" si="73"/>
        <v>-8395783.8699999992</v>
      </c>
    </row>
    <row r="148" spans="1:22">
      <c r="A148" s="509">
        <v>141</v>
      </c>
      <c r="B148" s="211" t="s">
        <v>312</v>
      </c>
      <c r="C148" s="212" t="s">
        <v>313</v>
      </c>
      <c r="D148" s="694"/>
      <c r="E148" s="705">
        <v>0</v>
      </c>
      <c r="F148" s="696">
        <v>-32494.35</v>
      </c>
      <c r="G148" s="706">
        <f t="shared" si="74"/>
        <v>-32494.35</v>
      </c>
      <c r="U148" s="495">
        <f t="shared" si="72"/>
        <v>0</v>
      </c>
      <c r="V148" s="495">
        <f t="shared" si="73"/>
        <v>-32494.35</v>
      </c>
    </row>
    <row r="149" spans="1:22">
      <c r="A149" s="204">
        <v>142</v>
      </c>
      <c r="B149" s="213" t="s">
        <v>314</v>
      </c>
      <c r="C149" s="210"/>
      <c r="D149" s="698"/>
      <c r="E149" s="699">
        <f t="shared" ref="E149:G149" si="75">SUM(E143:E148)</f>
        <v>393247.23000000045</v>
      </c>
      <c r="F149" s="698">
        <f t="shared" si="75"/>
        <v>-32494.35</v>
      </c>
      <c r="G149" s="701">
        <f t="shared" si="75"/>
        <v>360752.88000000047</v>
      </c>
      <c r="I149" s="701">
        <f t="shared" ref="I149:Q149" si="76">SUM(I143:I148)</f>
        <v>137444.50600837791</v>
      </c>
      <c r="J149" s="701">
        <f t="shared" si="76"/>
        <v>5036.0366406000003</v>
      </c>
      <c r="K149" s="329">
        <f>SUM(K143:K148)</f>
        <v>549052.24651776231</v>
      </c>
      <c r="L149" s="701">
        <f>SUM(L143:L148)</f>
        <v>-176627.1588831447</v>
      </c>
      <c r="M149" s="701">
        <f t="shared" ref="M149:N149" si="77">SUM(M143:M148)</f>
        <v>-17699.261018165998</v>
      </c>
      <c r="N149" s="701">
        <f t="shared" si="77"/>
        <v>187821.96719999998</v>
      </c>
      <c r="O149" s="701">
        <f t="shared" si="76"/>
        <v>-285942.76753624319</v>
      </c>
      <c r="P149" s="701">
        <f t="shared" si="76"/>
        <v>-336284.1825913401</v>
      </c>
      <c r="Q149" s="701">
        <f t="shared" si="76"/>
        <v>-219396.13920986734</v>
      </c>
      <c r="R149" s="702">
        <f t="shared" ref="R149:U149" si="78">SUM(R143:R148)</f>
        <v>-180505.64930999998</v>
      </c>
      <c r="S149" s="701">
        <f t="shared" si="78"/>
        <v>0</v>
      </c>
      <c r="T149" s="701">
        <f t="shared" si="78"/>
        <v>0</v>
      </c>
      <c r="U149" s="701">
        <f t="shared" si="78"/>
        <v>-337100.40218202106</v>
      </c>
      <c r="V149" s="701">
        <f>SUM(V143:V148)</f>
        <v>23652.477817978339</v>
      </c>
    </row>
    <row r="150" spans="1:22">
      <c r="A150" s="509">
        <v>143</v>
      </c>
      <c r="B150" s="213" t="s">
        <v>315</v>
      </c>
      <c r="C150" s="210"/>
      <c r="D150" s="694"/>
      <c r="E150" s="695">
        <f t="shared" ref="E150:G150" si="79">E85+E93+E100+E107+E123+E135+E137+E140+E149+E57</f>
        <v>28808606.179999996</v>
      </c>
      <c r="F150" s="694">
        <f t="shared" si="79"/>
        <v>45221886.11999999</v>
      </c>
      <c r="G150" s="697">
        <f t="shared" si="79"/>
        <v>74030492.299999997</v>
      </c>
      <c r="I150" s="697">
        <f t="shared" ref="I150:R150" si="80">I85+I93+I100+I107+I123+I135+I137+I140+I149+I57+I53</f>
        <v>167293.19830425875</v>
      </c>
      <c r="J150" s="697">
        <f t="shared" si="80"/>
        <v>-18945.090219400005</v>
      </c>
      <c r="K150" s="697">
        <f t="shared" si="80"/>
        <v>668289.39929032803</v>
      </c>
      <c r="L150" s="697">
        <f t="shared" si="80"/>
        <v>1343364.5500842114</v>
      </c>
      <c r="M150" s="697">
        <f t="shared" si="80"/>
        <v>66582.934306433992</v>
      </c>
      <c r="N150" s="697">
        <f t="shared" si="80"/>
        <v>-706568.35279999999</v>
      </c>
      <c r="O150" s="697">
        <f t="shared" si="80"/>
        <v>-285942.76753624319</v>
      </c>
      <c r="P150" s="697">
        <f t="shared" si="80"/>
        <v>1265069.0678436127</v>
      </c>
      <c r="Q150" s="697">
        <f t="shared" si="80"/>
        <v>825347.38083712</v>
      </c>
      <c r="R150" s="697">
        <f t="shared" si="80"/>
        <v>679045.06168999989</v>
      </c>
      <c r="S150" s="697"/>
      <c r="T150" s="697"/>
      <c r="U150" s="697">
        <f t="shared" ref="U150:V150" si="81">U85+U93+U100+U107+U123+U135+U137+U140+U149+U57+U53</f>
        <v>4003535.3818003209</v>
      </c>
      <c r="V150" s="697">
        <f t="shared" si="81"/>
        <v>97089918.071800336</v>
      </c>
    </row>
    <row r="151" spans="1:22" ht="16.5" thickBot="1">
      <c r="A151" s="204">
        <v>144</v>
      </c>
      <c r="B151" s="213" t="s">
        <v>316</v>
      </c>
      <c r="C151" s="210"/>
      <c r="D151" s="727">
        <f t="shared" ref="D151:G151" si="82">D54-D150</f>
        <v>0</v>
      </c>
      <c r="E151" s="728">
        <f t="shared" si="82"/>
        <v>66709190.560000017</v>
      </c>
      <c r="F151" s="727">
        <f t="shared" si="82"/>
        <v>-45094136.529999986</v>
      </c>
      <c r="G151" s="729">
        <f t="shared" si="82"/>
        <v>21615054.030000016</v>
      </c>
      <c r="I151" s="807">
        <f t="shared" ref="I151:R151" si="83">+I28-I150</f>
        <v>517053.1416505645</v>
      </c>
      <c r="J151" s="807">
        <f t="shared" si="83"/>
        <v>18945.090219400005</v>
      </c>
      <c r="K151" s="807">
        <f t="shared" si="83"/>
        <v>2065482.2607096778</v>
      </c>
      <c r="L151" s="807">
        <f t="shared" si="83"/>
        <v>-664454.5500842114</v>
      </c>
      <c r="M151" s="807">
        <f t="shared" si="83"/>
        <v>-66582.934306433992</v>
      </c>
      <c r="N151" s="807">
        <f t="shared" si="83"/>
        <v>706568.35279999999</v>
      </c>
      <c r="O151" s="807">
        <f t="shared" si="83"/>
        <v>285942.76753624319</v>
      </c>
      <c r="P151" s="807">
        <f t="shared" si="83"/>
        <v>-1265069.0678436127</v>
      </c>
      <c r="Q151" s="807">
        <f t="shared" si="83"/>
        <v>-825347.38083712</v>
      </c>
      <c r="R151" s="807">
        <f t="shared" si="83"/>
        <v>-679045.06168999989</v>
      </c>
      <c r="S151" s="729">
        <f t="shared" ref="S151:T151" si="84">S54-S150</f>
        <v>0</v>
      </c>
      <c r="T151" s="729">
        <f t="shared" si="84"/>
        <v>0</v>
      </c>
      <c r="U151" s="729">
        <f>U28-U150</f>
        <v>93492.618154508062</v>
      </c>
      <c r="V151" s="729">
        <f>V54-V150</f>
        <v>4911369.7635963112</v>
      </c>
    </row>
    <row r="152" spans="1:22" ht="16.5" thickTop="1">
      <c r="A152" s="509">
        <v>145</v>
      </c>
      <c r="B152" s="209"/>
      <c r="C152" s="210"/>
      <c r="D152" s="694"/>
      <c r="E152" s="695"/>
      <c r="F152" s="694"/>
      <c r="G152" s="697"/>
      <c r="V152" s="730"/>
    </row>
    <row r="153" spans="1:22">
      <c r="A153" s="204">
        <v>146</v>
      </c>
      <c r="B153" s="213" t="s">
        <v>317</v>
      </c>
      <c r="C153" s="210"/>
      <c r="D153" s="694"/>
      <c r="E153" s="695"/>
      <c r="F153" s="694"/>
      <c r="G153" s="697"/>
    </row>
    <row r="154" spans="1:22">
      <c r="A154" s="509">
        <v>147</v>
      </c>
      <c r="B154" s="211" t="s">
        <v>85</v>
      </c>
      <c r="C154" s="212" t="s">
        <v>318</v>
      </c>
      <c r="D154" s="694"/>
      <c r="E154" s="705">
        <v>0</v>
      </c>
      <c r="F154" s="694">
        <v>9002829.7799999993</v>
      </c>
      <c r="G154" s="697">
        <f t="shared" ref="G154:G159" si="85">SUM(E154:F154)</f>
        <v>9002829.7799999993</v>
      </c>
    </row>
    <row r="155" spans="1:22">
      <c r="A155" s="204">
        <v>148</v>
      </c>
      <c r="B155" s="211" t="s">
        <v>86</v>
      </c>
      <c r="C155" s="212" t="s">
        <v>87</v>
      </c>
      <c r="D155" s="694"/>
      <c r="E155" s="705">
        <v>0</v>
      </c>
      <c r="F155" s="694">
        <v>154193.07999999999</v>
      </c>
      <c r="G155" s="697">
        <f t="shared" si="85"/>
        <v>154193.07999999999</v>
      </c>
    </row>
    <row r="156" spans="1:22">
      <c r="A156" s="509">
        <v>149</v>
      </c>
      <c r="B156" s="211" t="s">
        <v>88</v>
      </c>
      <c r="C156" s="212" t="s">
        <v>89</v>
      </c>
      <c r="D156" s="694"/>
      <c r="E156" s="705">
        <v>0</v>
      </c>
      <c r="F156" s="694">
        <v>31559.64</v>
      </c>
      <c r="G156" s="697">
        <f t="shared" si="85"/>
        <v>31559.64</v>
      </c>
    </row>
    <row r="157" spans="1:22">
      <c r="A157" s="204">
        <v>150</v>
      </c>
      <c r="B157" s="211" t="s">
        <v>319</v>
      </c>
      <c r="C157" s="212" t="s">
        <v>320</v>
      </c>
      <c r="D157" s="694"/>
      <c r="E157" s="695">
        <v>65785.95</v>
      </c>
      <c r="F157" s="696">
        <v>0</v>
      </c>
      <c r="G157" s="697">
        <f t="shared" si="85"/>
        <v>65785.95</v>
      </c>
    </row>
    <row r="158" spans="1:22">
      <c r="A158" s="509">
        <v>151</v>
      </c>
      <c r="B158" s="211" t="s">
        <v>321</v>
      </c>
      <c r="C158" s="212" t="s">
        <v>322</v>
      </c>
      <c r="D158" s="694"/>
      <c r="E158" s="705">
        <v>0</v>
      </c>
      <c r="F158" s="694">
        <v>73218.61</v>
      </c>
      <c r="G158" s="697">
        <f t="shared" si="85"/>
        <v>73218.61</v>
      </c>
    </row>
    <row r="159" spans="1:22">
      <c r="A159" s="204">
        <v>152</v>
      </c>
      <c r="B159" s="211" t="s">
        <v>323</v>
      </c>
      <c r="C159" s="212" t="s">
        <v>324</v>
      </c>
      <c r="D159" s="694"/>
      <c r="E159" s="695">
        <v>-197471.31</v>
      </c>
      <c r="F159" s="696">
        <v>-46849.01</v>
      </c>
      <c r="G159" s="697">
        <f t="shared" si="85"/>
        <v>-244320.32</v>
      </c>
    </row>
    <row r="160" spans="1:22">
      <c r="A160" s="509">
        <v>153</v>
      </c>
      <c r="B160" s="213" t="s">
        <v>325</v>
      </c>
      <c r="C160" s="210"/>
      <c r="D160" s="698"/>
      <c r="E160" s="699">
        <f t="shared" ref="E160:G160" si="86">SUM(E154:E159)</f>
        <v>-131685.35999999999</v>
      </c>
      <c r="F160" s="698">
        <f t="shared" si="86"/>
        <v>9214952.0999999996</v>
      </c>
      <c r="G160" s="701">
        <f t="shared" si="86"/>
        <v>9083266.7399999984</v>
      </c>
    </row>
    <row r="161" spans="1:7">
      <c r="A161" s="204">
        <v>154</v>
      </c>
      <c r="B161" s="209"/>
      <c r="C161" s="210"/>
      <c r="D161" s="694"/>
      <c r="E161" s="695"/>
      <c r="F161" s="694"/>
      <c r="G161" s="697"/>
    </row>
    <row r="162" spans="1:7">
      <c r="A162" s="509">
        <v>155</v>
      </c>
      <c r="B162" s="213" t="s">
        <v>326</v>
      </c>
      <c r="C162" s="210"/>
      <c r="D162" s="694"/>
      <c r="E162" s="695"/>
      <c r="F162" s="694"/>
      <c r="G162" s="697"/>
    </row>
    <row r="163" spans="1:7">
      <c r="A163" s="204">
        <v>156</v>
      </c>
      <c r="B163" s="211" t="s">
        <v>327</v>
      </c>
      <c r="C163" s="212" t="s">
        <v>328</v>
      </c>
      <c r="D163" s="696"/>
      <c r="E163" s="705">
        <v>0</v>
      </c>
      <c r="F163" s="696">
        <v>0</v>
      </c>
      <c r="G163" s="706">
        <f t="shared" ref="G163:G172" si="87">SUM(E163:F163)</f>
        <v>0</v>
      </c>
    </row>
    <row r="164" spans="1:7">
      <c r="A164" s="509">
        <v>157</v>
      </c>
      <c r="B164" s="211" t="s">
        <v>329</v>
      </c>
      <c r="C164" s="212" t="s">
        <v>330</v>
      </c>
      <c r="D164" s="696"/>
      <c r="E164" s="705">
        <v>0</v>
      </c>
      <c r="F164" s="696">
        <v>0</v>
      </c>
      <c r="G164" s="706">
        <f t="shared" si="87"/>
        <v>0</v>
      </c>
    </row>
    <row r="165" spans="1:7">
      <c r="A165" s="204">
        <v>158</v>
      </c>
      <c r="B165" s="211" t="s">
        <v>331</v>
      </c>
      <c r="C165" s="212" t="s">
        <v>332</v>
      </c>
      <c r="D165" s="694"/>
      <c r="E165" s="705">
        <v>0</v>
      </c>
      <c r="F165" s="696">
        <v>6502.18</v>
      </c>
      <c r="G165" s="697">
        <f t="shared" si="87"/>
        <v>6502.18</v>
      </c>
    </row>
    <row r="166" spans="1:7">
      <c r="A166" s="509">
        <v>159</v>
      </c>
      <c r="B166" s="211" t="s">
        <v>333</v>
      </c>
      <c r="C166" s="212" t="s">
        <v>334</v>
      </c>
      <c r="D166" s="696"/>
      <c r="E166" s="705">
        <v>0</v>
      </c>
      <c r="F166" s="696">
        <v>0</v>
      </c>
      <c r="G166" s="706">
        <f t="shared" si="87"/>
        <v>0</v>
      </c>
    </row>
    <row r="167" spans="1:7">
      <c r="A167" s="204">
        <v>160</v>
      </c>
      <c r="B167" s="211" t="s">
        <v>335</v>
      </c>
      <c r="C167" s="212" t="s">
        <v>336</v>
      </c>
      <c r="D167" s="696"/>
      <c r="E167" s="705">
        <v>0</v>
      </c>
      <c r="F167" s="696">
        <v>0</v>
      </c>
      <c r="G167" s="706">
        <f t="shared" si="87"/>
        <v>0</v>
      </c>
    </row>
    <row r="168" spans="1:7">
      <c r="A168" s="509">
        <v>161</v>
      </c>
      <c r="B168" s="211" t="s">
        <v>337</v>
      </c>
      <c r="C168" s="212" t="s">
        <v>338</v>
      </c>
      <c r="D168" s="694"/>
      <c r="E168" s="705">
        <v>424490.99</v>
      </c>
      <c r="F168" s="696">
        <v>2897.28</v>
      </c>
      <c r="G168" s="697">
        <f t="shared" si="87"/>
        <v>427388.27</v>
      </c>
    </row>
    <row r="169" spans="1:7">
      <c r="A169" s="204">
        <v>162</v>
      </c>
      <c r="B169" s="211" t="s">
        <v>339</v>
      </c>
      <c r="C169" s="212" t="s">
        <v>340</v>
      </c>
      <c r="D169" s="696"/>
      <c r="E169" s="705">
        <v>35616.050000000003</v>
      </c>
      <c r="F169" s="696">
        <v>2714.88</v>
      </c>
      <c r="G169" s="706">
        <f t="shared" si="87"/>
        <v>38330.93</v>
      </c>
    </row>
    <row r="170" spans="1:7">
      <c r="A170" s="509">
        <v>163</v>
      </c>
      <c r="B170" s="731">
        <v>408.2</v>
      </c>
      <c r="C170" s="212" t="s">
        <v>341</v>
      </c>
      <c r="D170" s="696"/>
      <c r="E170" s="705">
        <v>-1144.68</v>
      </c>
      <c r="F170" s="696">
        <v>0</v>
      </c>
      <c r="G170" s="706">
        <f t="shared" si="87"/>
        <v>-1144.68</v>
      </c>
    </row>
    <row r="171" spans="1:7">
      <c r="A171" s="204">
        <v>164</v>
      </c>
      <c r="B171" s="211" t="s">
        <v>342</v>
      </c>
      <c r="C171" s="212" t="s">
        <v>343</v>
      </c>
      <c r="D171" s="694"/>
      <c r="E171" s="705">
        <v>0</v>
      </c>
      <c r="F171" s="696">
        <v>19368.52</v>
      </c>
      <c r="G171" s="697">
        <f t="shared" si="87"/>
        <v>19368.52</v>
      </c>
    </row>
    <row r="172" spans="1:7">
      <c r="A172" s="509">
        <v>165</v>
      </c>
      <c r="B172" s="211" t="s">
        <v>344</v>
      </c>
      <c r="C172" s="212" t="s">
        <v>555</v>
      </c>
      <c r="D172" s="694"/>
      <c r="E172" s="705">
        <v>0</v>
      </c>
      <c r="F172" s="696">
        <v>0</v>
      </c>
      <c r="G172" s="697">
        <f t="shared" si="87"/>
        <v>0</v>
      </c>
    </row>
    <row r="173" spans="1:7">
      <c r="A173" s="204">
        <v>166</v>
      </c>
      <c r="B173" s="213" t="s">
        <v>345</v>
      </c>
      <c r="C173" s="210"/>
      <c r="D173" s="698"/>
      <c r="E173" s="699">
        <f t="shared" ref="E173:G173" si="88">SUM(E163:E172)</f>
        <v>458962.36</v>
      </c>
      <c r="F173" s="698">
        <f t="shared" si="88"/>
        <v>31482.86</v>
      </c>
      <c r="G173" s="701">
        <f t="shared" si="88"/>
        <v>490445.22000000003</v>
      </c>
    </row>
    <row r="174" spans="1:7">
      <c r="A174" s="509">
        <v>167</v>
      </c>
      <c r="B174" s="209"/>
      <c r="C174" s="210"/>
      <c r="D174" s="694"/>
      <c r="E174" s="695"/>
      <c r="F174" s="694"/>
      <c r="G174" s="697"/>
    </row>
    <row r="175" spans="1:7">
      <c r="A175" s="204">
        <v>168</v>
      </c>
      <c r="B175" s="213" t="s">
        <v>346</v>
      </c>
      <c r="C175" s="210"/>
      <c r="D175" s="694"/>
      <c r="E175" s="695"/>
      <c r="F175" s="694"/>
      <c r="G175" s="697"/>
    </row>
    <row r="176" spans="1:7">
      <c r="A176" s="509">
        <v>169</v>
      </c>
      <c r="B176" s="211" t="s">
        <v>347</v>
      </c>
      <c r="C176" s="212" t="s">
        <v>348</v>
      </c>
      <c r="D176" s="694"/>
      <c r="E176" s="695">
        <v>-202795.88</v>
      </c>
      <c r="F176" s="694">
        <v>-0.5</v>
      </c>
      <c r="G176" s="697">
        <f t="shared" ref="G176:G185" si="89">SUM(E176:F176)</f>
        <v>-202796.38</v>
      </c>
    </row>
    <row r="177" spans="1:7">
      <c r="A177" s="204">
        <v>170</v>
      </c>
      <c r="B177" s="211" t="s">
        <v>347</v>
      </c>
      <c r="C177" s="212" t="s">
        <v>349</v>
      </c>
      <c r="D177" s="696"/>
      <c r="E177" s="705">
        <v>0</v>
      </c>
      <c r="F177" s="694">
        <v>0</v>
      </c>
      <c r="G177" s="706">
        <f t="shared" si="89"/>
        <v>0</v>
      </c>
    </row>
    <row r="178" spans="1:7">
      <c r="A178" s="509">
        <v>171</v>
      </c>
      <c r="B178" s="211" t="s">
        <v>350</v>
      </c>
      <c r="C178" s="212" t="s">
        <v>351</v>
      </c>
      <c r="D178" s="696"/>
      <c r="E178" s="705">
        <v>107145.27</v>
      </c>
      <c r="F178" s="694">
        <v>0</v>
      </c>
      <c r="G178" s="706">
        <f t="shared" si="89"/>
        <v>107145.27</v>
      </c>
    </row>
    <row r="179" spans="1:7">
      <c r="A179" s="204">
        <v>172</v>
      </c>
      <c r="B179" s="211" t="s">
        <v>352</v>
      </c>
      <c r="C179" s="212" t="s">
        <v>353</v>
      </c>
      <c r="D179" s="696"/>
      <c r="E179" s="705">
        <v>-80703.789999999994</v>
      </c>
      <c r="F179" s="694">
        <v>0</v>
      </c>
      <c r="G179" s="706">
        <f t="shared" si="89"/>
        <v>-80703.789999999994</v>
      </c>
    </row>
    <row r="180" spans="1:7">
      <c r="A180" s="509">
        <v>173</v>
      </c>
      <c r="B180" s="211" t="s">
        <v>354</v>
      </c>
      <c r="C180" s="212" t="s">
        <v>355</v>
      </c>
      <c r="D180" s="696"/>
      <c r="E180" s="705">
        <v>0</v>
      </c>
      <c r="F180" s="694">
        <v>0</v>
      </c>
      <c r="G180" s="706">
        <f t="shared" si="89"/>
        <v>0</v>
      </c>
    </row>
    <row r="181" spans="1:7">
      <c r="A181" s="204">
        <v>174</v>
      </c>
      <c r="B181" s="211" t="s">
        <v>356</v>
      </c>
      <c r="C181" s="212" t="s">
        <v>357</v>
      </c>
      <c r="D181" s="694"/>
      <c r="E181" s="695">
        <v>15056.65</v>
      </c>
      <c r="F181" s="694">
        <v>89805.58</v>
      </c>
      <c r="G181" s="697">
        <f t="shared" si="89"/>
        <v>104862.23</v>
      </c>
    </row>
    <row r="182" spans="1:7">
      <c r="A182" s="509">
        <v>175</v>
      </c>
      <c r="B182" s="211" t="s">
        <v>358</v>
      </c>
      <c r="C182" s="212" t="s">
        <v>359</v>
      </c>
      <c r="D182" s="696"/>
      <c r="E182" s="705">
        <v>0</v>
      </c>
      <c r="F182" s="694">
        <v>339038.02</v>
      </c>
      <c r="G182" s="706">
        <f t="shared" si="89"/>
        <v>339038.02</v>
      </c>
    </row>
    <row r="183" spans="1:7">
      <c r="A183" s="204">
        <v>176</v>
      </c>
      <c r="B183" s="211" t="s">
        <v>360</v>
      </c>
      <c r="C183" s="212" t="s">
        <v>361</v>
      </c>
      <c r="D183" s="696"/>
      <c r="E183" s="705">
        <v>0</v>
      </c>
      <c r="F183" s="694">
        <v>37.99</v>
      </c>
      <c r="G183" s="706">
        <f t="shared" si="89"/>
        <v>37.99</v>
      </c>
    </row>
    <row r="184" spans="1:7">
      <c r="A184" s="509">
        <v>177</v>
      </c>
      <c r="B184" s="211" t="s">
        <v>362</v>
      </c>
      <c r="C184" s="212" t="s">
        <v>363</v>
      </c>
      <c r="D184" s="694"/>
      <c r="E184" s="695">
        <v>465</v>
      </c>
      <c r="F184" s="694">
        <v>123586.74</v>
      </c>
      <c r="G184" s="697">
        <f t="shared" si="89"/>
        <v>124051.74</v>
      </c>
    </row>
    <row r="185" spans="1:7">
      <c r="A185" s="204">
        <v>178</v>
      </c>
      <c r="B185" s="211" t="s">
        <v>364</v>
      </c>
      <c r="C185" s="212" t="s">
        <v>365</v>
      </c>
      <c r="D185" s="696"/>
      <c r="E185" s="705">
        <v>615677.14</v>
      </c>
      <c r="F185" s="694">
        <v>0</v>
      </c>
      <c r="G185" s="706">
        <f t="shared" si="89"/>
        <v>615677.14</v>
      </c>
    </row>
    <row r="186" spans="1:7">
      <c r="A186" s="509">
        <v>179</v>
      </c>
      <c r="B186" s="213" t="s">
        <v>366</v>
      </c>
      <c r="C186" s="210"/>
      <c r="D186" s="698"/>
      <c r="E186" s="699">
        <f t="shared" ref="E186:G186" si="90">SUM(E176:E185)</f>
        <v>454844.39</v>
      </c>
      <c r="F186" s="698">
        <f t="shared" si="90"/>
        <v>552467.83000000007</v>
      </c>
      <c r="G186" s="701">
        <f t="shared" si="90"/>
        <v>1007312.22</v>
      </c>
    </row>
    <row r="187" spans="1:7" ht="16.5" thickBot="1">
      <c r="A187" s="204">
        <v>180</v>
      </c>
      <c r="B187" s="732" t="s">
        <v>367</v>
      </c>
      <c r="C187" s="733"/>
      <c r="D187" s="727">
        <f>D151-D160-D173-D186</f>
        <v>0</v>
      </c>
      <c r="E187" s="728">
        <f>E151-E160+E173-E186</f>
        <v>66844993.890000015</v>
      </c>
      <c r="F187" s="727">
        <f t="shared" ref="F187:G187" si="91">F151-F160+F173-F186</f>
        <v>-54830073.599999987</v>
      </c>
      <c r="G187" s="729">
        <f t="shared" si="91"/>
        <v>12014920.290000018</v>
      </c>
    </row>
    <row r="188" spans="1:7" ht="16.5" thickTop="1"/>
  </sheetData>
  <mergeCells count="20">
    <mergeCell ref="S1:T1"/>
    <mergeCell ref="S2:T2"/>
    <mergeCell ref="S3:T3"/>
    <mergeCell ref="S4:T4"/>
    <mergeCell ref="S5:T5"/>
    <mergeCell ref="K1:Q1"/>
    <mergeCell ref="K2:Q2"/>
    <mergeCell ref="K3:Q3"/>
    <mergeCell ref="K4:Q4"/>
    <mergeCell ref="K5:Q5"/>
    <mergeCell ref="C1:G1"/>
    <mergeCell ref="C2:G2"/>
    <mergeCell ref="C3:G3"/>
    <mergeCell ref="C4:G4"/>
    <mergeCell ref="C5:G5"/>
    <mergeCell ref="B13:C13"/>
    <mergeCell ref="B125:C125"/>
    <mergeCell ref="B11:C12"/>
    <mergeCell ref="E11:G11"/>
    <mergeCell ref="E12:G12"/>
  </mergeCells>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0"/>
  <sheetViews>
    <sheetView workbookViewId="0">
      <selection activeCell="D30" sqref="D30:D32"/>
    </sheetView>
  </sheetViews>
  <sheetFormatPr defaultRowHeight="15.75"/>
  <cols>
    <col min="1" max="1" width="8.42578125" style="4" bestFit="1" customWidth="1"/>
    <col min="2" max="2" width="37.5703125" style="4" bestFit="1" customWidth="1"/>
    <col min="3" max="3" width="3.85546875" style="4" customWidth="1"/>
    <col min="4" max="4" width="17.7109375" style="4" bestFit="1" customWidth="1"/>
    <col min="5" max="6" width="9.140625" style="4"/>
    <col min="7" max="7" width="15.42578125" style="4" customWidth="1"/>
    <col min="8" max="8" width="17.7109375" style="4" bestFit="1" customWidth="1"/>
    <col min="9" max="16384" width="9.140625" style="4"/>
  </cols>
  <sheetData>
    <row r="1" spans="1:9">
      <c r="A1" s="884" t="s">
        <v>60</v>
      </c>
      <c r="B1" s="884"/>
      <c r="C1" s="884"/>
      <c r="D1" s="884"/>
      <c r="E1" s="884"/>
      <c r="F1" s="884"/>
      <c r="G1" s="884"/>
      <c r="H1" s="884"/>
      <c r="I1" s="884"/>
    </row>
    <row r="2" spans="1:9">
      <c r="A2" s="884" t="s">
        <v>1390</v>
      </c>
      <c r="B2" s="884"/>
      <c r="C2" s="884"/>
      <c r="D2" s="884"/>
      <c r="E2" s="884"/>
      <c r="F2" s="884"/>
      <c r="G2" s="884"/>
      <c r="H2" s="884"/>
      <c r="I2" s="884"/>
    </row>
    <row r="3" spans="1:9">
      <c r="A3" s="884" t="s">
        <v>1457</v>
      </c>
      <c r="B3" s="884"/>
      <c r="C3" s="884"/>
      <c r="D3" s="884"/>
      <c r="E3" s="884"/>
      <c r="F3" s="884"/>
      <c r="G3" s="884"/>
      <c r="H3" s="884"/>
      <c r="I3" s="884"/>
    </row>
    <row r="4" spans="1:9">
      <c r="A4" s="884" t="s">
        <v>41</v>
      </c>
      <c r="B4" s="884"/>
      <c r="C4" s="884"/>
      <c r="D4" s="884"/>
      <c r="E4" s="884"/>
      <c r="F4" s="884"/>
      <c r="G4" s="884"/>
      <c r="H4" s="884"/>
      <c r="I4" s="884"/>
    </row>
    <row r="5" spans="1:9">
      <c r="A5" s="884" t="s">
        <v>1376</v>
      </c>
      <c r="B5" s="884"/>
      <c r="C5" s="884"/>
      <c r="D5" s="884"/>
      <c r="E5" s="884"/>
      <c r="F5" s="884"/>
      <c r="G5" s="884"/>
      <c r="H5" s="884"/>
      <c r="I5" s="884"/>
    </row>
    <row r="9" spans="1:9">
      <c r="A9" s="12" t="s">
        <v>881</v>
      </c>
      <c r="B9" s="6" t="s">
        <v>885</v>
      </c>
      <c r="C9" s="6"/>
      <c r="D9" s="6" t="s">
        <v>883</v>
      </c>
      <c r="H9" s="6" t="s">
        <v>884</v>
      </c>
    </row>
    <row r="10" spans="1:9">
      <c r="A10" s="6">
        <v>1</v>
      </c>
      <c r="D10" s="6" t="s">
        <v>369</v>
      </c>
      <c r="H10" s="6" t="s">
        <v>2115</v>
      </c>
    </row>
    <row r="11" spans="1:9">
      <c r="A11" s="6">
        <v>2</v>
      </c>
      <c r="D11" s="6" t="s">
        <v>370</v>
      </c>
      <c r="H11" s="6" t="s">
        <v>370</v>
      </c>
    </row>
    <row r="12" spans="1:9">
      <c r="A12" s="6">
        <v>3</v>
      </c>
      <c r="D12" s="28" t="s">
        <v>1458</v>
      </c>
      <c r="E12" s="26"/>
      <c r="F12" s="26"/>
      <c r="G12" s="26"/>
      <c r="H12" s="28" t="s">
        <v>1458</v>
      </c>
    </row>
    <row r="13" spans="1:9">
      <c r="A13" s="6">
        <v>4</v>
      </c>
      <c r="B13" s="4" t="s">
        <v>1039</v>
      </c>
      <c r="D13" s="488">
        <f>+'Plant in Serv &amp; Accum Depr'!AF159</f>
        <v>780280560.97563207</v>
      </c>
      <c r="E13" s="26" t="s">
        <v>1088</v>
      </c>
      <c r="F13" s="26"/>
      <c r="G13" s="26"/>
      <c r="H13" s="488">
        <f>+'Plant in Serv &amp; Accum Depr'!AD159</f>
        <v>817220128.27877688</v>
      </c>
    </row>
    <row r="14" spans="1:9">
      <c r="A14" s="6">
        <v>5</v>
      </c>
      <c r="B14" s="4" t="s">
        <v>1040</v>
      </c>
      <c r="D14" s="531">
        <f>-'Plant in Serv &amp; Accum Depr'!AF165</f>
        <v>-379049328.05385643</v>
      </c>
      <c r="E14" s="26" t="s">
        <v>1088</v>
      </c>
      <c r="F14" s="26"/>
      <c r="G14" s="26"/>
      <c r="H14" s="531">
        <f>-'Plant in Serv &amp; Accum Depr'!AD165</f>
        <v>-381207641.80520397</v>
      </c>
    </row>
    <row r="15" spans="1:9">
      <c r="A15" s="6">
        <v>6</v>
      </c>
      <c r="B15" s="4" t="s">
        <v>368</v>
      </c>
      <c r="D15" s="214">
        <f>+D13+D14</f>
        <v>401231232.92177564</v>
      </c>
      <c r="E15" s="26"/>
      <c r="F15" s="26"/>
      <c r="G15" s="26"/>
      <c r="H15" s="214">
        <f>+H13+H14</f>
        <v>436012486.47357291</v>
      </c>
    </row>
    <row r="16" spans="1:9">
      <c r="A16" s="6">
        <v>7</v>
      </c>
      <c r="B16" s="4" t="s">
        <v>1041</v>
      </c>
      <c r="D16" s="214">
        <f>+'Adv for Const. &amp; Def Tax'!AX23</f>
        <v>-3984824.2262500008</v>
      </c>
      <c r="E16" s="26" t="s">
        <v>1089</v>
      </c>
      <c r="F16" s="26"/>
      <c r="G16" s="26"/>
      <c r="H16" s="214">
        <f>+'Adv for Const. &amp; Def Tax'!AU23</f>
        <v>-3905382.89</v>
      </c>
    </row>
    <row r="17" spans="1:8">
      <c r="A17" s="6">
        <v>8</v>
      </c>
      <c r="B17" s="4" t="s">
        <v>1042</v>
      </c>
      <c r="D17" s="214">
        <f>+'Adv for Const. &amp; Def Tax'!AX37</f>
        <v>-75831769.320000008</v>
      </c>
      <c r="E17" s="26" t="s">
        <v>1089</v>
      </c>
      <c r="F17" s="26"/>
      <c r="G17" s="26"/>
      <c r="H17" s="214">
        <f>+'Adv for Const. &amp; Def Tax'!AU37</f>
        <v>-76345601.890000001</v>
      </c>
    </row>
    <row r="18" spans="1:8">
      <c r="A18" s="6">
        <v>9</v>
      </c>
      <c r="B18" s="4" t="s">
        <v>1043</v>
      </c>
      <c r="D18" s="789">
        <f>+' Working Capital (AMA)'!Y642</f>
        <v>16984937.20167252</v>
      </c>
      <c r="E18" s="26" t="s">
        <v>1090</v>
      </c>
      <c r="F18" s="26"/>
      <c r="G18" s="26"/>
      <c r="H18" s="789">
        <f>+'Working Capital (EOP)'!Y642</f>
        <v>401854.46734138718</v>
      </c>
    </row>
    <row r="19" spans="1:8">
      <c r="A19" s="6">
        <v>10</v>
      </c>
      <c r="B19" s="4" t="s">
        <v>1044</v>
      </c>
      <c r="D19" s="790">
        <f>+D15+D16+D17+D18</f>
        <v>338399576.57719815</v>
      </c>
      <c r="E19" s="26"/>
      <c r="F19" s="26"/>
      <c r="G19" s="26"/>
      <c r="H19" s="790">
        <f>+H15+H16+H17+H18</f>
        <v>356163356.1609143</v>
      </c>
    </row>
    <row r="20" spans="1:8">
      <c r="D20" s="26"/>
      <c r="E20" s="26"/>
      <c r="F20" s="26"/>
      <c r="G20" s="26"/>
      <c r="H20" s="26"/>
    </row>
  </sheetData>
  <mergeCells count="5">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168"/>
  <sheetViews>
    <sheetView view="pageBreakPreview" topLeftCell="E88" zoomScale="40" zoomScaleNormal="30" zoomScaleSheetLayoutView="40" workbookViewId="0">
      <selection activeCell="AD159" sqref="AD159"/>
    </sheetView>
  </sheetViews>
  <sheetFormatPr defaultRowHeight="15.75"/>
  <cols>
    <col min="1" max="1" width="9.28515625" style="30" bestFit="1" customWidth="1"/>
    <col min="2" max="2" width="17.7109375" style="4" customWidth="1"/>
    <col min="3" max="3" width="44" style="4" bestFit="1" customWidth="1"/>
    <col min="4" max="4" width="19.28515625" style="4" customWidth="1"/>
    <col min="5" max="5" width="17.85546875" style="4" bestFit="1" customWidth="1"/>
    <col min="6" max="6" width="20.140625" style="4" bestFit="1" customWidth="1"/>
    <col min="7" max="7" width="19.5703125" style="4" bestFit="1" customWidth="1"/>
    <col min="8" max="8" width="18.7109375" style="4" bestFit="1" customWidth="1"/>
    <col min="9" max="9" width="19.5703125" style="4" bestFit="1" customWidth="1"/>
    <col min="10" max="10" width="18.85546875" style="4" bestFit="1" customWidth="1"/>
    <col min="11" max="13" width="19.5703125" style="4" bestFit="1" customWidth="1"/>
    <col min="14" max="14" width="18.85546875" style="4" bestFit="1" customWidth="1"/>
    <col min="15" max="15" width="19.5703125" style="4" bestFit="1" customWidth="1"/>
    <col min="16" max="16" width="19.85546875" style="4" bestFit="1" customWidth="1"/>
    <col min="17" max="17" width="19.5703125" style="4" bestFit="1" customWidth="1"/>
    <col min="18" max="18" width="18.7109375" style="4" bestFit="1" customWidth="1"/>
    <col min="19" max="19" width="19.5703125" style="4" bestFit="1" customWidth="1"/>
    <col min="20" max="20" width="18.140625" style="4" bestFit="1" customWidth="1"/>
    <col min="21" max="21" width="19.5703125" style="4" bestFit="1" customWidth="1"/>
    <col min="22" max="22" width="19.140625" style="4" bestFit="1" customWidth="1"/>
    <col min="23" max="23" width="19.5703125" style="4" bestFit="1" customWidth="1"/>
    <col min="24" max="25" width="28.28515625" style="4" bestFit="1" customWidth="1"/>
    <col min="26" max="26" width="27" style="4" bestFit="1" customWidth="1"/>
    <col min="27" max="28" width="28.28515625" style="4" bestFit="1" customWidth="1"/>
    <col min="29" max="29" width="27.7109375" style="4" bestFit="1" customWidth="1"/>
    <col min="30" max="30" width="19.140625" style="4" bestFit="1" customWidth="1"/>
    <col min="31" max="31" width="28.85546875" style="4" bestFit="1" customWidth="1"/>
    <col min="32" max="32" width="35.85546875" style="4" bestFit="1" customWidth="1"/>
    <col min="33" max="16384" width="9.140625" style="4"/>
  </cols>
  <sheetData>
    <row r="1" spans="1:35" s="26" customFormat="1">
      <c r="A1" s="884" t="s">
        <v>60</v>
      </c>
      <c r="B1" s="884"/>
      <c r="C1" s="884"/>
      <c r="D1" s="884"/>
      <c r="E1" s="884"/>
      <c r="F1" s="884"/>
      <c r="G1" s="884"/>
      <c r="J1" s="884" t="s">
        <v>60</v>
      </c>
      <c r="K1" s="884"/>
      <c r="L1" s="884"/>
      <c r="M1" s="3"/>
      <c r="N1" s="3"/>
      <c r="O1" s="3"/>
      <c r="R1" s="884" t="s">
        <v>60</v>
      </c>
      <c r="S1" s="884"/>
      <c r="T1" s="3"/>
      <c r="U1" s="3"/>
      <c r="V1" s="3"/>
      <c r="W1" s="3"/>
      <c r="Y1" s="884" t="s">
        <v>60</v>
      </c>
      <c r="Z1" s="884"/>
      <c r="AA1" s="884"/>
      <c r="AB1" s="3"/>
      <c r="AC1" s="3"/>
      <c r="AD1" s="3"/>
      <c r="AE1" s="815" t="s">
        <v>60</v>
      </c>
      <c r="AF1" s="3"/>
      <c r="AG1" s="3"/>
      <c r="AH1" s="3"/>
      <c r="AI1" s="3"/>
    </row>
    <row r="2" spans="1:35" s="26" customFormat="1">
      <c r="A2" s="884" t="s">
        <v>1390</v>
      </c>
      <c r="B2" s="884"/>
      <c r="C2" s="884"/>
      <c r="D2" s="884"/>
      <c r="E2" s="884"/>
      <c r="F2" s="884"/>
      <c r="G2" s="884"/>
      <c r="J2" s="884" t="str">
        <f>+A2</f>
        <v>UG 19_____</v>
      </c>
      <c r="K2" s="884"/>
      <c r="L2" s="884"/>
      <c r="M2" s="3"/>
      <c r="N2" s="3"/>
      <c r="O2" s="3"/>
      <c r="R2" s="884" t="str">
        <f>+J2</f>
        <v>UG 19_____</v>
      </c>
      <c r="S2" s="884"/>
      <c r="T2" s="3"/>
      <c r="U2" s="3"/>
      <c r="V2" s="3"/>
      <c r="W2" s="3"/>
      <c r="X2" s="28"/>
      <c r="Y2" s="884" t="str">
        <f>+R2</f>
        <v>UG 19_____</v>
      </c>
      <c r="Z2" s="884"/>
      <c r="AA2" s="884"/>
      <c r="AB2" s="3"/>
      <c r="AC2" s="3"/>
      <c r="AD2" s="28"/>
      <c r="AE2" s="815" t="str">
        <f>+Y2</f>
        <v>UG 19_____</v>
      </c>
      <c r="AF2" s="3"/>
      <c r="AG2" s="3"/>
      <c r="AH2" s="3"/>
      <c r="AI2" s="3"/>
    </row>
    <row r="3" spans="1:35" s="26" customFormat="1">
      <c r="A3" s="884" t="s">
        <v>1568</v>
      </c>
      <c r="B3" s="884"/>
      <c r="C3" s="884"/>
      <c r="D3" s="884"/>
      <c r="E3" s="884"/>
      <c r="F3" s="884"/>
      <c r="G3" s="884"/>
      <c r="J3" s="884" t="str">
        <f>+A3</f>
        <v>MCP WP-1.3</v>
      </c>
      <c r="K3" s="884"/>
      <c r="L3" s="884"/>
      <c r="M3" s="3"/>
      <c r="N3" s="3"/>
      <c r="O3" s="3"/>
      <c r="R3" s="884" t="str">
        <f>+J3</f>
        <v>MCP WP-1.3</v>
      </c>
      <c r="S3" s="884"/>
      <c r="T3" s="3"/>
      <c r="U3" s="3"/>
      <c r="V3" s="3"/>
      <c r="W3" s="3"/>
      <c r="X3" s="28"/>
      <c r="Y3" s="884" t="str">
        <f>+R3</f>
        <v>MCP WP-1.3</v>
      </c>
      <c r="Z3" s="884"/>
      <c r="AA3" s="884"/>
      <c r="AB3" s="3"/>
      <c r="AC3" s="3"/>
      <c r="AD3" s="28"/>
      <c r="AE3" s="815" t="str">
        <f>+Y3</f>
        <v>MCP WP-1.3</v>
      </c>
      <c r="AF3" s="3"/>
      <c r="AG3" s="3"/>
      <c r="AH3" s="3"/>
      <c r="AI3" s="3"/>
    </row>
    <row r="4" spans="1:35" s="26" customFormat="1">
      <c r="A4" s="884" t="s">
        <v>1120</v>
      </c>
      <c r="B4" s="884"/>
      <c r="C4" s="884"/>
      <c r="D4" s="884"/>
      <c r="E4" s="884"/>
      <c r="F4" s="884"/>
      <c r="G4" s="884"/>
      <c r="J4" s="884" t="s">
        <v>1120</v>
      </c>
      <c r="K4" s="884"/>
      <c r="L4" s="884"/>
      <c r="M4" s="3"/>
      <c r="N4" s="3"/>
      <c r="O4" s="3"/>
      <c r="R4" s="884" t="s">
        <v>1120</v>
      </c>
      <c r="S4" s="884"/>
      <c r="T4" s="3"/>
      <c r="U4" s="3"/>
      <c r="V4" s="3"/>
      <c r="W4" s="3"/>
      <c r="Y4" s="884" t="s">
        <v>1120</v>
      </c>
      <c r="Z4" s="884"/>
      <c r="AA4" s="884"/>
      <c r="AB4" s="3"/>
      <c r="AC4" s="3"/>
      <c r="AD4" s="3"/>
      <c r="AE4" s="815" t="s">
        <v>1120</v>
      </c>
      <c r="AF4" s="3"/>
      <c r="AG4" s="3"/>
      <c r="AH4" s="3"/>
      <c r="AI4" s="3"/>
    </row>
    <row r="5" spans="1:35" s="26" customFormat="1">
      <c r="A5" s="884" t="s">
        <v>1376</v>
      </c>
      <c r="B5" s="884"/>
      <c r="C5" s="884"/>
      <c r="D5" s="884"/>
      <c r="E5" s="884"/>
      <c r="F5" s="884"/>
      <c r="G5" s="884"/>
      <c r="J5" s="884" t="str">
        <f>+A5</f>
        <v>Twelve Months Ended December 31, 2018</v>
      </c>
      <c r="K5" s="884"/>
      <c r="L5" s="884"/>
      <c r="M5" s="3"/>
      <c r="N5" s="3"/>
      <c r="O5" s="3"/>
      <c r="R5" s="884" t="str">
        <f>+J5</f>
        <v>Twelve Months Ended December 31, 2018</v>
      </c>
      <c r="S5" s="884"/>
      <c r="T5" s="3"/>
      <c r="U5" s="3"/>
      <c r="V5" s="3"/>
      <c r="W5" s="3"/>
      <c r="Y5" s="884" t="str">
        <f>+R5</f>
        <v>Twelve Months Ended December 31, 2018</v>
      </c>
      <c r="Z5" s="884"/>
      <c r="AA5" s="884"/>
      <c r="AB5" s="3"/>
      <c r="AC5" s="3"/>
      <c r="AE5" s="815" t="str">
        <f>+Y5</f>
        <v>Twelve Months Ended December 31, 2018</v>
      </c>
      <c r="AF5" s="3"/>
      <c r="AG5" s="3"/>
      <c r="AH5" s="3"/>
      <c r="AI5" s="3"/>
    </row>
    <row r="6" spans="1:35">
      <c r="A6" s="509"/>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s="30" customFormat="1">
      <c r="A7" s="509"/>
      <c r="B7" s="509" t="s">
        <v>885</v>
      </c>
      <c r="C7" s="509" t="s">
        <v>883</v>
      </c>
      <c r="D7" s="509" t="s">
        <v>884</v>
      </c>
      <c r="E7" s="509" t="s">
        <v>887</v>
      </c>
      <c r="F7" s="509" t="s">
        <v>888</v>
      </c>
      <c r="G7" s="509" t="s">
        <v>889</v>
      </c>
      <c r="H7" s="509" t="s">
        <v>890</v>
      </c>
      <c r="I7" s="509" t="s">
        <v>891</v>
      </c>
      <c r="J7" s="509" t="s">
        <v>892</v>
      </c>
      <c r="K7" s="509" t="s">
        <v>893</v>
      </c>
      <c r="L7" s="509" t="s">
        <v>894</v>
      </c>
      <c r="M7" s="509" t="s">
        <v>895</v>
      </c>
      <c r="N7" s="509" t="s">
        <v>896</v>
      </c>
      <c r="O7" s="509" t="s">
        <v>897</v>
      </c>
      <c r="P7" s="509" t="s">
        <v>898</v>
      </c>
      <c r="Q7" s="509" t="s">
        <v>1105</v>
      </c>
      <c r="R7" s="509" t="s">
        <v>1106</v>
      </c>
      <c r="S7" s="509" t="s">
        <v>1107</v>
      </c>
      <c r="T7" s="509" t="s">
        <v>1108</v>
      </c>
      <c r="U7" s="509" t="s">
        <v>1109</v>
      </c>
      <c r="V7" s="509" t="s">
        <v>1110</v>
      </c>
      <c r="W7" s="509" t="s">
        <v>1111</v>
      </c>
      <c r="X7" s="509" t="s">
        <v>1112</v>
      </c>
      <c r="Y7" s="509" t="s">
        <v>1113</v>
      </c>
      <c r="Z7" s="509" t="s">
        <v>1114</v>
      </c>
      <c r="AA7" s="509" t="s">
        <v>1115</v>
      </c>
      <c r="AB7" s="509" t="s">
        <v>789</v>
      </c>
      <c r="AC7" s="509" t="s">
        <v>1116</v>
      </c>
      <c r="AD7" s="509" t="s">
        <v>1117</v>
      </c>
      <c r="AE7" s="509" t="s">
        <v>1118</v>
      </c>
      <c r="AF7" s="509" t="s">
        <v>1119</v>
      </c>
    </row>
    <row r="8" spans="1:35">
      <c r="A8" s="509" t="s">
        <v>683</v>
      </c>
      <c r="B8" s="510" t="s">
        <v>905</v>
      </c>
      <c r="C8" s="510" t="s">
        <v>906</v>
      </c>
      <c r="D8" s="510" t="s">
        <v>77</v>
      </c>
      <c r="E8" s="510" t="s">
        <v>1599</v>
      </c>
      <c r="F8" s="510" t="s">
        <v>1600</v>
      </c>
      <c r="G8" s="510" t="s">
        <v>1601</v>
      </c>
      <c r="H8" s="510" t="s">
        <v>1602</v>
      </c>
      <c r="I8" s="510" t="s">
        <v>1603</v>
      </c>
      <c r="J8" s="510" t="s">
        <v>1604</v>
      </c>
      <c r="K8" s="510" t="s">
        <v>1605</v>
      </c>
      <c r="L8" s="510" t="s">
        <v>1606</v>
      </c>
      <c r="M8" s="510" t="s">
        <v>1607</v>
      </c>
      <c r="N8" s="510" t="s">
        <v>1608</v>
      </c>
      <c r="O8" s="510" t="s">
        <v>1609</v>
      </c>
      <c r="P8" s="510" t="s">
        <v>1610</v>
      </c>
      <c r="Q8" s="510" t="s">
        <v>1611</v>
      </c>
      <c r="R8" s="510" t="s">
        <v>1612</v>
      </c>
      <c r="S8" s="510" t="s">
        <v>1613</v>
      </c>
      <c r="T8" s="510" t="s">
        <v>1614</v>
      </c>
      <c r="U8" s="510" t="s">
        <v>1615</v>
      </c>
      <c r="V8" s="510" t="s">
        <v>1616</v>
      </c>
      <c r="W8" s="510" t="s">
        <v>1617</v>
      </c>
      <c r="X8" s="510" t="s">
        <v>1618</v>
      </c>
      <c r="Y8" s="510" t="s">
        <v>1619</v>
      </c>
      <c r="Z8" s="510" t="s">
        <v>1620</v>
      </c>
      <c r="AA8" s="510" t="s">
        <v>1621</v>
      </c>
      <c r="AB8" s="510" t="s">
        <v>1622</v>
      </c>
      <c r="AC8" s="510" t="s">
        <v>1623</v>
      </c>
      <c r="AD8" s="510" t="s">
        <v>1624</v>
      </c>
      <c r="AE8" s="510" t="s">
        <v>907</v>
      </c>
      <c r="AF8" s="510" t="s">
        <v>908</v>
      </c>
    </row>
    <row r="9" spans="1:35">
      <c r="A9" s="509">
        <v>1</v>
      </c>
      <c r="B9" s="511" t="s">
        <v>83</v>
      </c>
      <c r="C9" s="511" t="s">
        <v>760</v>
      </c>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row>
    <row r="10" spans="1:35">
      <c r="A10" s="509">
        <v>2</v>
      </c>
      <c r="B10" s="26"/>
      <c r="C10" s="513" t="s">
        <v>909</v>
      </c>
      <c r="D10" s="514" t="s">
        <v>911</v>
      </c>
      <c r="E10" s="515">
        <v>73666.720000000001</v>
      </c>
      <c r="F10" s="515">
        <v>73666.820000000007</v>
      </c>
      <c r="G10" s="515">
        <v>73666.720000000001</v>
      </c>
      <c r="H10" s="515">
        <v>73666.820000000007</v>
      </c>
      <c r="I10" s="515">
        <v>73666.720000000001</v>
      </c>
      <c r="J10" s="515">
        <v>73666.820000000007</v>
      </c>
      <c r="K10" s="515">
        <v>73666.720000000001</v>
      </c>
      <c r="L10" s="515">
        <v>73666.820000000007</v>
      </c>
      <c r="M10" s="515">
        <v>73666.720000000001</v>
      </c>
      <c r="N10" s="515">
        <v>73666.820000000007</v>
      </c>
      <c r="O10" s="515">
        <v>73666.720000000001</v>
      </c>
      <c r="P10" s="515">
        <v>73666.820000000007</v>
      </c>
      <c r="Q10" s="515">
        <v>73666.720000000001</v>
      </c>
      <c r="R10" s="515">
        <v>73666.820000000007</v>
      </c>
      <c r="S10" s="515">
        <v>73666.720000000001</v>
      </c>
      <c r="T10" s="515">
        <v>73666.820000000007</v>
      </c>
      <c r="U10" s="515">
        <v>73666.720000000001</v>
      </c>
      <c r="V10" s="515">
        <v>73666.820000000007</v>
      </c>
      <c r="W10" s="515">
        <v>73666.720000000001</v>
      </c>
      <c r="X10" s="515">
        <v>73666.820000000007</v>
      </c>
      <c r="Y10" s="515">
        <v>73666.720000000001</v>
      </c>
      <c r="Z10" s="515">
        <v>73666.820000000007</v>
      </c>
      <c r="AA10" s="515">
        <v>73666.720000000001</v>
      </c>
      <c r="AB10" s="515">
        <v>73666.820000000007</v>
      </c>
      <c r="AC10" s="515">
        <v>73666.720000000001</v>
      </c>
      <c r="AD10" s="515">
        <v>73666.820000000007</v>
      </c>
      <c r="AE10" s="515">
        <f>+(E10+AC10+(+G10+I10+K10+M10+O10+Q10+S10+U10+W10+Y10+AA10)*2)/24</f>
        <v>73666.719999999987</v>
      </c>
      <c r="AF10" s="515">
        <f>+(F10+AD10+(+H10+J10+L10+N10+P10+R10+T10+V10+X10+Z10+AB10)*2)/24</f>
        <v>73666.820000000022</v>
      </c>
    </row>
    <row r="11" spans="1:35">
      <c r="A11" s="509">
        <v>3</v>
      </c>
      <c r="B11" s="26"/>
      <c r="C11" s="513" t="s">
        <v>910</v>
      </c>
      <c r="D11" s="514" t="s">
        <v>911</v>
      </c>
      <c r="E11" s="515">
        <v>113374.44</v>
      </c>
      <c r="F11" s="515">
        <v>10023.31</v>
      </c>
      <c r="G11" s="515">
        <v>113374.44</v>
      </c>
      <c r="H11" s="515">
        <v>10259.51</v>
      </c>
      <c r="I11" s="515">
        <v>113374.44</v>
      </c>
      <c r="J11" s="515">
        <v>10495.710000000001</v>
      </c>
      <c r="K11" s="515">
        <v>113374.44</v>
      </c>
      <c r="L11" s="515">
        <v>10731.91</v>
      </c>
      <c r="M11" s="515">
        <v>113374.44</v>
      </c>
      <c r="N11" s="515">
        <v>10968.11</v>
      </c>
      <c r="O11" s="515">
        <v>113374.44</v>
      </c>
      <c r="P11" s="515">
        <v>11204.31</v>
      </c>
      <c r="Q11" s="515">
        <v>113374.44</v>
      </c>
      <c r="R11" s="515">
        <v>11440.51</v>
      </c>
      <c r="S11" s="515">
        <v>113374.44</v>
      </c>
      <c r="T11" s="515">
        <v>11676.710000000001</v>
      </c>
      <c r="U11" s="515">
        <v>113374.44</v>
      </c>
      <c r="V11" s="515">
        <v>11912.91</v>
      </c>
      <c r="W11" s="515">
        <v>113374.44</v>
      </c>
      <c r="X11" s="515">
        <v>12149.11</v>
      </c>
      <c r="Y11" s="515">
        <v>113374.44</v>
      </c>
      <c r="Z11" s="515">
        <v>12385.31</v>
      </c>
      <c r="AA11" s="515">
        <v>113374.44</v>
      </c>
      <c r="AB11" s="515">
        <v>12621.51</v>
      </c>
      <c r="AC11" s="515">
        <v>113374.44</v>
      </c>
      <c r="AD11" s="515">
        <v>12857.710000000001</v>
      </c>
      <c r="AE11" s="515">
        <f>+(E11+AC11+(+G11+I11+K11+M11+O11+Q11+S11+U11+W11+Y11+AA11)*2)/24</f>
        <v>113374.43999999996</v>
      </c>
      <c r="AF11" s="515">
        <f t="shared" ref="AF11:AF46" si="0">+(F11+AD11+(+H11+J11+L11+N11+P11+R11+T11+V11+X11+Z11+AB11)*2)/24</f>
        <v>11440.51</v>
      </c>
    </row>
    <row r="12" spans="1:35">
      <c r="A12" s="509">
        <v>4</v>
      </c>
      <c r="B12" s="26"/>
      <c r="C12" s="513" t="s">
        <v>1569</v>
      </c>
      <c r="D12" s="514" t="s">
        <v>911</v>
      </c>
      <c r="E12" s="515">
        <v>1016861.1</v>
      </c>
      <c r="F12" s="515">
        <v>8475.44</v>
      </c>
      <c r="G12" s="515">
        <v>1016861.1</v>
      </c>
      <c r="H12" s="515">
        <v>10593.9</v>
      </c>
      <c r="I12" s="515">
        <v>1016861.1</v>
      </c>
      <c r="J12" s="515">
        <v>12712.36</v>
      </c>
      <c r="K12" s="515">
        <v>1016861.1</v>
      </c>
      <c r="L12" s="515">
        <v>14830.82</v>
      </c>
      <c r="M12" s="515">
        <v>1016861.1</v>
      </c>
      <c r="N12" s="515">
        <v>16949.28</v>
      </c>
      <c r="O12" s="515">
        <v>1016861.1</v>
      </c>
      <c r="P12" s="515">
        <v>19067.740000000002</v>
      </c>
      <c r="Q12" s="515">
        <v>1016861.1</v>
      </c>
      <c r="R12" s="515">
        <v>21186.2</v>
      </c>
      <c r="S12" s="515">
        <v>1016861.1</v>
      </c>
      <c r="T12" s="515">
        <v>23304.66</v>
      </c>
      <c r="U12" s="515">
        <v>1016861.1</v>
      </c>
      <c r="V12" s="515">
        <v>25423.119999999999</v>
      </c>
      <c r="W12" s="515">
        <v>1016861.1</v>
      </c>
      <c r="X12" s="515">
        <v>27541.58</v>
      </c>
      <c r="Y12" s="515">
        <v>1016861.1</v>
      </c>
      <c r="Z12" s="515">
        <v>29660.04</v>
      </c>
      <c r="AA12" s="515">
        <v>1016861.1</v>
      </c>
      <c r="AB12" s="515">
        <v>31778.5</v>
      </c>
      <c r="AC12" s="515">
        <v>1016861.1</v>
      </c>
      <c r="AD12" s="515">
        <v>33896.959999999999</v>
      </c>
      <c r="AE12" s="515">
        <f t="shared" ref="AE12:AE46" si="1">+(E12+AC12+(+G12+I12+K12+M12+O12+Q12+S12+U12+W12+Y12+AA12)*2)/24</f>
        <v>1016861.0999999997</v>
      </c>
      <c r="AF12" s="515">
        <f t="shared" si="0"/>
        <v>21186.200000000004</v>
      </c>
    </row>
    <row r="13" spans="1:35">
      <c r="A13" s="509">
        <v>5</v>
      </c>
      <c r="B13" s="26"/>
      <c r="C13" s="513" t="s">
        <v>1570</v>
      </c>
      <c r="D13" s="514" t="s">
        <v>911</v>
      </c>
      <c r="E13" s="515">
        <v>1817585.2000000002</v>
      </c>
      <c r="F13" s="515">
        <v>0</v>
      </c>
      <c r="G13" s="515">
        <v>1817585.2000000002</v>
      </c>
      <c r="H13" s="515">
        <v>3786.64</v>
      </c>
      <c r="I13" s="515">
        <v>1817585.2000000002</v>
      </c>
      <c r="J13" s="515">
        <v>7573.28</v>
      </c>
      <c r="K13" s="515">
        <v>1817585.2000000002</v>
      </c>
      <c r="L13" s="515">
        <v>11359.92</v>
      </c>
      <c r="M13" s="515">
        <v>1817585.2000000002</v>
      </c>
      <c r="N13" s="515">
        <v>15146.56</v>
      </c>
      <c r="O13" s="515">
        <v>1817585.2000000002</v>
      </c>
      <c r="P13" s="515">
        <v>18933.2</v>
      </c>
      <c r="Q13" s="515">
        <v>1817585.2000000002</v>
      </c>
      <c r="R13" s="515">
        <v>22719.84</v>
      </c>
      <c r="S13" s="515">
        <v>1817585.2000000002</v>
      </c>
      <c r="T13" s="515">
        <v>26506.48</v>
      </c>
      <c r="U13" s="515">
        <v>1817585.2000000002</v>
      </c>
      <c r="V13" s="515">
        <v>30293.119999999999</v>
      </c>
      <c r="W13" s="515">
        <v>1817585.2000000002</v>
      </c>
      <c r="X13" s="515">
        <v>34079.760000000002</v>
      </c>
      <c r="Y13" s="515">
        <v>1817585.2000000002</v>
      </c>
      <c r="Z13" s="515">
        <v>37866.400000000001</v>
      </c>
      <c r="AA13" s="515">
        <v>1817585.2000000002</v>
      </c>
      <c r="AB13" s="515">
        <v>41653.040000000001</v>
      </c>
      <c r="AC13" s="515">
        <v>1817585.2000000002</v>
      </c>
      <c r="AD13" s="515">
        <v>45439.68</v>
      </c>
      <c r="AE13" s="515">
        <f t="shared" si="1"/>
        <v>1817585.1999999995</v>
      </c>
      <c r="AF13" s="515">
        <f t="shared" si="0"/>
        <v>22719.84</v>
      </c>
    </row>
    <row r="14" spans="1:35">
      <c r="A14" s="509">
        <v>6</v>
      </c>
      <c r="B14" s="26"/>
      <c r="C14" s="513" t="s">
        <v>912</v>
      </c>
      <c r="D14" s="514" t="s">
        <v>911</v>
      </c>
      <c r="E14" s="515">
        <v>13130.54</v>
      </c>
      <c r="F14" s="515">
        <v>0</v>
      </c>
      <c r="G14" s="515">
        <v>13130.54</v>
      </c>
      <c r="H14" s="515">
        <v>0</v>
      </c>
      <c r="I14" s="515">
        <v>13130.54</v>
      </c>
      <c r="J14" s="515">
        <v>0</v>
      </c>
      <c r="K14" s="515">
        <v>13130.54</v>
      </c>
      <c r="L14" s="515">
        <v>0</v>
      </c>
      <c r="M14" s="515">
        <v>13130.54</v>
      </c>
      <c r="N14" s="515">
        <v>0</v>
      </c>
      <c r="O14" s="515">
        <v>13130.54</v>
      </c>
      <c r="P14" s="515">
        <v>0</v>
      </c>
      <c r="Q14" s="515">
        <v>13130.54</v>
      </c>
      <c r="R14" s="515">
        <v>0</v>
      </c>
      <c r="S14" s="515">
        <v>13130.54</v>
      </c>
      <c r="T14" s="515">
        <v>0</v>
      </c>
      <c r="U14" s="515">
        <v>13130.54</v>
      </c>
      <c r="V14" s="515">
        <v>0</v>
      </c>
      <c r="W14" s="515">
        <v>13130.54</v>
      </c>
      <c r="X14" s="515">
        <v>0</v>
      </c>
      <c r="Y14" s="515">
        <v>13130.54</v>
      </c>
      <c r="Z14" s="515">
        <v>0</v>
      </c>
      <c r="AA14" s="515">
        <v>13130.54</v>
      </c>
      <c r="AB14" s="515">
        <v>0</v>
      </c>
      <c r="AC14" s="515">
        <v>13130.54</v>
      </c>
      <c r="AD14" s="515">
        <v>0</v>
      </c>
      <c r="AE14" s="515">
        <f t="shared" si="1"/>
        <v>13130.540000000006</v>
      </c>
      <c r="AF14" s="515">
        <f t="shared" si="0"/>
        <v>0</v>
      </c>
    </row>
    <row r="15" spans="1:35">
      <c r="A15" s="509">
        <v>7</v>
      </c>
      <c r="B15" s="26"/>
      <c r="C15" s="513" t="s">
        <v>913</v>
      </c>
      <c r="D15" s="514" t="s">
        <v>911</v>
      </c>
      <c r="E15" s="515">
        <v>7692.66</v>
      </c>
      <c r="F15" s="515">
        <v>6448.8</v>
      </c>
      <c r="G15" s="515">
        <v>7692.66</v>
      </c>
      <c r="H15" s="515">
        <v>6458.93</v>
      </c>
      <c r="I15" s="515">
        <v>7692.66</v>
      </c>
      <c r="J15" s="515">
        <v>6469.06</v>
      </c>
      <c r="K15" s="515">
        <v>7692.66</v>
      </c>
      <c r="L15" s="515">
        <v>6479.1900000000005</v>
      </c>
      <c r="M15" s="515">
        <v>7692.66</v>
      </c>
      <c r="N15" s="515">
        <v>6489.32</v>
      </c>
      <c r="O15" s="515">
        <v>7692.66</v>
      </c>
      <c r="P15" s="515">
        <v>6499.45</v>
      </c>
      <c r="Q15" s="515">
        <v>7692.66</v>
      </c>
      <c r="R15" s="515">
        <v>6509.58</v>
      </c>
      <c r="S15" s="515">
        <v>7692.66</v>
      </c>
      <c r="T15" s="515">
        <v>6519.71</v>
      </c>
      <c r="U15" s="515">
        <v>7692.66</v>
      </c>
      <c r="V15" s="515">
        <v>6529.84</v>
      </c>
      <c r="W15" s="515">
        <v>7692.66</v>
      </c>
      <c r="X15" s="515">
        <v>6539.97</v>
      </c>
      <c r="Y15" s="515">
        <v>7692.66</v>
      </c>
      <c r="Z15" s="515">
        <v>6550.1</v>
      </c>
      <c r="AA15" s="515">
        <v>7692.66</v>
      </c>
      <c r="AB15" s="515">
        <v>6560.2300000000005</v>
      </c>
      <c r="AC15" s="515">
        <v>7692.66</v>
      </c>
      <c r="AD15" s="515">
        <v>6570.3600000000006</v>
      </c>
      <c r="AE15" s="515">
        <f t="shared" si="1"/>
        <v>7692.6600000000026</v>
      </c>
      <c r="AF15" s="515">
        <f t="shared" si="0"/>
        <v>6509.5800000000008</v>
      </c>
    </row>
    <row r="16" spans="1:35">
      <c r="A16" s="509">
        <v>8</v>
      </c>
      <c r="B16" s="26"/>
      <c r="C16" s="513" t="s">
        <v>914</v>
      </c>
      <c r="D16" s="514" t="s">
        <v>911</v>
      </c>
      <c r="E16" s="515">
        <v>6203474.7999999998</v>
      </c>
      <c r="F16" s="515">
        <v>3504448.13</v>
      </c>
      <c r="G16" s="515">
        <v>6203474.7999999998</v>
      </c>
      <c r="H16" s="515">
        <v>3513856.73</v>
      </c>
      <c r="I16" s="515">
        <v>6203474.7999999998</v>
      </c>
      <c r="J16" s="515">
        <v>3523265.33</v>
      </c>
      <c r="K16" s="515">
        <v>6203474.7999999998</v>
      </c>
      <c r="L16" s="515">
        <v>3532673.93</v>
      </c>
      <c r="M16" s="515">
        <v>6203474.7999999998</v>
      </c>
      <c r="N16" s="515">
        <v>3542082.5300000003</v>
      </c>
      <c r="O16" s="515">
        <v>6203474.7999999998</v>
      </c>
      <c r="P16" s="515">
        <v>3551491.13</v>
      </c>
      <c r="Q16" s="515">
        <v>6203474.7999999998</v>
      </c>
      <c r="R16" s="515">
        <v>3560899.73</v>
      </c>
      <c r="S16" s="515">
        <v>6203474.7999999998</v>
      </c>
      <c r="T16" s="515">
        <v>3570308.33</v>
      </c>
      <c r="U16" s="515">
        <v>6203474.7999999998</v>
      </c>
      <c r="V16" s="515">
        <v>3579716.93</v>
      </c>
      <c r="W16" s="515">
        <v>6203474.7999999998</v>
      </c>
      <c r="X16" s="515">
        <v>3589125.5300000003</v>
      </c>
      <c r="Y16" s="515">
        <v>6203474.7999999998</v>
      </c>
      <c r="Z16" s="515">
        <v>3598534.13</v>
      </c>
      <c r="AA16" s="515">
        <v>6203474.7999999998</v>
      </c>
      <c r="AB16" s="515">
        <v>3607942.73</v>
      </c>
      <c r="AC16" s="515">
        <v>6203474.7999999998</v>
      </c>
      <c r="AD16" s="515">
        <v>3617351.33</v>
      </c>
      <c r="AE16" s="515">
        <f t="shared" si="1"/>
        <v>6203474.799999998</v>
      </c>
      <c r="AF16" s="515">
        <f t="shared" si="0"/>
        <v>3560899.73</v>
      </c>
    </row>
    <row r="17" spans="1:32">
      <c r="A17" s="509">
        <v>9</v>
      </c>
      <c r="B17" s="26"/>
      <c r="C17" s="513" t="s">
        <v>915</v>
      </c>
      <c r="D17" s="514" t="s">
        <v>911</v>
      </c>
      <c r="E17" s="515">
        <v>36161.700000000004</v>
      </c>
      <c r="F17" s="515">
        <v>-4268</v>
      </c>
      <c r="G17" s="515">
        <v>36161.700000000004</v>
      </c>
      <c r="H17" s="515">
        <v>-4255.6499999999996</v>
      </c>
      <c r="I17" s="515">
        <v>36161.700000000004</v>
      </c>
      <c r="J17" s="515">
        <v>-4243.3</v>
      </c>
      <c r="K17" s="515">
        <v>36161.700000000004</v>
      </c>
      <c r="L17" s="515">
        <v>-4230.95</v>
      </c>
      <c r="M17" s="515">
        <v>36161.700000000004</v>
      </c>
      <c r="N17" s="515">
        <v>-4218.6000000000004</v>
      </c>
      <c r="O17" s="515">
        <v>36161.700000000004</v>
      </c>
      <c r="P17" s="515">
        <v>-4206.25</v>
      </c>
      <c r="Q17" s="515">
        <v>36161.700000000004</v>
      </c>
      <c r="R17" s="515">
        <v>-4193.8999999999996</v>
      </c>
      <c r="S17" s="515">
        <v>36161.700000000004</v>
      </c>
      <c r="T17" s="515">
        <v>-4181.55</v>
      </c>
      <c r="U17" s="515">
        <v>36161.700000000004</v>
      </c>
      <c r="V17" s="515">
        <v>-4169.2</v>
      </c>
      <c r="W17" s="515">
        <v>36161.700000000004</v>
      </c>
      <c r="X17" s="515">
        <v>-4156.8500000000004</v>
      </c>
      <c r="Y17" s="515">
        <v>36161.700000000004</v>
      </c>
      <c r="Z17" s="515">
        <v>-4144.5</v>
      </c>
      <c r="AA17" s="515">
        <v>36161.700000000004</v>
      </c>
      <c r="AB17" s="515">
        <v>-4132.1499999999996</v>
      </c>
      <c r="AC17" s="515">
        <v>36161.700000000004</v>
      </c>
      <c r="AD17" s="515">
        <v>-4119.8</v>
      </c>
      <c r="AE17" s="515">
        <f t="shared" si="1"/>
        <v>36161.700000000004</v>
      </c>
      <c r="AF17" s="515">
        <f t="shared" si="0"/>
        <v>-4193.9000000000005</v>
      </c>
    </row>
    <row r="18" spans="1:32">
      <c r="A18" s="509">
        <v>10</v>
      </c>
      <c r="B18" s="26"/>
      <c r="C18" s="513" t="s">
        <v>916</v>
      </c>
      <c r="D18" s="514" t="s">
        <v>911</v>
      </c>
      <c r="E18" s="515">
        <v>235020</v>
      </c>
      <c r="F18" s="515">
        <v>2316.21</v>
      </c>
      <c r="G18" s="515">
        <v>235020</v>
      </c>
      <c r="H18" s="515">
        <v>2684.41</v>
      </c>
      <c r="I18" s="515">
        <v>235020</v>
      </c>
      <c r="J18" s="515">
        <v>3052.61</v>
      </c>
      <c r="K18" s="515">
        <v>235020</v>
      </c>
      <c r="L18" s="515">
        <v>3420.81</v>
      </c>
      <c r="M18" s="515">
        <v>235020</v>
      </c>
      <c r="N18" s="515">
        <v>3789.01</v>
      </c>
      <c r="O18" s="515">
        <v>235020</v>
      </c>
      <c r="P18" s="515">
        <v>4157.21</v>
      </c>
      <c r="Q18" s="515">
        <v>235020</v>
      </c>
      <c r="R18" s="515">
        <v>4525.41</v>
      </c>
      <c r="S18" s="515">
        <v>235020</v>
      </c>
      <c r="T18" s="515">
        <v>4893.6099999999997</v>
      </c>
      <c r="U18" s="515">
        <v>235020</v>
      </c>
      <c r="V18" s="515">
        <v>5261.81</v>
      </c>
      <c r="W18" s="515">
        <v>235020</v>
      </c>
      <c r="X18" s="515">
        <v>5630.01</v>
      </c>
      <c r="Y18" s="515">
        <v>235020</v>
      </c>
      <c r="Z18" s="515">
        <v>5998.21</v>
      </c>
      <c r="AA18" s="515">
        <v>235020</v>
      </c>
      <c r="AB18" s="515">
        <v>6366.41</v>
      </c>
      <c r="AC18" s="515">
        <v>235020</v>
      </c>
      <c r="AD18" s="515">
        <v>6734.6100000000006</v>
      </c>
      <c r="AE18" s="515">
        <f t="shared" si="1"/>
        <v>235020</v>
      </c>
      <c r="AF18" s="515">
        <f t="shared" si="0"/>
        <v>4525.41</v>
      </c>
    </row>
    <row r="19" spans="1:32">
      <c r="A19" s="509">
        <v>11</v>
      </c>
      <c r="B19" s="26"/>
      <c r="C19" s="513" t="s">
        <v>917</v>
      </c>
      <c r="D19" s="514" t="s">
        <v>911</v>
      </c>
      <c r="E19" s="515">
        <v>141860.15</v>
      </c>
      <c r="F19" s="515">
        <v>0</v>
      </c>
      <c r="G19" s="515">
        <v>141860.15</v>
      </c>
      <c r="H19" s="515">
        <v>0</v>
      </c>
      <c r="I19" s="515">
        <v>141860.15</v>
      </c>
      <c r="J19" s="515">
        <v>0</v>
      </c>
      <c r="K19" s="515">
        <v>141860.15</v>
      </c>
      <c r="L19" s="515">
        <v>0</v>
      </c>
      <c r="M19" s="515">
        <v>141860.15</v>
      </c>
      <c r="N19" s="515">
        <v>0</v>
      </c>
      <c r="O19" s="515">
        <v>141860.15</v>
      </c>
      <c r="P19" s="515">
        <v>0</v>
      </c>
      <c r="Q19" s="515">
        <v>141860.15</v>
      </c>
      <c r="R19" s="515">
        <v>0</v>
      </c>
      <c r="S19" s="515">
        <v>141860.15</v>
      </c>
      <c r="T19" s="515">
        <v>0</v>
      </c>
      <c r="U19" s="515">
        <v>141860.15</v>
      </c>
      <c r="V19" s="515">
        <v>0</v>
      </c>
      <c r="W19" s="515">
        <v>141860.15</v>
      </c>
      <c r="X19" s="515">
        <v>0</v>
      </c>
      <c r="Y19" s="515">
        <v>141860.15</v>
      </c>
      <c r="Z19" s="515">
        <v>0</v>
      </c>
      <c r="AA19" s="515">
        <v>142497.04</v>
      </c>
      <c r="AB19" s="515">
        <v>0</v>
      </c>
      <c r="AC19" s="515">
        <v>142929.49</v>
      </c>
      <c r="AD19" s="515">
        <v>0</v>
      </c>
      <c r="AE19" s="515">
        <f t="shared" si="1"/>
        <v>141957.78</v>
      </c>
      <c r="AF19" s="515">
        <f t="shared" si="0"/>
        <v>0</v>
      </c>
    </row>
    <row r="20" spans="1:32">
      <c r="A20" s="509">
        <v>12</v>
      </c>
      <c r="B20" s="26"/>
      <c r="C20" s="513" t="s">
        <v>918</v>
      </c>
      <c r="D20" s="514" t="s">
        <v>911</v>
      </c>
      <c r="E20" s="515">
        <v>0</v>
      </c>
      <c r="F20" s="515">
        <v>-655.47</v>
      </c>
      <c r="G20" s="515">
        <v>0</v>
      </c>
      <c r="H20" s="515">
        <v>-655.47</v>
      </c>
      <c r="I20" s="515">
        <v>0</v>
      </c>
      <c r="J20" s="515">
        <v>-655.47</v>
      </c>
      <c r="K20" s="515">
        <v>0</v>
      </c>
      <c r="L20" s="515">
        <v>-655.47</v>
      </c>
      <c r="M20" s="515">
        <v>0</v>
      </c>
      <c r="N20" s="515">
        <v>-655.47</v>
      </c>
      <c r="O20" s="515">
        <v>0</v>
      </c>
      <c r="P20" s="515">
        <v>-655.47</v>
      </c>
      <c r="Q20" s="515">
        <v>0</v>
      </c>
      <c r="R20" s="515">
        <v>-655.47</v>
      </c>
      <c r="S20" s="515">
        <v>0</v>
      </c>
      <c r="T20" s="515">
        <v>-655.47</v>
      </c>
      <c r="U20" s="515">
        <v>0</v>
      </c>
      <c r="V20" s="515">
        <v>-655.47</v>
      </c>
      <c r="W20" s="515">
        <v>0</v>
      </c>
      <c r="X20" s="515">
        <v>-655.47</v>
      </c>
      <c r="Y20" s="515">
        <v>0</v>
      </c>
      <c r="Z20" s="515">
        <v>-655.47</v>
      </c>
      <c r="AA20" s="515">
        <v>0</v>
      </c>
      <c r="AB20" s="515">
        <v>-655.47</v>
      </c>
      <c r="AC20" s="515">
        <v>0</v>
      </c>
      <c r="AD20" s="515">
        <v>-655.47</v>
      </c>
      <c r="AE20" s="515">
        <f t="shared" si="1"/>
        <v>0</v>
      </c>
      <c r="AF20" s="515">
        <f t="shared" si="0"/>
        <v>-655.47000000000014</v>
      </c>
    </row>
    <row r="21" spans="1:32">
      <c r="A21" s="509">
        <v>13</v>
      </c>
      <c r="B21" s="26"/>
      <c r="C21" s="513" t="s">
        <v>919</v>
      </c>
      <c r="D21" s="514" t="s">
        <v>911</v>
      </c>
      <c r="E21" s="515">
        <v>363784.97000000003</v>
      </c>
      <c r="F21" s="515">
        <v>255283.36000000002</v>
      </c>
      <c r="G21" s="515">
        <v>363784.97000000003</v>
      </c>
      <c r="H21" s="515">
        <v>255653.21</v>
      </c>
      <c r="I21" s="515">
        <v>363784.97000000003</v>
      </c>
      <c r="J21" s="515">
        <v>256023.06</v>
      </c>
      <c r="K21" s="515">
        <v>363784.97000000003</v>
      </c>
      <c r="L21" s="515">
        <v>256392.91</v>
      </c>
      <c r="M21" s="515">
        <v>363784.97000000003</v>
      </c>
      <c r="N21" s="515">
        <v>256762.76</v>
      </c>
      <c r="O21" s="515">
        <v>363784.97000000003</v>
      </c>
      <c r="P21" s="515">
        <v>257132.61000000002</v>
      </c>
      <c r="Q21" s="515">
        <v>363784.97000000003</v>
      </c>
      <c r="R21" s="515">
        <v>257502.46</v>
      </c>
      <c r="S21" s="515">
        <v>363784.97000000003</v>
      </c>
      <c r="T21" s="515">
        <v>257872.31</v>
      </c>
      <c r="U21" s="515">
        <v>363784.97000000003</v>
      </c>
      <c r="V21" s="515">
        <v>258242.16</v>
      </c>
      <c r="W21" s="515">
        <v>363784.97000000003</v>
      </c>
      <c r="X21" s="515">
        <v>258612.01</v>
      </c>
      <c r="Y21" s="515">
        <v>363784.97000000003</v>
      </c>
      <c r="Z21" s="515">
        <v>258981.86000000002</v>
      </c>
      <c r="AA21" s="515">
        <v>363784.97000000003</v>
      </c>
      <c r="AB21" s="515">
        <v>259351.71</v>
      </c>
      <c r="AC21" s="515">
        <v>363784.97000000003</v>
      </c>
      <c r="AD21" s="515">
        <v>259721.56</v>
      </c>
      <c r="AE21" s="515">
        <f t="shared" si="1"/>
        <v>363784.97000000015</v>
      </c>
      <c r="AF21" s="515">
        <f t="shared" si="0"/>
        <v>257502.46</v>
      </c>
    </row>
    <row r="22" spans="1:32">
      <c r="A22" s="509">
        <v>14</v>
      </c>
      <c r="B22" s="26"/>
      <c r="C22" s="513" t="s">
        <v>920</v>
      </c>
      <c r="D22" s="514" t="s">
        <v>911</v>
      </c>
      <c r="E22" s="515">
        <v>16673134.970000001</v>
      </c>
      <c r="F22" s="515">
        <v>5305504.97</v>
      </c>
      <c r="G22" s="515">
        <v>16708479.300000001</v>
      </c>
      <c r="H22" s="515">
        <v>5322872.82</v>
      </c>
      <c r="I22" s="515">
        <v>16708853.98</v>
      </c>
      <c r="J22" s="515">
        <v>5340277.49</v>
      </c>
      <c r="K22" s="515">
        <v>16712245.140000001</v>
      </c>
      <c r="L22" s="515">
        <v>5357682.55</v>
      </c>
      <c r="M22" s="515">
        <v>16784021.969999999</v>
      </c>
      <c r="N22" s="515">
        <v>5374743.7000000002</v>
      </c>
      <c r="O22" s="515">
        <v>16784247.510000002</v>
      </c>
      <c r="P22" s="515">
        <v>5392227.0599999996</v>
      </c>
      <c r="Q22" s="515">
        <v>16892353.280000001</v>
      </c>
      <c r="R22" s="515">
        <v>5409710.6600000001</v>
      </c>
      <c r="S22" s="515">
        <v>16903738.879999999</v>
      </c>
      <c r="T22" s="515">
        <v>5427306.8600000003</v>
      </c>
      <c r="U22" s="515">
        <v>17144061.050000001</v>
      </c>
      <c r="V22" s="515">
        <v>5436455.5</v>
      </c>
      <c r="W22" s="515">
        <v>17152710.91</v>
      </c>
      <c r="X22" s="515">
        <v>5454313.9000000004</v>
      </c>
      <c r="Y22" s="515">
        <v>17161975.949999999</v>
      </c>
      <c r="Z22" s="515">
        <v>5470212.4900000002</v>
      </c>
      <c r="AA22" s="515">
        <v>17166573.309999999</v>
      </c>
      <c r="AB22" s="515">
        <v>5480316.3600000003</v>
      </c>
      <c r="AC22" s="515">
        <v>17457159.5</v>
      </c>
      <c r="AD22" s="515">
        <v>5304514.93</v>
      </c>
      <c r="AE22" s="515">
        <f t="shared" si="1"/>
        <v>16932034.042916667</v>
      </c>
      <c r="AF22" s="515">
        <f t="shared" si="0"/>
        <v>5397594.1116666673</v>
      </c>
    </row>
    <row r="23" spans="1:32">
      <c r="A23" s="509">
        <v>15</v>
      </c>
      <c r="B23" s="26"/>
      <c r="C23" s="513" t="s">
        <v>921</v>
      </c>
      <c r="D23" s="514" t="s">
        <v>911</v>
      </c>
      <c r="E23" s="515">
        <v>43053966.490000002</v>
      </c>
      <c r="F23" s="515">
        <v>12038497.32</v>
      </c>
      <c r="G23" s="515">
        <v>43075536.950000003</v>
      </c>
      <c r="H23" s="515">
        <v>12186674.720000001</v>
      </c>
      <c r="I23" s="515">
        <v>43083339.100000001</v>
      </c>
      <c r="J23" s="515">
        <v>12334926.359999999</v>
      </c>
      <c r="K23" s="515">
        <v>43321761.759999998</v>
      </c>
      <c r="L23" s="515">
        <v>12474352.18</v>
      </c>
      <c r="M23" s="515">
        <v>43522094.710000001</v>
      </c>
      <c r="N23" s="515">
        <v>12620795.34</v>
      </c>
      <c r="O23" s="515">
        <v>43812479.909999996</v>
      </c>
      <c r="P23" s="515">
        <v>12770583.880000001</v>
      </c>
      <c r="Q23" s="515">
        <v>43956687.280000001</v>
      </c>
      <c r="R23" s="515">
        <v>12899413.539999999</v>
      </c>
      <c r="S23" s="515">
        <v>44470630.289999999</v>
      </c>
      <c r="T23" s="515">
        <v>13050697.810000001</v>
      </c>
      <c r="U23" s="515">
        <v>44621355.390000001</v>
      </c>
      <c r="V23" s="515">
        <v>13203750.9</v>
      </c>
      <c r="W23" s="515">
        <v>44698507.100000001</v>
      </c>
      <c r="X23" s="515">
        <v>13346066.039999999</v>
      </c>
      <c r="Y23" s="515">
        <v>44792954.43</v>
      </c>
      <c r="Z23" s="515">
        <v>13499888.48</v>
      </c>
      <c r="AA23" s="515">
        <v>45050894.649999999</v>
      </c>
      <c r="AB23" s="515">
        <v>13654050.9</v>
      </c>
      <c r="AC23" s="515">
        <v>45568637.829999998</v>
      </c>
      <c r="AD23" s="515">
        <v>13807411.17</v>
      </c>
      <c r="AE23" s="515">
        <f t="shared" si="1"/>
        <v>44059795.310833335</v>
      </c>
      <c r="AF23" s="515">
        <f t="shared" si="0"/>
        <v>12913679.532916667</v>
      </c>
    </row>
    <row r="24" spans="1:32">
      <c r="A24" s="509">
        <v>16</v>
      </c>
      <c r="B24" s="26"/>
      <c r="C24" s="513" t="s">
        <v>922</v>
      </c>
      <c r="D24" s="514" t="s">
        <v>911</v>
      </c>
      <c r="E24" s="515">
        <v>32933183.440000001</v>
      </c>
      <c r="F24" s="515">
        <v>24106186.739999998</v>
      </c>
      <c r="G24" s="515">
        <v>33048284.07</v>
      </c>
      <c r="H24" s="515">
        <v>24142573.34</v>
      </c>
      <c r="I24" s="515">
        <v>33111031.07</v>
      </c>
      <c r="J24" s="515">
        <v>24203161.859999999</v>
      </c>
      <c r="K24" s="515">
        <v>33212864.02</v>
      </c>
      <c r="L24" s="515">
        <v>24258626.350000001</v>
      </c>
      <c r="M24" s="515">
        <v>33357564.210000001</v>
      </c>
      <c r="N24" s="515">
        <v>24126815.859999999</v>
      </c>
      <c r="O24" s="515">
        <v>34256070.630000003</v>
      </c>
      <c r="P24" s="515">
        <v>24175056.350000001</v>
      </c>
      <c r="Q24" s="515">
        <v>34328538.479999997</v>
      </c>
      <c r="R24" s="515">
        <v>24089122.059999999</v>
      </c>
      <c r="S24" s="515">
        <v>34332619.409999996</v>
      </c>
      <c r="T24" s="515">
        <v>24138646.739999998</v>
      </c>
      <c r="U24" s="515">
        <v>34360034.579999998</v>
      </c>
      <c r="V24" s="515">
        <v>24194689.940000001</v>
      </c>
      <c r="W24" s="515">
        <v>36995517.600000001</v>
      </c>
      <c r="X24" s="515">
        <v>24241347.780000001</v>
      </c>
      <c r="Y24" s="515">
        <v>37540885.920000002</v>
      </c>
      <c r="Z24" s="515">
        <v>24304364.620000001</v>
      </c>
      <c r="AA24" s="515">
        <v>37588974.740000002</v>
      </c>
      <c r="AB24" s="515">
        <v>24338909.359999999</v>
      </c>
      <c r="AC24" s="515">
        <v>38654414.200000003</v>
      </c>
      <c r="AD24" s="515">
        <v>24188794.98</v>
      </c>
      <c r="AE24" s="515">
        <f t="shared" si="1"/>
        <v>34827181.962499999</v>
      </c>
      <c r="AF24" s="515">
        <f t="shared" si="0"/>
        <v>24196733.760000005</v>
      </c>
    </row>
    <row r="25" spans="1:32">
      <c r="A25" s="509">
        <v>17</v>
      </c>
      <c r="B25" s="26"/>
      <c r="C25" s="513" t="s">
        <v>923</v>
      </c>
      <c r="D25" s="514" t="s">
        <v>911</v>
      </c>
      <c r="E25" s="515">
        <v>10342136.960000001</v>
      </c>
      <c r="F25" s="515">
        <v>3182543.06</v>
      </c>
      <c r="G25" s="515">
        <v>10355822.890000001</v>
      </c>
      <c r="H25" s="515">
        <v>3199090.48</v>
      </c>
      <c r="I25" s="515">
        <v>10359873.609999999</v>
      </c>
      <c r="J25" s="515">
        <v>3215659.79</v>
      </c>
      <c r="K25" s="515">
        <v>10371383.449999999</v>
      </c>
      <c r="L25" s="515">
        <v>3231457.13</v>
      </c>
      <c r="M25" s="515">
        <v>10375903.49</v>
      </c>
      <c r="N25" s="515">
        <v>3246285.99</v>
      </c>
      <c r="O25" s="515">
        <v>10468666.300000001</v>
      </c>
      <c r="P25" s="515">
        <v>3253959</v>
      </c>
      <c r="Q25" s="515">
        <v>10472707.02</v>
      </c>
      <c r="R25" s="515">
        <v>3270708.87</v>
      </c>
      <c r="S25" s="515">
        <v>10505519.23</v>
      </c>
      <c r="T25" s="515">
        <v>3287465.21</v>
      </c>
      <c r="U25" s="515">
        <v>10514153.9</v>
      </c>
      <c r="V25" s="515">
        <v>3304274.04</v>
      </c>
      <c r="W25" s="515">
        <v>10518891.42</v>
      </c>
      <c r="X25" s="515">
        <v>3321096.69</v>
      </c>
      <c r="Y25" s="515">
        <v>10534034.26</v>
      </c>
      <c r="Z25" s="515">
        <v>3337926.91</v>
      </c>
      <c r="AA25" s="515">
        <v>10520497.199999999</v>
      </c>
      <c r="AB25" s="515">
        <v>3341244.32</v>
      </c>
      <c r="AC25" s="515">
        <v>10605833.859999999</v>
      </c>
      <c r="AD25" s="515">
        <v>3322284.12</v>
      </c>
      <c r="AE25" s="515">
        <f t="shared" si="1"/>
        <v>10455953.181666667</v>
      </c>
      <c r="AF25" s="515">
        <f t="shared" si="0"/>
        <v>3271798.5016666665</v>
      </c>
    </row>
    <row r="26" spans="1:32">
      <c r="A26" s="509">
        <v>18</v>
      </c>
      <c r="B26" s="26"/>
      <c r="C26" s="513" t="s">
        <v>924</v>
      </c>
      <c r="D26" s="514" t="s">
        <v>911</v>
      </c>
      <c r="E26" s="515">
        <v>38337010.509999998</v>
      </c>
      <c r="F26" s="515">
        <v>14538241.85</v>
      </c>
      <c r="G26" s="515">
        <v>38619213.939999998</v>
      </c>
      <c r="H26" s="515">
        <v>14662198.189999999</v>
      </c>
      <c r="I26" s="515">
        <v>38916524.130000003</v>
      </c>
      <c r="J26" s="515">
        <v>14784109.99</v>
      </c>
      <c r="K26" s="515">
        <v>39805906.960000001</v>
      </c>
      <c r="L26" s="515">
        <v>14906612.609999999</v>
      </c>
      <c r="M26" s="515">
        <v>40214617.799999997</v>
      </c>
      <c r="N26" s="515">
        <v>15020725.289999999</v>
      </c>
      <c r="O26" s="515">
        <v>40538850.310000002</v>
      </c>
      <c r="P26" s="515">
        <v>15119744</v>
      </c>
      <c r="Q26" s="515">
        <v>40904794.399999999</v>
      </c>
      <c r="R26" s="515">
        <v>15235451.51</v>
      </c>
      <c r="S26" s="515">
        <v>41089211.789999999</v>
      </c>
      <c r="T26" s="515">
        <v>15366858.1</v>
      </c>
      <c r="U26" s="515">
        <v>41232917.659999996</v>
      </c>
      <c r="V26" s="515">
        <v>15495897.279999999</v>
      </c>
      <c r="W26" s="515">
        <v>41437524.729999997</v>
      </c>
      <c r="X26" s="515">
        <v>15628203.449999999</v>
      </c>
      <c r="Y26" s="515">
        <v>41870238.359999999</v>
      </c>
      <c r="Z26" s="515">
        <v>15739210.27</v>
      </c>
      <c r="AA26" s="515">
        <v>42428846.369999997</v>
      </c>
      <c r="AB26" s="515">
        <v>15874590.710000001</v>
      </c>
      <c r="AC26" s="515">
        <v>43368051.479999997</v>
      </c>
      <c r="AD26" s="515">
        <v>15985848.4</v>
      </c>
      <c r="AE26" s="515">
        <f t="shared" si="1"/>
        <v>40659264.787083335</v>
      </c>
      <c r="AF26" s="515">
        <f t="shared" si="0"/>
        <v>15257970.543750001</v>
      </c>
    </row>
    <row r="27" spans="1:32">
      <c r="A27" s="509">
        <v>19</v>
      </c>
      <c r="B27" s="26"/>
      <c r="C27" s="513" t="s">
        <v>925</v>
      </c>
      <c r="D27" s="514" t="s">
        <v>911</v>
      </c>
      <c r="E27" s="515">
        <v>13013507.93</v>
      </c>
      <c r="F27" s="515">
        <v>19669351.449999999</v>
      </c>
      <c r="G27" s="515">
        <v>13015100.140000001</v>
      </c>
      <c r="H27" s="515">
        <v>19690127.120000001</v>
      </c>
      <c r="I27" s="515">
        <v>12999997.949999999</v>
      </c>
      <c r="J27" s="515">
        <v>19708853.100000001</v>
      </c>
      <c r="K27" s="515">
        <v>12998642.789999999</v>
      </c>
      <c r="L27" s="515">
        <v>19731603.100000001</v>
      </c>
      <c r="M27" s="515">
        <v>12990611.640000001</v>
      </c>
      <c r="N27" s="515">
        <v>19756428.690000001</v>
      </c>
      <c r="O27" s="515">
        <v>12979267.689999999</v>
      </c>
      <c r="P27" s="515">
        <v>19680904.27</v>
      </c>
      <c r="Q27" s="515">
        <v>12944043.99</v>
      </c>
      <c r="R27" s="515">
        <v>19647548.050000001</v>
      </c>
      <c r="S27" s="515">
        <v>12940475.470000001</v>
      </c>
      <c r="T27" s="515">
        <v>19661098.449999999</v>
      </c>
      <c r="U27" s="515">
        <v>12940497.32</v>
      </c>
      <c r="V27" s="515">
        <v>19651075.550000001</v>
      </c>
      <c r="W27" s="515">
        <v>12939574.33</v>
      </c>
      <c r="X27" s="515">
        <v>19656927.629999999</v>
      </c>
      <c r="Y27" s="515">
        <v>12937178.6</v>
      </c>
      <c r="Z27" s="515">
        <v>19679697.109999999</v>
      </c>
      <c r="AA27" s="515">
        <v>12937009.939999999</v>
      </c>
      <c r="AB27" s="515">
        <v>19707320.109999999</v>
      </c>
      <c r="AC27" s="515">
        <v>12916898.949999999</v>
      </c>
      <c r="AD27" s="515">
        <v>19573186.780000001</v>
      </c>
      <c r="AE27" s="515">
        <f t="shared" si="1"/>
        <v>12965633.608333332</v>
      </c>
      <c r="AF27" s="515">
        <f t="shared" si="0"/>
        <v>19682737.69125</v>
      </c>
    </row>
    <row r="28" spans="1:32">
      <c r="A28" s="509">
        <v>20</v>
      </c>
      <c r="B28" s="26"/>
      <c r="C28" s="513" t="s">
        <v>926</v>
      </c>
      <c r="D28" s="514" t="s">
        <v>911</v>
      </c>
      <c r="E28" s="515">
        <v>9108506.9800000004</v>
      </c>
      <c r="F28" s="515">
        <v>3655642.65</v>
      </c>
      <c r="G28" s="515">
        <v>9143285.7599999998</v>
      </c>
      <c r="H28" s="515">
        <v>3669760.83</v>
      </c>
      <c r="I28" s="515">
        <v>9155737.1899999995</v>
      </c>
      <c r="J28" s="515">
        <v>3683932.93</v>
      </c>
      <c r="K28" s="515">
        <v>9171797.8499999996</v>
      </c>
      <c r="L28" s="515">
        <v>3696460.8200000003</v>
      </c>
      <c r="M28" s="515">
        <v>9194844.0600000005</v>
      </c>
      <c r="N28" s="515">
        <v>3707681.62</v>
      </c>
      <c r="O28" s="515">
        <v>9204738.9900000002</v>
      </c>
      <c r="P28" s="515">
        <v>3720233.27</v>
      </c>
      <c r="Q28" s="515">
        <v>9211240.8100000005</v>
      </c>
      <c r="R28" s="515">
        <v>3733813.55</v>
      </c>
      <c r="S28" s="515">
        <v>9215459.4199999999</v>
      </c>
      <c r="T28" s="515">
        <v>3747512.27</v>
      </c>
      <c r="U28" s="515">
        <v>9239344.2100000009</v>
      </c>
      <c r="V28" s="515">
        <v>3761610.58</v>
      </c>
      <c r="W28" s="515">
        <v>9268634.5999999996</v>
      </c>
      <c r="X28" s="515">
        <v>3775037.88</v>
      </c>
      <c r="Y28" s="515">
        <v>9337662.5</v>
      </c>
      <c r="Z28" s="515">
        <v>3788794.14</v>
      </c>
      <c r="AA28" s="515">
        <v>9353557.1300000008</v>
      </c>
      <c r="AB28" s="515">
        <v>3802672.3</v>
      </c>
      <c r="AC28" s="515">
        <v>9659588.1699999999</v>
      </c>
      <c r="AD28" s="515">
        <v>3808055.25</v>
      </c>
      <c r="AE28" s="515">
        <f t="shared" si="1"/>
        <v>9240029.1745833326</v>
      </c>
      <c r="AF28" s="515">
        <f t="shared" si="0"/>
        <v>3734946.5949999993</v>
      </c>
    </row>
    <row r="29" spans="1:32">
      <c r="A29" s="509">
        <v>21</v>
      </c>
      <c r="B29" s="26"/>
      <c r="C29" s="513" t="s">
        <v>927</v>
      </c>
      <c r="D29" s="514" t="s">
        <v>911</v>
      </c>
      <c r="E29" s="515">
        <v>1877867.75</v>
      </c>
      <c r="F29" s="515">
        <v>754121.15</v>
      </c>
      <c r="G29" s="515">
        <v>1881107.6099999999</v>
      </c>
      <c r="H29" s="515">
        <v>757532.61</v>
      </c>
      <c r="I29" s="515">
        <v>1881107.6099999999</v>
      </c>
      <c r="J29" s="515">
        <v>760949.96</v>
      </c>
      <c r="K29" s="515">
        <v>1882011.54</v>
      </c>
      <c r="L29" s="515">
        <v>764198.56</v>
      </c>
      <c r="M29" s="515">
        <v>1904956.8</v>
      </c>
      <c r="N29" s="515">
        <v>766747.1</v>
      </c>
      <c r="O29" s="515">
        <v>1908195.22</v>
      </c>
      <c r="P29" s="515">
        <v>766774.91</v>
      </c>
      <c r="Q29" s="515">
        <v>1911317.62</v>
      </c>
      <c r="R29" s="515">
        <v>770241.46</v>
      </c>
      <c r="S29" s="515">
        <v>1913744.74</v>
      </c>
      <c r="T29" s="515">
        <v>774175.51</v>
      </c>
      <c r="U29" s="515">
        <v>1939227.32</v>
      </c>
      <c r="V29" s="515">
        <v>777652.15</v>
      </c>
      <c r="W29" s="515">
        <v>1945139.6</v>
      </c>
      <c r="X29" s="515">
        <v>782068.14</v>
      </c>
      <c r="Y29" s="515">
        <v>1949768.76</v>
      </c>
      <c r="Z29" s="515">
        <v>783948.01</v>
      </c>
      <c r="AA29" s="515">
        <v>1968985.29</v>
      </c>
      <c r="AB29" s="515">
        <v>788042.39</v>
      </c>
      <c r="AC29" s="515">
        <v>2199897.91</v>
      </c>
      <c r="AD29" s="515">
        <v>795547.13</v>
      </c>
      <c r="AE29" s="515">
        <f t="shared" si="1"/>
        <v>1927037.0783333331</v>
      </c>
      <c r="AF29" s="515">
        <f t="shared" si="0"/>
        <v>772263.745</v>
      </c>
    </row>
    <row r="30" spans="1:32">
      <c r="A30" s="509">
        <v>22</v>
      </c>
      <c r="B30" s="26"/>
      <c r="C30" s="513" t="s">
        <v>928</v>
      </c>
      <c r="D30" s="514" t="s">
        <v>911</v>
      </c>
      <c r="E30" s="515">
        <v>0</v>
      </c>
      <c r="F30" s="515">
        <v>-256.08</v>
      </c>
      <c r="G30" s="515">
        <v>0</v>
      </c>
      <c r="H30" s="515">
        <v>-256.08</v>
      </c>
      <c r="I30" s="515">
        <v>0</v>
      </c>
      <c r="J30" s="515">
        <v>-256.08</v>
      </c>
      <c r="K30" s="515">
        <v>0</v>
      </c>
      <c r="L30" s="515">
        <v>-256.08</v>
      </c>
      <c r="M30" s="515">
        <v>0</v>
      </c>
      <c r="N30" s="515">
        <v>-256.08</v>
      </c>
      <c r="O30" s="515">
        <v>0</v>
      </c>
      <c r="P30" s="515">
        <v>-256.08</v>
      </c>
      <c r="Q30" s="515">
        <v>0</v>
      </c>
      <c r="R30" s="515">
        <v>-256.08</v>
      </c>
      <c r="S30" s="515">
        <v>0</v>
      </c>
      <c r="T30" s="515">
        <v>-256.08</v>
      </c>
      <c r="U30" s="515">
        <v>0</v>
      </c>
      <c r="V30" s="515">
        <v>-256.08</v>
      </c>
      <c r="W30" s="515">
        <v>0</v>
      </c>
      <c r="X30" s="515">
        <v>-256.08</v>
      </c>
      <c r="Y30" s="515">
        <v>0</v>
      </c>
      <c r="Z30" s="515">
        <v>-256.08</v>
      </c>
      <c r="AA30" s="515">
        <v>0</v>
      </c>
      <c r="AB30" s="515">
        <v>-256.08</v>
      </c>
      <c r="AC30" s="515">
        <v>0</v>
      </c>
      <c r="AD30" s="515">
        <v>-256.08</v>
      </c>
      <c r="AE30" s="515">
        <f t="shared" si="1"/>
        <v>0</v>
      </c>
      <c r="AF30" s="515">
        <f t="shared" si="0"/>
        <v>-256.08</v>
      </c>
    </row>
    <row r="31" spans="1:32">
      <c r="A31" s="509">
        <v>23</v>
      </c>
      <c r="B31" s="26"/>
      <c r="C31" s="513" t="s">
        <v>929</v>
      </c>
      <c r="D31" s="514" t="s">
        <v>911</v>
      </c>
      <c r="E31" s="515">
        <v>493301.43</v>
      </c>
      <c r="F31" s="515">
        <v>309237.99</v>
      </c>
      <c r="G31" s="515">
        <v>493301.43</v>
      </c>
      <c r="H31" s="515">
        <v>309237.99</v>
      </c>
      <c r="I31" s="515">
        <v>493301.43</v>
      </c>
      <c r="J31" s="515">
        <v>309237.99</v>
      </c>
      <c r="K31" s="515">
        <v>493301.43</v>
      </c>
      <c r="L31" s="515">
        <v>309237.99</v>
      </c>
      <c r="M31" s="515">
        <v>493301.43</v>
      </c>
      <c r="N31" s="515">
        <v>309237.99</v>
      </c>
      <c r="O31" s="515">
        <v>493301.43</v>
      </c>
      <c r="P31" s="515">
        <v>309237.99</v>
      </c>
      <c r="Q31" s="515">
        <v>493301.43</v>
      </c>
      <c r="R31" s="515">
        <v>309237.99</v>
      </c>
      <c r="S31" s="515">
        <v>493301.43</v>
      </c>
      <c r="T31" s="515">
        <v>309237.99</v>
      </c>
      <c r="U31" s="515">
        <v>493301.43</v>
      </c>
      <c r="V31" s="515">
        <v>309237.99</v>
      </c>
      <c r="W31" s="515">
        <v>493301.43</v>
      </c>
      <c r="X31" s="515">
        <v>309237.99</v>
      </c>
      <c r="Y31" s="515">
        <v>493301.43</v>
      </c>
      <c r="Z31" s="515">
        <v>309237.99</v>
      </c>
      <c r="AA31" s="515">
        <v>493301.43</v>
      </c>
      <c r="AB31" s="515">
        <v>309237.99</v>
      </c>
      <c r="AC31" s="515">
        <v>493301.43</v>
      </c>
      <c r="AD31" s="515">
        <v>309237.99</v>
      </c>
      <c r="AE31" s="515">
        <f t="shared" si="1"/>
        <v>493301.42999999993</v>
      </c>
      <c r="AF31" s="515">
        <f t="shared" si="0"/>
        <v>309237.99000000005</v>
      </c>
    </row>
    <row r="32" spans="1:32">
      <c r="A32" s="509">
        <v>24</v>
      </c>
      <c r="B32" s="26"/>
      <c r="C32" s="513" t="s">
        <v>930</v>
      </c>
      <c r="D32" s="514" t="s">
        <v>911</v>
      </c>
      <c r="E32" s="515">
        <v>0</v>
      </c>
      <c r="F32" s="515">
        <v>11145.130000000001</v>
      </c>
      <c r="G32" s="515">
        <v>0</v>
      </c>
      <c r="H32" s="515">
        <v>11145.130000000001</v>
      </c>
      <c r="I32" s="515">
        <v>0</v>
      </c>
      <c r="J32" s="515">
        <v>11145.130000000001</v>
      </c>
      <c r="K32" s="515">
        <v>0</v>
      </c>
      <c r="L32" s="515">
        <v>11145.130000000001</v>
      </c>
      <c r="M32" s="515">
        <v>0</v>
      </c>
      <c r="N32" s="515">
        <v>11145.130000000001</v>
      </c>
      <c r="O32" s="515">
        <v>0</v>
      </c>
      <c r="P32" s="515">
        <v>11145.130000000001</v>
      </c>
      <c r="Q32" s="515">
        <v>0</v>
      </c>
      <c r="R32" s="515">
        <v>11145.130000000001</v>
      </c>
      <c r="S32" s="515">
        <v>0</v>
      </c>
      <c r="T32" s="515">
        <v>11145.130000000001</v>
      </c>
      <c r="U32" s="515">
        <v>0</v>
      </c>
      <c r="V32" s="515">
        <v>11145.130000000001</v>
      </c>
      <c r="W32" s="515">
        <v>0</v>
      </c>
      <c r="X32" s="515">
        <v>11145.130000000001</v>
      </c>
      <c r="Y32" s="515">
        <v>0</v>
      </c>
      <c r="Z32" s="515">
        <v>11145.130000000001</v>
      </c>
      <c r="AA32" s="515">
        <v>0</v>
      </c>
      <c r="AB32" s="515">
        <v>11145.130000000001</v>
      </c>
      <c r="AC32" s="515">
        <v>0</v>
      </c>
      <c r="AD32" s="515">
        <v>11145.130000000001</v>
      </c>
      <c r="AE32" s="515">
        <f t="shared" si="1"/>
        <v>0</v>
      </c>
      <c r="AF32" s="515">
        <f t="shared" si="0"/>
        <v>11145.130000000003</v>
      </c>
    </row>
    <row r="33" spans="1:32">
      <c r="A33" s="509">
        <v>25</v>
      </c>
      <c r="B33" s="26"/>
      <c r="C33" s="513" t="s">
        <v>931</v>
      </c>
      <c r="D33" s="514" t="s">
        <v>911</v>
      </c>
      <c r="E33" s="515">
        <v>4503031.37</v>
      </c>
      <c r="F33" s="515">
        <v>1116293.8</v>
      </c>
      <c r="G33" s="515">
        <v>4503031.37</v>
      </c>
      <c r="H33" s="515">
        <v>1120946.93</v>
      </c>
      <c r="I33" s="515">
        <v>4503031.37</v>
      </c>
      <c r="J33" s="515">
        <v>1125600.06</v>
      </c>
      <c r="K33" s="515">
        <v>4503031.37</v>
      </c>
      <c r="L33" s="515">
        <v>1130253.19</v>
      </c>
      <c r="M33" s="515">
        <v>4503031.37</v>
      </c>
      <c r="N33" s="515">
        <v>1134906.32</v>
      </c>
      <c r="O33" s="515">
        <v>4516130.03</v>
      </c>
      <c r="P33" s="515">
        <v>1139559.45</v>
      </c>
      <c r="Q33" s="515">
        <v>4516130.03</v>
      </c>
      <c r="R33" s="515">
        <v>1144226.1200000001</v>
      </c>
      <c r="S33" s="515">
        <v>4516130.03</v>
      </c>
      <c r="T33" s="515">
        <v>1148892.79</v>
      </c>
      <c r="U33" s="515">
        <v>4516130.03</v>
      </c>
      <c r="V33" s="515">
        <v>1153559.46</v>
      </c>
      <c r="W33" s="515">
        <v>4516130.03</v>
      </c>
      <c r="X33" s="515">
        <v>1158226.1299999999</v>
      </c>
      <c r="Y33" s="515">
        <v>4516130.03</v>
      </c>
      <c r="Z33" s="515">
        <v>1162892.8</v>
      </c>
      <c r="AA33" s="515">
        <v>4516130.03</v>
      </c>
      <c r="AB33" s="515">
        <v>1167559.47</v>
      </c>
      <c r="AC33" s="515">
        <v>4516175.41</v>
      </c>
      <c r="AD33" s="515">
        <v>1172226.1400000001</v>
      </c>
      <c r="AE33" s="515">
        <f t="shared" si="1"/>
        <v>4511219.9233333338</v>
      </c>
      <c r="AF33" s="515">
        <f t="shared" si="0"/>
        <v>1144240.2241666669</v>
      </c>
    </row>
    <row r="34" spans="1:32">
      <c r="A34" s="509">
        <v>26</v>
      </c>
      <c r="B34" s="26"/>
      <c r="C34" s="513" t="s">
        <v>932</v>
      </c>
      <c r="D34" s="514" t="s">
        <v>911</v>
      </c>
      <c r="E34" s="515">
        <v>76479.02</v>
      </c>
      <c r="F34" s="515">
        <v>27440.760000000002</v>
      </c>
      <c r="G34" s="515">
        <v>76479.02</v>
      </c>
      <c r="H34" s="515">
        <v>28547.79</v>
      </c>
      <c r="I34" s="515">
        <v>74789.02</v>
      </c>
      <c r="J34" s="515">
        <v>27964.82</v>
      </c>
      <c r="K34" s="515">
        <v>72240.02</v>
      </c>
      <c r="L34" s="515">
        <v>26498.39</v>
      </c>
      <c r="M34" s="515">
        <v>72240.02</v>
      </c>
      <c r="N34" s="515">
        <v>27544.06</v>
      </c>
      <c r="O34" s="515">
        <v>72240.02</v>
      </c>
      <c r="P34" s="515">
        <v>28589.73</v>
      </c>
      <c r="Q34" s="515">
        <v>72240.02</v>
      </c>
      <c r="R34" s="515">
        <v>29635.4</v>
      </c>
      <c r="S34" s="515">
        <v>72240.02</v>
      </c>
      <c r="T34" s="515">
        <v>30681.07</v>
      </c>
      <c r="U34" s="515">
        <v>72240.02</v>
      </c>
      <c r="V34" s="515">
        <v>31726.74</v>
      </c>
      <c r="W34" s="515">
        <v>72240.02</v>
      </c>
      <c r="X34" s="515">
        <v>32772.410000000003</v>
      </c>
      <c r="Y34" s="515">
        <v>72240.02</v>
      </c>
      <c r="Z34" s="515">
        <v>33818.080000000002</v>
      </c>
      <c r="AA34" s="515">
        <v>72240.02</v>
      </c>
      <c r="AB34" s="515">
        <v>34863.75</v>
      </c>
      <c r="AC34" s="515">
        <v>72240.02</v>
      </c>
      <c r="AD34" s="515">
        <v>35909.42</v>
      </c>
      <c r="AE34" s="515">
        <f t="shared" si="1"/>
        <v>72982.311666666676</v>
      </c>
      <c r="AF34" s="515">
        <f t="shared" si="0"/>
        <v>30359.777500000007</v>
      </c>
    </row>
    <row r="35" spans="1:32">
      <c r="A35" s="509">
        <v>27</v>
      </c>
      <c r="B35" s="26"/>
      <c r="C35" s="513" t="s">
        <v>933</v>
      </c>
      <c r="D35" s="514" t="s">
        <v>911</v>
      </c>
      <c r="E35" s="515">
        <v>106237.48</v>
      </c>
      <c r="F35" s="515">
        <v>25136.71</v>
      </c>
      <c r="G35" s="515">
        <v>106237.48</v>
      </c>
      <c r="H35" s="515">
        <v>25577.600000000002</v>
      </c>
      <c r="I35" s="515">
        <v>106237.48</v>
      </c>
      <c r="J35" s="515">
        <v>26018.49</v>
      </c>
      <c r="K35" s="515">
        <v>106237.48</v>
      </c>
      <c r="L35" s="515">
        <v>26459.38</v>
      </c>
      <c r="M35" s="515">
        <v>106237.48</v>
      </c>
      <c r="N35" s="515">
        <v>26900.27</v>
      </c>
      <c r="O35" s="515">
        <v>106237.48</v>
      </c>
      <c r="P35" s="515">
        <v>27341.16</v>
      </c>
      <c r="Q35" s="515">
        <v>106237.48</v>
      </c>
      <c r="R35" s="515">
        <v>27782.05</v>
      </c>
      <c r="S35" s="515">
        <v>106237.48</v>
      </c>
      <c r="T35" s="515">
        <v>28222.940000000002</v>
      </c>
      <c r="U35" s="515">
        <v>106237.48</v>
      </c>
      <c r="V35" s="515">
        <v>28663.83</v>
      </c>
      <c r="W35" s="515">
        <v>106237.48</v>
      </c>
      <c r="X35" s="515">
        <v>29104.720000000001</v>
      </c>
      <c r="Y35" s="515">
        <v>106237.48</v>
      </c>
      <c r="Z35" s="515">
        <v>29545.61</v>
      </c>
      <c r="AA35" s="515">
        <v>106237.48</v>
      </c>
      <c r="AB35" s="515">
        <v>29986.5</v>
      </c>
      <c r="AC35" s="515">
        <v>106237.48</v>
      </c>
      <c r="AD35" s="515">
        <v>30427.39</v>
      </c>
      <c r="AE35" s="515">
        <f t="shared" si="1"/>
        <v>106237.48</v>
      </c>
      <c r="AF35" s="515">
        <f t="shared" si="0"/>
        <v>27782.05</v>
      </c>
    </row>
    <row r="36" spans="1:32">
      <c r="A36" s="509">
        <v>28</v>
      </c>
      <c r="B36" s="26"/>
      <c r="C36" s="513" t="s">
        <v>934</v>
      </c>
      <c r="D36" s="514" t="s">
        <v>911</v>
      </c>
      <c r="E36" s="515">
        <v>105251.23</v>
      </c>
      <c r="F36" s="515">
        <v>74650.720000000001</v>
      </c>
      <c r="G36" s="515">
        <v>105251.23</v>
      </c>
      <c r="H36" s="515">
        <v>74927.009999999995</v>
      </c>
      <c r="I36" s="515">
        <v>105251.23</v>
      </c>
      <c r="J36" s="515">
        <v>75203.3</v>
      </c>
      <c r="K36" s="515">
        <v>105251.23</v>
      </c>
      <c r="L36" s="515">
        <v>75479.59</v>
      </c>
      <c r="M36" s="515">
        <v>105251.23</v>
      </c>
      <c r="N36" s="515">
        <v>75755.88</v>
      </c>
      <c r="O36" s="515">
        <v>105251.23</v>
      </c>
      <c r="P36" s="515">
        <v>76032.17</v>
      </c>
      <c r="Q36" s="515">
        <v>105251.23</v>
      </c>
      <c r="R36" s="515">
        <v>76308.460000000006</v>
      </c>
      <c r="S36" s="515">
        <v>105251.23</v>
      </c>
      <c r="T36" s="515">
        <v>76584.75</v>
      </c>
      <c r="U36" s="515">
        <v>105251.23</v>
      </c>
      <c r="V36" s="515">
        <v>76861.040000000008</v>
      </c>
      <c r="W36" s="515">
        <v>105251.23</v>
      </c>
      <c r="X36" s="515">
        <v>77137.33</v>
      </c>
      <c r="Y36" s="515">
        <v>105251.23</v>
      </c>
      <c r="Z36" s="515">
        <v>77413.62</v>
      </c>
      <c r="AA36" s="515">
        <v>105251.23</v>
      </c>
      <c r="AB36" s="515">
        <v>77689.91</v>
      </c>
      <c r="AC36" s="515">
        <v>105251.23</v>
      </c>
      <c r="AD36" s="515">
        <v>77966.2</v>
      </c>
      <c r="AE36" s="515">
        <f t="shared" si="1"/>
        <v>105251.23</v>
      </c>
      <c r="AF36" s="515">
        <f t="shared" si="0"/>
        <v>76308.460000000006</v>
      </c>
    </row>
    <row r="37" spans="1:32">
      <c r="A37" s="509">
        <v>29</v>
      </c>
      <c r="B37" s="26"/>
      <c r="C37" s="513" t="s">
        <v>935</v>
      </c>
      <c r="D37" s="514" t="s">
        <v>911</v>
      </c>
      <c r="E37" s="515">
        <v>3684900.99</v>
      </c>
      <c r="F37" s="515">
        <v>1332882.03</v>
      </c>
      <c r="G37" s="515">
        <v>3773002.54</v>
      </c>
      <c r="H37" s="515">
        <v>1351767.15</v>
      </c>
      <c r="I37" s="515">
        <v>3777317.48</v>
      </c>
      <c r="J37" s="515">
        <v>1371103.79</v>
      </c>
      <c r="K37" s="515">
        <v>3751174.5</v>
      </c>
      <c r="L37" s="515">
        <v>1366919.54</v>
      </c>
      <c r="M37" s="515">
        <v>3751174.5</v>
      </c>
      <c r="N37" s="515">
        <v>1386144.31</v>
      </c>
      <c r="O37" s="515">
        <v>3722439.19</v>
      </c>
      <c r="P37" s="515">
        <v>1385797.25</v>
      </c>
      <c r="Q37" s="515">
        <v>3399488.41</v>
      </c>
      <c r="R37" s="515">
        <v>1223314.08</v>
      </c>
      <c r="S37" s="515">
        <v>3397760.19</v>
      </c>
      <c r="T37" s="515">
        <v>1240736.46</v>
      </c>
      <c r="U37" s="515">
        <v>3397219.44</v>
      </c>
      <c r="V37" s="515">
        <v>1231831.3</v>
      </c>
      <c r="W37" s="515">
        <v>3448009.08</v>
      </c>
      <c r="X37" s="515">
        <v>1249242.05</v>
      </c>
      <c r="Y37" s="515">
        <v>3447301.94</v>
      </c>
      <c r="Z37" s="515">
        <v>1266913.1000000001</v>
      </c>
      <c r="AA37" s="515">
        <v>3446998.88</v>
      </c>
      <c r="AB37" s="515">
        <v>1284580.53</v>
      </c>
      <c r="AC37" s="515">
        <v>3646897.84</v>
      </c>
      <c r="AD37" s="515">
        <v>1302246.3999999999</v>
      </c>
      <c r="AE37" s="515">
        <f t="shared" si="1"/>
        <v>3581482.1304166671</v>
      </c>
      <c r="AF37" s="515">
        <f t="shared" si="0"/>
        <v>1306326.1479166667</v>
      </c>
    </row>
    <row r="38" spans="1:32">
      <c r="A38" s="509">
        <v>30</v>
      </c>
      <c r="B38" s="26"/>
      <c r="C38" s="513" t="s">
        <v>936</v>
      </c>
      <c r="D38" s="514" t="s">
        <v>911</v>
      </c>
      <c r="E38" s="515">
        <v>0</v>
      </c>
      <c r="F38" s="515">
        <v>0</v>
      </c>
      <c r="G38" s="515">
        <v>0</v>
      </c>
      <c r="H38" s="515">
        <v>0</v>
      </c>
      <c r="I38" s="515">
        <v>0</v>
      </c>
      <c r="J38" s="515">
        <v>0</v>
      </c>
      <c r="K38" s="515">
        <v>0</v>
      </c>
      <c r="L38" s="515">
        <v>0</v>
      </c>
      <c r="M38" s="515">
        <v>0</v>
      </c>
      <c r="N38" s="515">
        <v>0</v>
      </c>
      <c r="O38" s="515">
        <v>0</v>
      </c>
      <c r="P38" s="515">
        <v>0</v>
      </c>
      <c r="Q38" s="515">
        <v>0</v>
      </c>
      <c r="R38" s="515">
        <v>0</v>
      </c>
      <c r="S38" s="515">
        <v>0</v>
      </c>
      <c r="T38" s="515">
        <v>0</v>
      </c>
      <c r="U38" s="515">
        <v>0</v>
      </c>
      <c r="V38" s="515">
        <v>0</v>
      </c>
      <c r="W38" s="515">
        <v>0</v>
      </c>
      <c r="X38" s="515">
        <v>0</v>
      </c>
      <c r="Y38" s="515">
        <v>0</v>
      </c>
      <c r="Z38" s="515">
        <v>0</v>
      </c>
      <c r="AA38" s="515">
        <v>0</v>
      </c>
      <c r="AB38" s="515">
        <v>0</v>
      </c>
      <c r="AC38" s="515">
        <v>0</v>
      </c>
      <c r="AD38" s="515">
        <v>0</v>
      </c>
      <c r="AE38" s="515">
        <f t="shared" si="1"/>
        <v>0</v>
      </c>
      <c r="AF38" s="515">
        <f t="shared" si="0"/>
        <v>0</v>
      </c>
    </row>
    <row r="39" spans="1:32">
      <c r="A39" s="509">
        <v>31</v>
      </c>
      <c r="B39" s="26"/>
      <c r="C39" s="513" t="s">
        <v>937</v>
      </c>
      <c r="D39" s="514" t="s">
        <v>911</v>
      </c>
      <c r="E39" s="515">
        <v>1274626.32</v>
      </c>
      <c r="F39" s="515">
        <v>372218.73</v>
      </c>
      <c r="G39" s="515">
        <v>1274626.32</v>
      </c>
      <c r="H39" s="515">
        <v>376000.12</v>
      </c>
      <c r="I39" s="515">
        <v>1289763.49</v>
      </c>
      <c r="J39" s="515">
        <v>379781.51</v>
      </c>
      <c r="K39" s="515">
        <v>1278821.51</v>
      </c>
      <c r="L39" s="515">
        <v>357295.98</v>
      </c>
      <c r="M39" s="515">
        <v>1291186.1600000001</v>
      </c>
      <c r="N39" s="515">
        <v>361089.82</v>
      </c>
      <c r="O39" s="515">
        <v>1291186.1600000001</v>
      </c>
      <c r="P39" s="515">
        <v>364920.34</v>
      </c>
      <c r="Q39" s="515">
        <v>1490177.22</v>
      </c>
      <c r="R39" s="515">
        <v>368750.86</v>
      </c>
      <c r="S39" s="515">
        <v>1490177.22</v>
      </c>
      <c r="T39" s="515">
        <v>373171.72000000003</v>
      </c>
      <c r="U39" s="515">
        <v>1493030.77</v>
      </c>
      <c r="V39" s="515">
        <v>377592.58</v>
      </c>
      <c r="W39" s="515">
        <v>1530766.32</v>
      </c>
      <c r="X39" s="515">
        <v>382021.9</v>
      </c>
      <c r="Y39" s="515">
        <v>1526548.3599999999</v>
      </c>
      <c r="Z39" s="515">
        <v>386563.17</v>
      </c>
      <c r="AA39" s="515">
        <v>1505439.62</v>
      </c>
      <c r="AB39" s="515">
        <v>388978.56</v>
      </c>
      <c r="AC39" s="515">
        <v>1518441.77</v>
      </c>
      <c r="AD39" s="515">
        <v>393444.7</v>
      </c>
      <c r="AE39" s="515">
        <f t="shared" si="1"/>
        <v>1404854.7662500001</v>
      </c>
      <c r="AF39" s="515">
        <f t="shared" si="0"/>
        <v>374916.5229166667</v>
      </c>
    </row>
    <row r="40" spans="1:32">
      <c r="A40" s="509">
        <v>32</v>
      </c>
      <c r="B40" s="26"/>
      <c r="C40" s="513" t="s">
        <v>938</v>
      </c>
      <c r="D40" s="514" t="s">
        <v>911</v>
      </c>
      <c r="E40" s="515">
        <v>937946.72</v>
      </c>
      <c r="F40" s="515">
        <v>-423901.4</v>
      </c>
      <c r="G40" s="515">
        <v>944674.02</v>
      </c>
      <c r="H40" s="515">
        <v>-444203.96</v>
      </c>
      <c r="I40" s="515">
        <v>944674.02</v>
      </c>
      <c r="J40" s="515">
        <v>-353833.12</v>
      </c>
      <c r="K40" s="515">
        <v>862236.98</v>
      </c>
      <c r="L40" s="515">
        <v>-361731.32</v>
      </c>
      <c r="M40" s="515">
        <v>849668.55</v>
      </c>
      <c r="N40" s="515">
        <v>-370577.76</v>
      </c>
      <c r="O40" s="515">
        <v>849668.55</v>
      </c>
      <c r="P40" s="515">
        <v>-366910.03</v>
      </c>
      <c r="Q40" s="515">
        <v>856973.88</v>
      </c>
      <c r="R40" s="515">
        <v>-353242.3</v>
      </c>
      <c r="S40" s="515">
        <v>977750.03</v>
      </c>
      <c r="T40" s="515">
        <v>-349543.03</v>
      </c>
      <c r="U40" s="515">
        <v>840330.49</v>
      </c>
      <c r="V40" s="515">
        <v>-425852</v>
      </c>
      <c r="W40" s="515">
        <v>911438.61</v>
      </c>
      <c r="X40" s="515">
        <v>-422224.57</v>
      </c>
      <c r="Y40" s="515">
        <v>828294.61</v>
      </c>
      <c r="Z40" s="515">
        <v>-442434.19</v>
      </c>
      <c r="AA40" s="515">
        <v>828294.61</v>
      </c>
      <c r="AB40" s="515">
        <v>-438702.72000000003</v>
      </c>
      <c r="AC40" s="515">
        <v>886803.63</v>
      </c>
      <c r="AD40" s="515">
        <v>-435127.25</v>
      </c>
      <c r="AE40" s="515">
        <f t="shared" si="1"/>
        <v>883864.9604166667</v>
      </c>
      <c r="AF40" s="515">
        <f t="shared" si="0"/>
        <v>-396564.11041666666</v>
      </c>
    </row>
    <row r="41" spans="1:32">
      <c r="A41" s="509">
        <v>33</v>
      </c>
      <c r="B41" s="26"/>
      <c r="C41" s="513" t="s">
        <v>939</v>
      </c>
      <c r="D41" s="514" t="s">
        <v>911</v>
      </c>
      <c r="E41" s="515">
        <v>311174.81</v>
      </c>
      <c r="F41" s="515">
        <v>56107.61</v>
      </c>
      <c r="G41" s="515">
        <v>311174.81</v>
      </c>
      <c r="H41" s="515">
        <v>56916.67</v>
      </c>
      <c r="I41" s="515">
        <v>311174.81</v>
      </c>
      <c r="J41" s="515">
        <v>57725.73</v>
      </c>
      <c r="K41" s="515">
        <v>311174.81</v>
      </c>
      <c r="L41" s="515">
        <v>58534.79</v>
      </c>
      <c r="M41" s="515">
        <v>282656.62</v>
      </c>
      <c r="N41" s="515">
        <v>54197.19</v>
      </c>
      <c r="O41" s="515">
        <v>282656.62</v>
      </c>
      <c r="P41" s="515">
        <v>54932.1</v>
      </c>
      <c r="Q41" s="515">
        <v>282656.62</v>
      </c>
      <c r="R41" s="515">
        <v>55667.01</v>
      </c>
      <c r="S41" s="515">
        <v>282656.62</v>
      </c>
      <c r="T41" s="515">
        <v>56401.919999999998</v>
      </c>
      <c r="U41" s="515">
        <v>282656.62</v>
      </c>
      <c r="V41" s="515">
        <v>57136.83</v>
      </c>
      <c r="W41" s="515">
        <v>282656.62</v>
      </c>
      <c r="X41" s="515">
        <v>57871.74</v>
      </c>
      <c r="Y41" s="515">
        <v>295494.57</v>
      </c>
      <c r="Z41" s="515">
        <v>58606.65</v>
      </c>
      <c r="AA41" s="515">
        <v>295494.57</v>
      </c>
      <c r="AB41" s="515">
        <v>59374.93</v>
      </c>
      <c r="AC41" s="515">
        <v>337722.04</v>
      </c>
      <c r="AD41" s="515">
        <v>60143.21</v>
      </c>
      <c r="AE41" s="515">
        <f t="shared" si="1"/>
        <v>295408.47625000001</v>
      </c>
      <c r="AF41" s="515">
        <f t="shared" si="0"/>
        <v>57124.247500000005</v>
      </c>
    </row>
    <row r="42" spans="1:32">
      <c r="A42" s="509">
        <v>34</v>
      </c>
      <c r="B42" s="26"/>
      <c r="C42" s="513" t="s">
        <v>940</v>
      </c>
      <c r="D42" s="514" t="s">
        <v>911</v>
      </c>
      <c r="E42" s="515">
        <v>190417.76</v>
      </c>
      <c r="F42" s="515">
        <v>105484.54000000001</v>
      </c>
      <c r="G42" s="515">
        <v>190417.76</v>
      </c>
      <c r="H42" s="515">
        <v>106208.13</v>
      </c>
      <c r="I42" s="515">
        <v>190417.76</v>
      </c>
      <c r="J42" s="515">
        <v>106931.72</v>
      </c>
      <c r="K42" s="515">
        <v>190417.76</v>
      </c>
      <c r="L42" s="515">
        <v>107655.31</v>
      </c>
      <c r="M42" s="515">
        <v>190417.76</v>
      </c>
      <c r="N42" s="515">
        <v>108378.90000000001</v>
      </c>
      <c r="O42" s="515">
        <v>190417.76</v>
      </c>
      <c r="P42" s="515">
        <v>109102.49</v>
      </c>
      <c r="Q42" s="515">
        <v>190417.76</v>
      </c>
      <c r="R42" s="515">
        <v>109826.08</v>
      </c>
      <c r="S42" s="515">
        <v>190417.76</v>
      </c>
      <c r="T42" s="515">
        <v>110549.67</v>
      </c>
      <c r="U42" s="515">
        <v>190417.76</v>
      </c>
      <c r="V42" s="515">
        <v>111273.26000000001</v>
      </c>
      <c r="W42" s="515">
        <v>190417.76</v>
      </c>
      <c r="X42" s="515">
        <v>111996.85</v>
      </c>
      <c r="Y42" s="515">
        <v>190417.76</v>
      </c>
      <c r="Z42" s="515">
        <v>112720.44</v>
      </c>
      <c r="AA42" s="515">
        <v>190417.76</v>
      </c>
      <c r="AB42" s="515">
        <v>113444.03</v>
      </c>
      <c r="AC42" s="515">
        <v>190417.76</v>
      </c>
      <c r="AD42" s="515">
        <v>114167.62</v>
      </c>
      <c r="AE42" s="515">
        <f t="shared" si="1"/>
        <v>190417.76</v>
      </c>
      <c r="AF42" s="515">
        <f t="shared" si="0"/>
        <v>109826.08000000002</v>
      </c>
    </row>
    <row r="43" spans="1:32">
      <c r="A43" s="509">
        <v>35</v>
      </c>
      <c r="B43" s="26"/>
      <c r="C43" s="513" t="s">
        <v>941</v>
      </c>
      <c r="D43" s="514" t="s">
        <v>911</v>
      </c>
      <c r="E43" s="515">
        <v>295285.8</v>
      </c>
      <c r="F43" s="515">
        <v>68804.42</v>
      </c>
      <c r="G43" s="515">
        <v>295285.8</v>
      </c>
      <c r="H43" s="515">
        <v>71110.11</v>
      </c>
      <c r="I43" s="515">
        <v>295285.8</v>
      </c>
      <c r="J43" s="515">
        <v>73415.8</v>
      </c>
      <c r="K43" s="515">
        <v>295285.8</v>
      </c>
      <c r="L43" s="515">
        <v>75721.490000000005</v>
      </c>
      <c r="M43" s="515">
        <v>295285.8</v>
      </c>
      <c r="N43" s="515">
        <v>78027.180000000008</v>
      </c>
      <c r="O43" s="515">
        <v>295285.8</v>
      </c>
      <c r="P43" s="515">
        <v>80332.87</v>
      </c>
      <c r="Q43" s="515">
        <v>295285.8</v>
      </c>
      <c r="R43" s="515">
        <v>82638.559999999998</v>
      </c>
      <c r="S43" s="515">
        <v>295285.8</v>
      </c>
      <c r="T43" s="515">
        <v>84944.25</v>
      </c>
      <c r="U43" s="515">
        <v>295285.8</v>
      </c>
      <c r="V43" s="515">
        <v>87249.94</v>
      </c>
      <c r="W43" s="515">
        <v>295285.8</v>
      </c>
      <c r="X43" s="515">
        <v>89555.63</v>
      </c>
      <c r="Y43" s="515">
        <v>295285.8</v>
      </c>
      <c r="Z43" s="515">
        <v>91861.32</v>
      </c>
      <c r="AA43" s="515">
        <v>295285.8</v>
      </c>
      <c r="AB43" s="515">
        <v>94167.01</v>
      </c>
      <c r="AC43" s="515">
        <v>295285.8</v>
      </c>
      <c r="AD43" s="515">
        <v>96472.7</v>
      </c>
      <c r="AE43" s="515">
        <f t="shared" si="1"/>
        <v>295285.79999999993</v>
      </c>
      <c r="AF43" s="515">
        <f t="shared" si="0"/>
        <v>82638.559999999998</v>
      </c>
    </row>
    <row r="44" spans="1:32">
      <c r="A44" s="509">
        <v>36</v>
      </c>
      <c r="B44" s="26"/>
      <c r="C44" s="513" t="s">
        <v>942</v>
      </c>
      <c r="D44" s="514" t="s">
        <v>911</v>
      </c>
      <c r="E44" s="515">
        <v>1033953.49</v>
      </c>
      <c r="F44" s="515">
        <v>612727.07999999996</v>
      </c>
      <c r="G44" s="515">
        <v>1034170.88</v>
      </c>
      <c r="H44" s="515">
        <v>612839.09</v>
      </c>
      <c r="I44" s="515">
        <v>1034835.43</v>
      </c>
      <c r="J44" s="515">
        <v>612951.13</v>
      </c>
      <c r="K44" s="515">
        <v>1040592.07</v>
      </c>
      <c r="L44" s="515">
        <v>609770.66</v>
      </c>
      <c r="M44" s="515">
        <v>1040760.02</v>
      </c>
      <c r="N44" s="515">
        <v>609883.39</v>
      </c>
      <c r="O44" s="515">
        <v>1040760.02</v>
      </c>
      <c r="P44" s="515">
        <v>609996.14</v>
      </c>
      <c r="Q44" s="515">
        <v>1040760.02</v>
      </c>
      <c r="R44" s="515">
        <v>610108.89</v>
      </c>
      <c r="S44" s="515">
        <v>1040760.02</v>
      </c>
      <c r="T44" s="515">
        <v>610221.64</v>
      </c>
      <c r="U44" s="515">
        <v>1040760.02</v>
      </c>
      <c r="V44" s="515">
        <v>610334.39</v>
      </c>
      <c r="W44" s="515">
        <v>1040760.02</v>
      </c>
      <c r="X44" s="515">
        <v>610447.14</v>
      </c>
      <c r="Y44" s="515">
        <v>1040760.02</v>
      </c>
      <c r="Z44" s="515">
        <v>610559.89</v>
      </c>
      <c r="AA44" s="515">
        <v>1040760.02</v>
      </c>
      <c r="AB44" s="515">
        <v>610672.64000000001</v>
      </c>
      <c r="AC44" s="515">
        <v>1040813.32</v>
      </c>
      <c r="AD44" s="515">
        <v>610785.39</v>
      </c>
      <c r="AE44" s="515">
        <f t="shared" si="1"/>
        <v>1039421.8287499998</v>
      </c>
      <c r="AF44" s="515">
        <f t="shared" si="0"/>
        <v>610795.10291666666</v>
      </c>
    </row>
    <row r="45" spans="1:32">
      <c r="A45" s="509">
        <v>37</v>
      </c>
      <c r="B45" s="26"/>
      <c r="C45" s="513" t="s">
        <v>943</v>
      </c>
      <c r="D45" s="514" t="s">
        <v>911</v>
      </c>
      <c r="E45" s="515">
        <v>79223.14</v>
      </c>
      <c r="F45" s="515">
        <v>51443.35</v>
      </c>
      <c r="G45" s="515">
        <v>79223.14</v>
      </c>
      <c r="H45" s="515">
        <v>52049.41</v>
      </c>
      <c r="I45" s="515">
        <v>79223.14</v>
      </c>
      <c r="J45" s="515">
        <v>52655.47</v>
      </c>
      <c r="K45" s="515">
        <v>79223.14</v>
      </c>
      <c r="L45" s="515">
        <v>53261.53</v>
      </c>
      <c r="M45" s="515">
        <v>79223.14</v>
      </c>
      <c r="N45" s="515">
        <v>53867.590000000004</v>
      </c>
      <c r="O45" s="515">
        <v>79223.14</v>
      </c>
      <c r="P45" s="515">
        <v>54473.65</v>
      </c>
      <c r="Q45" s="515">
        <v>79223.14</v>
      </c>
      <c r="R45" s="515">
        <v>55079.71</v>
      </c>
      <c r="S45" s="515">
        <v>79223.14</v>
      </c>
      <c r="T45" s="515">
        <v>55685.770000000004</v>
      </c>
      <c r="U45" s="515">
        <v>79223.14</v>
      </c>
      <c r="V45" s="515">
        <v>56291.83</v>
      </c>
      <c r="W45" s="515">
        <v>79223.14</v>
      </c>
      <c r="X45" s="515">
        <v>56897.89</v>
      </c>
      <c r="Y45" s="515">
        <v>79223.14</v>
      </c>
      <c r="Z45" s="515">
        <v>57503.950000000004</v>
      </c>
      <c r="AA45" s="515">
        <v>79223.14</v>
      </c>
      <c r="AB45" s="515">
        <v>58110.01</v>
      </c>
      <c r="AC45" s="515">
        <v>79223.14</v>
      </c>
      <c r="AD45" s="515">
        <v>58716.07</v>
      </c>
      <c r="AE45" s="515">
        <f t="shared" si="1"/>
        <v>79223.14</v>
      </c>
      <c r="AF45" s="515">
        <f t="shared" si="0"/>
        <v>55079.71</v>
      </c>
    </row>
    <row r="46" spans="1:32">
      <c r="A46" s="509"/>
      <c r="B46" s="26"/>
      <c r="C46" s="513" t="s">
        <v>944</v>
      </c>
      <c r="D46" s="514" t="s">
        <v>911</v>
      </c>
      <c r="E46" s="515">
        <v>7208.81</v>
      </c>
      <c r="F46" s="515">
        <v>-1402</v>
      </c>
      <c r="G46" s="515">
        <v>7208.81</v>
      </c>
      <c r="H46" s="515">
        <v>-1338.8600000000001</v>
      </c>
      <c r="I46" s="515">
        <v>7208.81</v>
      </c>
      <c r="J46" s="515">
        <v>-1275.72</v>
      </c>
      <c r="K46" s="515">
        <v>7208.81</v>
      </c>
      <c r="L46" s="515">
        <v>-1212.58</v>
      </c>
      <c r="M46" s="515">
        <v>7208.81</v>
      </c>
      <c r="N46" s="515">
        <v>-1149.44</v>
      </c>
      <c r="O46" s="515">
        <v>7208.81</v>
      </c>
      <c r="P46" s="515">
        <v>-1086.3</v>
      </c>
      <c r="Q46" s="515">
        <v>7208.81</v>
      </c>
      <c r="R46" s="515">
        <v>-1023.16</v>
      </c>
      <c r="S46" s="515">
        <v>7208.81</v>
      </c>
      <c r="T46" s="515">
        <v>-960.02</v>
      </c>
      <c r="U46" s="515">
        <v>7208.81</v>
      </c>
      <c r="V46" s="515">
        <v>-896.88</v>
      </c>
      <c r="W46" s="515">
        <v>7208.81</v>
      </c>
      <c r="X46" s="515">
        <v>-833.74</v>
      </c>
      <c r="Y46" s="515">
        <v>7208.81</v>
      </c>
      <c r="Z46" s="515">
        <v>-770.6</v>
      </c>
      <c r="AA46" s="515">
        <v>7208.81</v>
      </c>
      <c r="AB46" s="515">
        <v>-707.46</v>
      </c>
      <c r="AC46" s="515">
        <v>7208.81</v>
      </c>
      <c r="AD46" s="515">
        <v>-644.32000000000005</v>
      </c>
      <c r="AE46" s="515">
        <f t="shared" si="1"/>
        <v>7208.8099999999986</v>
      </c>
      <c r="AF46" s="515">
        <f t="shared" si="0"/>
        <v>-1023.1599999999999</v>
      </c>
    </row>
    <row r="47" spans="1:32">
      <c r="A47" s="509">
        <v>38</v>
      </c>
      <c r="B47" s="516" t="s">
        <v>83</v>
      </c>
      <c r="C47" s="517"/>
      <c r="D47" s="516" t="s">
        <v>945</v>
      </c>
      <c r="E47" s="518">
        <f>SUBTOTAL(9,E10:E46)</f>
        <v>188460965.68000001</v>
      </c>
      <c r="F47" s="518">
        <f t="shared" ref="F47:AC47" si="2">SUBTOTAL(9,F10:F46)</f>
        <v>90843841.179999992</v>
      </c>
      <c r="G47" s="518">
        <f t="shared" si="2"/>
        <v>189063527.54999998</v>
      </c>
      <c r="H47" s="518">
        <f t="shared" si="2"/>
        <v>91254353.370000005</v>
      </c>
      <c r="I47" s="518">
        <f t="shared" si="2"/>
        <v>189451588.19000003</v>
      </c>
      <c r="J47" s="518">
        <f t="shared" si="2"/>
        <v>91794600.959999993</v>
      </c>
      <c r="K47" s="518">
        <f t="shared" si="2"/>
        <v>190595422.69999996</v>
      </c>
      <c r="L47" s="518">
        <f t="shared" si="2"/>
        <v>92170696.180000007</v>
      </c>
      <c r="M47" s="518">
        <f t="shared" si="2"/>
        <v>191434869.85000005</v>
      </c>
      <c r="N47" s="518">
        <f t="shared" si="2"/>
        <v>92406298.659999982</v>
      </c>
      <c r="O47" s="518">
        <f t="shared" si="2"/>
        <v>193027135.08000001</v>
      </c>
      <c r="P47" s="518">
        <f t="shared" si="2"/>
        <v>92699981.549999997</v>
      </c>
      <c r="Q47" s="518">
        <f t="shared" si="2"/>
        <v>193579647.00999999</v>
      </c>
      <c r="R47" s="518">
        <f t="shared" si="2"/>
        <v>92758809.679999977</v>
      </c>
      <c r="S47" s="518">
        <f t="shared" si="2"/>
        <v>194448411.28999999</v>
      </c>
      <c r="T47" s="518">
        <f t="shared" si="2"/>
        <v>93209389.529999986</v>
      </c>
      <c r="U47" s="518">
        <f t="shared" si="2"/>
        <v>194933496.75000003</v>
      </c>
      <c r="V47" s="518">
        <f t="shared" si="2"/>
        <v>93527527.339999989</v>
      </c>
      <c r="W47" s="518">
        <f t="shared" si="2"/>
        <v>198058038.92000005</v>
      </c>
      <c r="X47" s="518">
        <f t="shared" si="2"/>
        <v>93959936.49999997</v>
      </c>
      <c r="Y47" s="518">
        <f t="shared" si="2"/>
        <v>199151006.25999999</v>
      </c>
      <c r="Z47" s="518">
        <f t="shared" si="2"/>
        <v>94388205.810000002</v>
      </c>
      <c r="AA47" s="518">
        <f t="shared" si="2"/>
        <v>200020871.19999999</v>
      </c>
      <c r="AB47" s="518">
        <f t="shared" si="2"/>
        <v>94822443.980000019</v>
      </c>
      <c r="AC47" s="518">
        <f t="shared" si="2"/>
        <v>203750183.19999996</v>
      </c>
      <c r="AD47" s="518">
        <f>SUBTOTAL(9,AD10:AD46)</f>
        <v>94673967.230000004</v>
      </c>
      <c r="AE47" s="518">
        <f>SUBTOTAL(9,AE10:AE46)</f>
        <v>194155799.10333332</v>
      </c>
      <c r="AF47" s="518">
        <f>SUBTOTAL(9,AF10:AF46)</f>
        <v>92979262.313749984</v>
      </c>
    </row>
    <row r="48" spans="1:32">
      <c r="A48" s="509">
        <v>39</v>
      </c>
      <c r="B48" s="511" t="s">
        <v>106</v>
      </c>
      <c r="C48" s="511" t="s">
        <v>372</v>
      </c>
      <c r="D48" s="519"/>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row>
    <row r="49" spans="1:32">
      <c r="A49" s="509">
        <v>40</v>
      </c>
      <c r="B49" s="26"/>
      <c r="C49" s="26" t="s">
        <v>946</v>
      </c>
      <c r="D49" s="26" t="s">
        <v>948</v>
      </c>
      <c r="E49" s="515">
        <v>138157.95000000001</v>
      </c>
      <c r="F49" s="515">
        <v>138157.97</v>
      </c>
      <c r="G49" s="515">
        <v>138157.95000000001</v>
      </c>
      <c r="H49" s="515">
        <v>138157.97</v>
      </c>
      <c r="I49" s="515">
        <v>138157.95000000001</v>
      </c>
      <c r="J49" s="515">
        <v>138157.97</v>
      </c>
      <c r="K49" s="515">
        <v>138157.95000000001</v>
      </c>
      <c r="L49" s="515">
        <v>138157.97</v>
      </c>
      <c r="M49" s="515">
        <v>138157.95000000001</v>
      </c>
      <c r="N49" s="515">
        <v>138157.97</v>
      </c>
      <c r="O49" s="515">
        <v>138157.95000000001</v>
      </c>
      <c r="P49" s="515">
        <v>138157.97</v>
      </c>
      <c r="Q49" s="515">
        <v>138157.95000000001</v>
      </c>
      <c r="R49" s="515">
        <v>138157.97</v>
      </c>
      <c r="S49" s="515">
        <v>138157.95000000001</v>
      </c>
      <c r="T49" s="515">
        <v>138157.97</v>
      </c>
      <c r="U49" s="515">
        <v>138157.95000000001</v>
      </c>
      <c r="V49" s="515">
        <v>138157.97</v>
      </c>
      <c r="W49" s="515">
        <v>138157.95000000001</v>
      </c>
      <c r="X49" s="515">
        <v>138157.97</v>
      </c>
      <c r="Y49" s="515">
        <v>138157.95000000001</v>
      </c>
      <c r="Z49" s="515">
        <v>138157.97</v>
      </c>
      <c r="AA49" s="515">
        <v>138157.95000000001</v>
      </c>
      <c r="AB49" s="515">
        <v>138157.97</v>
      </c>
      <c r="AC49" s="515">
        <v>138157.95000000001</v>
      </c>
      <c r="AD49" s="515">
        <v>138157.97</v>
      </c>
      <c r="AE49" s="515">
        <f t="shared" ref="AE49:AF91" si="3">+(E49+AC49+(+G49+I49+K49+M49+O49+Q49+S49+U49+W49+Y49+AA49)*2)/24</f>
        <v>138157.94999999998</v>
      </c>
      <c r="AF49" s="515">
        <f t="shared" si="3"/>
        <v>138157.97</v>
      </c>
    </row>
    <row r="50" spans="1:32">
      <c r="A50" s="509">
        <v>41</v>
      </c>
      <c r="B50" s="26"/>
      <c r="C50" s="26" t="s">
        <v>947</v>
      </c>
      <c r="D50" s="514" t="s">
        <v>948</v>
      </c>
      <c r="E50" s="515">
        <v>0</v>
      </c>
      <c r="F50" s="515">
        <v>0</v>
      </c>
      <c r="G50" s="515">
        <v>0</v>
      </c>
      <c r="H50" s="515">
        <v>0</v>
      </c>
      <c r="I50" s="515">
        <v>0</v>
      </c>
      <c r="J50" s="515">
        <v>0</v>
      </c>
      <c r="K50" s="515">
        <v>0</v>
      </c>
      <c r="L50" s="515">
        <v>0</v>
      </c>
      <c r="M50" s="515">
        <v>0</v>
      </c>
      <c r="N50" s="515">
        <v>0</v>
      </c>
      <c r="O50" s="515">
        <v>0</v>
      </c>
      <c r="P50" s="515">
        <v>0</v>
      </c>
      <c r="Q50" s="515">
        <v>0</v>
      </c>
      <c r="R50" s="515">
        <v>0</v>
      </c>
      <c r="S50" s="515">
        <v>0</v>
      </c>
      <c r="T50" s="515">
        <v>0</v>
      </c>
      <c r="U50" s="515">
        <v>0</v>
      </c>
      <c r="V50" s="515">
        <v>0</v>
      </c>
      <c r="W50" s="515">
        <v>0</v>
      </c>
      <c r="X50" s="515">
        <v>0</v>
      </c>
      <c r="Y50" s="515">
        <v>0</v>
      </c>
      <c r="Z50" s="515">
        <v>0</v>
      </c>
      <c r="AA50" s="515">
        <v>0</v>
      </c>
      <c r="AB50" s="515">
        <v>0</v>
      </c>
      <c r="AC50" s="515">
        <v>0</v>
      </c>
      <c r="AD50" s="515">
        <v>0</v>
      </c>
      <c r="AE50" s="515">
        <f t="shared" si="3"/>
        <v>0</v>
      </c>
      <c r="AF50" s="515">
        <f t="shared" si="3"/>
        <v>0</v>
      </c>
    </row>
    <row r="51" spans="1:32">
      <c r="A51" s="509">
        <v>42</v>
      </c>
      <c r="B51" s="26"/>
      <c r="C51" s="26" t="s">
        <v>1571</v>
      </c>
      <c r="D51" s="514" t="s">
        <v>948</v>
      </c>
      <c r="E51" s="515">
        <v>12647.45</v>
      </c>
      <c r="F51" s="515">
        <v>364.91</v>
      </c>
      <c r="G51" s="515">
        <v>12647.45</v>
      </c>
      <c r="H51" s="515">
        <v>417.61</v>
      </c>
      <c r="I51" s="515">
        <v>12647.45</v>
      </c>
      <c r="J51" s="515">
        <v>470.31</v>
      </c>
      <c r="K51" s="515">
        <v>12647.45</v>
      </c>
      <c r="L51" s="515">
        <v>523.01</v>
      </c>
      <c r="M51" s="515">
        <v>12647.45</v>
      </c>
      <c r="N51" s="515">
        <v>575.71</v>
      </c>
      <c r="O51" s="515">
        <v>12647.45</v>
      </c>
      <c r="P51" s="515">
        <v>628.41</v>
      </c>
      <c r="Q51" s="515">
        <v>12647.45</v>
      </c>
      <c r="R51" s="515">
        <v>681.11</v>
      </c>
      <c r="S51" s="515">
        <v>12647.45</v>
      </c>
      <c r="T51" s="515">
        <v>733.81000000000006</v>
      </c>
      <c r="U51" s="515">
        <v>12647.45</v>
      </c>
      <c r="V51" s="515">
        <v>786.51</v>
      </c>
      <c r="W51" s="515">
        <v>12647.45</v>
      </c>
      <c r="X51" s="515">
        <v>839.21</v>
      </c>
      <c r="Y51" s="515">
        <v>12647.45</v>
      </c>
      <c r="Z51" s="515">
        <v>891.91</v>
      </c>
      <c r="AA51" s="515">
        <v>12647.45</v>
      </c>
      <c r="AB51" s="515">
        <v>944.61</v>
      </c>
      <c r="AC51" s="515">
        <v>12647.45</v>
      </c>
      <c r="AD51" s="515">
        <v>997.31000000000006</v>
      </c>
      <c r="AE51" s="515">
        <f t="shared" si="3"/>
        <v>12647.449999999999</v>
      </c>
      <c r="AF51" s="515">
        <f t="shared" si="3"/>
        <v>681.11</v>
      </c>
    </row>
    <row r="52" spans="1:32">
      <c r="A52" s="509">
        <v>43</v>
      </c>
      <c r="B52" s="26"/>
      <c r="C52" s="26" t="s">
        <v>949</v>
      </c>
      <c r="D52" s="514" t="s">
        <v>948</v>
      </c>
      <c r="E52" s="515">
        <v>45037.37</v>
      </c>
      <c r="F52" s="515">
        <v>3471.71</v>
      </c>
      <c r="G52" s="515">
        <v>45037.37</v>
      </c>
      <c r="H52" s="515">
        <v>3565.54</v>
      </c>
      <c r="I52" s="515">
        <v>45037.37</v>
      </c>
      <c r="J52" s="515">
        <v>3659.37</v>
      </c>
      <c r="K52" s="515">
        <v>45037.37</v>
      </c>
      <c r="L52" s="515">
        <v>3753.2000000000003</v>
      </c>
      <c r="M52" s="515">
        <v>45037.37</v>
      </c>
      <c r="N52" s="515">
        <v>3847.03</v>
      </c>
      <c r="O52" s="515">
        <v>45037.37</v>
      </c>
      <c r="P52" s="515">
        <v>3940.86</v>
      </c>
      <c r="Q52" s="515">
        <v>45037.37</v>
      </c>
      <c r="R52" s="515">
        <v>4034.69</v>
      </c>
      <c r="S52" s="515">
        <v>45037.37</v>
      </c>
      <c r="T52" s="515">
        <v>4128.5200000000004</v>
      </c>
      <c r="U52" s="515">
        <v>45037.37</v>
      </c>
      <c r="V52" s="515">
        <v>4222.3500000000004</v>
      </c>
      <c r="W52" s="515">
        <v>45037.37</v>
      </c>
      <c r="X52" s="515">
        <v>4316.18</v>
      </c>
      <c r="Y52" s="515">
        <v>45037.37</v>
      </c>
      <c r="Z52" s="515">
        <v>4410.01</v>
      </c>
      <c r="AA52" s="515">
        <v>45037.37</v>
      </c>
      <c r="AB52" s="515">
        <v>4503.84</v>
      </c>
      <c r="AC52" s="515">
        <v>45037.37</v>
      </c>
      <c r="AD52" s="515">
        <v>4597.67</v>
      </c>
      <c r="AE52" s="515">
        <f t="shared" si="3"/>
        <v>45037.37</v>
      </c>
      <c r="AF52" s="515">
        <f t="shared" si="3"/>
        <v>4034.69</v>
      </c>
    </row>
    <row r="53" spans="1:32">
      <c r="A53" s="509">
        <v>44</v>
      </c>
      <c r="B53" s="26"/>
      <c r="C53" s="26" t="s">
        <v>950</v>
      </c>
      <c r="D53" s="26" t="s">
        <v>948</v>
      </c>
      <c r="E53" s="515">
        <v>1218966.19</v>
      </c>
      <c r="F53" s="515">
        <v>65488.26</v>
      </c>
      <c r="G53" s="515">
        <v>1218966.19</v>
      </c>
      <c r="H53" s="515">
        <v>68027.77</v>
      </c>
      <c r="I53" s="515">
        <v>1218966.19</v>
      </c>
      <c r="J53" s="515">
        <v>70567.28</v>
      </c>
      <c r="K53" s="515">
        <v>1218966.19</v>
      </c>
      <c r="L53" s="515">
        <v>73106.790000000008</v>
      </c>
      <c r="M53" s="515">
        <v>1218966.19</v>
      </c>
      <c r="N53" s="515">
        <v>75646.3</v>
      </c>
      <c r="O53" s="515">
        <v>1218966.19</v>
      </c>
      <c r="P53" s="515">
        <v>78185.81</v>
      </c>
      <c r="Q53" s="515">
        <v>1218966.19</v>
      </c>
      <c r="R53" s="515">
        <v>80725.320000000007</v>
      </c>
      <c r="S53" s="515">
        <v>1218966.19</v>
      </c>
      <c r="T53" s="515">
        <v>83264.83</v>
      </c>
      <c r="U53" s="515">
        <v>1218966.19</v>
      </c>
      <c r="V53" s="515">
        <v>85804.34</v>
      </c>
      <c r="W53" s="515">
        <v>1218966.19</v>
      </c>
      <c r="X53" s="515">
        <v>88343.85</v>
      </c>
      <c r="Y53" s="515">
        <v>1218966.19</v>
      </c>
      <c r="Z53" s="515">
        <v>90883.36</v>
      </c>
      <c r="AA53" s="515">
        <v>1218966.19</v>
      </c>
      <c r="AB53" s="515">
        <v>93422.87</v>
      </c>
      <c r="AC53" s="515">
        <v>1218966.19</v>
      </c>
      <c r="AD53" s="515">
        <v>95962.38</v>
      </c>
      <c r="AE53" s="515">
        <f t="shared" si="3"/>
        <v>1218966.1899999997</v>
      </c>
      <c r="AF53" s="515">
        <f t="shared" si="3"/>
        <v>80725.319999999992</v>
      </c>
    </row>
    <row r="54" spans="1:32">
      <c r="A54" s="509">
        <v>45</v>
      </c>
      <c r="B54" s="26"/>
      <c r="C54" s="26" t="s">
        <v>1572</v>
      </c>
      <c r="D54" s="26" t="s">
        <v>948</v>
      </c>
      <c r="E54" s="515">
        <v>2228648.6</v>
      </c>
      <c r="F54" s="515">
        <v>0</v>
      </c>
      <c r="G54" s="515">
        <v>2228648.6</v>
      </c>
      <c r="H54" s="515">
        <v>4643.0200000000004</v>
      </c>
      <c r="I54" s="515">
        <v>2228648.6</v>
      </c>
      <c r="J54" s="515">
        <v>9286.0400000000009</v>
      </c>
      <c r="K54" s="515">
        <v>2228648.6</v>
      </c>
      <c r="L54" s="515">
        <v>13929.06</v>
      </c>
      <c r="M54" s="515">
        <v>2228648.6</v>
      </c>
      <c r="N54" s="515">
        <v>18572.080000000002</v>
      </c>
      <c r="O54" s="515">
        <v>2228648.6</v>
      </c>
      <c r="P54" s="515">
        <v>23215.100000000002</v>
      </c>
      <c r="Q54" s="515">
        <v>2333239.5300000003</v>
      </c>
      <c r="R54" s="515">
        <v>27858.12</v>
      </c>
      <c r="S54" s="515">
        <v>2333239.5300000003</v>
      </c>
      <c r="T54" s="515">
        <v>32719.040000000001</v>
      </c>
      <c r="U54" s="515">
        <v>2333239.5300000003</v>
      </c>
      <c r="V54" s="515">
        <v>37579.96</v>
      </c>
      <c r="W54" s="515">
        <v>2333239.5300000003</v>
      </c>
      <c r="X54" s="515">
        <v>42440.88</v>
      </c>
      <c r="Y54" s="515">
        <v>2333239.5300000003</v>
      </c>
      <c r="Z54" s="515">
        <v>47301.8</v>
      </c>
      <c r="AA54" s="515">
        <v>2333239.5300000003</v>
      </c>
      <c r="AB54" s="515">
        <v>52162.720000000001</v>
      </c>
      <c r="AC54" s="515">
        <v>2333239.5300000003</v>
      </c>
      <c r="AD54" s="515">
        <v>57023.64</v>
      </c>
      <c r="AE54" s="515">
        <f t="shared" si="3"/>
        <v>2285302.0204166672</v>
      </c>
      <c r="AF54" s="515">
        <f t="shared" si="3"/>
        <v>28184.969999999998</v>
      </c>
    </row>
    <row r="55" spans="1:32">
      <c r="A55" s="509">
        <v>46</v>
      </c>
      <c r="B55" s="26"/>
      <c r="C55" s="26" t="s">
        <v>1573</v>
      </c>
      <c r="D55" s="26" t="s">
        <v>948</v>
      </c>
      <c r="E55" s="515">
        <v>0</v>
      </c>
      <c r="F55" s="515">
        <v>0</v>
      </c>
      <c r="G55" s="515">
        <v>0</v>
      </c>
      <c r="H55" s="515">
        <v>0</v>
      </c>
      <c r="I55" s="515">
        <v>0</v>
      </c>
      <c r="J55" s="515">
        <v>0</v>
      </c>
      <c r="K55" s="515">
        <v>0</v>
      </c>
      <c r="L55" s="515">
        <v>0</v>
      </c>
      <c r="M55" s="515">
        <v>0</v>
      </c>
      <c r="N55" s="515">
        <v>0</v>
      </c>
      <c r="O55" s="515">
        <v>0</v>
      </c>
      <c r="P55" s="515">
        <v>0</v>
      </c>
      <c r="Q55" s="515">
        <v>0</v>
      </c>
      <c r="R55" s="515">
        <v>0</v>
      </c>
      <c r="S55" s="515">
        <v>0</v>
      </c>
      <c r="T55" s="515">
        <v>0</v>
      </c>
      <c r="U55" s="515">
        <v>8000.9000000000005</v>
      </c>
      <c r="V55" s="515">
        <v>0</v>
      </c>
      <c r="W55" s="515">
        <v>8000.9000000000005</v>
      </c>
      <c r="X55" s="515">
        <v>16.670000000000002</v>
      </c>
      <c r="Y55" s="515">
        <v>8000.9000000000005</v>
      </c>
      <c r="Z55" s="515">
        <v>33.340000000000003</v>
      </c>
      <c r="AA55" s="515">
        <v>8000.9000000000005</v>
      </c>
      <c r="AB55" s="515">
        <v>50.01</v>
      </c>
      <c r="AC55" s="515">
        <v>8000.9000000000005</v>
      </c>
      <c r="AD55" s="515">
        <v>66.680000000000007</v>
      </c>
      <c r="AE55" s="515">
        <f t="shared" si="3"/>
        <v>3000.3375000000001</v>
      </c>
      <c r="AF55" s="515">
        <f t="shared" si="3"/>
        <v>11.113333333333335</v>
      </c>
    </row>
    <row r="56" spans="1:32">
      <c r="A56" s="509">
        <v>47</v>
      </c>
      <c r="B56" s="26"/>
      <c r="C56" s="26" t="s">
        <v>951</v>
      </c>
      <c r="D56" s="26" t="s">
        <v>948</v>
      </c>
      <c r="E56" s="515">
        <v>211404.97</v>
      </c>
      <c r="F56" s="515">
        <v>0</v>
      </c>
      <c r="G56" s="515">
        <v>211404.97</v>
      </c>
      <c r="H56" s="515">
        <v>0</v>
      </c>
      <c r="I56" s="515">
        <v>211404.97</v>
      </c>
      <c r="J56" s="515">
        <v>0</v>
      </c>
      <c r="K56" s="515">
        <v>211404.97</v>
      </c>
      <c r="L56" s="515">
        <v>0</v>
      </c>
      <c r="M56" s="515">
        <v>211404.97</v>
      </c>
      <c r="N56" s="515">
        <v>0</v>
      </c>
      <c r="O56" s="515">
        <v>211404.97</v>
      </c>
      <c r="P56" s="515">
        <v>0</v>
      </c>
      <c r="Q56" s="515">
        <v>211404.97</v>
      </c>
      <c r="R56" s="515">
        <v>0</v>
      </c>
      <c r="S56" s="515">
        <v>211404.97</v>
      </c>
      <c r="T56" s="515">
        <v>0</v>
      </c>
      <c r="U56" s="515">
        <v>211404.97</v>
      </c>
      <c r="V56" s="515">
        <v>0</v>
      </c>
      <c r="W56" s="515">
        <v>211404.97</v>
      </c>
      <c r="X56" s="515">
        <v>0</v>
      </c>
      <c r="Y56" s="515">
        <v>211404.97</v>
      </c>
      <c r="Z56" s="515">
        <v>0</v>
      </c>
      <c r="AA56" s="515">
        <v>211404.97</v>
      </c>
      <c r="AB56" s="515">
        <v>0</v>
      </c>
      <c r="AC56" s="515">
        <v>211404.97</v>
      </c>
      <c r="AD56" s="515">
        <v>0</v>
      </c>
      <c r="AE56" s="515">
        <f t="shared" si="3"/>
        <v>211404.97000000006</v>
      </c>
      <c r="AF56" s="515">
        <f t="shared" si="3"/>
        <v>0</v>
      </c>
    </row>
    <row r="57" spans="1:32">
      <c r="A57" s="509">
        <v>48</v>
      </c>
      <c r="B57" s="26"/>
      <c r="C57" s="26" t="s">
        <v>952</v>
      </c>
      <c r="D57" s="26" t="s">
        <v>948</v>
      </c>
      <c r="E57" s="515">
        <v>1018396.75</v>
      </c>
      <c r="F57" s="515">
        <v>776923.20000000007</v>
      </c>
      <c r="G57" s="515">
        <v>1018396.75</v>
      </c>
      <c r="H57" s="515">
        <v>778264.09</v>
      </c>
      <c r="I57" s="515">
        <v>1018396.75</v>
      </c>
      <c r="J57" s="515">
        <v>779604.98</v>
      </c>
      <c r="K57" s="515">
        <v>1018396.75</v>
      </c>
      <c r="L57" s="515">
        <v>780945.87</v>
      </c>
      <c r="M57" s="515">
        <v>1018396.75</v>
      </c>
      <c r="N57" s="515">
        <v>782286.76</v>
      </c>
      <c r="O57" s="515">
        <v>1018396.75</v>
      </c>
      <c r="P57" s="515">
        <v>783627.65</v>
      </c>
      <c r="Q57" s="515">
        <v>1018396.75</v>
      </c>
      <c r="R57" s="515">
        <v>784968.54</v>
      </c>
      <c r="S57" s="515">
        <v>1018396.75</v>
      </c>
      <c r="T57" s="515">
        <v>786309.43</v>
      </c>
      <c r="U57" s="515">
        <v>1018396.75</v>
      </c>
      <c r="V57" s="515">
        <v>787650.32000000007</v>
      </c>
      <c r="W57" s="515">
        <v>1018396.75</v>
      </c>
      <c r="X57" s="515">
        <v>788991.21</v>
      </c>
      <c r="Y57" s="515">
        <v>1018396.75</v>
      </c>
      <c r="Z57" s="515">
        <v>790332.1</v>
      </c>
      <c r="AA57" s="515">
        <v>1018396.75</v>
      </c>
      <c r="AB57" s="515">
        <v>791672.99</v>
      </c>
      <c r="AC57" s="515">
        <v>1018396.75</v>
      </c>
      <c r="AD57" s="515">
        <v>793013.88</v>
      </c>
      <c r="AE57" s="515">
        <f t="shared" si="3"/>
        <v>1018396.75</v>
      </c>
      <c r="AF57" s="515">
        <f t="shared" si="3"/>
        <v>784968.54</v>
      </c>
    </row>
    <row r="58" spans="1:32">
      <c r="A58" s="509">
        <v>49</v>
      </c>
      <c r="B58" s="26"/>
      <c r="C58" s="26" t="s">
        <v>953</v>
      </c>
      <c r="D58" s="26" t="s">
        <v>948</v>
      </c>
      <c r="E58" s="515">
        <v>16041097.779999999</v>
      </c>
      <c r="F58" s="515">
        <v>11025956.59</v>
      </c>
      <c r="G58" s="515">
        <v>16041097.779999999</v>
      </c>
      <c r="H58" s="515">
        <v>11050285.59</v>
      </c>
      <c r="I58" s="515">
        <v>16041097.779999999</v>
      </c>
      <c r="J58" s="515">
        <v>11074614.59</v>
      </c>
      <c r="K58" s="515">
        <v>16041097.779999999</v>
      </c>
      <c r="L58" s="515">
        <v>11098943.59</v>
      </c>
      <c r="M58" s="515">
        <v>16041097.779999999</v>
      </c>
      <c r="N58" s="515">
        <v>11123272.59</v>
      </c>
      <c r="O58" s="515">
        <v>16041097.779999999</v>
      </c>
      <c r="P58" s="515">
        <v>11147601.59</v>
      </c>
      <c r="Q58" s="515">
        <v>16041097.779999999</v>
      </c>
      <c r="R58" s="515">
        <v>11171930.59</v>
      </c>
      <c r="S58" s="515">
        <v>16041097.779999999</v>
      </c>
      <c r="T58" s="515">
        <v>11196259.59</v>
      </c>
      <c r="U58" s="515">
        <v>16002098.27</v>
      </c>
      <c r="V58" s="515">
        <v>11110430.49</v>
      </c>
      <c r="W58" s="515">
        <v>16002098.27</v>
      </c>
      <c r="X58" s="515">
        <v>11134700.34</v>
      </c>
      <c r="Y58" s="515">
        <v>16002098.27</v>
      </c>
      <c r="Z58" s="515">
        <v>11158970.189999999</v>
      </c>
      <c r="AA58" s="515">
        <v>16002055.800000001</v>
      </c>
      <c r="AB58" s="515">
        <v>11183197.57</v>
      </c>
      <c r="AC58" s="515">
        <v>15968181.91</v>
      </c>
      <c r="AD58" s="515">
        <v>11139694.51</v>
      </c>
      <c r="AE58" s="515">
        <f t="shared" si="3"/>
        <v>16025056.242916668</v>
      </c>
      <c r="AF58" s="515">
        <f t="shared" si="3"/>
        <v>11127752.689166667</v>
      </c>
    </row>
    <row r="59" spans="1:32">
      <c r="A59" s="509">
        <v>50</v>
      </c>
      <c r="B59" s="26"/>
      <c r="C59" s="26" t="s">
        <v>954</v>
      </c>
      <c r="D59" s="26" t="s">
        <v>948</v>
      </c>
      <c r="E59" s="515">
        <v>156138.81</v>
      </c>
      <c r="F59" s="515">
        <v>165400.53</v>
      </c>
      <c r="G59" s="515">
        <v>156138.81</v>
      </c>
      <c r="H59" s="515">
        <v>165453.87</v>
      </c>
      <c r="I59" s="515">
        <v>156138.81</v>
      </c>
      <c r="J59" s="515">
        <v>165507.21</v>
      </c>
      <c r="K59" s="515">
        <v>156138.81</v>
      </c>
      <c r="L59" s="515">
        <v>165560.55000000002</v>
      </c>
      <c r="M59" s="515">
        <v>156138.81</v>
      </c>
      <c r="N59" s="515">
        <v>165613.89000000001</v>
      </c>
      <c r="O59" s="515">
        <v>156138.81</v>
      </c>
      <c r="P59" s="515">
        <v>165667.23000000001</v>
      </c>
      <c r="Q59" s="515">
        <v>156138.81</v>
      </c>
      <c r="R59" s="515">
        <v>165720.57</v>
      </c>
      <c r="S59" s="515">
        <v>156138.81</v>
      </c>
      <c r="T59" s="515">
        <v>165773.91</v>
      </c>
      <c r="U59" s="515">
        <v>144661.1</v>
      </c>
      <c r="V59" s="515">
        <v>154349.54</v>
      </c>
      <c r="W59" s="515">
        <v>144661.1</v>
      </c>
      <c r="X59" s="515">
        <v>154398.97</v>
      </c>
      <c r="Y59" s="515">
        <v>144661.1</v>
      </c>
      <c r="Z59" s="515">
        <v>154448.4</v>
      </c>
      <c r="AA59" s="515">
        <v>144661.1</v>
      </c>
      <c r="AB59" s="515">
        <v>154497.83000000002</v>
      </c>
      <c r="AC59" s="515">
        <v>144661.1</v>
      </c>
      <c r="AD59" s="515">
        <v>154547.26</v>
      </c>
      <c r="AE59" s="515">
        <f t="shared" si="3"/>
        <v>151834.66875000004</v>
      </c>
      <c r="AF59" s="515">
        <f t="shared" si="3"/>
        <v>161413.82208333333</v>
      </c>
    </row>
    <row r="60" spans="1:32">
      <c r="A60" s="509">
        <v>51</v>
      </c>
      <c r="B60" s="26"/>
      <c r="C60" s="26" t="s">
        <v>955</v>
      </c>
      <c r="D60" s="26" t="s">
        <v>948</v>
      </c>
      <c r="E60" s="515">
        <v>1922322.92</v>
      </c>
      <c r="F60" s="515">
        <v>676100.75</v>
      </c>
      <c r="G60" s="515">
        <v>1922322.92</v>
      </c>
      <c r="H60" s="515">
        <v>679112.39</v>
      </c>
      <c r="I60" s="515">
        <v>1922322.92</v>
      </c>
      <c r="J60" s="515">
        <v>682124.03</v>
      </c>
      <c r="K60" s="515">
        <v>1922322.92</v>
      </c>
      <c r="L60" s="515">
        <v>685135.67</v>
      </c>
      <c r="M60" s="515">
        <v>1922322.92</v>
      </c>
      <c r="N60" s="515">
        <v>688147.31</v>
      </c>
      <c r="O60" s="515">
        <v>1922322.92</v>
      </c>
      <c r="P60" s="515">
        <v>691158.95000000007</v>
      </c>
      <c r="Q60" s="515">
        <v>1922322.92</v>
      </c>
      <c r="R60" s="515">
        <v>694170.59</v>
      </c>
      <c r="S60" s="515">
        <v>1922322.92</v>
      </c>
      <c r="T60" s="515">
        <v>697182.23</v>
      </c>
      <c r="U60" s="515">
        <v>1922322.92</v>
      </c>
      <c r="V60" s="515">
        <v>700193.87</v>
      </c>
      <c r="W60" s="515">
        <v>1922322.92</v>
      </c>
      <c r="X60" s="515">
        <v>703205.51</v>
      </c>
      <c r="Y60" s="515">
        <v>1922322.92</v>
      </c>
      <c r="Z60" s="515">
        <v>706217.15</v>
      </c>
      <c r="AA60" s="515">
        <v>1922322.92</v>
      </c>
      <c r="AB60" s="515">
        <v>709228.79</v>
      </c>
      <c r="AC60" s="515">
        <v>1922322.92</v>
      </c>
      <c r="AD60" s="515">
        <v>712240.43</v>
      </c>
      <c r="AE60" s="515">
        <f t="shared" si="3"/>
        <v>1922322.9200000006</v>
      </c>
      <c r="AF60" s="515">
        <f t="shared" si="3"/>
        <v>694170.59</v>
      </c>
    </row>
    <row r="61" spans="1:32">
      <c r="A61" s="509">
        <v>52</v>
      </c>
      <c r="B61" s="26"/>
      <c r="C61" s="26" t="s">
        <v>956</v>
      </c>
      <c r="D61" s="26" t="s">
        <v>948</v>
      </c>
      <c r="E61" s="515">
        <v>268634.66000000003</v>
      </c>
      <c r="F61" s="515">
        <v>528.89</v>
      </c>
      <c r="G61" s="515">
        <v>268634.66000000003</v>
      </c>
      <c r="H61" s="515">
        <v>528.89</v>
      </c>
      <c r="I61" s="515">
        <v>268634.66000000003</v>
      </c>
      <c r="J61" s="515">
        <v>528.89</v>
      </c>
      <c r="K61" s="515">
        <v>268634.66000000003</v>
      </c>
      <c r="L61" s="515">
        <v>528.89</v>
      </c>
      <c r="M61" s="515">
        <v>268634.66000000003</v>
      </c>
      <c r="N61" s="515">
        <v>183.54</v>
      </c>
      <c r="O61" s="515">
        <v>268634.66000000003</v>
      </c>
      <c r="P61" s="515">
        <v>183.54</v>
      </c>
      <c r="Q61" s="515">
        <v>268634.66000000003</v>
      </c>
      <c r="R61" s="515">
        <v>183.54</v>
      </c>
      <c r="S61" s="515">
        <v>268634.66000000003</v>
      </c>
      <c r="T61" s="515">
        <v>183.54</v>
      </c>
      <c r="U61" s="515">
        <v>268634.66000000003</v>
      </c>
      <c r="V61" s="515">
        <v>183.54</v>
      </c>
      <c r="W61" s="515">
        <v>268634.66000000003</v>
      </c>
      <c r="X61" s="515">
        <v>183.54</v>
      </c>
      <c r="Y61" s="515">
        <v>268634.66000000003</v>
      </c>
      <c r="Z61" s="515">
        <v>183.54</v>
      </c>
      <c r="AA61" s="515">
        <v>268634.66000000003</v>
      </c>
      <c r="AB61" s="515">
        <v>183.54</v>
      </c>
      <c r="AC61" s="515">
        <v>268634.66000000003</v>
      </c>
      <c r="AD61" s="515">
        <v>183.54</v>
      </c>
      <c r="AE61" s="515">
        <f t="shared" si="3"/>
        <v>268634.66000000009</v>
      </c>
      <c r="AF61" s="515">
        <f t="shared" si="3"/>
        <v>284.26708333333335</v>
      </c>
    </row>
    <row r="62" spans="1:32">
      <c r="A62" s="509">
        <v>53</v>
      </c>
      <c r="B62" s="26"/>
      <c r="C62" s="26" t="s">
        <v>957</v>
      </c>
      <c r="D62" s="26" t="s">
        <v>948</v>
      </c>
      <c r="E62" s="515">
        <v>697888.02</v>
      </c>
      <c r="F62" s="515">
        <v>662995.43000000005</v>
      </c>
      <c r="G62" s="515">
        <v>697888.02</v>
      </c>
      <c r="H62" s="515">
        <v>663704.95000000007</v>
      </c>
      <c r="I62" s="515">
        <v>697888.02</v>
      </c>
      <c r="J62" s="515">
        <v>664414.47</v>
      </c>
      <c r="K62" s="515">
        <v>697888.02</v>
      </c>
      <c r="L62" s="515">
        <v>665123.99</v>
      </c>
      <c r="M62" s="515">
        <v>702883.59</v>
      </c>
      <c r="N62" s="515">
        <v>665833.51</v>
      </c>
      <c r="O62" s="515">
        <v>702883.59</v>
      </c>
      <c r="P62" s="515">
        <v>666548.11</v>
      </c>
      <c r="Q62" s="515">
        <v>702883.59</v>
      </c>
      <c r="R62" s="515">
        <v>667262.71</v>
      </c>
      <c r="S62" s="515">
        <v>702883.59</v>
      </c>
      <c r="T62" s="515">
        <v>667977.31000000006</v>
      </c>
      <c r="U62" s="515">
        <v>702883.59</v>
      </c>
      <c r="V62" s="515">
        <v>668691.91</v>
      </c>
      <c r="W62" s="515">
        <v>702883.59</v>
      </c>
      <c r="X62" s="515">
        <v>669406.51</v>
      </c>
      <c r="Y62" s="515">
        <v>702883.59</v>
      </c>
      <c r="Z62" s="515">
        <v>670121.11</v>
      </c>
      <c r="AA62" s="515">
        <v>702883.59</v>
      </c>
      <c r="AB62" s="515">
        <v>670835.71</v>
      </c>
      <c r="AC62" s="515">
        <v>702922.71</v>
      </c>
      <c r="AD62" s="515">
        <v>671550.31</v>
      </c>
      <c r="AE62" s="515">
        <f t="shared" si="3"/>
        <v>701428.17874999996</v>
      </c>
      <c r="AF62" s="515">
        <f t="shared" si="3"/>
        <v>667266.09666666668</v>
      </c>
    </row>
    <row r="63" spans="1:32">
      <c r="A63" s="509">
        <v>54</v>
      </c>
      <c r="B63" s="26"/>
      <c r="C63" s="26" t="s">
        <v>958</v>
      </c>
      <c r="D63" s="26" t="s">
        <v>948</v>
      </c>
      <c r="E63" s="515">
        <v>136068414.11000001</v>
      </c>
      <c r="F63" s="515">
        <v>34970523.200000003</v>
      </c>
      <c r="G63" s="515">
        <v>136712035.91999999</v>
      </c>
      <c r="H63" s="515">
        <v>35112102.119999997</v>
      </c>
      <c r="I63" s="515">
        <v>136958824.41999999</v>
      </c>
      <c r="J63" s="515">
        <v>35254630.490000002</v>
      </c>
      <c r="K63" s="515">
        <v>137068981.06</v>
      </c>
      <c r="L63" s="515">
        <v>35390738.909999996</v>
      </c>
      <c r="M63" s="515">
        <v>137526908.90000001</v>
      </c>
      <c r="N63" s="515">
        <v>35532522.689999998</v>
      </c>
      <c r="O63" s="515">
        <v>138475480.28999999</v>
      </c>
      <c r="P63" s="515">
        <v>35582919.649999999</v>
      </c>
      <c r="Q63" s="515">
        <v>138581852.03999999</v>
      </c>
      <c r="R63" s="515">
        <v>35713104.140000001</v>
      </c>
      <c r="S63" s="515">
        <v>138708182.61000001</v>
      </c>
      <c r="T63" s="515">
        <v>35841841.670000002</v>
      </c>
      <c r="U63" s="515">
        <v>140828939.27000001</v>
      </c>
      <c r="V63" s="515">
        <v>35950762.439999998</v>
      </c>
      <c r="W63" s="515">
        <v>145323294.24000001</v>
      </c>
      <c r="X63" s="515">
        <v>36093815.399999999</v>
      </c>
      <c r="Y63" s="515">
        <v>148473988.25</v>
      </c>
      <c r="Z63" s="515">
        <v>36094677.950000003</v>
      </c>
      <c r="AA63" s="515">
        <v>149094052.19</v>
      </c>
      <c r="AB63" s="515">
        <v>36249092.630000003</v>
      </c>
      <c r="AC63" s="515">
        <v>152081117.31999999</v>
      </c>
      <c r="AD63" s="515">
        <v>35767901.090000004</v>
      </c>
      <c r="AE63" s="515">
        <f t="shared" si="3"/>
        <v>140985608.74208334</v>
      </c>
      <c r="AF63" s="515">
        <f t="shared" si="3"/>
        <v>35682118.352916665</v>
      </c>
    </row>
    <row r="64" spans="1:32">
      <c r="A64" s="509">
        <v>55</v>
      </c>
      <c r="B64" s="26"/>
      <c r="C64" s="26" t="s">
        <v>959</v>
      </c>
      <c r="D64" s="26" t="s">
        <v>948</v>
      </c>
      <c r="E64" s="515">
        <v>119678899.43000001</v>
      </c>
      <c r="F64" s="515">
        <v>33318802.850000001</v>
      </c>
      <c r="G64" s="515">
        <v>120264058.14</v>
      </c>
      <c r="H64" s="515">
        <v>33728617.32</v>
      </c>
      <c r="I64" s="515">
        <v>120928039.65000001</v>
      </c>
      <c r="J64" s="515">
        <v>34142526.119999997</v>
      </c>
      <c r="K64" s="515">
        <v>121544495.48999999</v>
      </c>
      <c r="L64" s="515">
        <v>34538030.939999998</v>
      </c>
      <c r="M64" s="515">
        <v>123371532.47</v>
      </c>
      <c r="N64" s="515">
        <v>34955392.829999998</v>
      </c>
      <c r="O64" s="515">
        <v>124687372.19</v>
      </c>
      <c r="P64" s="515">
        <v>35380271.539999999</v>
      </c>
      <c r="Q64" s="515">
        <v>125255683.88</v>
      </c>
      <c r="R64" s="515">
        <v>35793951.810000002</v>
      </c>
      <c r="S64" s="515">
        <v>125379397.51000001</v>
      </c>
      <c r="T64" s="515">
        <v>36217482.109999999</v>
      </c>
      <c r="U64" s="515">
        <v>128625462.41</v>
      </c>
      <c r="V64" s="515">
        <v>36648618.689999998</v>
      </c>
      <c r="W64" s="515">
        <v>131015282.31999999</v>
      </c>
      <c r="X64" s="515">
        <v>37089838.030000001</v>
      </c>
      <c r="Y64" s="515">
        <v>133302764.41</v>
      </c>
      <c r="Z64" s="515">
        <v>37534150.560000002</v>
      </c>
      <c r="AA64" s="515">
        <v>135244712.71000001</v>
      </c>
      <c r="AB64" s="515">
        <v>37992498.009999998</v>
      </c>
      <c r="AC64" s="515">
        <v>136092339.77000001</v>
      </c>
      <c r="AD64" s="515">
        <v>38451996.719999999</v>
      </c>
      <c r="AE64" s="515">
        <f t="shared" si="3"/>
        <v>126458701.73166667</v>
      </c>
      <c r="AF64" s="515">
        <f t="shared" si="3"/>
        <v>35825564.812083334</v>
      </c>
    </row>
    <row r="65" spans="1:32">
      <c r="A65" s="509">
        <v>56</v>
      </c>
      <c r="B65" s="26"/>
      <c r="C65" s="26" t="s">
        <v>960</v>
      </c>
      <c r="D65" s="26" t="s">
        <v>948</v>
      </c>
      <c r="E65" s="515">
        <v>117243284.65000001</v>
      </c>
      <c r="F65" s="515">
        <v>81647576.739999995</v>
      </c>
      <c r="G65" s="515">
        <v>117336799.13</v>
      </c>
      <c r="H65" s="515">
        <v>81861543.560000002</v>
      </c>
      <c r="I65" s="515">
        <v>117371010.73</v>
      </c>
      <c r="J65" s="515">
        <v>82070486.319999993</v>
      </c>
      <c r="K65" s="515">
        <v>117292661.02</v>
      </c>
      <c r="L65" s="515">
        <v>82059368.629999995</v>
      </c>
      <c r="M65" s="515">
        <v>117767388.06</v>
      </c>
      <c r="N65" s="515">
        <v>82179365.769999996</v>
      </c>
      <c r="O65" s="515">
        <v>117268079.59</v>
      </c>
      <c r="P65" s="515">
        <v>82216717.209999993</v>
      </c>
      <c r="Q65" s="515">
        <v>117360227.20999999</v>
      </c>
      <c r="R65" s="515">
        <v>82196533.25</v>
      </c>
      <c r="S65" s="515">
        <v>117390701.98999999</v>
      </c>
      <c r="T65" s="515">
        <v>82407252.109999999</v>
      </c>
      <c r="U65" s="515">
        <v>115449332.22</v>
      </c>
      <c r="V65" s="515">
        <v>82485317.719999999</v>
      </c>
      <c r="W65" s="515">
        <v>116150716.69</v>
      </c>
      <c r="X65" s="515">
        <v>82696465.189999998</v>
      </c>
      <c r="Y65" s="515">
        <v>115821964.51000001</v>
      </c>
      <c r="Z65" s="515">
        <v>82893666.560000002</v>
      </c>
      <c r="AA65" s="515">
        <v>116119372.73</v>
      </c>
      <c r="AB65" s="515">
        <v>83077844.069999993</v>
      </c>
      <c r="AC65" s="515">
        <v>116563175.39</v>
      </c>
      <c r="AD65" s="515">
        <v>82978755.939999998</v>
      </c>
      <c r="AE65" s="515">
        <f t="shared" si="3"/>
        <v>116852623.65833335</v>
      </c>
      <c r="AF65" s="515">
        <f t="shared" si="3"/>
        <v>82371477.227499992</v>
      </c>
    </row>
    <row r="66" spans="1:32">
      <c r="A66" s="509">
        <v>57</v>
      </c>
      <c r="B66" s="26"/>
      <c r="C66" s="26" t="s">
        <v>961</v>
      </c>
      <c r="D66" s="26" t="s">
        <v>948</v>
      </c>
      <c r="E66" s="515">
        <v>2097766.77</v>
      </c>
      <c r="F66" s="515">
        <v>1426506.6600000001</v>
      </c>
      <c r="G66" s="515">
        <v>2097766.77</v>
      </c>
      <c r="H66" s="515">
        <v>1429618.35</v>
      </c>
      <c r="I66" s="515">
        <v>2097766.77</v>
      </c>
      <c r="J66" s="515">
        <v>1432730.04</v>
      </c>
      <c r="K66" s="515">
        <v>2097766.77</v>
      </c>
      <c r="L66" s="515">
        <v>1435841.73</v>
      </c>
      <c r="M66" s="515">
        <v>2097766.77</v>
      </c>
      <c r="N66" s="515">
        <v>1438953.42</v>
      </c>
      <c r="O66" s="515">
        <v>2097766.77</v>
      </c>
      <c r="P66" s="515">
        <v>1442065.1099999999</v>
      </c>
      <c r="Q66" s="515">
        <v>2097766.77</v>
      </c>
      <c r="R66" s="515">
        <v>1445176.8</v>
      </c>
      <c r="S66" s="515">
        <v>2097766.77</v>
      </c>
      <c r="T66" s="515">
        <v>1448288.49</v>
      </c>
      <c r="U66" s="515">
        <v>2097766.77</v>
      </c>
      <c r="V66" s="515">
        <v>1451400.18</v>
      </c>
      <c r="W66" s="515">
        <v>2097766.77</v>
      </c>
      <c r="X66" s="515">
        <v>1454511.87</v>
      </c>
      <c r="Y66" s="515">
        <v>2097766.77</v>
      </c>
      <c r="Z66" s="515">
        <v>1457623.56</v>
      </c>
      <c r="AA66" s="515">
        <v>2097766.77</v>
      </c>
      <c r="AB66" s="515">
        <v>1460735.25</v>
      </c>
      <c r="AC66" s="515">
        <v>2097766.77</v>
      </c>
      <c r="AD66" s="515">
        <v>1463846.94</v>
      </c>
      <c r="AE66" s="515">
        <f t="shared" si="3"/>
        <v>2097766.77</v>
      </c>
      <c r="AF66" s="515">
        <f t="shared" si="3"/>
        <v>1445176.8</v>
      </c>
    </row>
    <row r="67" spans="1:32">
      <c r="A67" s="509">
        <v>58</v>
      </c>
      <c r="B67" s="26"/>
      <c r="C67" s="26" t="s">
        <v>962</v>
      </c>
      <c r="D67" s="26" t="s">
        <v>948</v>
      </c>
      <c r="E67" s="515">
        <v>21406992.550000001</v>
      </c>
      <c r="F67" s="515">
        <v>5942187.9000000004</v>
      </c>
      <c r="G67" s="515">
        <v>21413977.609999999</v>
      </c>
      <c r="H67" s="515">
        <v>5974477.71</v>
      </c>
      <c r="I67" s="515">
        <v>21367863.579999998</v>
      </c>
      <c r="J67" s="515">
        <v>5984183.5800000001</v>
      </c>
      <c r="K67" s="515">
        <v>21361247.170000002</v>
      </c>
      <c r="L67" s="515">
        <v>6004775.5700000003</v>
      </c>
      <c r="M67" s="515">
        <v>21363561</v>
      </c>
      <c r="N67" s="515">
        <v>6038953.5700000003</v>
      </c>
      <c r="O67" s="515">
        <v>21307548.899999999</v>
      </c>
      <c r="P67" s="515">
        <v>6046794.4699999997</v>
      </c>
      <c r="Q67" s="515">
        <v>21889615.600000001</v>
      </c>
      <c r="R67" s="515">
        <v>6016275.8499999996</v>
      </c>
      <c r="S67" s="515">
        <v>21385240.66</v>
      </c>
      <c r="T67" s="515">
        <v>6047550.8600000003</v>
      </c>
      <c r="U67" s="515">
        <v>21484152.510000002</v>
      </c>
      <c r="V67" s="515">
        <v>5871425.7999999998</v>
      </c>
      <c r="W67" s="515">
        <v>21772085.829999998</v>
      </c>
      <c r="X67" s="515">
        <v>5897911.04</v>
      </c>
      <c r="Y67" s="515">
        <v>21979307.559999999</v>
      </c>
      <c r="Z67" s="515">
        <v>5931395.21</v>
      </c>
      <c r="AA67" s="515">
        <v>22042171.309999999</v>
      </c>
      <c r="AB67" s="515">
        <v>5966562.0999999996</v>
      </c>
      <c r="AC67" s="515">
        <v>22436101.879999999</v>
      </c>
      <c r="AD67" s="515">
        <v>5987789.96</v>
      </c>
      <c r="AE67" s="515">
        <f t="shared" si="3"/>
        <v>21607359.912083331</v>
      </c>
      <c r="AF67" s="515">
        <f t="shared" si="3"/>
        <v>5978774.5575000001</v>
      </c>
    </row>
    <row r="68" spans="1:32">
      <c r="A68" s="509">
        <v>59</v>
      </c>
      <c r="B68" s="26"/>
      <c r="C68" s="26" t="s">
        <v>963</v>
      </c>
      <c r="D68" s="26" t="s">
        <v>948</v>
      </c>
      <c r="E68" s="515">
        <v>114658564.25</v>
      </c>
      <c r="F68" s="515">
        <v>45193055.82</v>
      </c>
      <c r="G68" s="515">
        <v>115876219.87</v>
      </c>
      <c r="H68" s="515">
        <v>45561838.390000001</v>
      </c>
      <c r="I68" s="515">
        <v>116817466.39</v>
      </c>
      <c r="J68" s="515">
        <v>45936237.75</v>
      </c>
      <c r="K68" s="515">
        <v>117762938.65000001</v>
      </c>
      <c r="L68" s="515">
        <v>46272852.57</v>
      </c>
      <c r="M68" s="515">
        <v>119248862.40000001</v>
      </c>
      <c r="N68" s="515">
        <v>46652149.359999999</v>
      </c>
      <c r="O68" s="515">
        <v>120371828.39</v>
      </c>
      <c r="P68" s="515">
        <v>46983408.009999998</v>
      </c>
      <c r="Q68" s="515">
        <v>121644766.61</v>
      </c>
      <c r="R68" s="515">
        <v>47353548.719999999</v>
      </c>
      <c r="S68" s="515">
        <v>122644598.91</v>
      </c>
      <c r="T68" s="515">
        <v>47736214.469999999</v>
      </c>
      <c r="U68" s="515">
        <v>124467301.8</v>
      </c>
      <c r="V68" s="515">
        <v>48087401.060000002</v>
      </c>
      <c r="W68" s="515">
        <v>126087685.17</v>
      </c>
      <c r="X68" s="515">
        <v>48481039.409999996</v>
      </c>
      <c r="Y68" s="515">
        <v>128614502.48999999</v>
      </c>
      <c r="Z68" s="515">
        <v>48854422.109999999</v>
      </c>
      <c r="AA68" s="515">
        <v>129917510.23999999</v>
      </c>
      <c r="AB68" s="515">
        <v>49260701.399999999</v>
      </c>
      <c r="AC68" s="515">
        <v>130923599.2</v>
      </c>
      <c r="AD68" s="515">
        <v>49663854.890000001</v>
      </c>
      <c r="AE68" s="515">
        <f t="shared" si="3"/>
        <v>122187063.55374998</v>
      </c>
      <c r="AF68" s="515">
        <f t="shared" si="3"/>
        <v>47384022.383749999</v>
      </c>
    </row>
    <row r="69" spans="1:32">
      <c r="A69" s="509">
        <v>60</v>
      </c>
      <c r="B69" s="26"/>
      <c r="C69" s="26" t="s">
        <v>964</v>
      </c>
      <c r="D69" s="26" t="s">
        <v>948</v>
      </c>
      <c r="E69" s="515">
        <v>62407577.520000003</v>
      </c>
      <c r="F69" s="515">
        <v>92600795.689999998</v>
      </c>
      <c r="G69" s="515">
        <v>62407782.859999999</v>
      </c>
      <c r="H69" s="515">
        <v>92749003.280000001</v>
      </c>
      <c r="I69" s="515">
        <v>62415215.100000001</v>
      </c>
      <c r="J69" s="515">
        <v>92914398.849999994</v>
      </c>
      <c r="K69" s="515">
        <v>62284374.5</v>
      </c>
      <c r="L69" s="515">
        <v>92856449.969999999</v>
      </c>
      <c r="M69" s="515">
        <v>62287301.460000001</v>
      </c>
      <c r="N69" s="515">
        <v>93016402.269999996</v>
      </c>
      <c r="O69" s="515">
        <v>62415175.369999997</v>
      </c>
      <c r="P69" s="515">
        <v>93083399.049999997</v>
      </c>
      <c r="Q69" s="515">
        <v>62414523.460000001</v>
      </c>
      <c r="R69" s="515">
        <v>92916848.200000003</v>
      </c>
      <c r="S69" s="515">
        <v>62408391.789999999</v>
      </c>
      <c r="T69" s="515">
        <v>93067765.159999996</v>
      </c>
      <c r="U69" s="515">
        <v>62500758.729999997</v>
      </c>
      <c r="V69" s="515">
        <v>93136440.730000004</v>
      </c>
      <c r="W69" s="515">
        <v>62275990.090000004</v>
      </c>
      <c r="X69" s="515">
        <v>93230863.819999993</v>
      </c>
      <c r="Y69" s="515">
        <v>62263883.259999998</v>
      </c>
      <c r="Z69" s="515">
        <v>93258787.459999993</v>
      </c>
      <c r="AA69" s="515">
        <v>62274678.82</v>
      </c>
      <c r="AB69" s="515">
        <v>93361352.239999995</v>
      </c>
      <c r="AC69" s="515">
        <v>62228709.439999998</v>
      </c>
      <c r="AD69" s="515">
        <v>93345534.5</v>
      </c>
      <c r="AE69" s="515">
        <f t="shared" si="3"/>
        <v>62355518.24333334</v>
      </c>
      <c r="AF69" s="515">
        <f t="shared" si="3"/>
        <v>93047073.010416672</v>
      </c>
    </row>
    <row r="70" spans="1:32">
      <c r="A70" s="509">
        <v>61</v>
      </c>
      <c r="B70" s="26"/>
      <c r="C70" s="26" t="s">
        <v>965</v>
      </c>
      <c r="D70" s="26" t="s">
        <v>948</v>
      </c>
      <c r="E70" s="515">
        <v>0</v>
      </c>
      <c r="F70" s="515">
        <v>0.01</v>
      </c>
      <c r="G70" s="515">
        <v>0</v>
      </c>
      <c r="H70" s="515">
        <v>0.01</v>
      </c>
      <c r="I70" s="515">
        <v>0</v>
      </c>
      <c r="J70" s="515">
        <v>0.01</v>
      </c>
      <c r="K70" s="515">
        <v>0</v>
      </c>
      <c r="L70" s="515">
        <v>0.01</v>
      </c>
      <c r="M70" s="515">
        <v>0</v>
      </c>
      <c r="N70" s="515">
        <v>0.01</v>
      </c>
      <c r="O70" s="515">
        <v>0</v>
      </c>
      <c r="P70" s="515">
        <v>0.01</v>
      </c>
      <c r="Q70" s="515">
        <v>0</v>
      </c>
      <c r="R70" s="515">
        <v>0.01</v>
      </c>
      <c r="S70" s="515">
        <v>0</v>
      </c>
      <c r="T70" s="515">
        <v>0.01</v>
      </c>
      <c r="U70" s="515">
        <v>0</v>
      </c>
      <c r="V70" s="515">
        <v>0.01</v>
      </c>
      <c r="W70" s="515">
        <v>0</v>
      </c>
      <c r="X70" s="515">
        <v>0.01</v>
      </c>
      <c r="Y70" s="515">
        <v>0</v>
      </c>
      <c r="Z70" s="515">
        <v>0.01</v>
      </c>
      <c r="AA70" s="515">
        <v>0</v>
      </c>
      <c r="AB70" s="515">
        <v>0.01</v>
      </c>
      <c r="AC70" s="515">
        <v>0</v>
      </c>
      <c r="AD70" s="515">
        <v>0.01</v>
      </c>
      <c r="AE70" s="515">
        <f t="shared" si="3"/>
        <v>0</v>
      </c>
      <c r="AF70" s="515">
        <f t="shared" si="3"/>
        <v>9.9999999999999985E-3</v>
      </c>
    </row>
    <row r="71" spans="1:32">
      <c r="A71" s="509">
        <v>62</v>
      </c>
      <c r="B71" s="26"/>
      <c r="C71" s="26" t="s">
        <v>966</v>
      </c>
      <c r="D71" s="26" t="s">
        <v>948</v>
      </c>
      <c r="E71" s="515">
        <v>23758103.93</v>
      </c>
      <c r="F71" s="515">
        <v>10835425.779999999</v>
      </c>
      <c r="G71" s="515">
        <v>23798674.539999999</v>
      </c>
      <c r="H71" s="515">
        <v>10872208.289999999</v>
      </c>
      <c r="I71" s="515">
        <v>23852478.93</v>
      </c>
      <c r="J71" s="515">
        <v>10909096.23</v>
      </c>
      <c r="K71" s="515">
        <v>23876274.690000001</v>
      </c>
      <c r="L71" s="515">
        <v>10932724.75</v>
      </c>
      <c r="M71" s="515">
        <v>23912985.09</v>
      </c>
      <c r="N71" s="515">
        <v>10968380.939999999</v>
      </c>
      <c r="O71" s="515">
        <v>23915150.98</v>
      </c>
      <c r="P71" s="515">
        <v>10979897.76</v>
      </c>
      <c r="Q71" s="515">
        <v>23928159.699999999</v>
      </c>
      <c r="R71" s="515">
        <v>11012749.869999999</v>
      </c>
      <c r="S71" s="515">
        <v>23963341.66</v>
      </c>
      <c r="T71" s="515">
        <v>11044645.5</v>
      </c>
      <c r="U71" s="515">
        <v>23984868.289999999</v>
      </c>
      <c r="V71" s="515">
        <v>11080828.91</v>
      </c>
      <c r="W71" s="515">
        <v>24001896.800000001</v>
      </c>
      <c r="X71" s="515">
        <v>11117433.630000001</v>
      </c>
      <c r="Y71" s="515">
        <v>24039904.59</v>
      </c>
      <c r="Z71" s="515">
        <v>11152708.68</v>
      </c>
      <c r="AA71" s="515">
        <v>24055989.039999999</v>
      </c>
      <c r="AB71" s="515">
        <v>11180678.32</v>
      </c>
      <c r="AC71" s="515">
        <v>23995708.359999999</v>
      </c>
      <c r="AD71" s="515">
        <v>11207165</v>
      </c>
      <c r="AE71" s="515">
        <f t="shared" si="3"/>
        <v>23933885.87125</v>
      </c>
      <c r="AF71" s="515">
        <f t="shared" si="3"/>
        <v>11022720.689166667</v>
      </c>
    </row>
    <row r="72" spans="1:32">
      <c r="A72" s="509">
        <v>63</v>
      </c>
      <c r="B72" s="26"/>
      <c r="C72" s="26" t="s">
        <v>967</v>
      </c>
      <c r="D72" s="26" t="s">
        <v>948</v>
      </c>
      <c r="E72" s="515">
        <v>8652953.7799999993</v>
      </c>
      <c r="F72" s="515">
        <v>3790503.1</v>
      </c>
      <c r="G72" s="515">
        <v>8699519.8000000007</v>
      </c>
      <c r="H72" s="515">
        <v>3804163.95</v>
      </c>
      <c r="I72" s="515">
        <v>8708762.5299999993</v>
      </c>
      <c r="J72" s="515">
        <v>3819968.08</v>
      </c>
      <c r="K72" s="515">
        <v>8822358.5800000001</v>
      </c>
      <c r="L72" s="515">
        <v>3841919.44</v>
      </c>
      <c r="M72" s="515">
        <v>8896220.5500000007</v>
      </c>
      <c r="N72" s="515">
        <v>3856607.34</v>
      </c>
      <c r="O72" s="515">
        <v>9000824.3399999999</v>
      </c>
      <c r="P72" s="515">
        <v>3879825.77</v>
      </c>
      <c r="Q72" s="515">
        <v>9041797.3200000003</v>
      </c>
      <c r="R72" s="515">
        <v>3872755.79</v>
      </c>
      <c r="S72" s="515">
        <v>9060947.9900000002</v>
      </c>
      <c r="T72" s="515">
        <v>3891751.04</v>
      </c>
      <c r="U72" s="515">
        <v>9094754.5299999993</v>
      </c>
      <c r="V72" s="515">
        <v>3896517.5</v>
      </c>
      <c r="W72" s="515">
        <v>9191168.9900000002</v>
      </c>
      <c r="X72" s="515">
        <v>3910521.06</v>
      </c>
      <c r="Y72" s="515">
        <v>9210475.1899999995</v>
      </c>
      <c r="Z72" s="515">
        <v>3915670.01</v>
      </c>
      <c r="AA72" s="515">
        <v>9227092.5899999999</v>
      </c>
      <c r="AB72" s="515">
        <v>3939200.89</v>
      </c>
      <c r="AC72" s="515">
        <v>9441928.3100000005</v>
      </c>
      <c r="AD72" s="515">
        <v>3952589.04</v>
      </c>
      <c r="AE72" s="515">
        <f t="shared" si="3"/>
        <v>9000113.6212499999</v>
      </c>
      <c r="AF72" s="515">
        <f t="shared" si="3"/>
        <v>3875037.2449999996</v>
      </c>
    </row>
    <row r="73" spans="1:32">
      <c r="A73" s="509">
        <v>64</v>
      </c>
      <c r="B73" s="26"/>
      <c r="C73" s="26" t="s">
        <v>968</v>
      </c>
      <c r="D73" s="26" t="s">
        <v>948</v>
      </c>
      <c r="E73" s="515">
        <v>0</v>
      </c>
      <c r="F73" s="515">
        <v>-305.76</v>
      </c>
      <c r="G73" s="515">
        <v>0</v>
      </c>
      <c r="H73" s="515">
        <v>-305.76</v>
      </c>
      <c r="I73" s="515">
        <v>0</v>
      </c>
      <c r="J73" s="515">
        <v>-305.76</v>
      </c>
      <c r="K73" s="515">
        <v>0</v>
      </c>
      <c r="L73" s="515">
        <v>-305.76</v>
      </c>
      <c r="M73" s="515">
        <v>0</v>
      </c>
      <c r="N73" s="515">
        <v>-305.76</v>
      </c>
      <c r="O73" s="515">
        <v>0</v>
      </c>
      <c r="P73" s="515">
        <v>-305.76</v>
      </c>
      <c r="Q73" s="515">
        <v>0</v>
      </c>
      <c r="R73" s="515">
        <v>-305.76</v>
      </c>
      <c r="S73" s="515">
        <v>0</v>
      </c>
      <c r="T73" s="515">
        <v>-305.76</v>
      </c>
      <c r="U73" s="515">
        <v>0</v>
      </c>
      <c r="V73" s="515">
        <v>-305.76</v>
      </c>
      <c r="W73" s="515">
        <v>0</v>
      </c>
      <c r="X73" s="515">
        <v>-305.76</v>
      </c>
      <c r="Y73" s="515">
        <v>0</v>
      </c>
      <c r="Z73" s="515">
        <v>-305.76</v>
      </c>
      <c r="AA73" s="515">
        <v>0</v>
      </c>
      <c r="AB73" s="515">
        <v>-305.76</v>
      </c>
      <c r="AC73" s="515">
        <v>0</v>
      </c>
      <c r="AD73" s="515">
        <v>-305.76</v>
      </c>
      <c r="AE73" s="515">
        <f t="shared" si="3"/>
        <v>0</v>
      </c>
      <c r="AF73" s="515">
        <f t="shared" si="3"/>
        <v>-305.76000000000005</v>
      </c>
    </row>
    <row r="74" spans="1:32">
      <c r="A74" s="509">
        <v>65</v>
      </c>
      <c r="B74" s="26"/>
      <c r="C74" s="26" t="s">
        <v>969</v>
      </c>
      <c r="D74" s="26" t="s">
        <v>948</v>
      </c>
      <c r="E74" s="515">
        <v>2020069.02</v>
      </c>
      <c r="F74" s="515">
        <v>0</v>
      </c>
      <c r="G74" s="515">
        <v>2020069.02</v>
      </c>
      <c r="H74" s="515">
        <v>0</v>
      </c>
      <c r="I74" s="515">
        <v>2020069.02</v>
      </c>
      <c r="J74" s="515">
        <v>0</v>
      </c>
      <c r="K74" s="515">
        <v>2020069.02</v>
      </c>
      <c r="L74" s="515">
        <v>0</v>
      </c>
      <c r="M74" s="515">
        <v>2020069.02</v>
      </c>
      <c r="N74" s="515">
        <v>0</v>
      </c>
      <c r="O74" s="515">
        <v>2020069.02</v>
      </c>
      <c r="P74" s="515">
        <v>0</v>
      </c>
      <c r="Q74" s="515">
        <v>2020069.02</v>
      </c>
      <c r="R74" s="515">
        <v>0</v>
      </c>
      <c r="S74" s="515">
        <v>2020069.02</v>
      </c>
      <c r="T74" s="515">
        <v>0</v>
      </c>
      <c r="U74" s="515">
        <v>2020069.02</v>
      </c>
      <c r="V74" s="515">
        <v>0</v>
      </c>
      <c r="W74" s="515">
        <v>2020069.02</v>
      </c>
      <c r="X74" s="515">
        <v>0</v>
      </c>
      <c r="Y74" s="515">
        <v>2020069.02</v>
      </c>
      <c r="Z74" s="515">
        <v>0</v>
      </c>
      <c r="AA74" s="515">
        <v>2020069.02</v>
      </c>
      <c r="AB74" s="515">
        <v>0</v>
      </c>
      <c r="AC74" s="515">
        <v>2020069.02</v>
      </c>
      <c r="AD74" s="515">
        <v>0</v>
      </c>
      <c r="AE74" s="515">
        <f t="shared" si="3"/>
        <v>2020069.0199999998</v>
      </c>
      <c r="AF74" s="515">
        <f t="shared" si="3"/>
        <v>0</v>
      </c>
    </row>
    <row r="75" spans="1:32">
      <c r="A75" s="509">
        <v>66</v>
      </c>
      <c r="B75" s="26"/>
      <c r="C75" s="26" t="s">
        <v>970</v>
      </c>
      <c r="D75" s="26" t="s">
        <v>948</v>
      </c>
      <c r="E75" s="515">
        <v>7933.28</v>
      </c>
      <c r="F75" s="515">
        <v>4703.88</v>
      </c>
      <c r="G75" s="515">
        <v>7933.28</v>
      </c>
      <c r="H75" s="515">
        <v>4703.88</v>
      </c>
      <c r="I75" s="515">
        <v>7933.28</v>
      </c>
      <c r="J75" s="515">
        <v>4703.88</v>
      </c>
      <c r="K75" s="515">
        <v>7933.28</v>
      </c>
      <c r="L75" s="515">
        <v>4703.88</v>
      </c>
      <c r="M75" s="515">
        <v>7933.28</v>
      </c>
      <c r="N75" s="515">
        <v>4703.88</v>
      </c>
      <c r="O75" s="515">
        <v>7933.28</v>
      </c>
      <c r="P75" s="515">
        <v>4703.88</v>
      </c>
      <c r="Q75" s="515">
        <v>7933.28</v>
      </c>
      <c r="R75" s="515">
        <v>4703.88</v>
      </c>
      <c r="S75" s="515">
        <v>7933.28</v>
      </c>
      <c r="T75" s="515">
        <v>4703.88</v>
      </c>
      <c r="U75" s="515">
        <v>7933.28</v>
      </c>
      <c r="V75" s="515">
        <v>4703.88</v>
      </c>
      <c r="W75" s="515">
        <v>7933.28</v>
      </c>
      <c r="X75" s="515">
        <v>4703.88</v>
      </c>
      <c r="Y75" s="515">
        <v>7933.28</v>
      </c>
      <c r="Z75" s="515">
        <v>4703.88</v>
      </c>
      <c r="AA75" s="515">
        <v>7933.28</v>
      </c>
      <c r="AB75" s="515">
        <v>4703.88</v>
      </c>
      <c r="AC75" s="515">
        <v>7933.28</v>
      </c>
      <c r="AD75" s="515">
        <v>4703.88</v>
      </c>
      <c r="AE75" s="515">
        <f t="shared" si="3"/>
        <v>7933.28</v>
      </c>
      <c r="AF75" s="515">
        <f t="shared" si="3"/>
        <v>4703.8799999999992</v>
      </c>
    </row>
    <row r="76" spans="1:32">
      <c r="A76" s="509">
        <v>67</v>
      </c>
      <c r="B76" s="26"/>
      <c r="C76" s="26" t="s">
        <v>971</v>
      </c>
      <c r="D76" s="26" t="s">
        <v>948</v>
      </c>
      <c r="E76" s="515">
        <v>9268082.0999999996</v>
      </c>
      <c r="F76" s="515">
        <v>4995379.0199999996</v>
      </c>
      <c r="G76" s="515">
        <v>9268082.0999999996</v>
      </c>
      <c r="H76" s="515">
        <v>5004956.04</v>
      </c>
      <c r="I76" s="515">
        <v>9268082.0999999996</v>
      </c>
      <c r="J76" s="515">
        <v>5014533.0599999996</v>
      </c>
      <c r="K76" s="515">
        <v>9268082.0999999996</v>
      </c>
      <c r="L76" s="515">
        <v>5024110.08</v>
      </c>
      <c r="M76" s="515">
        <v>9323247.1699999999</v>
      </c>
      <c r="N76" s="515">
        <v>5033687.0999999996</v>
      </c>
      <c r="O76" s="515">
        <v>9350283.5500000007</v>
      </c>
      <c r="P76" s="515">
        <v>5043321.12</v>
      </c>
      <c r="Q76" s="515">
        <v>9350283.5500000007</v>
      </c>
      <c r="R76" s="515">
        <v>5052983.08</v>
      </c>
      <c r="S76" s="515">
        <v>9350226.6099999994</v>
      </c>
      <c r="T76" s="515">
        <v>5051219.0199999996</v>
      </c>
      <c r="U76" s="515">
        <v>9719444.7799999993</v>
      </c>
      <c r="V76" s="515">
        <v>5060880.92</v>
      </c>
      <c r="W76" s="515">
        <v>9802223.5800000001</v>
      </c>
      <c r="X76" s="515">
        <v>5070924.3499999996</v>
      </c>
      <c r="Y76" s="515">
        <v>9840674.7899999991</v>
      </c>
      <c r="Z76" s="515">
        <v>5081053.3099999996</v>
      </c>
      <c r="AA76" s="515">
        <v>9676189.0600000005</v>
      </c>
      <c r="AB76" s="515">
        <v>5091222.01</v>
      </c>
      <c r="AC76" s="515">
        <v>9555549.6300000008</v>
      </c>
      <c r="AD76" s="515">
        <v>4799302.57</v>
      </c>
      <c r="AE76" s="515">
        <f t="shared" si="3"/>
        <v>9469052.9379166644</v>
      </c>
      <c r="AF76" s="515">
        <f t="shared" si="3"/>
        <v>5035519.2404166674</v>
      </c>
    </row>
    <row r="77" spans="1:32">
      <c r="A77" s="509">
        <v>68</v>
      </c>
      <c r="B77" s="26"/>
      <c r="C77" s="26" t="s">
        <v>972</v>
      </c>
      <c r="D77" s="26" t="s">
        <v>948</v>
      </c>
      <c r="E77" s="515">
        <v>101500.48</v>
      </c>
      <c r="F77" s="515">
        <v>25348.99</v>
      </c>
      <c r="G77" s="515">
        <v>101500.48</v>
      </c>
      <c r="H77" s="515">
        <v>26818.21</v>
      </c>
      <c r="I77" s="515">
        <v>101500.48</v>
      </c>
      <c r="J77" s="515">
        <v>28287.43</v>
      </c>
      <c r="K77" s="515">
        <v>101500.48</v>
      </c>
      <c r="L77" s="515">
        <v>29756.65</v>
      </c>
      <c r="M77" s="515">
        <v>97713.48</v>
      </c>
      <c r="N77" s="515">
        <v>27438.87</v>
      </c>
      <c r="O77" s="515">
        <v>97713.48</v>
      </c>
      <c r="P77" s="515">
        <v>28853.27</v>
      </c>
      <c r="Q77" s="515">
        <v>97713.48</v>
      </c>
      <c r="R77" s="515">
        <v>30267.670000000002</v>
      </c>
      <c r="S77" s="515">
        <v>97713.48</v>
      </c>
      <c r="T77" s="515">
        <v>31682.07</v>
      </c>
      <c r="U77" s="515">
        <v>102289.89</v>
      </c>
      <c r="V77" s="515">
        <v>33096.47</v>
      </c>
      <c r="W77" s="515">
        <v>102289.89</v>
      </c>
      <c r="X77" s="515">
        <v>34577.120000000003</v>
      </c>
      <c r="Y77" s="515">
        <v>102289.89</v>
      </c>
      <c r="Z77" s="515">
        <v>36057.770000000004</v>
      </c>
      <c r="AA77" s="515">
        <v>102289.89</v>
      </c>
      <c r="AB77" s="515">
        <v>37538.42</v>
      </c>
      <c r="AC77" s="515">
        <v>102325.73</v>
      </c>
      <c r="AD77" s="515">
        <v>39019.07</v>
      </c>
      <c r="AE77" s="515">
        <f t="shared" si="3"/>
        <v>100535.66875</v>
      </c>
      <c r="AF77" s="515">
        <f t="shared" si="3"/>
        <v>31379.831666666665</v>
      </c>
    </row>
    <row r="78" spans="1:32">
      <c r="A78" s="509">
        <v>69</v>
      </c>
      <c r="B78" s="26"/>
      <c r="C78" s="26" t="s">
        <v>973</v>
      </c>
      <c r="D78" s="26" t="s">
        <v>948</v>
      </c>
      <c r="E78" s="515">
        <v>419116.23</v>
      </c>
      <c r="F78" s="515">
        <v>104239.69</v>
      </c>
      <c r="G78" s="515">
        <v>419116.23</v>
      </c>
      <c r="H78" s="515">
        <v>105979.02</v>
      </c>
      <c r="I78" s="515">
        <v>419116.23</v>
      </c>
      <c r="J78" s="515">
        <v>107718.35</v>
      </c>
      <c r="K78" s="515">
        <v>417493.23</v>
      </c>
      <c r="L78" s="515">
        <v>107834.68000000001</v>
      </c>
      <c r="M78" s="515">
        <v>417493.23</v>
      </c>
      <c r="N78" s="515">
        <v>109567.28</v>
      </c>
      <c r="O78" s="515">
        <v>417493.23</v>
      </c>
      <c r="P78" s="515">
        <v>111299.88</v>
      </c>
      <c r="Q78" s="515">
        <v>417493.23</v>
      </c>
      <c r="R78" s="515">
        <v>113032.48</v>
      </c>
      <c r="S78" s="515">
        <v>417550.17</v>
      </c>
      <c r="T78" s="515">
        <v>114765.08</v>
      </c>
      <c r="U78" s="515">
        <v>417550.17</v>
      </c>
      <c r="V78" s="515">
        <v>116497.91</v>
      </c>
      <c r="W78" s="515">
        <v>423263.79000000004</v>
      </c>
      <c r="X78" s="515">
        <v>118230.74</v>
      </c>
      <c r="Y78" s="515">
        <v>423657.62</v>
      </c>
      <c r="Z78" s="515">
        <v>119987.28</v>
      </c>
      <c r="AA78" s="515">
        <v>426393.13</v>
      </c>
      <c r="AB78" s="515">
        <v>121745.46</v>
      </c>
      <c r="AC78" s="515">
        <v>447968.56</v>
      </c>
      <c r="AD78" s="515">
        <v>123514.99</v>
      </c>
      <c r="AE78" s="515">
        <f t="shared" si="3"/>
        <v>420846.88791666663</v>
      </c>
      <c r="AF78" s="515">
        <f t="shared" si="3"/>
        <v>113377.95833333333</v>
      </c>
    </row>
    <row r="79" spans="1:32">
      <c r="A79" s="509">
        <v>70</v>
      </c>
      <c r="B79" s="26"/>
      <c r="C79" s="26" t="s">
        <v>974</v>
      </c>
      <c r="D79" s="26" t="s">
        <v>948</v>
      </c>
      <c r="E79" s="515">
        <v>208790.52000000002</v>
      </c>
      <c r="F79" s="515">
        <v>90952.680000000008</v>
      </c>
      <c r="G79" s="515">
        <v>208790.52000000002</v>
      </c>
      <c r="H79" s="515">
        <v>91500.75</v>
      </c>
      <c r="I79" s="515">
        <v>208790.52000000002</v>
      </c>
      <c r="J79" s="515">
        <v>92048.82</v>
      </c>
      <c r="K79" s="515">
        <v>208790.52000000002</v>
      </c>
      <c r="L79" s="515">
        <v>92596.89</v>
      </c>
      <c r="M79" s="515">
        <v>208790.52000000002</v>
      </c>
      <c r="N79" s="515">
        <v>93144.960000000006</v>
      </c>
      <c r="O79" s="515">
        <v>208790.52000000002</v>
      </c>
      <c r="P79" s="515">
        <v>93693.03</v>
      </c>
      <c r="Q79" s="515">
        <v>208790.52000000002</v>
      </c>
      <c r="R79" s="515">
        <v>94241.1</v>
      </c>
      <c r="S79" s="515">
        <v>208790.52000000002</v>
      </c>
      <c r="T79" s="515">
        <v>94789.17</v>
      </c>
      <c r="U79" s="515">
        <v>208790.52000000002</v>
      </c>
      <c r="V79" s="515">
        <v>95337.24</v>
      </c>
      <c r="W79" s="515">
        <v>208790.52000000002</v>
      </c>
      <c r="X79" s="515">
        <v>95885.31</v>
      </c>
      <c r="Y79" s="515">
        <v>208790.52000000002</v>
      </c>
      <c r="Z79" s="515">
        <v>96433.38</v>
      </c>
      <c r="AA79" s="515">
        <v>208790.52000000002</v>
      </c>
      <c r="AB79" s="515">
        <v>96981.45</v>
      </c>
      <c r="AC79" s="515">
        <v>208790.52000000002</v>
      </c>
      <c r="AD79" s="515">
        <v>97529.52</v>
      </c>
      <c r="AE79" s="515">
        <f t="shared" si="3"/>
        <v>208790.52000000002</v>
      </c>
      <c r="AF79" s="515">
        <f t="shared" si="3"/>
        <v>94241.099999999991</v>
      </c>
    </row>
    <row r="80" spans="1:32">
      <c r="A80" s="509">
        <v>71</v>
      </c>
      <c r="B80" s="26"/>
      <c r="C80" s="26" t="s">
        <v>975</v>
      </c>
      <c r="D80" s="26" t="s">
        <v>948</v>
      </c>
      <c r="E80" s="515">
        <v>10683187.359999999</v>
      </c>
      <c r="F80" s="515">
        <v>3627481.94</v>
      </c>
      <c r="G80" s="515">
        <v>10754001.710000001</v>
      </c>
      <c r="H80" s="515">
        <v>3582143.44</v>
      </c>
      <c r="I80" s="515">
        <v>10791322.810000001</v>
      </c>
      <c r="J80" s="515">
        <v>3659687.7</v>
      </c>
      <c r="K80" s="515">
        <v>10617061.810000001</v>
      </c>
      <c r="L80" s="515">
        <v>3591662.62</v>
      </c>
      <c r="M80" s="515">
        <v>10677804.16</v>
      </c>
      <c r="N80" s="515">
        <v>3680916.2</v>
      </c>
      <c r="O80" s="515">
        <v>10619109.960000001</v>
      </c>
      <c r="P80" s="515">
        <v>3706559.76</v>
      </c>
      <c r="Q80" s="515">
        <v>10249290.52</v>
      </c>
      <c r="R80" s="515">
        <v>3488602.7800000003</v>
      </c>
      <c r="S80" s="515">
        <v>10277414.59</v>
      </c>
      <c r="T80" s="515">
        <v>3529730.4</v>
      </c>
      <c r="U80" s="515">
        <v>10138144.130000001</v>
      </c>
      <c r="V80" s="515">
        <v>3480422.32</v>
      </c>
      <c r="W80" s="515">
        <v>10172862.85</v>
      </c>
      <c r="X80" s="515">
        <v>3532380.31</v>
      </c>
      <c r="Y80" s="515">
        <v>10661762.58</v>
      </c>
      <c r="Z80" s="515">
        <v>3584516.23</v>
      </c>
      <c r="AA80" s="515">
        <v>10645110.34</v>
      </c>
      <c r="AB80" s="515">
        <v>3611129.21</v>
      </c>
      <c r="AC80" s="515">
        <v>11132770.07</v>
      </c>
      <c r="AD80" s="515">
        <v>3665685.4</v>
      </c>
      <c r="AE80" s="515">
        <f t="shared" si="3"/>
        <v>10542655.347916668</v>
      </c>
      <c r="AF80" s="515">
        <f t="shared" si="3"/>
        <v>3591194.5533333332</v>
      </c>
    </row>
    <row r="81" spans="1:32">
      <c r="A81" s="509">
        <v>72</v>
      </c>
      <c r="B81" s="26"/>
      <c r="C81" s="26" t="s">
        <v>976</v>
      </c>
      <c r="D81" s="26" t="s">
        <v>948</v>
      </c>
      <c r="E81" s="515">
        <v>23837.02</v>
      </c>
      <c r="F81" s="515">
        <v>10419.050000000001</v>
      </c>
      <c r="G81" s="515">
        <v>23837.02</v>
      </c>
      <c r="H81" s="515">
        <v>10525.12</v>
      </c>
      <c r="I81" s="515">
        <v>23837.02</v>
      </c>
      <c r="J81" s="515">
        <v>10631.19</v>
      </c>
      <c r="K81" s="515">
        <v>23837.02</v>
      </c>
      <c r="L81" s="515">
        <v>10737.26</v>
      </c>
      <c r="M81" s="515">
        <v>23837.02</v>
      </c>
      <c r="N81" s="515">
        <v>10843.33</v>
      </c>
      <c r="O81" s="515">
        <v>23837.02</v>
      </c>
      <c r="P81" s="515">
        <v>10949.4</v>
      </c>
      <c r="Q81" s="515">
        <v>23837.02</v>
      </c>
      <c r="R81" s="515">
        <v>11055.47</v>
      </c>
      <c r="S81" s="515">
        <v>23837.02</v>
      </c>
      <c r="T81" s="515">
        <v>11161.54</v>
      </c>
      <c r="U81" s="515">
        <v>23837.02</v>
      </c>
      <c r="V81" s="515">
        <v>11267.61</v>
      </c>
      <c r="W81" s="515">
        <v>23837.02</v>
      </c>
      <c r="X81" s="515">
        <v>11373.68</v>
      </c>
      <c r="Y81" s="515">
        <v>23837.02</v>
      </c>
      <c r="Z81" s="515">
        <v>11479.75</v>
      </c>
      <c r="AA81" s="515">
        <v>23837.02</v>
      </c>
      <c r="AB81" s="515">
        <v>11585.82</v>
      </c>
      <c r="AC81" s="515">
        <v>23837.02</v>
      </c>
      <c r="AD81" s="515">
        <v>11691.89</v>
      </c>
      <c r="AE81" s="515">
        <f t="shared" si="3"/>
        <v>23837.02</v>
      </c>
      <c r="AF81" s="515">
        <f t="shared" si="3"/>
        <v>11055.470000000001</v>
      </c>
    </row>
    <row r="82" spans="1:32">
      <c r="A82" s="509">
        <v>73</v>
      </c>
      <c r="B82" s="26"/>
      <c r="C82" s="26" t="s">
        <v>977</v>
      </c>
      <c r="D82" s="26" t="s">
        <v>948</v>
      </c>
      <c r="E82" s="515">
        <v>4142475.21</v>
      </c>
      <c r="F82" s="515">
        <v>1291423.6200000001</v>
      </c>
      <c r="G82" s="515">
        <v>4223344.47</v>
      </c>
      <c r="H82" s="515">
        <v>1303712.96</v>
      </c>
      <c r="I82" s="515">
        <v>4277324.18</v>
      </c>
      <c r="J82" s="515">
        <v>1316242.22</v>
      </c>
      <c r="K82" s="515">
        <v>4197481.38</v>
      </c>
      <c r="L82" s="515">
        <v>1225448.29</v>
      </c>
      <c r="M82" s="515">
        <v>4254838.9400000004</v>
      </c>
      <c r="N82" s="515">
        <v>1237900.82</v>
      </c>
      <c r="O82" s="515">
        <v>4254838.9400000004</v>
      </c>
      <c r="P82" s="515">
        <v>1250523.51</v>
      </c>
      <c r="Q82" s="515">
        <v>4795300.4800000004</v>
      </c>
      <c r="R82" s="515">
        <v>1263146.2</v>
      </c>
      <c r="S82" s="515">
        <v>4795300.4800000004</v>
      </c>
      <c r="T82" s="515">
        <v>1277372.26</v>
      </c>
      <c r="U82" s="515">
        <v>4819131.03</v>
      </c>
      <c r="V82" s="515">
        <v>1291598.32</v>
      </c>
      <c r="W82" s="515">
        <v>4836455.16</v>
      </c>
      <c r="X82" s="515">
        <v>1305895.08</v>
      </c>
      <c r="Y82" s="515">
        <v>4848863.18</v>
      </c>
      <c r="Z82" s="515">
        <v>1320243.23</v>
      </c>
      <c r="AA82" s="515">
        <v>4850045.25</v>
      </c>
      <c r="AB82" s="515">
        <v>1334628.19</v>
      </c>
      <c r="AC82" s="515">
        <v>4876288.05</v>
      </c>
      <c r="AD82" s="515">
        <v>1349016.6600000001</v>
      </c>
      <c r="AE82" s="515">
        <f t="shared" si="3"/>
        <v>4555192.0933333337</v>
      </c>
      <c r="AF82" s="515">
        <f t="shared" si="3"/>
        <v>1287244.2683333333</v>
      </c>
    </row>
    <row r="83" spans="1:32">
      <c r="A83" s="509">
        <v>74</v>
      </c>
      <c r="B83" s="26"/>
      <c r="C83" s="26" t="s">
        <v>978</v>
      </c>
      <c r="D83" s="26" t="s">
        <v>948</v>
      </c>
      <c r="E83" s="515">
        <v>131231.01999999999</v>
      </c>
      <c r="F83" s="515">
        <v>117873.78</v>
      </c>
      <c r="G83" s="515">
        <v>131231.01999999999</v>
      </c>
      <c r="H83" s="515">
        <v>118075</v>
      </c>
      <c r="I83" s="515">
        <v>131231.01999999999</v>
      </c>
      <c r="J83" s="515">
        <v>118276.22</v>
      </c>
      <c r="K83" s="515">
        <v>131231.01999999999</v>
      </c>
      <c r="L83" s="515">
        <v>118477.44</v>
      </c>
      <c r="M83" s="515">
        <v>131231.01999999999</v>
      </c>
      <c r="N83" s="515">
        <v>118678.66</v>
      </c>
      <c r="O83" s="515">
        <v>131231.01999999999</v>
      </c>
      <c r="P83" s="515">
        <v>118879.88</v>
      </c>
      <c r="Q83" s="515">
        <v>131231.01999999999</v>
      </c>
      <c r="R83" s="515">
        <v>119081.1</v>
      </c>
      <c r="S83" s="515">
        <v>131231.01999999999</v>
      </c>
      <c r="T83" s="515">
        <v>119282.32</v>
      </c>
      <c r="U83" s="515">
        <v>131231.01999999999</v>
      </c>
      <c r="V83" s="515">
        <v>119483.54000000001</v>
      </c>
      <c r="W83" s="515">
        <v>131231.01999999999</v>
      </c>
      <c r="X83" s="515">
        <v>119684.76000000001</v>
      </c>
      <c r="Y83" s="515">
        <v>131231.01999999999</v>
      </c>
      <c r="Z83" s="515">
        <v>119885.98</v>
      </c>
      <c r="AA83" s="515">
        <v>131231.01999999999</v>
      </c>
      <c r="AB83" s="515">
        <v>120087.2</v>
      </c>
      <c r="AC83" s="515">
        <v>131231.01999999999</v>
      </c>
      <c r="AD83" s="515">
        <v>120288.42</v>
      </c>
      <c r="AE83" s="515">
        <f t="shared" si="3"/>
        <v>131231.01999999999</v>
      </c>
      <c r="AF83" s="515">
        <f t="shared" si="3"/>
        <v>119081.10000000002</v>
      </c>
    </row>
    <row r="84" spans="1:32">
      <c r="A84" s="509">
        <v>75</v>
      </c>
      <c r="B84" s="26"/>
      <c r="C84" s="26" t="s">
        <v>979</v>
      </c>
      <c r="D84" s="26" t="s">
        <v>948</v>
      </c>
      <c r="E84" s="515">
        <v>29277.34</v>
      </c>
      <c r="F84" s="515">
        <v>20467.02</v>
      </c>
      <c r="G84" s="515">
        <v>29277.34</v>
      </c>
      <c r="H84" s="515">
        <v>20579.25</v>
      </c>
      <c r="I84" s="515">
        <v>29277.34</v>
      </c>
      <c r="J84" s="515">
        <v>20691.48</v>
      </c>
      <c r="K84" s="515">
        <v>29277.34</v>
      </c>
      <c r="L84" s="515">
        <v>20803.71</v>
      </c>
      <c r="M84" s="515">
        <v>29277.34</v>
      </c>
      <c r="N84" s="515">
        <v>20915.939999999999</v>
      </c>
      <c r="O84" s="515">
        <v>29277.34</v>
      </c>
      <c r="P84" s="515">
        <v>21028.170000000002</v>
      </c>
      <c r="Q84" s="515">
        <v>29277.34</v>
      </c>
      <c r="R84" s="515">
        <v>21140.400000000001</v>
      </c>
      <c r="S84" s="515">
        <v>29277.34</v>
      </c>
      <c r="T84" s="515">
        <v>21252.63</v>
      </c>
      <c r="U84" s="515">
        <v>29277.34</v>
      </c>
      <c r="V84" s="515">
        <v>21364.86</v>
      </c>
      <c r="W84" s="515">
        <v>29277.34</v>
      </c>
      <c r="X84" s="515">
        <v>21477.09</v>
      </c>
      <c r="Y84" s="515">
        <v>29277.34</v>
      </c>
      <c r="Z84" s="515">
        <v>21589.32</v>
      </c>
      <c r="AA84" s="515">
        <v>29277.34</v>
      </c>
      <c r="AB84" s="515">
        <v>21701.55</v>
      </c>
      <c r="AC84" s="515">
        <v>29277.34</v>
      </c>
      <c r="AD84" s="515">
        <v>21813.78</v>
      </c>
      <c r="AE84" s="515">
        <f t="shared" si="3"/>
        <v>29277.340000000007</v>
      </c>
      <c r="AF84" s="515">
        <f t="shared" si="3"/>
        <v>21140.399999999998</v>
      </c>
    </row>
    <row r="85" spans="1:32">
      <c r="A85" s="509">
        <v>76</v>
      </c>
      <c r="B85" s="26"/>
      <c r="C85" s="26" t="s">
        <v>980</v>
      </c>
      <c r="D85" s="26" t="s">
        <v>948</v>
      </c>
      <c r="E85" s="515">
        <v>2079566.98</v>
      </c>
      <c r="F85" s="515">
        <v>-199444.26</v>
      </c>
      <c r="G85" s="515">
        <v>2229634.9700000002</v>
      </c>
      <c r="H85" s="515">
        <v>-1262160.72</v>
      </c>
      <c r="I85" s="515">
        <v>2229634.9700000002</v>
      </c>
      <c r="J85" s="515">
        <v>-426959.57</v>
      </c>
      <c r="K85" s="515">
        <v>2147366.42</v>
      </c>
      <c r="L85" s="515">
        <v>-354725.41000000003</v>
      </c>
      <c r="M85" s="515">
        <v>2141503.56</v>
      </c>
      <c r="N85" s="515">
        <v>-351318.81</v>
      </c>
      <c r="O85" s="515">
        <v>2141503.56</v>
      </c>
      <c r="P85" s="515">
        <v>-364711.65</v>
      </c>
      <c r="Q85" s="515">
        <v>1938887.02</v>
      </c>
      <c r="R85" s="515">
        <v>-400478.10000000003</v>
      </c>
      <c r="S85" s="515">
        <v>2191206.2200000002</v>
      </c>
      <c r="T85" s="515">
        <v>-399874.94</v>
      </c>
      <c r="U85" s="515">
        <v>1910411.78</v>
      </c>
      <c r="V85" s="515">
        <v>-457361.84</v>
      </c>
      <c r="W85" s="515">
        <v>1910411.78</v>
      </c>
      <c r="X85" s="515">
        <v>-449115.23</v>
      </c>
      <c r="Y85" s="515">
        <v>1910411.78</v>
      </c>
      <c r="Z85" s="515">
        <v>-440868.62</v>
      </c>
      <c r="AA85" s="515">
        <v>2035369.17</v>
      </c>
      <c r="AB85" s="515">
        <v>-429040.46</v>
      </c>
      <c r="AC85" s="515">
        <v>3239948.69</v>
      </c>
      <c r="AD85" s="515">
        <v>-419854.45</v>
      </c>
      <c r="AE85" s="515">
        <f t="shared" si="3"/>
        <v>2120508.2554166671</v>
      </c>
      <c r="AF85" s="515">
        <f t="shared" si="3"/>
        <v>-470522.05875000003</v>
      </c>
    </row>
    <row r="86" spans="1:32">
      <c r="A86" s="509">
        <v>77</v>
      </c>
      <c r="B86" s="26"/>
      <c r="C86" s="26" t="s">
        <v>981</v>
      </c>
      <c r="D86" s="26" t="s">
        <v>948</v>
      </c>
      <c r="E86" s="515">
        <v>614638.24</v>
      </c>
      <c r="F86" s="515">
        <v>171120.89</v>
      </c>
      <c r="G86" s="515">
        <v>614638.24</v>
      </c>
      <c r="H86" s="515">
        <v>172718.95</v>
      </c>
      <c r="I86" s="515">
        <v>614638.24</v>
      </c>
      <c r="J86" s="515">
        <v>174317.01</v>
      </c>
      <c r="K86" s="515">
        <v>596094.44000000006</v>
      </c>
      <c r="L86" s="515">
        <v>161971.26999999999</v>
      </c>
      <c r="M86" s="515">
        <v>624612.63</v>
      </c>
      <c r="N86" s="515">
        <v>168667.77</v>
      </c>
      <c r="O86" s="515">
        <v>624612.63</v>
      </c>
      <c r="P86" s="515">
        <v>170291.76</v>
      </c>
      <c r="Q86" s="515">
        <v>621602.63</v>
      </c>
      <c r="R86" s="515">
        <v>169405.75</v>
      </c>
      <c r="S86" s="515">
        <v>621602.63</v>
      </c>
      <c r="T86" s="515">
        <v>171021.92</v>
      </c>
      <c r="U86" s="515">
        <v>621602.63</v>
      </c>
      <c r="V86" s="515">
        <v>172638.09</v>
      </c>
      <c r="W86" s="515">
        <v>621602.63</v>
      </c>
      <c r="X86" s="515">
        <v>174254.26</v>
      </c>
      <c r="Y86" s="515">
        <v>621602.63</v>
      </c>
      <c r="Z86" s="515">
        <v>175870.43</v>
      </c>
      <c r="AA86" s="515">
        <v>621602.63</v>
      </c>
      <c r="AB86" s="515">
        <v>177486.6</v>
      </c>
      <c r="AC86" s="515">
        <v>621602.63</v>
      </c>
      <c r="AD86" s="515">
        <v>179102.77</v>
      </c>
      <c r="AE86" s="515">
        <f t="shared" si="3"/>
        <v>618527.69958333333</v>
      </c>
      <c r="AF86" s="515">
        <f t="shared" si="3"/>
        <v>171979.63666666669</v>
      </c>
    </row>
    <row r="87" spans="1:32">
      <c r="A87" s="509">
        <v>78</v>
      </c>
      <c r="B87" s="26"/>
      <c r="C87" s="26" t="s">
        <v>982</v>
      </c>
      <c r="D87" s="26" t="s">
        <v>948</v>
      </c>
      <c r="E87" s="515">
        <v>194717.30000000002</v>
      </c>
      <c r="F87" s="515">
        <v>113310.54000000001</v>
      </c>
      <c r="G87" s="515">
        <v>194717.30000000002</v>
      </c>
      <c r="H87" s="515">
        <v>114050.47</v>
      </c>
      <c r="I87" s="515">
        <v>194717.30000000002</v>
      </c>
      <c r="J87" s="515">
        <v>114790.40000000001</v>
      </c>
      <c r="K87" s="515">
        <v>194717.30000000002</v>
      </c>
      <c r="L87" s="515">
        <v>115530.33</v>
      </c>
      <c r="M87" s="515">
        <v>194717.30000000002</v>
      </c>
      <c r="N87" s="515">
        <v>116270.26000000001</v>
      </c>
      <c r="O87" s="515">
        <v>194717.30000000002</v>
      </c>
      <c r="P87" s="515">
        <v>117010.19</v>
      </c>
      <c r="Q87" s="515">
        <v>194717.30000000002</v>
      </c>
      <c r="R87" s="515">
        <v>117750.12</v>
      </c>
      <c r="S87" s="515">
        <v>194717.30000000002</v>
      </c>
      <c r="T87" s="515">
        <v>118490.05</v>
      </c>
      <c r="U87" s="515">
        <v>194717.30000000002</v>
      </c>
      <c r="V87" s="515">
        <v>119229.98</v>
      </c>
      <c r="W87" s="515">
        <v>194717.30000000002</v>
      </c>
      <c r="X87" s="515">
        <v>119969.91</v>
      </c>
      <c r="Y87" s="515">
        <v>194717.30000000002</v>
      </c>
      <c r="Z87" s="515">
        <v>120709.84</v>
      </c>
      <c r="AA87" s="515">
        <v>194717.30000000002</v>
      </c>
      <c r="AB87" s="515">
        <v>121449.77</v>
      </c>
      <c r="AC87" s="515">
        <v>194717.30000000002</v>
      </c>
      <c r="AD87" s="515">
        <v>122189.7</v>
      </c>
      <c r="AE87" s="515">
        <f t="shared" si="3"/>
        <v>194717.30000000002</v>
      </c>
      <c r="AF87" s="515">
        <f t="shared" si="3"/>
        <v>117750.12</v>
      </c>
    </row>
    <row r="88" spans="1:32">
      <c r="A88" s="509">
        <v>79</v>
      </c>
      <c r="B88" s="26"/>
      <c r="C88" s="26" t="s">
        <v>983</v>
      </c>
      <c r="D88" s="26" t="s">
        <v>948</v>
      </c>
      <c r="E88" s="515">
        <v>920129.62</v>
      </c>
      <c r="F88" s="515">
        <v>197987.74</v>
      </c>
      <c r="G88" s="515">
        <v>920129.62</v>
      </c>
      <c r="H88" s="515">
        <v>205172.42</v>
      </c>
      <c r="I88" s="515">
        <v>920129.62</v>
      </c>
      <c r="J88" s="515">
        <v>212357.1</v>
      </c>
      <c r="K88" s="515">
        <v>921713.44000000006</v>
      </c>
      <c r="L88" s="515">
        <v>219541.78</v>
      </c>
      <c r="M88" s="515">
        <v>924718.89</v>
      </c>
      <c r="N88" s="515">
        <v>226738.83000000002</v>
      </c>
      <c r="O88" s="515">
        <v>924602.94000000006</v>
      </c>
      <c r="P88" s="515">
        <v>233959.34</v>
      </c>
      <c r="Q88" s="515">
        <v>924602.94000000006</v>
      </c>
      <c r="R88" s="515">
        <v>241178.95</v>
      </c>
      <c r="S88" s="515">
        <v>924602.94000000006</v>
      </c>
      <c r="T88" s="515">
        <v>248398.56</v>
      </c>
      <c r="U88" s="515">
        <v>924602.94000000006</v>
      </c>
      <c r="V88" s="515">
        <v>255618.17</v>
      </c>
      <c r="W88" s="515">
        <v>924602.94000000006</v>
      </c>
      <c r="X88" s="515">
        <v>262837.78000000003</v>
      </c>
      <c r="Y88" s="515">
        <v>924602.94000000006</v>
      </c>
      <c r="Z88" s="515">
        <v>270057.39</v>
      </c>
      <c r="AA88" s="515">
        <v>924602.94000000006</v>
      </c>
      <c r="AB88" s="515">
        <v>277277</v>
      </c>
      <c r="AC88" s="515">
        <v>924622.43</v>
      </c>
      <c r="AD88" s="515">
        <v>284496.61</v>
      </c>
      <c r="AE88" s="515">
        <f t="shared" si="3"/>
        <v>923440.68125000026</v>
      </c>
      <c r="AF88" s="515">
        <f t="shared" si="3"/>
        <v>241198.29125000001</v>
      </c>
    </row>
    <row r="89" spans="1:32">
      <c r="A89" s="509"/>
      <c r="B89" s="26"/>
      <c r="C89" s="26" t="s">
        <v>984</v>
      </c>
      <c r="D89" s="26" t="s">
        <v>948</v>
      </c>
      <c r="E89" s="515">
        <v>3196515.44</v>
      </c>
      <c r="F89" s="515">
        <v>2482679.54</v>
      </c>
      <c r="G89" s="515">
        <v>3196515.44</v>
      </c>
      <c r="H89" s="515">
        <v>2483025.83</v>
      </c>
      <c r="I89" s="515">
        <v>3196515.44</v>
      </c>
      <c r="J89" s="515">
        <v>2483372.12</v>
      </c>
      <c r="K89" s="515">
        <v>3196515.44</v>
      </c>
      <c r="L89" s="515">
        <v>2483718.41</v>
      </c>
      <c r="M89" s="515">
        <v>3196515.44</v>
      </c>
      <c r="N89" s="515">
        <v>2484064.7000000002</v>
      </c>
      <c r="O89" s="515">
        <v>3196515.44</v>
      </c>
      <c r="P89" s="515">
        <v>2484410.9900000002</v>
      </c>
      <c r="Q89" s="515">
        <v>3196515.44</v>
      </c>
      <c r="R89" s="515">
        <v>2484757.2800000003</v>
      </c>
      <c r="S89" s="515">
        <v>3196515.44</v>
      </c>
      <c r="T89" s="515">
        <v>2485103.5699999998</v>
      </c>
      <c r="U89" s="515">
        <v>3201960.9</v>
      </c>
      <c r="V89" s="515">
        <v>2485449.86</v>
      </c>
      <c r="W89" s="515">
        <v>3201960.9</v>
      </c>
      <c r="X89" s="515">
        <v>2485796.7400000002</v>
      </c>
      <c r="Y89" s="515">
        <v>3201960.9</v>
      </c>
      <c r="Z89" s="515">
        <v>2486143.62</v>
      </c>
      <c r="AA89" s="515">
        <v>3201960.9</v>
      </c>
      <c r="AB89" s="515">
        <v>2486490.5</v>
      </c>
      <c r="AC89" s="515">
        <v>3202003.54</v>
      </c>
      <c r="AD89" s="515">
        <v>2486837.38</v>
      </c>
      <c r="AE89" s="515">
        <f t="shared" si="3"/>
        <v>3198559.2641666667</v>
      </c>
      <c r="AF89" s="515">
        <f t="shared" si="3"/>
        <v>2484757.6733333333</v>
      </c>
    </row>
    <row r="90" spans="1:32">
      <c r="A90" s="509"/>
      <c r="B90" s="26"/>
      <c r="C90" s="26" t="s">
        <v>985</v>
      </c>
      <c r="D90" s="26" t="s">
        <v>948</v>
      </c>
      <c r="E90" s="515">
        <v>321462.03000000003</v>
      </c>
      <c r="F90" s="515">
        <v>189703.99</v>
      </c>
      <c r="G90" s="515">
        <v>321462.03000000003</v>
      </c>
      <c r="H90" s="515">
        <v>192163.17</v>
      </c>
      <c r="I90" s="515">
        <v>321462.03000000003</v>
      </c>
      <c r="J90" s="515">
        <v>194622.35</v>
      </c>
      <c r="K90" s="515">
        <v>321462.03000000003</v>
      </c>
      <c r="L90" s="515">
        <v>197081.53</v>
      </c>
      <c r="M90" s="515">
        <v>321462.03000000003</v>
      </c>
      <c r="N90" s="515">
        <v>199540.71</v>
      </c>
      <c r="O90" s="515">
        <v>321462.03000000003</v>
      </c>
      <c r="P90" s="515">
        <v>201999.89</v>
      </c>
      <c r="Q90" s="515">
        <v>321462.03000000003</v>
      </c>
      <c r="R90" s="515">
        <v>204459.07</v>
      </c>
      <c r="S90" s="515">
        <v>321462.03000000003</v>
      </c>
      <c r="T90" s="515">
        <v>206918.25</v>
      </c>
      <c r="U90" s="515">
        <v>321462.03000000003</v>
      </c>
      <c r="V90" s="515">
        <v>209377.43</v>
      </c>
      <c r="W90" s="515">
        <v>322129.7</v>
      </c>
      <c r="X90" s="515">
        <v>211836.61000000002</v>
      </c>
      <c r="Y90" s="515">
        <v>322175.72000000003</v>
      </c>
      <c r="Z90" s="515">
        <v>214300.9</v>
      </c>
      <c r="AA90" s="515">
        <v>322175.72000000003</v>
      </c>
      <c r="AB90" s="515">
        <v>216765.54</v>
      </c>
      <c r="AC90" s="515">
        <v>322181.13</v>
      </c>
      <c r="AD90" s="515">
        <v>219230.18</v>
      </c>
      <c r="AE90" s="515">
        <f t="shared" si="3"/>
        <v>321666.58000000007</v>
      </c>
      <c r="AF90" s="515">
        <f t="shared" si="3"/>
        <v>204461.04458333331</v>
      </c>
    </row>
    <row r="91" spans="1:32">
      <c r="A91" s="509">
        <v>80</v>
      </c>
      <c r="B91" s="26"/>
      <c r="C91" s="26" t="s">
        <v>986</v>
      </c>
      <c r="D91" s="26" t="s">
        <v>948</v>
      </c>
      <c r="E91" s="515">
        <v>12985.710000000001</v>
      </c>
      <c r="F91" s="515">
        <v>-1758.0900000000001</v>
      </c>
      <c r="G91" s="515">
        <v>12985.710000000001</v>
      </c>
      <c r="H91" s="515">
        <v>-1644.3600000000001</v>
      </c>
      <c r="I91" s="515">
        <v>12985.710000000001</v>
      </c>
      <c r="J91" s="515">
        <v>-1530.63</v>
      </c>
      <c r="K91" s="515">
        <v>12985.710000000001</v>
      </c>
      <c r="L91" s="515">
        <v>-1416.9</v>
      </c>
      <c r="M91" s="515">
        <v>12985.710000000001</v>
      </c>
      <c r="N91" s="515">
        <v>-1303.17</v>
      </c>
      <c r="O91" s="515">
        <v>12985.710000000001</v>
      </c>
      <c r="P91" s="515">
        <v>-1189.44</v>
      </c>
      <c r="Q91" s="515">
        <v>12985.710000000001</v>
      </c>
      <c r="R91" s="515">
        <v>-1075.71</v>
      </c>
      <c r="S91" s="515">
        <v>12985.710000000001</v>
      </c>
      <c r="T91" s="515">
        <v>-961.98</v>
      </c>
      <c r="U91" s="515">
        <v>12985.710000000001</v>
      </c>
      <c r="V91" s="515">
        <v>-848.25</v>
      </c>
      <c r="W91" s="515">
        <v>14264.32</v>
      </c>
      <c r="X91" s="515">
        <v>-734.52</v>
      </c>
      <c r="Y91" s="515">
        <v>14264.32</v>
      </c>
      <c r="Z91" s="515">
        <v>-609.59</v>
      </c>
      <c r="AA91" s="515">
        <v>14264.32</v>
      </c>
      <c r="AB91" s="515">
        <v>-484.66</v>
      </c>
      <c r="AC91" s="515">
        <v>14274.33</v>
      </c>
      <c r="AD91" s="515">
        <v>-359.73</v>
      </c>
      <c r="AE91" s="515">
        <f t="shared" si="3"/>
        <v>13359.055000000002</v>
      </c>
      <c r="AF91" s="515">
        <f t="shared" si="3"/>
        <v>-1071.51</v>
      </c>
    </row>
    <row r="92" spans="1:32">
      <c r="A92" s="509">
        <v>81</v>
      </c>
      <c r="B92" s="516" t="s">
        <v>106</v>
      </c>
      <c r="C92" s="517"/>
      <c r="D92" s="516" t="s">
        <v>987</v>
      </c>
      <c r="E92" s="518">
        <f t="shared" ref="E92:AF92" si="4">SUBTOTAL(9,E49:E91)</f>
        <v>664307413.36000001</v>
      </c>
      <c r="F92" s="518">
        <f t="shared" si="4"/>
        <v>336482350.25000006</v>
      </c>
      <c r="G92" s="518">
        <f t="shared" si="4"/>
        <v>667243442.61000001</v>
      </c>
      <c r="H92" s="518">
        <f t="shared" si="4"/>
        <v>336817748.33999991</v>
      </c>
      <c r="I92" s="518">
        <f t="shared" si="4"/>
        <v>669245336.87999988</v>
      </c>
      <c r="J92" s="518">
        <f t="shared" si="4"/>
        <v>339176675.98000008</v>
      </c>
      <c r="K92" s="518">
        <f t="shared" si="4"/>
        <v>670484051.38000011</v>
      </c>
      <c r="L92" s="518">
        <f t="shared" si="4"/>
        <v>340005937.85999984</v>
      </c>
      <c r="M92" s="518">
        <f t="shared" si="4"/>
        <v>675045614.4799999</v>
      </c>
      <c r="N92" s="518">
        <f t="shared" si="4"/>
        <v>341481016.4599998</v>
      </c>
      <c r="O92" s="518">
        <f t="shared" si="4"/>
        <v>678080540.83000004</v>
      </c>
      <c r="P92" s="518">
        <f t="shared" si="4"/>
        <v>342525491.01999986</v>
      </c>
      <c r="Q92" s="518">
        <f t="shared" si="4"/>
        <v>680825313.09000003</v>
      </c>
      <c r="R92" s="518">
        <f t="shared" si="4"/>
        <v>343070583.94999999</v>
      </c>
      <c r="S92" s="518">
        <f t="shared" si="4"/>
        <v>681929933.66000009</v>
      </c>
      <c r="T92" s="518">
        <f t="shared" si="4"/>
        <v>344560229.63999999</v>
      </c>
      <c r="U92" s="518">
        <f t="shared" si="4"/>
        <v>687365229.66999972</v>
      </c>
      <c r="V92" s="518">
        <f t="shared" si="4"/>
        <v>345315214.59000021</v>
      </c>
      <c r="W92" s="518">
        <f t="shared" si="4"/>
        <v>696890261.58999991</v>
      </c>
      <c r="X92" s="518">
        <f t="shared" si="4"/>
        <v>346817072.40999997</v>
      </c>
      <c r="Y92" s="518">
        <f t="shared" si="4"/>
        <v>705319130.52999997</v>
      </c>
      <c r="Z92" s="518">
        <f t="shared" si="4"/>
        <v>348076301.32999992</v>
      </c>
      <c r="AA92" s="518">
        <f t="shared" si="4"/>
        <v>709535614.42999995</v>
      </c>
      <c r="AB92" s="518">
        <f t="shared" si="4"/>
        <v>349588485.08999991</v>
      </c>
      <c r="AC92" s="518">
        <f t="shared" si="4"/>
        <v>716908411.13999987</v>
      </c>
      <c r="AD92" s="518">
        <f t="shared" si="4"/>
        <v>349691372.54999995</v>
      </c>
      <c r="AE92" s="518">
        <f t="shared" si="4"/>
        <v>684381031.78333342</v>
      </c>
      <c r="AF92" s="518">
        <f t="shared" si="4"/>
        <v>343376801.50583333</v>
      </c>
    </row>
    <row r="93" spans="1:32">
      <c r="A93" s="509">
        <v>82</v>
      </c>
      <c r="B93" s="511" t="s">
        <v>988</v>
      </c>
      <c r="C93" s="511" t="s">
        <v>989</v>
      </c>
      <c r="D93" s="519"/>
      <c r="E93" s="520"/>
      <c r="F93" s="520"/>
      <c r="G93" s="520"/>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row>
    <row r="94" spans="1:32">
      <c r="A94" s="509">
        <v>83</v>
      </c>
      <c r="B94" s="26"/>
      <c r="C94" s="26" t="s">
        <v>990</v>
      </c>
      <c r="D94" s="26" t="s">
        <v>992</v>
      </c>
      <c r="E94" s="515">
        <v>152066.08000000002</v>
      </c>
      <c r="F94" s="515">
        <v>0</v>
      </c>
      <c r="G94" s="515">
        <v>152066.08000000002</v>
      </c>
      <c r="H94" s="515">
        <v>0</v>
      </c>
      <c r="I94" s="515">
        <v>152066.08000000002</v>
      </c>
      <c r="J94" s="515">
        <v>0</v>
      </c>
      <c r="K94" s="515">
        <v>152066.08000000002</v>
      </c>
      <c r="L94" s="515">
        <v>0</v>
      </c>
      <c r="M94" s="515">
        <v>152066.08000000002</v>
      </c>
      <c r="N94" s="515">
        <v>0</v>
      </c>
      <c r="O94" s="515">
        <v>152066.08000000002</v>
      </c>
      <c r="P94" s="515">
        <v>0</v>
      </c>
      <c r="Q94" s="515">
        <v>152066.08000000002</v>
      </c>
      <c r="R94" s="515">
        <v>0</v>
      </c>
      <c r="S94" s="515">
        <v>152066.08000000002</v>
      </c>
      <c r="T94" s="515">
        <v>0</v>
      </c>
      <c r="U94" s="515">
        <v>152066.08000000002</v>
      </c>
      <c r="V94" s="515">
        <v>0</v>
      </c>
      <c r="W94" s="515">
        <v>152066.08000000002</v>
      </c>
      <c r="X94" s="515">
        <v>0</v>
      </c>
      <c r="Y94" s="515">
        <v>152066.08000000002</v>
      </c>
      <c r="Z94" s="515">
        <v>0</v>
      </c>
      <c r="AA94" s="515">
        <v>152066.08000000002</v>
      </c>
      <c r="AB94" s="515">
        <v>0</v>
      </c>
      <c r="AC94" s="515">
        <v>152066.08000000002</v>
      </c>
      <c r="AD94" s="515">
        <v>0</v>
      </c>
      <c r="AE94" s="515">
        <f t="shared" ref="AE94:AF132" si="5">+(E94+AC94+(+G94+I94+K94+M94+O94+Q94+S94+U94+W94+Y94+AA94)*2)/24</f>
        <v>152066.08000000005</v>
      </c>
      <c r="AF94" s="515">
        <f t="shared" si="5"/>
        <v>0</v>
      </c>
    </row>
    <row r="95" spans="1:32">
      <c r="A95" s="509">
        <v>84</v>
      </c>
      <c r="B95" s="26"/>
      <c r="C95" s="26" t="s">
        <v>991</v>
      </c>
      <c r="D95" s="514" t="s">
        <v>992</v>
      </c>
      <c r="E95" s="515">
        <v>1826757.9</v>
      </c>
      <c r="F95" s="515">
        <v>837208.81</v>
      </c>
      <c r="G95" s="515">
        <v>1826757.9</v>
      </c>
      <c r="H95" s="515">
        <v>852431.79</v>
      </c>
      <c r="I95" s="515">
        <v>1826757.9</v>
      </c>
      <c r="J95" s="515">
        <v>867654.77</v>
      </c>
      <c r="K95" s="515">
        <v>1826757.9</v>
      </c>
      <c r="L95" s="515">
        <v>882877.75</v>
      </c>
      <c r="M95" s="515">
        <v>1826757.9</v>
      </c>
      <c r="N95" s="515">
        <v>898100.73</v>
      </c>
      <c r="O95" s="515">
        <v>1826757.9</v>
      </c>
      <c r="P95" s="515">
        <v>913323.71</v>
      </c>
      <c r="Q95" s="515">
        <v>1826757.9</v>
      </c>
      <c r="R95" s="515">
        <v>928546.69000000006</v>
      </c>
      <c r="S95" s="515">
        <v>1826757.9</v>
      </c>
      <c r="T95" s="515">
        <v>943769.67</v>
      </c>
      <c r="U95" s="515">
        <v>1826757.9</v>
      </c>
      <c r="V95" s="515">
        <v>958992.65</v>
      </c>
      <c r="W95" s="515">
        <v>1826757.9</v>
      </c>
      <c r="X95" s="515">
        <v>974215.63</v>
      </c>
      <c r="Y95" s="515">
        <v>1826757.9</v>
      </c>
      <c r="Z95" s="515">
        <v>989438.61</v>
      </c>
      <c r="AA95" s="515">
        <v>1826757.9</v>
      </c>
      <c r="AB95" s="515">
        <v>1004661.5900000001</v>
      </c>
      <c r="AC95" s="515">
        <v>1826757.9</v>
      </c>
      <c r="AD95" s="515">
        <v>1019884.5700000001</v>
      </c>
      <c r="AE95" s="515">
        <f t="shared" si="5"/>
        <v>1826757.8999999997</v>
      </c>
      <c r="AF95" s="515">
        <f t="shared" si="5"/>
        <v>928546.69</v>
      </c>
    </row>
    <row r="96" spans="1:32">
      <c r="A96" s="509">
        <v>85</v>
      </c>
      <c r="B96" s="26"/>
      <c r="C96" s="26" t="s">
        <v>993</v>
      </c>
      <c r="D96" s="514" t="s">
        <v>992</v>
      </c>
      <c r="E96" s="515">
        <v>2186206.83</v>
      </c>
      <c r="F96" s="515">
        <v>487627.01</v>
      </c>
      <c r="G96" s="515">
        <v>2186206.83</v>
      </c>
      <c r="H96" s="515">
        <v>505845.4</v>
      </c>
      <c r="I96" s="515">
        <v>2186206.83</v>
      </c>
      <c r="J96" s="515">
        <v>524063.79000000004</v>
      </c>
      <c r="K96" s="515">
        <v>2186206.83</v>
      </c>
      <c r="L96" s="515">
        <v>542282.17999999993</v>
      </c>
      <c r="M96" s="515">
        <v>2186206.83</v>
      </c>
      <c r="N96" s="515">
        <v>560500.57000000007</v>
      </c>
      <c r="O96" s="515">
        <v>2186206.83</v>
      </c>
      <c r="P96" s="515">
        <v>578718.96</v>
      </c>
      <c r="Q96" s="515">
        <v>2186206.83</v>
      </c>
      <c r="R96" s="515">
        <v>596937.35</v>
      </c>
      <c r="S96" s="515">
        <v>2186206.83</v>
      </c>
      <c r="T96" s="515">
        <v>615155.74</v>
      </c>
      <c r="U96" s="515">
        <v>2186206.83</v>
      </c>
      <c r="V96" s="515">
        <v>633374.13</v>
      </c>
      <c r="W96" s="515">
        <v>2186206.83</v>
      </c>
      <c r="X96" s="515">
        <v>651592.52</v>
      </c>
      <c r="Y96" s="515">
        <v>2186206.83</v>
      </c>
      <c r="Z96" s="515">
        <v>669810.91</v>
      </c>
      <c r="AA96" s="515">
        <v>2186206.83</v>
      </c>
      <c r="AB96" s="515">
        <v>688029.3</v>
      </c>
      <c r="AC96" s="515">
        <v>2186206.83</v>
      </c>
      <c r="AD96" s="515">
        <v>771480.16</v>
      </c>
      <c r="AE96" s="515">
        <f t="shared" si="5"/>
        <v>2186206.8299999996</v>
      </c>
      <c r="AF96" s="515">
        <f t="shared" si="5"/>
        <v>599655.36958333338</v>
      </c>
    </row>
    <row r="97" spans="1:32">
      <c r="A97" s="509">
        <v>86</v>
      </c>
      <c r="B97" s="26"/>
      <c r="C97" s="26" t="s">
        <v>1574</v>
      </c>
      <c r="D97" s="514" t="s">
        <v>992</v>
      </c>
      <c r="E97" s="515">
        <v>22735.5</v>
      </c>
      <c r="F97" s="515">
        <v>2084.0600000000004</v>
      </c>
      <c r="G97" s="515">
        <v>22735.5</v>
      </c>
      <c r="H97" s="515">
        <v>2273.52</v>
      </c>
      <c r="I97" s="515">
        <v>22735.5</v>
      </c>
      <c r="J97" s="515">
        <v>2462.98</v>
      </c>
      <c r="K97" s="515">
        <v>22735.5</v>
      </c>
      <c r="L97" s="515">
        <v>2652.44</v>
      </c>
      <c r="M97" s="515">
        <v>22735.5</v>
      </c>
      <c r="N97" s="515">
        <v>2841.9</v>
      </c>
      <c r="O97" s="515">
        <v>22735.5</v>
      </c>
      <c r="P97" s="515">
        <v>3031.36</v>
      </c>
      <c r="Q97" s="515">
        <v>22735.5</v>
      </c>
      <c r="R97" s="515">
        <v>3220.82</v>
      </c>
      <c r="S97" s="515">
        <v>22735.5</v>
      </c>
      <c r="T97" s="515">
        <v>3410.2799999999997</v>
      </c>
      <c r="U97" s="515">
        <v>22735.5</v>
      </c>
      <c r="V97" s="515">
        <v>3599.74</v>
      </c>
      <c r="W97" s="515">
        <v>22735.5</v>
      </c>
      <c r="X97" s="515">
        <v>3789.2000000000003</v>
      </c>
      <c r="Y97" s="515">
        <v>22735.5</v>
      </c>
      <c r="Z97" s="515">
        <v>3978.6600000000003</v>
      </c>
      <c r="AA97" s="515">
        <v>22735.5</v>
      </c>
      <c r="AB97" s="515">
        <v>4168.12</v>
      </c>
      <c r="AC97" s="515">
        <v>22735.5</v>
      </c>
      <c r="AD97" s="515">
        <v>4357.58</v>
      </c>
      <c r="AE97" s="515">
        <f t="shared" si="5"/>
        <v>22735.5</v>
      </c>
      <c r="AF97" s="515">
        <f t="shared" si="5"/>
        <v>3220.82</v>
      </c>
    </row>
    <row r="98" spans="1:32">
      <c r="A98" s="509">
        <v>87</v>
      </c>
      <c r="B98" s="26"/>
      <c r="C98" s="26" t="s">
        <v>1575</v>
      </c>
      <c r="D98" s="514" t="s">
        <v>992</v>
      </c>
      <c r="E98" s="515">
        <v>430112.44</v>
      </c>
      <c r="F98" s="515">
        <v>0</v>
      </c>
      <c r="G98" s="515">
        <v>430112.44000000006</v>
      </c>
      <c r="H98" s="515">
        <v>3584.27</v>
      </c>
      <c r="I98" s="515">
        <v>430112.44000000006</v>
      </c>
      <c r="J98" s="515">
        <v>7168.54</v>
      </c>
      <c r="K98" s="515">
        <v>430112.44000000006</v>
      </c>
      <c r="L98" s="515">
        <v>10752.81</v>
      </c>
      <c r="M98" s="515">
        <v>430112.44000000006</v>
      </c>
      <c r="N98" s="515">
        <v>14337.08</v>
      </c>
      <c r="O98" s="515">
        <v>430112.44000000006</v>
      </c>
      <c r="P98" s="515">
        <v>17921.349999999999</v>
      </c>
      <c r="Q98" s="515">
        <v>430112.44000000006</v>
      </c>
      <c r="R98" s="515">
        <v>21505.62</v>
      </c>
      <c r="S98" s="515">
        <v>430112.44000000006</v>
      </c>
      <c r="T98" s="515">
        <v>25089.89</v>
      </c>
      <c r="U98" s="515">
        <v>430112.44000000006</v>
      </c>
      <c r="V98" s="515">
        <v>28674.16</v>
      </c>
      <c r="W98" s="515">
        <v>430112.44000000006</v>
      </c>
      <c r="X98" s="515">
        <v>32258.43</v>
      </c>
      <c r="Y98" s="515">
        <v>430112.44000000006</v>
      </c>
      <c r="Z98" s="515">
        <v>35842.699999999997</v>
      </c>
      <c r="AA98" s="515">
        <v>430112.44000000006</v>
      </c>
      <c r="AB98" s="515">
        <v>39426.97</v>
      </c>
      <c r="AC98" s="515">
        <v>430112.44000000006</v>
      </c>
      <c r="AD98" s="515">
        <v>43011.24</v>
      </c>
      <c r="AE98" s="515">
        <f t="shared" si="5"/>
        <v>430112.44000000012</v>
      </c>
      <c r="AF98" s="515">
        <f t="shared" si="5"/>
        <v>21505.62</v>
      </c>
    </row>
    <row r="99" spans="1:32">
      <c r="A99" s="509">
        <v>88</v>
      </c>
      <c r="B99" s="26"/>
      <c r="C99" s="26" t="s">
        <v>994</v>
      </c>
      <c r="D99" s="514" t="s">
        <v>992</v>
      </c>
      <c r="E99" s="515">
        <v>0</v>
      </c>
      <c r="F99" s="515">
        <v>0</v>
      </c>
      <c r="G99" s="515">
        <v>0</v>
      </c>
      <c r="H99" s="515">
        <v>0</v>
      </c>
      <c r="I99" s="515">
        <v>0</v>
      </c>
      <c r="J99" s="515">
        <v>0</v>
      </c>
      <c r="K99" s="515">
        <v>0</v>
      </c>
      <c r="L99" s="515">
        <v>0</v>
      </c>
      <c r="M99" s="515">
        <v>0</v>
      </c>
      <c r="N99" s="515">
        <v>0</v>
      </c>
      <c r="O99" s="515">
        <v>0</v>
      </c>
      <c r="P99" s="515">
        <v>0</v>
      </c>
      <c r="Q99" s="515">
        <v>0</v>
      </c>
      <c r="R99" s="515">
        <v>0</v>
      </c>
      <c r="S99" s="515">
        <v>0</v>
      </c>
      <c r="T99" s="515">
        <v>0</v>
      </c>
      <c r="U99" s="515">
        <v>0</v>
      </c>
      <c r="V99" s="515">
        <v>0</v>
      </c>
      <c r="W99" s="515">
        <v>0</v>
      </c>
      <c r="X99" s="515">
        <v>0</v>
      </c>
      <c r="Y99" s="515">
        <v>0</v>
      </c>
      <c r="Z99" s="515">
        <v>0</v>
      </c>
      <c r="AA99" s="515">
        <v>0</v>
      </c>
      <c r="AB99" s="515">
        <v>0</v>
      </c>
      <c r="AC99" s="515">
        <v>0</v>
      </c>
      <c r="AD99" s="515">
        <v>0</v>
      </c>
      <c r="AE99" s="515">
        <f t="shared" si="5"/>
        <v>0</v>
      </c>
      <c r="AF99" s="515">
        <f t="shared" si="5"/>
        <v>0</v>
      </c>
    </row>
    <row r="100" spans="1:32">
      <c r="A100" s="509">
        <v>89</v>
      </c>
      <c r="B100" s="26"/>
      <c r="C100" s="26" t="s">
        <v>995</v>
      </c>
      <c r="D100" s="514" t="s">
        <v>992</v>
      </c>
      <c r="E100" s="515">
        <v>4188146.9299999997</v>
      </c>
      <c r="F100" s="515">
        <v>1703571.83</v>
      </c>
      <c r="G100" s="515">
        <v>4188146.9299999997</v>
      </c>
      <c r="H100" s="515">
        <v>1730410.87</v>
      </c>
      <c r="I100" s="515">
        <v>4188146.9299999997</v>
      </c>
      <c r="J100" s="515">
        <v>1757249.9100000001</v>
      </c>
      <c r="K100" s="515">
        <v>4188146.9299999997</v>
      </c>
      <c r="L100" s="515">
        <v>1784088.9500000002</v>
      </c>
      <c r="M100" s="515">
        <v>4188146.9299999997</v>
      </c>
      <c r="N100" s="515">
        <v>1810927.9900000002</v>
      </c>
      <c r="O100" s="515">
        <v>4188146.9299999997</v>
      </c>
      <c r="P100" s="515">
        <v>1837767.0300000003</v>
      </c>
      <c r="Q100" s="515">
        <v>4188146.9299999997</v>
      </c>
      <c r="R100" s="515">
        <v>1864606.0699999998</v>
      </c>
      <c r="S100" s="515">
        <v>4188146.9299999997</v>
      </c>
      <c r="T100" s="515">
        <v>1891445.1099999999</v>
      </c>
      <c r="U100" s="515">
        <v>4188146.9299999997</v>
      </c>
      <c r="V100" s="515">
        <v>1918284.15</v>
      </c>
      <c r="W100" s="515">
        <v>4188146.9299999997</v>
      </c>
      <c r="X100" s="515">
        <v>1945123.19</v>
      </c>
      <c r="Y100" s="515">
        <v>4188146.9299999997</v>
      </c>
      <c r="Z100" s="515">
        <v>1971962.23</v>
      </c>
      <c r="AA100" s="515">
        <v>4188146.9299999997</v>
      </c>
      <c r="AB100" s="515">
        <v>1998801.27</v>
      </c>
      <c r="AC100" s="515">
        <v>4188146.9299999997</v>
      </c>
      <c r="AD100" s="515">
        <v>2025640.31</v>
      </c>
      <c r="AE100" s="515">
        <f t="shared" si="5"/>
        <v>4188146.9299999997</v>
      </c>
      <c r="AF100" s="515">
        <f t="shared" si="5"/>
        <v>1864606.07</v>
      </c>
    </row>
    <row r="101" spans="1:32">
      <c r="A101" s="509">
        <v>90</v>
      </c>
      <c r="B101" s="26"/>
      <c r="C101" s="26" t="s">
        <v>996</v>
      </c>
      <c r="D101" s="514" t="s">
        <v>992</v>
      </c>
      <c r="E101" s="515">
        <v>695173.17</v>
      </c>
      <c r="F101" s="515">
        <v>336632.76</v>
      </c>
      <c r="G101" s="515">
        <v>695173.17</v>
      </c>
      <c r="H101" s="515">
        <v>340769.04000000004</v>
      </c>
      <c r="I101" s="515">
        <v>695173.17</v>
      </c>
      <c r="J101" s="515">
        <v>344905.32</v>
      </c>
      <c r="K101" s="515">
        <v>695173.17</v>
      </c>
      <c r="L101" s="515">
        <v>349041.6</v>
      </c>
      <c r="M101" s="515">
        <v>695173.17</v>
      </c>
      <c r="N101" s="515">
        <v>353177.88</v>
      </c>
      <c r="O101" s="515">
        <v>695173.17</v>
      </c>
      <c r="P101" s="515">
        <v>357314.16000000003</v>
      </c>
      <c r="Q101" s="515">
        <v>695173.17</v>
      </c>
      <c r="R101" s="515">
        <v>361450.44</v>
      </c>
      <c r="S101" s="515">
        <v>695173.17</v>
      </c>
      <c r="T101" s="515">
        <v>365586.72000000003</v>
      </c>
      <c r="U101" s="515">
        <v>695173.17</v>
      </c>
      <c r="V101" s="515">
        <v>369723</v>
      </c>
      <c r="W101" s="515">
        <v>695173.17</v>
      </c>
      <c r="X101" s="515">
        <v>373859.28</v>
      </c>
      <c r="Y101" s="515">
        <v>695173.17</v>
      </c>
      <c r="Z101" s="515">
        <v>377995.56</v>
      </c>
      <c r="AA101" s="515">
        <v>695173.17</v>
      </c>
      <c r="AB101" s="515">
        <v>382131.83999999997</v>
      </c>
      <c r="AC101" s="515">
        <v>695173.17</v>
      </c>
      <c r="AD101" s="515">
        <v>386268.12</v>
      </c>
      <c r="AE101" s="515">
        <f t="shared" si="5"/>
        <v>695173.17</v>
      </c>
      <c r="AF101" s="515">
        <f t="shared" si="5"/>
        <v>361450.44</v>
      </c>
    </row>
    <row r="102" spans="1:32">
      <c r="A102" s="509">
        <v>91</v>
      </c>
      <c r="B102" s="26"/>
      <c r="C102" s="26" t="s">
        <v>997</v>
      </c>
      <c r="D102" s="514" t="s">
        <v>992</v>
      </c>
      <c r="E102" s="515">
        <v>2037970.86</v>
      </c>
      <c r="F102" s="515">
        <v>911426.46000000008</v>
      </c>
      <c r="G102" s="515">
        <v>2037970.8599999999</v>
      </c>
      <c r="H102" s="515">
        <v>923552.39</v>
      </c>
      <c r="I102" s="515">
        <v>2037970.8599999999</v>
      </c>
      <c r="J102" s="515">
        <v>935678.32000000007</v>
      </c>
      <c r="K102" s="515">
        <v>2037970.8599999999</v>
      </c>
      <c r="L102" s="515">
        <v>947804.25</v>
      </c>
      <c r="M102" s="515">
        <v>2037970.8599999999</v>
      </c>
      <c r="N102" s="515">
        <v>959930.18</v>
      </c>
      <c r="O102" s="515">
        <v>2037970.8599999999</v>
      </c>
      <c r="P102" s="515">
        <v>972056.1100000001</v>
      </c>
      <c r="Q102" s="515">
        <v>2037970.8599999999</v>
      </c>
      <c r="R102" s="515">
        <v>984182.04</v>
      </c>
      <c r="S102" s="515">
        <v>2037970.8599999999</v>
      </c>
      <c r="T102" s="515">
        <v>996307.97000000009</v>
      </c>
      <c r="U102" s="515">
        <v>2037970.8599999999</v>
      </c>
      <c r="V102" s="515">
        <v>1008433.9</v>
      </c>
      <c r="W102" s="515">
        <v>2037970.8599999999</v>
      </c>
      <c r="X102" s="515">
        <v>1020559.8300000001</v>
      </c>
      <c r="Y102" s="515">
        <v>2037970.8599999999</v>
      </c>
      <c r="Z102" s="515">
        <v>1032685.76</v>
      </c>
      <c r="AA102" s="515">
        <v>2037970.8599999999</v>
      </c>
      <c r="AB102" s="515">
        <v>1044811.69</v>
      </c>
      <c r="AC102" s="515">
        <v>2037970.8599999999</v>
      </c>
      <c r="AD102" s="515">
        <v>1056937.6200000001</v>
      </c>
      <c r="AE102" s="515">
        <f t="shared" si="5"/>
        <v>2037970.8599999996</v>
      </c>
      <c r="AF102" s="515">
        <f t="shared" si="5"/>
        <v>984182.04</v>
      </c>
    </row>
    <row r="103" spans="1:32">
      <c r="A103" s="509">
        <v>92</v>
      </c>
      <c r="B103" s="26"/>
      <c r="C103" s="26" t="s">
        <v>998</v>
      </c>
      <c r="D103" s="514" t="s">
        <v>992</v>
      </c>
      <c r="E103" s="515">
        <v>17063587.219999999</v>
      </c>
      <c r="F103" s="515">
        <v>6724692.9299999997</v>
      </c>
      <c r="G103" s="515">
        <v>17063587.219999999</v>
      </c>
      <c r="H103" s="515">
        <v>6819538.04</v>
      </c>
      <c r="I103" s="515">
        <v>17063587.219999999</v>
      </c>
      <c r="J103" s="515">
        <v>6914383.1499999994</v>
      </c>
      <c r="K103" s="515">
        <v>17063587.219999999</v>
      </c>
      <c r="L103" s="515">
        <v>7009228.2599999998</v>
      </c>
      <c r="M103" s="515">
        <v>17063587.219999999</v>
      </c>
      <c r="N103" s="515">
        <v>7104073.3699999992</v>
      </c>
      <c r="O103" s="515">
        <v>17063587.219999999</v>
      </c>
      <c r="P103" s="515">
        <v>7198918.4800000004</v>
      </c>
      <c r="Q103" s="515">
        <v>17063587.219999999</v>
      </c>
      <c r="R103" s="515">
        <v>7293763.5899999999</v>
      </c>
      <c r="S103" s="515">
        <v>17063587.219999999</v>
      </c>
      <c r="T103" s="515">
        <v>7388608.7000000002</v>
      </c>
      <c r="U103" s="515">
        <v>17063587.219999999</v>
      </c>
      <c r="V103" s="515">
        <v>7483453.8100000005</v>
      </c>
      <c r="W103" s="515">
        <v>17063587.219999999</v>
      </c>
      <c r="X103" s="515">
        <v>7578298.9199999999</v>
      </c>
      <c r="Y103" s="515">
        <v>17063587.219999999</v>
      </c>
      <c r="Z103" s="515">
        <v>7673144.0300000003</v>
      </c>
      <c r="AA103" s="515">
        <v>17063587.219999999</v>
      </c>
      <c r="AB103" s="515">
        <v>7767989.1400000006</v>
      </c>
      <c r="AC103" s="515">
        <v>17063587.219999999</v>
      </c>
      <c r="AD103" s="515">
        <v>7862834.25</v>
      </c>
      <c r="AE103" s="515">
        <f t="shared" si="5"/>
        <v>17063587.219999999</v>
      </c>
      <c r="AF103" s="515">
        <f t="shared" si="5"/>
        <v>7293763.5900000008</v>
      </c>
    </row>
    <row r="104" spans="1:32">
      <c r="A104" s="509">
        <v>93</v>
      </c>
      <c r="B104" s="26"/>
      <c r="C104" s="26" t="s">
        <v>999</v>
      </c>
      <c r="D104" s="514" t="s">
        <v>992</v>
      </c>
      <c r="E104" s="515">
        <v>541240.59</v>
      </c>
      <c r="F104" s="515">
        <v>189104.87</v>
      </c>
      <c r="G104" s="515">
        <v>541240.59000000008</v>
      </c>
      <c r="H104" s="515">
        <v>192113.27</v>
      </c>
      <c r="I104" s="515">
        <v>541240.59000000008</v>
      </c>
      <c r="J104" s="515">
        <v>195121.66999999998</v>
      </c>
      <c r="K104" s="515">
        <v>541240.59000000008</v>
      </c>
      <c r="L104" s="515">
        <v>198130.07</v>
      </c>
      <c r="M104" s="515">
        <v>541240.59000000008</v>
      </c>
      <c r="N104" s="515">
        <v>201138.47000000003</v>
      </c>
      <c r="O104" s="515">
        <v>541240.59000000008</v>
      </c>
      <c r="P104" s="515">
        <v>204146.87</v>
      </c>
      <c r="Q104" s="515">
        <v>541240.59000000008</v>
      </c>
      <c r="R104" s="515">
        <v>207155.27000000002</v>
      </c>
      <c r="S104" s="515">
        <v>541240.59000000008</v>
      </c>
      <c r="T104" s="515">
        <v>210163.67</v>
      </c>
      <c r="U104" s="515">
        <v>541240.59000000008</v>
      </c>
      <c r="V104" s="515">
        <v>213172.07</v>
      </c>
      <c r="W104" s="515">
        <v>541240.59000000008</v>
      </c>
      <c r="X104" s="515">
        <v>216180.47</v>
      </c>
      <c r="Y104" s="515">
        <v>541240.59000000008</v>
      </c>
      <c r="Z104" s="515">
        <v>219188.87</v>
      </c>
      <c r="AA104" s="515">
        <v>541240.59000000008</v>
      </c>
      <c r="AB104" s="515">
        <v>222197.27000000002</v>
      </c>
      <c r="AC104" s="515">
        <v>541240.59000000008</v>
      </c>
      <c r="AD104" s="515">
        <v>225205.66999999998</v>
      </c>
      <c r="AE104" s="515">
        <f t="shared" si="5"/>
        <v>541240.59</v>
      </c>
      <c r="AF104" s="515">
        <f t="shared" si="5"/>
        <v>207155.27000000002</v>
      </c>
    </row>
    <row r="105" spans="1:32">
      <c r="A105" s="509">
        <v>94</v>
      </c>
      <c r="B105" s="26"/>
      <c r="C105" s="26" t="s">
        <v>1576</v>
      </c>
      <c r="D105" s="514" t="s">
        <v>992</v>
      </c>
      <c r="E105" s="515">
        <v>133255.45000000001</v>
      </c>
      <c r="F105" s="515">
        <v>0</v>
      </c>
      <c r="G105" s="515">
        <v>133868.69</v>
      </c>
      <c r="H105" s="515">
        <v>740.68</v>
      </c>
      <c r="I105" s="515">
        <v>133868.69</v>
      </c>
      <c r="J105" s="515">
        <v>1484.7700000000002</v>
      </c>
      <c r="K105" s="515">
        <v>133868.69</v>
      </c>
      <c r="L105" s="515">
        <v>2228.86</v>
      </c>
      <c r="M105" s="515">
        <v>133868.69</v>
      </c>
      <c r="N105" s="515">
        <v>2972.95</v>
      </c>
      <c r="O105" s="515">
        <v>133868.69</v>
      </c>
      <c r="P105" s="515">
        <v>3717.0400000000004</v>
      </c>
      <c r="Q105" s="515">
        <v>133868.69</v>
      </c>
      <c r="R105" s="515">
        <v>4461.13</v>
      </c>
      <c r="S105" s="515">
        <v>133868.69</v>
      </c>
      <c r="T105" s="515">
        <v>5205.22</v>
      </c>
      <c r="U105" s="515">
        <v>133868.69</v>
      </c>
      <c r="V105" s="515">
        <v>5949.31</v>
      </c>
      <c r="W105" s="515">
        <v>133868.69</v>
      </c>
      <c r="X105" s="515">
        <v>6693.4</v>
      </c>
      <c r="Y105" s="515">
        <v>133868.69</v>
      </c>
      <c r="Z105" s="515">
        <v>7437.49</v>
      </c>
      <c r="AA105" s="515">
        <v>133868.69</v>
      </c>
      <c r="AB105" s="515">
        <v>8181.58</v>
      </c>
      <c r="AC105" s="515">
        <v>133873.49</v>
      </c>
      <c r="AD105" s="515">
        <v>8925.67</v>
      </c>
      <c r="AE105" s="515">
        <f t="shared" si="5"/>
        <v>133843.33833333329</v>
      </c>
      <c r="AF105" s="515">
        <f t="shared" si="5"/>
        <v>4461.2720833333333</v>
      </c>
    </row>
    <row r="106" spans="1:32">
      <c r="A106" s="509">
        <v>95</v>
      </c>
      <c r="B106" s="26"/>
      <c r="C106" s="26" t="s">
        <v>1577</v>
      </c>
      <c r="D106" s="514" t="s">
        <v>992</v>
      </c>
      <c r="E106" s="515">
        <v>0</v>
      </c>
      <c r="F106" s="515">
        <v>0</v>
      </c>
      <c r="G106" s="515">
        <v>0</v>
      </c>
      <c r="H106" s="515">
        <v>0</v>
      </c>
      <c r="I106" s="515">
        <v>0</v>
      </c>
      <c r="J106" s="515">
        <v>0</v>
      </c>
      <c r="K106" s="515">
        <v>0</v>
      </c>
      <c r="L106" s="515">
        <v>0</v>
      </c>
      <c r="M106" s="515">
        <v>0</v>
      </c>
      <c r="N106" s="515">
        <v>0</v>
      </c>
      <c r="O106" s="515">
        <v>0</v>
      </c>
      <c r="P106" s="515">
        <v>0</v>
      </c>
      <c r="Q106" s="515">
        <v>0</v>
      </c>
      <c r="R106" s="515">
        <v>0</v>
      </c>
      <c r="S106" s="515">
        <v>0</v>
      </c>
      <c r="T106" s="515">
        <v>0</v>
      </c>
      <c r="U106" s="515">
        <v>0</v>
      </c>
      <c r="V106" s="515">
        <v>0</v>
      </c>
      <c r="W106" s="515">
        <v>0</v>
      </c>
      <c r="X106" s="515">
        <v>0</v>
      </c>
      <c r="Y106" s="515">
        <v>0</v>
      </c>
      <c r="Z106" s="515">
        <v>0</v>
      </c>
      <c r="AA106" s="515">
        <v>55153.560000000005</v>
      </c>
      <c r="AB106" s="515">
        <v>0</v>
      </c>
      <c r="AC106" s="515">
        <v>55564.55</v>
      </c>
      <c r="AD106" s="515">
        <v>306.56</v>
      </c>
      <c r="AE106" s="515">
        <f t="shared" si="5"/>
        <v>6911.3195833333339</v>
      </c>
      <c r="AF106" s="515">
        <f t="shared" si="5"/>
        <v>12.773333333333333</v>
      </c>
    </row>
    <row r="107" spans="1:32">
      <c r="A107" s="509">
        <v>96</v>
      </c>
      <c r="B107" s="26"/>
      <c r="C107" s="26" t="s">
        <v>1000</v>
      </c>
      <c r="D107" s="514" t="s">
        <v>992</v>
      </c>
      <c r="E107" s="515">
        <v>7720.22</v>
      </c>
      <c r="F107" s="515">
        <v>7720.22</v>
      </c>
      <c r="G107" s="515">
        <v>7720.22</v>
      </c>
      <c r="H107" s="515">
        <v>7720.22</v>
      </c>
      <c r="I107" s="515">
        <v>7720.22</v>
      </c>
      <c r="J107" s="515">
        <v>7720.22</v>
      </c>
      <c r="K107" s="515">
        <v>7720.22</v>
      </c>
      <c r="L107" s="515">
        <v>7720.22</v>
      </c>
      <c r="M107" s="515">
        <v>7720.22</v>
      </c>
      <c r="N107" s="515">
        <v>7720.22</v>
      </c>
      <c r="O107" s="515">
        <v>7720.22</v>
      </c>
      <c r="P107" s="515">
        <v>7720.22</v>
      </c>
      <c r="Q107" s="515">
        <v>7720.22</v>
      </c>
      <c r="R107" s="515">
        <v>7720.22</v>
      </c>
      <c r="S107" s="515">
        <v>7720.22</v>
      </c>
      <c r="T107" s="515">
        <v>7720.22</v>
      </c>
      <c r="U107" s="515">
        <v>7720.22</v>
      </c>
      <c r="V107" s="515">
        <v>7720.22</v>
      </c>
      <c r="W107" s="515">
        <v>7720.22</v>
      </c>
      <c r="X107" s="515">
        <v>7720.22</v>
      </c>
      <c r="Y107" s="515">
        <v>7720.22</v>
      </c>
      <c r="Z107" s="515">
        <v>7720.22</v>
      </c>
      <c r="AA107" s="515">
        <v>7720.22</v>
      </c>
      <c r="AB107" s="515">
        <v>7720.22</v>
      </c>
      <c r="AC107" s="515">
        <v>7720.22</v>
      </c>
      <c r="AD107" s="515">
        <v>7720.22</v>
      </c>
      <c r="AE107" s="515">
        <f t="shared" si="5"/>
        <v>7720.22</v>
      </c>
      <c r="AF107" s="515">
        <f t="shared" si="5"/>
        <v>7720.22</v>
      </c>
    </row>
    <row r="108" spans="1:32">
      <c r="A108" s="509">
        <v>97</v>
      </c>
      <c r="B108" s="26"/>
      <c r="C108" s="26" t="s">
        <v>1578</v>
      </c>
      <c r="D108" s="514" t="s">
        <v>992</v>
      </c>
      <c r="E108" s="515">
        <v>30627.770000000004</v>
      </c>
      <c r="F108" s="515">
        <v>5955.39</v>
      </c>
      <c r="G108" s="515">
        <v>30627.77</v>
      </c>
      <c r="H108" s="515">
        <v>6806.16</v>
      </c>
      <c r="I108" s="515">
        <v>30627.77</v>
      </c>
      <c r="J108" s="515">
        <v>7656.93</v>
      </c>
      <c r="K108" s="515">
        <v>30627.77</v>
      </c>
      <c r="L108" s="515">
        <v>8507.7000000000007</v>
      </c>
      <c r="M108" s="515">
        <v>30627.77</v>
      </c>
      <c r="N108" s="515">
        <v>9358.4699999999993</v>
      </c>
      <c r="O108" s="515">
        <v>30627.77</v>
      </c>
      <c r="P108" s="515">
        <v>10209.24</v>
      </c>
      <c r="Q108" s="515">
        <v>30627.77</v>
      </c>
      <c r="R108" s="515">
        <v>11060.01</v>
      </c>
      <c r="S108" s="515">
        <v>30627.77</v>
      </c>
      <c r="T108" s="515">
        <v>11910.779999999999</v>
      </c>
      <c r="U108" s="515">
        <v>30627.77</v>
      </c>
      <c r="V108" s="515">
        <v>12761.550000000001</v>
      </c>
      <c r="W108" s="515">
        <v>30627.77</v>
      </c>
      <c r="X108" s="515">
        <v>13612.32</v>
      </c>
      <c r="Y108" s="515">
        <v>30627.77</v>
      </c>
      <c r="Z108" s="515">
        <v>14463.09</v>
      </c>
      <c r="AA108" s="515">
        <v>30627.77</v>
      </c>
      <c r="AB108" s="515">
        <v>15313.86</v>
      </c>
      <c r="AC108" s="515">
        <v>30627.77</v>
      </c>
      <c r="AD108" s="515">
        <v>16164.63</v>
      </c>
      <c r="AE108" s="515">
        <f t="shared" si="5"/>
        <v>30627.770000000004</v>
      </c>
      <c r="AF108" s="515">
        <f t="shared" si="5"/>
        <v>11060.01</v>
      </c>
    </row>
    <row r="109" spans="1:32">
      <c r="A109" s="509">
        <v>98</v>
      </c>
      <c r="B109" s="26"/>
      <c r="C109" s="26" t="s">
        <v>1001</v>
      </c>
      <c r="D109" s="26" t="s">
        <v>992</v>
      </c>
      <c r="E109" s="515">
        <v>14271.5</v>
      </c>
      <c r="F109" s="515">
        <v>14271.5</v>
      </c>
      <c r="G109" s="515">
        <v>14271.5</v>
      </c>
      <c r="H109" s="515">
        <v>14271.5</v>
      </c>
      <c r="I109" s="515">
        <v>14271.5</v>
      </c>
      <c r="J109" s="515">
        <v>14271.5</v>
      </c>
      <c r="K109" s="515">
        <v>14271.5</v>
      </c>
      <c r="L109" s="515">
        <v>14271.5</v>
      </c>
      <c r="M109" s="515">
        <v>14271.5</v>
      </c>
      <c r="N109" s="515">
        <v>14271.5</v>
      </c>
      <c r="O109" s="515">
        <v>14271.5</v>
      </c>
      <c r="P109" s="515">
        <v>14271.5</v>
      </c>
      <c r="Q109" s="515">
        <v>14271.5</v>
      </c>
      <c r="R109" s="515">
        <v>14271.5</v>
      </c>
      <c r="S109" s="515">
        <v>14271.5</v>
      </c>
      <c r="T109" s="515">
        <v>14271.5</v>
      </c>
      <c r="U109" s="515">
        <v>14271.5</v>
      </c>
      <c r="V109" s="515">
        <v>14271.5</v>
      </c>
      <c r="W109" s="515">
        <v>14271.5</v>
      </c>
      <c r="X109" s="515">
        <v>14271.5</v>
      </c>
      <c r="Y109" s="515">
        <v>14271.5</v>
      </c>
      <c r="Z109" s="515">
        <v>14271.5</v>
      </c>
      <c r="AA109" s="515">
        <v>14271.5</v>
      </c>
      <c r="AB109" s="515">
        <v>14271.5</v>
      </c>
      <c r="AC109" s="515">
        <v>14271.5</v>
      </c>
      <c r="AD109" s="515">
        <v>14271.5</v>
      </c>
      <c r="AE109" s="515">
        <f t="shared" si="5"/>
        <v>14271.5</v>
      </c>
      <c r="AF109" s="515">
        <f t="shared" si="5"/>
        <v>14271.5</v>
      </c>
    </row>
    <row r="110" spans="1:32">
      <c r="A110" s="509">
        <v>99</v>
      </c>
      <c r="B110" s="26"/>
      <c r="C110" s="26" t="s">
        <v>1579</v>
      </c>
      <c r="D110" s="26" t="s">
        <v>992</v>
      </c>
      <c r="E110" s="515">
        <v>116864.94</v>
      </c>
      <c r="F110" s="515">
        <v>17531.91</v>
      </c>
      <c r="G110" s="515">
        <v>116864.94</v>
      </c>
      <c r="H110" s="515">
        <v>19479.66</v>
      </c>
      <c r="I110" s="515">
        <v>116864.94</v>
      </c>
      <c r="J110" s="515">
        <v>21427.41</v>
      </c>
      <c r="K110" s="515">
        <v>116864.94</v>
      </c>
      <c r="L110" s="515">
        <v>23375.16</v>
      </c>
      <c r="M110" s="515">
        <v>116864.94</v>
      </c>
      <c r="N110" s="515">
        <v>25322.91</v>
      </c>
      <c r="O110" s="515">
        <v>116864.94</v>
      </c>
      <c r="P110" s="515">
        <v>27270.660000000003</v>
      </c>
      <c r="Q110" s="515">
        <v>116864.94</v>
      </c>
      <c r="R110" s="515">
        <v>29218.410000000003</v>
      </c>
      <c r="S110" s="515">
        <v>116864.94</v>
      </c>
      <c r="T110" s="515">
        <v>31166.16</v>
      </c>
      <c r="U110" s="515">
        <v>116864.94</v>
      </c>
      <c r="V110" s="515">
        <v>33113.910000000003</v>
      </c>
      <c r="W110" s="515">
        <v>116864.94</v>
      </c>
      <c r="X110" s="515">
        <v>35061.660000000003</v>
      </c>
      <c r="Y110" s="515">
        <v>116864.94</v>
      </c>
      <c r="Z110" s="515">
        <v>37009.410000000003</v>
      </c>
      <c r="AA110" s="515">
        <v>116864.94</v>
      </c>
      <c r="AB110" s="515">
        <v>38957.160000000003</v>
      </c>
      <c r="AC110" s="515">
        <v>116864.94</v>
      </c>
      <c r="AD110" s="515">
        <v>40904.910000000003</v>
      </c>
      <c r="AE110" s="515">
        <f t="shared" si="5"/>
        <v>116864.93999999996</v>
      </c>
      <c r="AF110" s="515">
        <f t="shared" si="5"/>
        <v>29218.410000000003</v>
      </c>
    </row>
    <row r="111" spans="1:32">
      <c r="A111" s="509">
        <v>100</v>
      </c>
      <c r="B111" s="26"/>
      <c r="C111" s="26" t="s">
        <v>1580</v>
      </c>
      <c r="D111" s="26" t="s">
        <v>992</v>
      </c>
      <c r="E111" s="515">
        <v>101773.28</v>
      </c>
      <c r="F111" s="515">
        <v>0</v>
      </c>
      <c r="G111" s="515">
        <v>101846.98000000001</v>
      </c>
      <c r="H111" s="515">
        <v>1696.2200000000003</v>
      </c>
      <c r="I111" s="515">
        <v>102393.47</v>
      </c>
      <c r="J111" s="515">
        <v>3393.67</v>
      </c>
      <c r="K111" s="515">
        <v>102393.47</v>
      </c>
      <c r="L111" s="515">
        <v>5100.2299999999996</v>
      </c>
      <c r="M111" s="515">
        <v>102393.47</v>
      </c>
      <c r="N111" s="515">
        <v>6806.79</v>
      </c>
      <c r="O111" s="515">
        <v>102393.47</v>
      </c>
      <c r="P111" s="515">
        <v>8513.35</v>
      </c>
      <c r="Q111" s="515">
        <v>102393.47</v>
      </c>
      <c r="R111" s="515">
        <v>10219.91</v>
      </c>
      <c r="S111" s="515">
        <v>102393.47</v>
      </c>
      <c r="T111" s="515">
        <v>11926.470000000001</v>
      </c>
      <c r="U111" s="515">
        <v>102393.47</v>
      </c>
      <c r="V111" s="515">
        <v>13633.029999999999</v>
      </c>
      <c r="W111" s="515">
        <v>102393.47</v>
      </c>
      <c r="X111" s="515">
        <v>15339.59</v>
      </c>
      <c r="Y111" s="515">
        <v>102393.47</v>
      </c>
      <c r="Z111" s="515">
        <v>17046.150000000001</v>
      </c>
      <c r="AA111" s="515">
        <v>102393.47</v>
      </c>
      <c r="AB111" s="515">
        <v>18752.71</v>
      </c>
      <c r="AC111" s="515">
        <v>102398.32</v>
      </c>
      <c r="AD111" s="515">
        <v>20459.27</v>
      </c>
      <c r="AE111" s="515">
        <f t="shared" si="5"/>
        <v>102322.29</v>
      </c>
      <c r="AF111" s="515">
        <f t="shared" si="5"/>
        <v>10221.479583333332</v>
      </c>
    </row>
    <row r="112" spans="1:32">
      <c r="A112" s="509">
        <v>101</v>
      </c>
      <c r="B112" s="26"/>
      <c r="C112" s="26" t="s">
        <v>1581</v>
      </c>
      <c r="D112" s="26" t="s">
        <v>992</v>
      </c>
      <c r="E112" s="515">
        <v>0</v>
      </c>
      <c r="F112" s="515">
        <v>0</v>
      </c>
      <c r="G112" s="515">
        <v>0</v>
      </c>
      <c r="H112" s="515">
        <v>0</v>
      </c>
      <c r="I112" s="515">
        <v>0</v>
      </c>
      <c r="J112" s="515">
        <v>0</v>
      </c>
      <c r="K112" s="515">
        <v>0</v>
      </c>
      <c r="L112" s="515">
        <v>0</v>
      </c>
      <c r="M112" s="515">
        <v>0</v>
      </c>
      <c r="N112" s="515">
        <v>0</v>
      </c>
      <c r="O112" s="515">
        <v>0</v>
      </c>
      <c r="P112" s="515">
        <v>0</v>
      </c>
      <c r="Q112" s="515">
        <v>0</v>
      </c>
      <c r="R112" s="515">
        <v>0</v>
      </c>
      <c r="S112" s="515">
        <v>0</v>
      </c>
      <c r="T112" s="515">
        <v>0</v>
      </c>
      <c r="U112" s="515">
        <v>0</v>
      </c>
      <c r="V112" s="515">
        <v>0</v>
      </c>
      <c r="W112" s="515">
        <v>0</v>
      </c>
      <c r="X112" s="515">
        <v>0</v>
      </c>
      <c r="Y112" s="515">
        <v>0</v>
      </c>
      <c r="Z112" s="515">
        <v>0</v>
      </c>
      <c r="AA112" s="515">
        <v>0</v>
      </c>
      <c r="AB112" s="515">
        <v>0</v>
      </c>
      <c r="AC112" s="515">
        <v>633813.57000000007</v>
      </c>
      <c r="AD112" s="515">
        <v>0</v>
      </c>
      <c r="AE112" s="515">
        <f t="shared" si="5"/>
        <v>26408.898750000004</v>
      </c>
      <c r="AF112" s="515">
        <f t="shared" si="5"/>
        <v>0</v>
      </c>
    </row>
    <row r="113" spans="1:32">
      <c r="A113" s="509">
        <v>102</v>
      </c>
      <c r="B113" s="26"/>
      <c r="C113" s="26" t="s">
        <v>1002</v>
      </c>
      <c r="D113" s="26" t="s">
        <v>992</v>
      </c>
      <c r="E113" s="515">
        <v>131168.49</v>
      </c>
      <c r="F113" s="515">
        <v>97492.94</v>
      </c>
      <c r="G113" s="515">
        <v>131168.49</v>
      </c>
      <c r="H113" s="515">
        <v>99054.94</v>
      </c>
      <c r="I113" s="515">
        <v>131168.49</v>
      </c>
      <c r="J113" s="515">
        <v>100616.94</v>
      </c>
      <c r="K113" s="515">
        <v>131168.49</v>
      </c>
      <c r="L113" s="515">
        <v>102178.94</v>
      </c>
      <c r="M113" s="515">
        <v>131168.49</v>
      </c>
      <c r="N113" s="515">
        <v>103740.94</v>
      </c>
      <c r="O113" s="515">
        <v>131168.49</v>
      </c>
      <c r="P113" s="515">
        <v>105302.94</v>
      </c>
      <c r="Q113" s="515">
        <v>131168.49</v>
      </c>
      <c r="R113" s="515">
        <v>106864.94</v>
      </c>
      <c r="S113" s="515">
        <v>131168.49</v>
      </c>
      <c r="T113" s="515">
        <v>108426.94</v>
      </c>
      <c r="U113" s="515">
        <v>131168.49</v>
      </c>
      <c r="V113" s="515">
        <v>109988.94</v>
      </c>
      <c r="W113" s="515">
        <v>131168.49</v>
      </c>
      <c r="X113" s="515">
        <v>111550.94</v>
      </c>
      <c r="Y113" s="515">
        <v>131168.49</v>
      </c>
      <c r="Z113" s="515">
        <v>113112.94</v>
      </c>
      <c r="AA113" s="515">
        <v>131168.49</v>
      </c>
      <c r="AB113" s="515">
        <v>114674.94</v>
      </c>
      <c r="AC113" s="515">
        <v>131168.49</v>
      </c>
      <c r="AD113" s="515">
        <v>116236.94</v>
      </c>
      <c r="AE113" s="515">
        <f t="shared" si="5"/>
        <v>131168.49</v>
      </c>
      <c r="AF113" s="515">
        <f t="shared" si="5"/>
        <v>106864.93999999999</v>
      </c>
    </row>
    <row r="114" spans="1:32">
      <c r="A114" s="509">
        <v>103</v>
      </c>
      <c r="B114" s="26"/>
      <c r="C114" s="26" t="s">
        <v>1003</v>
      </c>
      <c r="D114" s="26" t="s">
        <v>992</v>
      </c>
      <c r="E114" s="515">
        <v>3004957.3699999996</v>
      </c>
      <c r="F114" s="515">
        <v>1800738.49</v>
      </c>
      <c r="G114" s="515">
        <v>3004957.37</v>
      </c>
      <c r="H114" s="515">
        <v>1836522.52</v>
      </c>
      <c r="I114" s="515">
        <v>3004957.37</v>
      </c>
      <c r="J114" s="515">
        <v>1872306.55</v>
      </c>
      <c r="K114" s="515">
        <v>3004957.37</v>
      </c>
      <c r="L114" s="515">
        <v>1908090.5799999998</v>
      </c>
      <c r="M114" s="515">
        <v>3004957.37</v>
      </c>
      <c r="N114" s="515">
        <v>1943874.6099999999</v>
      </c>
      <c r="O114" s="515">
        <v>3004957.37</v>
      </c>
      <c r="P114" s="515">
        <v>1979658.6400000001</v>
      </c>
      <c r="Q114" s="515">
        <v>3004957.37</v>
      </c>
      <c r="R114" s="515">
        <v>2015442.6700000002</v>
      </c>
      <c r="S114" s="515">
        <v>3004957.37</v>
      </c>
      <c r="T114" s="515">
        <v>2051226.7</v>
      </c>
      <c r="U114" s="515">
        <v>3004957.37</v>
      </c>
      <c r="V114" s="515">
        <v>2087010.73</v>
      </c>
      <c r="W114" s="515">
        <v>3004957.37</v>
      </c>
      <c r="X114" s="515">
        <v>2122794.7599999998</v>
      </c>
      <c r="Y114" s="515">
        <v>3004957.37</v>
      </c>
      <c r="Z114" s="515">
        <v>2158578.79</v>
      </c>
      <c r="AA114" s="515">
        <v>3004957.37</v>
      </c>
      <c r="AB114" s="515">
        <v>2194362.8200000003</v>
      </c>
      <c r="AC114" s="515">
        <v>3004957.37</v>
      </c>
      <c r="AD114" s="515">
        <v>2230146.85</v>
      </c>
      <c r="AE114" s="515">
        <f t="shared" si="5"/>
        <v>3004957.3700000006</v>
      </c>
      <c r="AF114" s="515">
        <f t="shared" si="5"/>
        <v>2015442.67</v>
      </c>
    </row>
    <row r="115" spans="1:32">
      <c r="A115" s="509">
        <v>104</v>
      </c>
      <c r="B115" s="26"/>
      <c r="C115" s="26" t="s">
        <v>1004</v>
      </c>
      <c r="D115" s="26" t="s">
        <v>992</v>
      </c>
      <c r="E115" s="515">
        <v>585144.89</v>
      </c>
      <c r="F115" s="515">
        <v>269793.76</v>
      </c>
      <c r="G115" s="515">
        <v>585144.89</v>
      </c>
      <c r="H115" s="515">
        <v>276761.86</v>
      </c>
      <c r="I115" s="515">
        <v>585144.89</v>
      </c>
      <c r="J115" s="515">
        <v>283729.95999999996</v>
      </c>
      <c r="K115" s="515">
        <v>585144.89</v>
      </c>
      <c r="L115" s="515">
        <v>290698.06</v>
      </c>
      <c r="M115" s="515">
        <v>585144.89</v>
      </c>
      <c r="N115" s="515">
        <v>297666.16000000003</v>
      </c>
      <c r="O115" s="515">
        <v>585144.89</v>
      </c>
      <c r="P115" s="515">
        <v>304634.26</v>
      </c>
      <c r="Q115" s="515">
        <v>585144.89</v>
      </c>
      <c r="R115" s="515">
        <v>311602.36</v>
      </c>
      <c r="S115" s="515">
        <v>585144.89</v>
      </c>
      <c r="T115" s="515">
        <v>318570.46000000002</v>
      </c>
      <c r="U115" s="515">
        <v>585144.89</v>
      </c>
      <c r="V115" s="515">
        <v>325538.56</v>
      </c>
      <c r="W115" s="515">
        <v>585144.89</v>
      </c>
      <c r="X115" s="515">
        <v>332506.65999999997</v>
      </c>
      <c r="Y115" s="515">
        <v>585144.89</v>
      </c>
      <c r="Z115" s="515">
        <v>339474.76</v>
      </c>
      <c r="AA115" s="515">
        <v>585144.89</v>
      </c>
      <c r="AB115" s="515">
        <v>346442.86</v>
      </c>
      <c r="AC115" s="515">
        <v>585144.89</v>
      </c>
      <c r="AD115" s="515">
        <v>353410.95999999996</v>
      </c>
      <c r="AE115" s="515">
        <f t="shared" si="5"/>
        <v>585144.8899999999</v>
      </c>
      <c r="AF115" s="515">
        <f t="shared" si="5"/>
        <v>311602.36000000004</v>
      </c>
    </row>
    <row r="116" spans="1:32">
      <c r="A116" s="509">
        <v>105</v>
      </c>
      <c r="B116" s="26"/>
      <c r="C116" s="26" t="s">
        <v>1005</v>
      </c>
      <c r="D116" s="26" t="s">
        <v>992</v>
      </c>
      <c r="E116" s="515">
        <v>20560.650000000001</v>
      </c>
      <c r="F116" s="515">
        <v>9035.85</v>
      </c>
      <c r="G116" s="515">
        <v>20560.650000000001</v>
      </c>
      <c r="H116" s="515">
        <v>9280.69</v>
      </c>
      <c r="I116" s="515">
        <v>20560.650000000001</v>
      </c>
      <c r="J116" s="515">
        <v>9525.5300000000007</v>
      </c>
      <c r="K116" s="515">
        <v>20560.650000000001</v>
      </c>
      <c r="L116" s="515">
        <v>9770.3700000000008</v>
      </c>
      <c r="M116" s="515">
        <v>20560.650000000001</v>
      </c>
      <c r="N116" s="515">
        <v>10015.210000000001</v>
      </c>
      <c r="O116" s="515">
        <v>20560.650000000001</v>
      </c>
      <c r="P116" s="515">
        <v>10260.049999999999</v>
      </c>
      <c r="Q116" s="515">
        <v>20560.650000000001</v>
      </c>
      <c r="R116" s="515">
        <v>10504.89</v>
      </c>
      <c r="S116" s="515">
        <v>20560.650000000001</v>
      </c>
      <c r="T116" s="515">
        <v>10749.73</v>
      </c>
      <c r="U116" s="515">
        <v>20560.650000000001</v>
      </c>
      <c r="V116" s="515">
        <v>10994.57</v>
      </c>
      <c r="W116" s="515">
        <v>20560.650000000001</v>
      </c>
      <c r="X116" s="515">
        <v>11239.41</v>
      </c>
      <c r="Y116" s="515">
        <v>20560.650000000001</v>
      </c>
      <c r="Z116" s="515">
        <v>11484.25</v>
      </c>
      <c r="AA116" s="515">
        <v>20560.650000000001</v>
      </c>
      <c r="AB116" s="515">
        <v>11729.09</v>
      </c>
      <c r="AC116" s="515">
        <v>20560.650000000001</v>
      </c>
      <c r="AD116" s="515">
        <v>11973.93</v>
      </c>
      <c r="AE116" s="515">
        <f t="shared" si="5"/>
        <v>20560.649999999998</v>
      </c>
      <c r="AF116" s="515">
        <f t="shared" si="5"/>
        <v>10504.890000000001</v>
      </c>
    </row>
    <row r="117" spans="1:32">
      <c r="A117" s="509">
        <v>106</v>
      </c>
      <c r="B117" s="26"/>
      <c r="C117" s="26" t="s">
        <v>1582</v>
      </c>
      <c r="D117" s="26" t="s">
        <v>992</v>
      </c>
      <c r="E117" s="515">
        <v>2996321.4000000004</v>
      </c>
      <c r="F117" s="515">
        <v>337262.36</v>
      </c>
      <c r="G117" s="515">
        <v>2996321.4</v>
      </c>
      <c r="H117" s="515">
        <v>372943.55</v>
      </c>
      <c r="I117" s="515">
        <v>2996321.4</v>
      </c>
      <c r="J117" s="515">
        <v>408624.74000000005</v>
      </c>
      <c r="K117" s="515">
        <v>2996321.4</v>
      </c>
      <c r="L117" s="515">
        <v>444305.93000000005</v>
      </c>
      <c r="M117" s="515">
        <v>2996321.4</v>
      </c>
      <c r="N117" s="515">
        <v>479987.12</v>
      </c>
      <c r="O117" s="515">
        <v>2996321.4</v>
      </c>
      <c r="P117" s="515">
        <v>515668.31000000006</v>
      </c>
      <c r="Q117" s="515">
        <v>2996321.4</v>
      </c>
      <c r="R117" s="515">
        <v>551349.5</v>
      </c>
      <c r="S117" s="515">
        <v>2996321.4</v>
      </c>
      <c r="T117" s="515">
        <v>587030.68999999994</v>
      </c>
      <c r="U117" s="515">
        <v>2996321.4</v>
      </c>
      <c r="V117" s="515">
        <v>622711.88</v>
      </c>
      <c r="W117" s="515">
        <v>2996321.4</v>
      </c>
      <c r="X117" s="515">
        <v>658393.07000000007</v>
      </c>
      <c r="Y117" s="515">
        <v>2996321.4</v>
      </c>
      <c r="Z117" s="515">
        <v>694074.26</v>
      </c>
      <c r="AA117" s="515">
        <v>2996321.4</v>
      </c>
      <c r="AB117" s="515">
        <v>729755.45000000007</v>
      </c>
      <c r="AC117" s="515">
        <v>2996321.4</v>
      </c>
      <c r="AD117" s="515">
        <v>765436.64</v>
      </c>
      <c r="AE117" s="515">
        <f t="shared" si="5"/>
        <v>2996321.399999999</v>
      </c>
      <c r="AF117" s="515">
        <f t="shared" si="5"/>
        <v>551349.5</v>
      </c>
    </row>
    <row r="118" spans="1:32">
      <c r="A118" s="509">
        <v>107</v>
      </c>
      <c r="B118" s="26"/>
      <c r="C118" s="26" t="s">
        <v>1583</v>
      </c>
      <c r="D118" s="26" t="s">
        <v>992</v>
      </c>
      <c r="E118" s="515">
        <v>645523.19999999995</v>
      </c>
      <c r="F118" s="515">
        <v>0</v>
      </c>
      <c r="G118" s="515">
        <v>654864.71</v>
      </c>
      <c r="H118" s="515">
        <v>7687.1100000000006</v>
      </c>
      <c r="I118" s="515">
        <v>663455.68000000005</v>
      </c>
      <c r="J118" s="515">
        <v>15485.460000000001</v>
      </c>
      <c r="K118" s="515">
        <v>670160.77</v>
      </c>
      <c r="L118" s="515">
        <v>23386.11</v>
      </c>
      <c r="M118" s="515">
        <v>656465.27</v>
      </c>
      <c r="N118" s="515">
        <v>31366.61</v>
      </c>
      <c r="O118" s="515">
        <v>656465.27</v>
      </c>
      <c r="P118" s="515">
        <v>39184.020000000004</v>
      </c>
      <c r="Q118" s="515">
        <v>656465.27</v>
      </c>
      <c r="R118" s="515">
        <v>47001.43</v>
      </c>
      <c r="S118" s="515">
        <v>656483.15</v>
      </c>
      <c r="T118" s="515">
        <v>54818.84</v>
      </c>
      <c r="U118" s="515">
        <v>656536.79</v>
      </c>
      <c r="V118" s="515">
        <v>62636.46</v>
      </c>
      <c r="W118" s="515">
        <v>656644.08000000007</v>
      </c>
      <c r="X118" s="515">
        <v>70454.720000000001</v>
      </c>
      <c r="Y118" s="515">
        <v>656768.47</v>
      </c>
      <c r="Z118" s="515">
        <v>78274.259999999995</v>
      </c>
      <c r="AA118" s="515">
        <v>656705.79</v>
      </c>
      <c r="AB118" s="515">
        <v>86095.28</v>
      </c>
      <c r="AC118" s="515">
        <v>656793.18000000005</v>
      </c>
      <c r="AD118" s="515">
        <v>93915.55</v>
      </c>
      <c r="AE118" s="515">
        <f t="shared" si="5"/>
        <v>657681.12</v>
      </c>
      <c r="AF118" s="515">
        <f t="shared" si="5"/>
        <v>46945.67291666667</v>
      </c>
    </row>
    <row r="119" spans="1:32">
      <c r="A119" s="509">
        <v>108</v>
      </c>
      <c r="B119" s="26"/>
      <c r="C119" s="26" t="s">
        <v>1584</v>
      </c>
      <c r="D119" s="26" t="s">
        <v>992</v>
      </c>
      <c r="E119" s="515">
        <v>0</v>
      </c>
      <c r="F119" s="515">
        <v>0</v>
      </c>
      <c r="G119" s="515">
        <v>0</v>
      </c>
      <c r="H119" s="515">
        <v>0</v>
      </c>
      <c r="I119" s="515">
        <v>0</v>
      </c>
      <c r="J119" s="515">
        <v>0</v>
      </c>
      <c r="K119" s="515">
        <v>0</v>
      </c>
      <c r="L119" s="515">
        <v>0</v>
      </c>
      <c r="M119" s="515">
        <v>0</v>
      </c>
      <c r="N119" s="515">
        <v>0</v>
      </c>
      <c r="O119" s="515">
        <v>0</v>
      </c>
      <c r="P119" s="515">
        <v>0</v>
      </c>
      <c r="Q119" s="515">
        <v>0</v>
      </c>
      <c r="R119" s="515">
        <v>0</v>
      </c>
      <c r="S119" s="515">
        <v>0</v>
      </c>
      <c r="T119" s="515">
        <v>0</v>
      </c>
      <c r="U119" s="515">
        <v>0</v>
      </c>
      <c r="V119" s="515">
        <v>0</v>
      </c>
      <c r="W119" s="515">
        <v>0</v>
      </c>
      <c r="X119" s="515">
        <v>0</v>
      </c>
      <c r="Y119" s="515">
        <v>0</v>
      </c>
      <c r="Z119" s="515">
        <v>0</v>
      </c>
      <c r="AA119" s="515">
        <v>0</v>
      </c>
      <c r="AB119" s="515">
        <v>0</v>
      </c>
      <c r="AC119" s="515">
        <v>123571.06</v>
      </c>
      <c r="AD119" s="515">
        <v>0</v>
      </c>
      <c r="AE119" s="515">
        <f t="shared" si="5"/>
        <v>5148.7941666666666</v>
      </c>
      <c r="AF119" s="515">
        <f t="shared" si="5"/>
        <v>0</v>
      </c>
    </row>
    <row r="120" spans="1:32">
      <c r="A120" s="509">
        <v>109</v>
      </c>
      <c r="B120" s="26"/>
      <c r="C120" s="26" t="s">
        <v>1006</v>
      </c>
      <c r="D120" s="26" t="s">
        <v>992</v>
      </c>
      <c r="E120" s="515">
        <v>94899.76</v>
      </c>
      <c r="F120" s="515">
        <v>0</v>
      </c>
      <c r="G120" s="515">
        <v>94899.760000000009</v>
      </c>
      <c r="H120" s="515">
        <v>0</v>
      </c>
      <c r="I120" s="515">
        <v>94899.760000000009</v>
      </c>
      <c r="J120" s="515">
        <v>0</v>
      </c>
      <c r="K120" s="515">
        <v>94899.760000000009</v>
      </c>
      <c r="L120" s="515">
        <v>0</v>
      </c>
      <c r="M120" s="515">
        <v>94899.760000000009</v>
      </c>
      <c r="N120" s="515">
        <v>0</v>
      </c>
      <c r="O120" s="515">
        <v>94899.760000000009</v>
      </c>
      <c r="P120" s="515">
        <v>0</v>
      </c>
      <c r="Q120" s="515">
        <v>94899.760000000009</v>
      </c>
      <c r="R120" s="515">
        <v>0</v>
      </c>
      <c r="S120" s="515">
        <v>94899.760000000009</v>
      </c>
      <c r="T120" s="515">
        <v>0</v>
      </c>
      <c r="U120" s="515">
        <v>94899.760000000009</v>
      </c>
      <c r="V120" s="515">
        <v>0</v>
      </c>
      <c r="W120" s="515">
        <v>94899.760000000009</v>
      </c>
      <c r="X120" s="515">
        <v>0</v>
      </c>
      <c r="Y120" s="515">
        <v>94899.760000000009</v>
      </c>
      <c r="Z120" s="515">
        <v>0</v>
      </c>
      <c r="AA120" s="515">
        <v>94899.760000000009</v>
      </c>
      <c r="AB120" s="515">
        <v>0</v>
      </c>
      <c r="AC120" s="515">
        <v>94899.760000000009</v>
      </c>
      <c r="AD120" s="515">
        <v>0</v>
      </c>
      <c r="AE120" s="515">
        <f t="shared" si="5"/>
        <v>94899.760000000009</v>
      </c>
      <c r="AF120" s="515">
        <f t="shared" si="5"/>
        <v>0</v>
      </c>
    </row>
    <row r="121" spans="1:32">
      <c r="A121" s="509">
        <v>110</v>
      </c>
      <c r="B121" s="26"/>
      <c r="C121" s="26" t="s">
        <v>1007</v>
      </c>
      <c r="D121" s="26" t="s">
        <v>992</v>
      </c>
      <c r="E121" s="515">
        <v>399189.1</v>
      </c>
      <c r="F121" s="515">
        <v>419228.1</v>
      </c>
      <c r="G121" s="515">
        <v>399189.1</v>
      </c>
      <c r="H121" s="515">
        <v>419228.1</v>
      </c>
      <c r="I121" s="515">
        <v>399189.1</v>
      </c>
      <c r="J121" s="515">
        <v>419228.1</v>
      </c>
      <c r="K121" s="515">
        <v>399189.1</v>
      </c>
      <c r="L121" s="515">
        <v>419228.1</v>
      </c>
      <c r="M121" s="515">
        <v>399189.1</v>
      </c>
      <c r="N121" s="515">
        <v>419228.1</v>
      </c>
      <c r="O121" s="515">
        <v>399189.1</v>
      </c>
      <c r="P121" s="515">
        <v>419228.1</v>
      </c>
      <c r="Q121" s="515">
        <v>399189.1</v>
      </c>
      <c r="R121" s="515">
        <v>419228.1</v>
      </c>
      <c r="S121" s="515">
        <v>399189.1</v>
      </c>
      <c r="T121" s="515">
        <v>419228.1</v>
      </c>
      <c r="U121" s="515">
        <v>399189.1</v>
      </c>
      <c r="V121" s="515">
        <v>419228.1</v>
      </c>
      <c r="W121" s="515">
        <v>399189.1</v>
      </c>
      <c r="X121" s="515">
        <v>419228.1</v>
      </c>
      <c r="Y121" s="515">
        <v>399189.1</v>
      </c>
      <c r="Z121" s="515">
        <v>419228.1</v>
      </c>
      <c r="AA121" s="515">
        <v>399189.1</v>
      </c>
      <c r="AB121" s="515">
        <v>419228.1</v>
      </c>
      <c r="AC121" s="515">
        <v>399189.1</v>
      </c>
      <c r="AD121" s="515">
        <v>419228.1</v>
      </c>
      <c r="AE121" s="515">
        <f t="shared" si="5"/>
        <v>399189.10000000003</v>
      </c>
      <c r="AF121" s="515">
        <f t="shared" si="5"/>
        <v>419228.10000000003</v>
      </c>
    </row>
    <row r="122" spans="1:32">
      <c r="A122" s="509">
        <v>111</v>
      </c>
      <c r="B122" s="26"/>
      <c r="C122" s="26" t="s">
        <v>1008</v>
      </c>
      <c r="D122" s="26" t="s">
        <v>992</v>
      </c>
      <c r="E122" s="515">
        <v>954713.11</v>
      </c>
      <c r="F122" s="515">
        <v>696776.96</v>
      </c>
      <c r="G122" s="515">
        <v>954713.11</v>
      </c>
      <c r="H122" s="515">
        <v>696776.96000000008</v>
      </c>
      <c r="I122" s="515">
        <v>954713.11</v>
      </c>
      <c r="J122" s="515">
        <v>696776.96000000008</v>
      </c>
      <c r="K122" s="515">
        <v>954713.11</v>
      </c>
      <c r="L122" s="515">
        <v>696776.96000000008</v>
      </c>
      <c r="M122" s="515">
        <v>954713.11</v>
      </c>
      <c r="N122" s="515">
        <v>696776.96000000008</v>
      </c>
      <c r="O122" s="515">
        <v>954713.11</v>
      </c>
      <c r="P122" s="515">
        <v>696776.96000000008</v>
      </c>
      <c r="Q122" s="515">
        <v>954713.11</v>
      </c>
      <c r="R122" s="515">
        <v>696776.96000000008</v>
      </c>
      <c r="S122" s="515">
        <v>954713.11</v>
      </c>
      <c r="T122" s="515">
        <v>696776.96000000008</v>
      </c>
      <c r="U122" s="515">
        <v>954713.11</v>
      </c>
      <c r="V122" s="515">
        <v>696776.96000000008</v>
      </c>
      <c r="W122" s="515">
        <v>954713.11</v>
      </c>
      <c r="X122" s="515">
        <v>696776.96000000008</v>
      </c>
      <c r="Y122" s="515">
        <v>954713.11</v>
      </c>
      <c r="Z122" s="515">
        <v>696776.96000000008</v>
      </c>
      <c r="AA122" s="515">
        <v>954713.11</v>
      </c>
      <c r="AB122" s="515">
        <v>696776.96000000008</v>
      </c>
      <c r="AC122" s="515">
        <v>954713.11</v>
      </c>
      <c r="AD122" s="515">
        <v>696776.96000000008</v>
      </c>
      <c r="AE122" s="515">
        <f t="shared" si="5"/>
        <v>954713.10999999987</v>
      </c>
      <c r="AF122" s="515">
        <f t="shared" si="5"/>
        <v>696776.96000000008</v>
      </c>
    </row>
    <row r="123" spans="1:32">
      <c r="A123" s="509">
        <v>112</v>
      </c>
      <c r="B123" s="26"/>
      <c r="C123" s="26" t="s">
        <v>1009</v>
      </c>
      <c r="D123" s="26" t="s">
        <v>992</v>
      </c>
      <c r="E123" s="515">
        <v>5897976.4500000002</v>
      </c>
      <c r="F123" s="515">
        <v>5467972.29</v>
      </c>
      <c r="G123" s="515">
        <v>5897976.4500000002</v>
      </c>
      <c r="H123" s="515">
        <v>5474066.8700000001</v>
      </c>
      <c r="I123" s="515">
        <v>5897976.4500000002</v>
      </c>
      <c r="J123" s="515">
        <v>5480161.4500000002</v>
      </c>
      <c r="K123" s="515">
        <v>5897976.4500000002</v>
      </c>
      <c r="L123" s="515">
        <v>5486256.0300000003</v>
      </c>
      <c r="M123" s="515">
        <v>5897976.4500000002</v>
      </c>
      <c r="N123" s="515">
        <v>5492350.6100000003</v>
      </c>
      <c r="O123" s="515">
        <v>5901555.7999999998</v>
      </c>
      <c r="P123" s="515">
        <v>5498445.1900000004</v>
      </c>
      <c r="Q123" s="515">
        <v>5901555.7999999998</v>
      </c>
      <c r="R123" s="515">
        <v>5504543.46</v>
      </c>
      <c r="S123" s="515">
        <v>5901555.7999999998</v>
      </c>
      <c r="T123" s="515">
        <v>5510641.7300000004</v>
      </c>
      <c r="U123" s="515">
        <v>5901555.7999999998</v>
      </c>
      <c r="V123" s="515">
        <v>5516740</v>
      </c>
      <c r="W123" s="515">
        <v>5924571.2000000002</v>
      </c>
      <c r="X123" s="515">
        <v>5522838.2699999996</v>
      </c>
      <c r="Y123" s="515">
        <v>5924571.2000000002</v>
      </c>
      <c r="Z123" s="515">
        <v>5528960.3300000001</v>
      </c>
      <c r="AA123" s="515">
        <v>5924571.2000000002</v>
      </c>
      <c r="AB123" s="515">
        <v>5535082.3900000006</v>
      </c>
      <c r="AC123" s="515">
        <v>5944803.1500000004</v>
      </c>
      <c r="AD123" s="515">
        <v>5541204.4500000002</v>
      </c>
      <c r="AE123" s="515">
        <f t="shared" si="5"/>
        <v>5907769.3666666672</v>
      </c>
      <c r="AF123" s="515">
        <f t="shared" si="5"/>
        <v>5504556.2249999996</v>
      </c>
    </row>
    <row r="124" spans="1:32">
      <c r="A124" s="509">
        <v>113</v>
      </c>
      <c r="B124" s="26"/>
      <c r="C124" s="26" t="s">
        <v>1010</v>
      </c>
      <c r="D124" s="26" t="s">
        <v>992</v>
      </c>
      <c r="E124" s="515">
        <v>2655900.7800000003</v>
      </c>
      <c r="F124" s="515">
        <v>640507.91</v>
      </c>
      <c r="G124" s="515">
        <v>2656773.4800000004</v>
      </c>
      <c r="H124" s="515">
        <v>676451.10000000009</v>
      </c>
      <c r="I124" s="515">
        <v>2656773.4800000004</v>
      </c>
      <c r="J124" s="515">
        <v>712406.10000000009</v>
      </c>
      <c r="K124" s="515">
        <v>2656773.4800000004</v>
      </c>
      <c r="L124" s="515">
        <v>748361.1</v>
      </c>
      <c r="M124" s="515">
        <v>2656773.4800000004</v>
      </c>
      <c r="N124" s="515">
        <v>784316.10000000009</v>
      </c>
      <c r="O124" s="515">
        <v>2627250.8199999998</v>
      </c>
      <c r="P124" s="515">
        <v>820271.1</v>
      </c>
      <c r="Q124" s="515">
        <v>2627250.8199999998</v>
      </c>
      <c r="R124" s="515">
        <v>855826.56</v>
      </c>
      <c r="S124" s="515">
        <v>2627250.8199999998</v>
      </c>
      <c r="T124" s="515">
        <v>891382.02</v>
      </c>
      <c r="U124" s="515">
        <v>2627250.8199999998</v>
      </c>
      <c r="V124" s="515">
        <v>926937.48</v>
      </c>
      <c r="W124" s="515">
        <v>2724174.57</v>
      </c>
      <c r="X124" s="515">
        <v>962492.94000000006</v>
      </c>
      <c r="Y124" s="515">
        <v>2742700.95</v>
      </c>
      <c r="Z124" s="515">
        <v>999360.1</v>
      </c>
      <c r="AA124" s="515">
        <v>2750156.2800000003</v>
      </c>
      <c r="AB124" s="515">
        <v>1036477.99</v>
      </c>
      <c r="AC124" s="515">
        <v>3129482.49</v>
      </c>
      <c r="AD124" s="515">
        <v>1073696.77</v>
      </c>
      <c r="AE124" s="515">
        <f t="shared" si="5"/>
        <v>2687151.7195833339</v>
      </c>
      <c r="AF124" s="515">
        <f t="shared" si="5"/>
        <v>855948.74416666664</v>
      </c>
    </row>
    <row r="125" spans="1:32">
      <c r="A125" s="509">
        <v>114</v>
      </c>
      <c r="B125" s="26"/>
      <c r="C125" s="26" t="s">
        <v>1011</v>
      </c>
      <c r="D125" s="26" t="s">
        <v>992</v>
      </c>
      <c r="E125" s="515">
        <v>156470.54</v>
      </c>
      <c r="F125" s="515">
        <v>-220708.33000000002</v>
      </c>
      <c r="G125" s="515">
        <v>156470.54</v>
      </c>
      <c r="H125" s="515">
        <v>-218443.42</v>
      </c>
      <c r="I125" s="515">
        <v>156470.54</v>
      </c>
      <c r="J125" s="515">
        <v>-216178.51</v>
      </c>
      <c r="K125" s="515">
        <v>156470.54</v>
      </c>
      <c r="L125" s="515">
        <v>-213913.60000000001</v>
      </c>
      <c r="M125" s="515">
        <v>158310.35</v>
      </c>
      <c r="N125" s="515">
        <v>-211648.69</v>
      </c>
      <c r="O125" s="515">
        <v>158310.35</v>
      </c>
      <c r="P125" s="515">
        <v>-209357.15</v>
      </c>
      <c r="Q125" s="515">
        <v>158310.35</v>
      </c>
      <c r="R125" s="515">
        <v>-207065.61</v>
      </c>
      <c r="S125" s="515">
        <v>158310.35</v>
      </c>
      <c r="T125" s="515">
        <v>-204774.07</v>
      </c>
      <c r="U125" s="515">
        <v>158310.35</v>
      </c>
      <c r="V125" s="515">
        <v>-202482.53000000003</v>
      </c>
      <c r="W125" s="515">
        <v>158310.35</v>
      </c>
      <c r="X125" s="515">
        <v>-200190.99000000002</v>
      </c>
      <c r="Y125" s="515">
        <v>158310.35</v>
      </c>
      <c r="Z125" s="515">
        <v>-197899.45</v>
      </c>
      <c r="AA125" s="515">
        <v>158310.35</v>
      </c>
      <c r="AB125" s="515">
        <v>-195607.91000000003</v>
      </c>
      <c r="AC125" s="515">
        <v>158310.35</v>
      </c>
      <c r="AD125" s="515">
        <v>-193316.37000000002</v>
      </c>
      <c r="AE125" s="515">
        <f t="shared" si="5"/>
        <v>157773.73875000005</v>
      </c>
      <c r="AF125" s="515">
        <f t="shared" si="5"/>
        <v>-207047.85666666669</v>
      </c>
    </row>
    <row r="126" spans="1:32">
      <c r="A126" s="509">
        <v>115</v>
      </c>
      <c r="B126" s="26"/>
      <c r="C126" s="26" t="s">
        <v>1012</v>
      </c>
      <c r="D126" s="26" t="s">
        <v>992</v>
      </c>
      <c r="E126" s="515">
        <v>1276603.8500000001</v>
      </c>
      <c r="F126" s="515">
        <v>-3161.62</v>
      </c>
      <c r="G126" s="515">
        <v>1276603.8500000001</v>
      </c>
      <c r="H126" s="515">
        <v>2136.29</v>
      </c>
      <c r="I126" s="515">
        <v>1276603.8500000001</v>
      </c>
      <c r="J126" s="515">
        <v>7434.2</v>
      </c>
      <c r="K126" s="515">
        <v>1276603.8500000001</v>
      </c>
      <c r="L126" s="515">
        <v>12732.11</v>
      </c>
      <c r="M126" s="515">
        <v>1276603.8500000001</v>
      </c>
      <c r="N126" s="515">
        <v>18030.02</v>
      </c>
      <c r="O126" s="515">
        <v>1276603.8500000001</v>
      </c>
      <c r="P126" s="515">
        <v>23327.93</v>
      </c>
      <c r="Q126" s="515">
        <v>1276603.8500000001</v>
      </c>
      <c r="R126" s="515">
        <v>28625.84</v>
      </c>
      <c r="S126" s="515">
        <v>1276603.8500000001</v>
      </c>
      <c r="T126" s="515">
        <v>33923.75</v>
      </c>
      <c r="U126" s="515">
        <v>1276603.8500000001</v>
      </c>
      <c r="V126" s="515">
        <v>39221.660000000003</v>
      </c>
      <c r="W126" s="515">
        <v>1276603.8500000001</v>
      </c>
      <c r="X126" s="515">
        <v>44519.57</v>
      </c>
      <c r="Y126" s="515">
        <v>1276603.8500000001</v>
      </c>
      <c r="Z126" s="515">
        <v>49817.48</v>
      </c>
      <c r="AA126" s="515">
        <v>1276603.8500000001</v>
      </c>
      <c r="AB126" s="515">
        <v>55115.39</v>
      </c>
      <c r="AC126" s="515">
        <v>1276603.8500000001</v>
      </c>
      <c r="AD126" s="515">
        <v>60413.3</v>
      </c>
      <c r="AE126" s="515">
        <f t="shared" si="5"/>
        <v>1276603.8499999999</v>
      </c>
      <c r="AF126" s="515">
        <f t="shared" si="5"/>
        <v>28625.84</v>
      </c>
    </row>
    <row r="127" spans="1:32">
      <c r="A127" s="509">
        <v>116</v>
      </c>
      <c r="B127" s="26"/>
      <c r="C127" s="26" t="s">
        <v>1013</v>
      </c>
      <c r="D127" s="26" t="s">
        <v>992</v>
      </c>
      <c r="E127" s="515">
        <v>2994409.6100000003</v>
      </c>
      <c r="F127" s="515">
        <v>2994409.62</v>
      </c>
      <c r="G127" s="515">
        <v>2994409.61</v>
      </c>
      <c r="H127" s="515">
        <v>2994409.62</v>
      </c>
      <c r="I127" s="515">
        <v>2994409.61</v>
      </c>
      <c r="J127" s="515">
        <v>2994409.62</v>
      </c>
      <c r="K127" s="515">
        <v>2994409.61</v>
      </c>
      <c r="L127" s="515">
        <v>2994409.62</v>
      </c>
      <c r="M127" s="515">
        <v>2994409.61</v>
      </c>
      <c r="N127" s="515">
        <v>2994409.62</v>
      </c>
      <c r="O127" s="515">
        <v>2994409.61</v>
      </c>
      <c r="P127" s="515">
        <v>2994409.62</v>
      </c>
      <c r="Q127" s="515">
        <v>2994409.61</v>
      </c>
      <c r="R127" s="515">
        <v>2994409.62</v>
      </c>
      <c r="S127" s="515">
        <v>2994409.61</v>
      </c>
      <c r="T127" s="515">
        <v>2994409.62</v>
      </c>
      <c r="U127" s="515">
        <v>2994409.61</v>
      </c>
      <c r="V127" s="515">
        <v>2994409.62</v>
      </c>
      <c r="W127" s="515">
        <v>2994409.61</v>
      </c>
      <c r="X127" s="515">
        <v>2994409.62</v>
      </c>
      <c r="Y127" s="515">
        <v>2994409.61</v>
      </c>
      <c r="Z127" s="515">
        <v>2994409.62</v>
      </c>
      <c r="AA127" s="515">
        <v>2994409.61</v>
      </c>
      <c r="AB127" s="515">
        <v>2994409.62</v>
      </c>
      <c r="AC127" s="515">
        <v>2994409.61</v>
      </c>
      <c r="AD127" s="515">
        <v>2994409.62</v>
      </c>
      <c r="AE127" s="515">
        <f t="shared" si="5"/>
        <v>2994409.61</v>
      </c>
      <c r="AF127" s="515">
        <f t="shared" si="5"/>
        <v>2994409.6200000006</v>
      </c>
    </row>
    <row r="128" spans="1:32">
      <c r="A128" s="509">
        <v>117</v>
      </c>
      <c r="B128" s="26"/>
      <c r="C128" s="26" t="s">
        <v>1014</v>
      </c>
      <c r="D128" s="26" t="s">
        <v>992</v>
      </c>
      <c r="E128" s="515">
        <v>48394.18</v>
      </c>
      <c r="F128" s="515">
        <v>37746.22</v>
      </c>
      <c r="G128" s="515">
        <v>48394.18</v>
      </c>
      <c r="H128" s="515">
        <v>37873.26</v>
      </c>
      <c r="I128" s="515">
        <v>48394.18</v>
      </c>
      <c r="J128" s="515">
        <v>38000.300000000003</v>
      </c>
      <c r="K128" s="515">
        <v>48394.18</v>
      </c>
      <c r="L128" s="515">
        <v>38127.339999999997</v>
      </c>
      <c r="M128" s="515">
        <v>48394.18</v>
      </c>
      <c r="N128" s="515">
        <v>38254.380000000005</v>
      </c>
      <c r="O128" s="515">
        <v>48394.18</v>
      </c>
      <c r="P128" s="515">
        <v>38381.42</v>
      </c>
      <c r="Q128" s="515">
        <v>48394.18</v>
      </c>
      <c r="R128" s="515">
        <v>38508.46</v>
      </c>
      <c r="S128" s="515">
        <v>7723.92</v>
      </c>
      <c r="T128" s="515">
        <v>5965.2400000000007</v>
      </c>
      <c r="U128" s="515">
        <v>7723.92</v>
      </c>
      <c r="V128" s="515">
        <v>5985.52</v>
      </c>
      <c r="W128" s="515">
        <v>7723.92</v>
      </c>
      <c r="X128" s="515">
        <v>6005.8</v>
      </c>
      <c r="Y128" s="515">
        <v>7723.92</v>
      </c>
      <c r="Z128" s="515">
        <v>6026.0800000000008</v>
      </c>
      <c r="AA128" s="515">
        <v>7723.92</v>
      </c>
      <c r="AB128" s="515">
        <v>6046.36</v>
      </c>
      <c r="AC128" s="515">
        <v>7723.92</v>
      </c>
      <c r="AD128" s="515">
        <v>6066.64</v>
      </c>
      <c r="AE128" s="515">
        <f t="shared" si="5"/>
        <v>29753.644166666661</v>
      </c>
      <c r="AF128" s="515">
        <f t="shared" si="5"/>
        <v>23423.382499999996</v>
      </c>
    </row>
    <row r="129" spans="1:32">
      <c r="A129" s="509">
        <v>118</v>
      </c>
      <c r="B129" s="26"/>
      <c r="C129" s="26" t="s">
        <v>1015</v>
      </c>
      <c r="D129" s="26" t="s">
        <v>992</v>
      </c>
      <c r="E129" s="515">
        <v>1867639.19</v>
      </c>
      <c r="F129" s="515">
        <v>697327.39</v>
      </c>
      <c r="G129" s="515">
        <v>1866393.85</v>
      </c>
      <c r="H129" s="515">
        <v>706899.04</v>
      </c>
      <c r="I129" s="515">
        <v>1869381.15</v>
      </c>
      <c r="J129" s="515">
        <v>716464.30999999994</v>
      </c>
      <c r="K129" s="515">
        <v>1869241.3699999999</v>
      </c>
      <c r="L129" s="515">
        <v>726044.89</v>
      </c>
      <c r="M129" s="515">
        <v>1843099</v>
      </c>
      <c r="N129" s="515">
        <v>700783.62</v>
      </c>
      <c r="O129" s="515">
        <v>1872060.19</v>
      </c>
      <c r="P129" s="515">
        <v>710167.69</v>
      </c>
      <c r="Q129" s="515">
        <v>1879132.56</v>
      </c>
      <c r="R129" s="515">
        <v>719762</v>
      </c>
      <c r="S129" s="515">
        <v>1878090.54</v>
      </c>
      <c r="T129" s="515">
        <v>729392.56</v>
      </c>
      <c r="U129" s="515">
        <v>1906495.95</v>
      </c>
      <c r="V129" s="515">
        <v>739017.78</v>
      </c>
      <c r="W129" s="515">
        <v>1937053.6</v>
      </c>
      <c r="X129" s="515">
        <v>748788.57</v>
      </c>
      <c r="Y129" s="515">
        <v>1984982.28</v>
      </c>
      <c r="Z129" s="515">
        <v>758715.97</v>
      </c>
      <c r="AA129" s="515">
        <v>1984617.24</v>
      </c>
      <c r="AB129" s="515">
        <v>779329</v>
      </c>
      <c r="AC129" s="515">
        <v>2035982.23</v>
      </c>
      <c r="AD129" s="515">
        <v>789500.16999999993</v>
      </c>
      <c r="AE129" s="515">
        <f t="shared" si="5"/>
        <v>1903529.87</v>
      </c>
      <c r="AF129" s="515">
        <f t="shared" si="5"/>
        <v>731564.9341666667</v>
      </c>
    </row>
    <row r="130" spans="1:32">
      <c r="A130" s="509">
        <v>119</v>
      </c>
      <c r="B130" s="26"/>
      <c r="C130" s="26" t="s">
        <v>1016</v>
      </c>
      <c r="D130" s="26" t="s">
        <v>992</v>
      </c>
      <c r="E130" s="515">
        <v>43088.19</v>
      </c>
      <c r="F130" s="515">
        <v>16035.050000000001</v>
      </c>
      <c r="G130" s="515">
        <v>43088.19</v>
      </c>
      <c r="H130" s="515">
        <v>16226.79</v>
      </c>
      <c r="I130" s="515">
        <v>43088.19</v>
      </c>
      <c r="J130" s="515">
        <v>16418.53</v>
      </c>
      <c r="K130" s="515">
        <v>43088.19</v>
      </c>
      <c r="L130" s="515">
        <v>16610.27</v>
      </c>
      <c r="M130" s="515">
        <v>43088.19</v>
      </c>
      <c r="N130" s="515">
        <v>16802.010000000002</v>
      </c>
      <c r="O130" s="515">
        <v>43088.19</v>
      </c>
      <c r="P130" s="515">
        <v>16993.75</v>
      </c>
      <c r="Q130" s="515">
        <v>43088.19</v>
      </c>
      <c r="R130" s="515">
        <v>17185.489999999998</v>
      </c>
      <c r="S130" s="515">
        <v>43088.19</v>
      </c>
      <c r="T130" s="515">
        <v>17377.23</v>
      </c>
      <c r="U130" s="515">
        <v>43088.19</v>
      </c>
      <c r="V130" s="515">
        <v>17568.97</v>
      </c>
      <c r="W130" s="515">
        <v>43088.19</v>
      </c>
      <c r="X130" s="515">
        <v>17760.71</v>
      </c>
      <c r="Y130" s="515">
        <v>43088.19</v>
      </c>
      <c r="Z130" s="515">
        <v>17952.45</v>
      </c>
      <c r="AA130" s="515">
        <v>43088.19</v>
      </c>
      <c r="AB130" s="515">
        <v>18144.190000000002</v>
      </c>
      <c r="AC130" s="515">
        <v>43088.19</v>
      </c>
      <c r="AD130" s="515">
        <v>18335.93</v>
      </c>
      <c r="AE130" s="515">
        <f t="shared" si="5"/>
        <v>43088.19</v>
      </c>
      <c r="AF130" s="515">
        <f t="shared" si="5"/>
        <v>17185.489999999998</v>
      </c>
    </row>
    <row r="131" spans="1:32">
      <c r="A131" s="509">
        <v>120</v>
      </c>
      <c r="B131" s="26"/>
      <c r="C131" s="26" t="s">
        <v>1017</v>
      </c>
      <c r="D131" s="26" t="s">
        <v>992</v>
      </c>
      <c r="E131" s="515">
        <v>1904730.4</v>
      </c>
      <c r="F131" s="515">
        <v>482677.32000000007</v>
      </c>
      <c r="G131" s="515">
        <v>1904976.15</v>
      </c>
      <c r="H131" s="515">
        <v>488328.02</v>
      </c>
      <c r="I131" s="515">
        <v>1904976.15</v>
      </c>
      <c r="J131" s="515">
        <v>493979.45</v>
      </c>
      <c r="K131" s="515">
        <v>1882213.96</v>
      </c>
      <c r="L131" s="515">
        <v>476868.69</v>
      </c>
      <c r="M131" s="515">
        <v>1936846.22</v>
      </c>
      <c r="N131" s="515">
        <v>482452.58999999997</v>
      </c>
      <c r="O131" s="515">
        <v>1936846.22</v>
      </c>
      <c r="P131" s="515">
        <v>488198.57000000007</v>
      </c>
      <c r="Q131" s="515">
        <v>1936846.22</v>
      </c>
      <c r="R131" s="515">
        <v>493944.55000000005</v>
      </c>
      <c r="S131" s="515">
        <v>1944434.94</v>
      </c>
      <c r="T131" s="515">
        <v>499690.53</v>
      </c>
      <c r="U131" s="515">
        <v>1944434.94</v>
      </c>
      <c r="V131" s="515">
        <v>505459.02</v>
      </c>
      <c r="W131" s="515">
        <v>2167434.4700000002</v>
      </c>
      <c r="X131" s="515">
        <v>511227.51</v>
      </c>
      <c r="Y131" s="515">
        <v>2336854.62</v>
      </c>
      <c r="Z131" s="515">
        <v>517657.57000000007</v>
      </c>
      <c r="AA131" s="515">
        <v>2393064.5499999998</v>
      </c>
      <c r="AB131" s="515">
        <v>526703.61</v>
      </c>
      <c r="AC131" s="515">
        <v>2441513.96</v>
      </c>
      <c r="AD131" s="515">
        <v>533803.03</v>
      </c>
      <c r="AE131" s="515">
        <f t="shared" si="5"/>
        <v>2038504.2183333335</v>
      </c>
      <c r="AF131" s="515">
        <f t="shared" si="5"/>
        <v>499395.85708333342</v>
      </c>
    </row>
    <row r="132" spans="1:32">
      <c r="A132" s="509"/>
      <c r="B132" s="26"/>
      <c r="C132" s="26" t="s">
        <v>1018</v>
      </c>
      <c r="D132" s="26" t="s">
        <v>992</v>
      </c>
      <c r="E132" s="515">
        <v>96880.819999999992</v>
      </c>
      <c r="F132" s="515">
        <v>44775.8</v>
      </c>
      <c r="G132" s="515">
        <v>96880.82</v>
      </c>
      <c r="H132" s="515">
        <v>45147.18</v>
      </c>
      <c r="I132" s="515">
        <v>96880.82</v>
      </c>
      <c r="J132" s="515">
        <v>45518.560000000005</v>
      </c>
      <c r="K132" s="515">
        <v>90630.82</v>
      </c>
      <c r="L132" s="515">
        <v>39639.93</v>
      </c>
      <c r="M132" s="515">
        <v>90630.82</v>
      </c>
      <c r="N132" s="515">
        <v>39987.350000000006</v>
      </c>
      <c r="O132" s="515">
        <v>90630.82</v>
      </c>
      <c r="P132" s="515">
        <v>40334.769999999997</v>
      </c>
      <c r="Q132" s="515">
        <v>90630.82</v>
      </c>
      <c r="R132" s="515">
        <v>40682.19</v>
      </c>
      <c r="S132" s="515">
        <v>90630.82</v>
      </c>
      <c r="T132" s="515">
        <v>41029.61</v>
      </c>
      <c r="U132" s="515">
        <v>90630.82</v>
      </c>
      <c r="V132" s="515">
        <v>41377.03</v>
      </c>
      <c r="W132" s="515">
        <v>90630.82</v>
      </c>
      <c r="X132" s="515">
        <v>41724.449999999997</v>
      </c>
      <c r="Y132" s="515">
        <v>90630.82</v>
      </c>
      <c r="Z132" s="515">
        <v>42071.87</v>
      </c>
      <c r="AA132" s="515">
        <v>90630.82</v>
      </c>
      <c r="AB132" s="515">
        <v>42419.29</v>
      </c>
      <c r="AC132" s="515">
        <v>90630.82</v>
      </c>
      <c r="AD132" s="515">
        <v>42766.710000000006</v>
      </c>
      <c r="AE132" s="515">
        <f t="shared" si="5"/>
        <v>91932.903333333365</v>
      </c>
      <c r="AF132" s="515">
        <f t="shared" si="5"/>
        <v>41975.290416666663</v>
      </c>
    </row>
    <row r="133" spans="1:32">
      <c r="A133" s="509"/>
      <c r="B133" s="26"/>
      <c r="C133" s="26" t="s">
        <v>1019</v>
      </c>
      <c r="D133" s="26" t="s">
        <v>992</v>
      </c>
      <c r="E133" s="515">
        <v>-97200.700000000012</v>
      </c>
      <c r="F133" s="515">
        <v>3766.79</v>
      </c>
      <c r="G133" s="515">
        <v>-97200.7</v>
      </c>
      <c r="H133" s="515">
        <v>3347.21</v>
      </c>
      <c r="I133" s="515">
        <v>-97200.7</v>
      </c>
      <c r="J133" s="515">
        <v>2927.63</v>
      </c>
      <c r="K133" s="515">
        <v>-81017.920000000013</v>
      </c>
      <c r="L133" s="515">
        <v>266.90000000000003</v>
      </c>
      <c r="M133" s="515">
        <v>-81017.920000000013</v>
      </c>
      <c r="N133" s="515">
        <v>-82.830000000000013</v>
      </c>
      <c r="O133" s="515">
        <v>-81017.920000000013</v>
      </c>
      <c r="P133" s="515">
        <v>-432.56</v>
      </c>
      <c r="Q133" s="515">
        <v>-94808.85</v>
      </c>
      <c r="R133" s="515">
        <v>-31852.54</v>
      </c>
      <c r="S133" s="515">
        <v>-94808.85</v>
      </c>
      <c r="T133" s="515">
        <v>-32261.79</v>
      </c>
      <c r="U133" s="515">
        <v>-94808.85</v>
      </c>
      <c r="V133" s="515">
        <v>-32671.040000000001</v>
      </c>
      <c r="W133" s="515">
        <v>-94808.85</v>
      </c>
      <c r="X133" s="515">
        <v>-33080.29</v>
      </c>
      <c r="Y133" s="515">
        <v>-94808.85</v>
      </c>
      <c r="Z133" s="515">
        <v>-33489.54</v>
      </c>
      <c r="AA133" s="515">
        <v>-94808.85</v>
      </c>
      <c r="AB133" s="515">
        <v>-33898.79</v>
      </c>
      <c r="AC133" s="515">
        <v>-96696.89</v>
      </c>
      <c r="AD133" s="515">
        <v>-34308.04</v>
      </c>
      <c r="AE133" s="515">
        <f t="shared" ref="AE133:AF141" si="6">+(E133+AC133+(+G133+I133+K133+M133+O133+Q133+S133+U133+W133+Y133+AA133)*2)/24</f>
        <v>-91938.087916666656</v>
      </c>
      <c r="AF133" s="515">
        <f t="shared" si="6"/>
        <v>-17208.188750000001</v>
      </c>
    </row>
    <row r="134" spans="1:32">
      <c r="A134" s="509"/>
      <c r="B134" s="26"/>
      <c r="C134" s="26" t="s">
        <v>1020</v>
      </c>
      <c r="D134" s="26" t="s">
        <v>992</v>
      </c>
      <c r="E134" s="515">
        <v>26798.559999999998</v>
      </c>
      <c r="F134" s="515">
        <v>-503.17</v>
      </c>
      <c r="G134" s="515">
        <v>26798.560000000001</v>
      </c>
      <c r="H134" s="515">
        <v>-433.5</v>
      </c>
      <c r="I134" s="515">
        <v>26798.560000000001</v>
      </c>
      <c r="J134" s="515">
        <v>-363.83000000000004</v>
      </c>
      <c r="K134" s="515">
        <v>26798.560000000001</v>
      </c>
      <c r="L134" s="515">
        <v>-294.15999999999997</v>
      </c>
      <c r="M134" s="515">
        <v>26798.560000000001</v>
      </c>
      <c r="N134" s="515">
        <v>-224.49</v>
      </c>
      <c r="O134" s="515">
        <v>26798.560000000001</v>
      </c>
      <c r="P134" s="515">
        <v>-154.82</v>
      </c>
      <c r="Q134" s="515">
        <v>26798.560000000001</v>
      </c>
      <c r="R134" s="515">
        <v>-85.15</v>
      </c>
      <c r="S134" s="515">
        <v>26798.560000000001</v>
      </c>
      <c r="T134" s="515">
        <v>-15.48</v>
      </c>
      <c r="U134" s="515">
        <v>26798.560000000001</v>
      </c>
      <c r="V134" s="515">
        <v>54.19</v>
      </c>
      <c r="W134" s="515">
        <v>26798.560000000001</v>
      </c>
      <c r="X134" s="515">
        <v>123.86000000000001</v>
      </c>
      <c r="Y134" s="515">
        <v>0</v>
      </c>
      <c r="Z134" s="515">
        <v>-12105.03</v>
      </c>
      <c r="AA134" s="515">
        <v>0</v>
      </c>
      <c r="AB134" s="515">
        <v>-12105.03</v>
      </c>
      <c r="AC134" s="515">
        <v>0</v>
      </c>
      <c r="AD134" s="515">
        <v>-12105.03</v>
      </c>
      <c r="AE134" s="515">
        <f t="shared" si="6"/>
        <v>21215.526666666668</v>
      </c>
      <c r="AF134" s="515">
        <f t="shared" si="6"/>
        <v>-2658.9616666666666</v>
      </c>
    </row>
    <row r="135" spans="1:32">
      <c r="A135" s="509"/>
      <c r="B135" s="26"/>
      <c r="C135" s="26" t="s">
        <v>1021</v>
      </c>
      <c r="D135" s="26" t="s">
        <v>992</v>
      </c>
      <c r="E135" s="515">
        <v>10882.89</v>
      </c>
      <c r="F135" s="515">
        <v>4107.7700000000004</v>
      </c>
      <c r="G135" s="515">
        <v>10882.89</v>
      </c>
      <c r="H135" s="515">
        <v>4192.75</v>
      </c>
      <c r="I135" s="515">
        <v>10882.89</v>
      </c>
      <c r="J135" s="515">
        <v>4277.7300000000005</v>
      </c>
      <c r="K135" s="515">
        <v>10882.89</v>
      </c>
      <c r="L135" s="515">
        <v>4362.71</v>
      </c>
      <c r="M135" s="515">
        <v>10882.89</v>
      </c>
      <c r="N135" s="515">
        <v>4447.6900000000005</v>
      </c>
      <c r="O135" s="515">
        <v>10882.89</v>
      </c>
      <c r="P135" s="515">
        <v>4532.67</v>
      </c>
      <c r="Q135" s="515">
        <v>10882.89</v>
      </c>
      <c r="R135" s="515">
        <v>4617.6499999999996</v>
      </c>
      <c r="S135" s="515">
        <v>10882.89</v>
      </c>
      <c r="T135" s="515">
        <v>4702.63</v>
      </c>
      <c r="U135" s="515">
        <v>10882.89</v>
      </c>
      <c r="V135" s="515">
        <v>4787.6100000000006</v>
      </c>
      <c r="W135" s="515">
        <v>10882.89</v>
      </c>
      <c r="X135" s="515">
        <v>4872.59</v>
      </c>
      <c r="Y135" s="515">
        <v>10882.89</v>
      </c>
      <c r="Z135" s="515">
        <v>4957.57</v>
      </c>
      <c r="AA135" s="515">
        <v>10882.89</v>
      </c>
      <c r="AB135" s="515">
        <v>5042.55</v>
      </c>
      <c r="AC135" s="515">
        <v>20451.79</v>
      </c>
      <c r="AD135" s="515">
        <v>5127.5300000000007</v>
      </c>
      <c r="AE135" s="515">
        <f t="shared" si="6"/>
        <v>11281.594166666668</v>
      </c>
      <c r="AF135" s="515">
        <f t="shared" si="6"/>
        <v>4617.6500000000005</v>
      </c>
    </row>
    <row r="136" spans="1:32">
      <c r="A136" s="509"/>
      <c r="B136" s="26"/>
      <c r="C136" s="26" t="s">
        <v>1022</v>
      </c>
      <c r="D136" s="26" t="s">
        <v>992</v>
      </c>
      <c r="E136" s="515">
        <v>755929.81</v>
      </c>
      <c r="F136" s="515">
        <v>660303.18999999994</v>
      </c>
      <c r="G136" s="515">
        <v>755929.80999999994</v>
      </c>
      <c r="H136" s="515">
        <v>660385.08000000007</v>
      </c>
      <c r="I136" s="515">
        <v>755929.80999999994</v>
      </c>
      <c r="J136" s="515">
        <v>660466.97</v>
      </c>
      <c r="K136" s="515">
        <v>755929.80999999994</v>
      </c>
      <c r="L136" s="515">
        <v>660548.86</v>
      </c>
      <c r="M136" s="515">
        <v>755929.80999999994</v>
      </c>
      <c r="N136" s="515">
        <v>660630.75</v>
      </c>
      <c r="O136" s="515">
        <v>755929.80999999994</v>
      </c>
      <c r="P136" s="515">
        <v>660712.64</v>
      </c>
      <c r="Q136" s="515">
        <v>755929.80999999994</v>
      </c>
      <c r="R136" s="515">
        <v>660794.53</v>
      </c>
      <c r="S136" s="515">
        <v>755929.80999999994</v>
      </c>
      <c r="T136" s="515">
        <v>660876.42000000004</v>
      </c>
      <c r="U136" s="515">
        <v>755929.80999999994</v>
      </c>
      <c r="V136" s="515">
        <v>660958.31000000006</v>
      </c>
      <c r="W136" s="515">
        <v>755929.80999999994</v>
      </c>
      <c r="X136" s="515">
        <v>661040.20000000007</v>
      </c>
      <c r="Y136" s="515">
        <v>755929.80999999994</v>
      </c>
      <c r="Z136" s="515">
        <v>661122.09000000008</v>
      </c>
      <c r="AA136" s="515">
        <v>755929.80999999994</v>
      </c>
      <c r="AB136" s="515">
        <v>661203.98</v>
      </c>
      <c r="AC136" s="515">
        <v>755929.80999999994</v>
      </c>
      <c r="AD136" s="515">
        <v>661285.87</v>
      </c>
      <c r="AE136" s="515">
        <f t="shared" si="6"/>
        <v>755929.80999999971</v>
      </c>
      <c r="AF136" s="515">
        <f t="shared" si="6"/>
        <v>660794.53</v>
      </c>
    </row>
    <row r="137" spans="1:32">
      <c r="A137" s="509"/>
      <c r="B137" s="26"/>
      <c r="C137" s="26" t="s">
        <v>1023</v>
      </c>
      <c r="D137" s="26" t="s">
        <v>992</v>
      </c>
      <c r="E137" s="515">
        <v>134305.54</v>
      </c>
      <c r="F137" s="515">
        <v>-46333.930000000008</v>
      </c>
      <c r="G137" s="515">
        <v>134305.54</v>
      </c>
      <c r="H137" s="515">
        <v>-45306.490000000005</v>
      </c>
      <c r="I137" s="515">
        <v>134305.54</v>
      </c>
      <c r="J137" s="515">
        <v>-44279.05</v>
      </c>
      <c r="K137" s="515">
        <v>134305.54</v>
      </c>
      <c r="L137" s="515">
        <v>-43251.61</v>
      </c>
      <c r="M137" s="515">
        <v>134305.54</v>
      </c>
      <c r="N137" s="515">
        <v>-42224.17</v>
      </c>
      <c r="O137" s="515">
        <v>134305.54</v>
      </c>
      <c r="P137" s="515">
        <v>-41196.730000000003</v>
      </c>
      <c r="Q137" s="515">
        <v>134305.54</v>
      </c>
      <c r="R137" s="515">
        <v>-40169.29</v>
      </c>
      <c r="S137" s="515">
        <v>134305.54</v>
      </c>
      <c r="T137" s="515">
        <v>-39141.85</v>
      </c>
      <c r="U137" s="515">
        <v>134305.54</v>
      </c>
      <c r="V137" s="515">
        <v>-38114.410000000003</v>
      </c>
      <c r="W137" s="515">
        <v>134305.54</v>
      </c>
      <c r="X137" s="515">
        <v>-37086.97</v>
      </c>
      <c r="Y137" s="515">
        <v>134305.54</v>
      </c>
      <c r="Z137" s="515">
        <v>-36059.53</v>
      </c>
      <c r="AA137" s="515">
        <v>134305.54</v>
      </c>
      <c r="AB137" s="515">
        <v>-35032.089999999997</v>
      </c>
      <c r="AC137" s="515">
        <v>134305.54</v>
      </c>
      <c r="AD137" s="515">
        <v>-34004.65</v>
      </c>
      <c r="AE137" s="515">
        <f t="shared" si="6"/>
        <v>134305.54</v>
      </c>
      <c r="AF137" s="515">
        <f t="shared" si="6"/>
        <v>-40169.29</v>
      </c>
    </row>
    <row r="138" spans="1:32">
      <c r="A138" s="509"/>
      <c r="B138" s="26"/>
      <c r="C138" s="26" t="s">
        <v>1024</v>
      </c>
      <c r="D138" s="26" t="s">
        <v>992</v>
      </c>
      <c r="E138" s="515">
        <v>59484.53</v>
      </c>
      <c r="F138" s="515">
        <v>11754.369999999999</v>
      </c>
      <c r="G138" s="515">
        <v>59484.53</v>
      </c>
      <c r="H138" s="515">
        <v>12275.36</v>
      </c>
      <c r="I138" s="515">
        <v>59484.53</v>
      </c>
      <c r="J138" s="515">
        <v>12796.35</v>
      </c>
      <c r="K138" s="515">
        <v>59484.53</v>
      </c>
      <c r="L138" s="515">
        <v>13317.34</v>
      </c>
      <c r="M138" s="515">
        <v>59484.53</v>
      </c>
      <c r="N138" s="515">
        <v>13838.33</v>
      </c>
      <c r="O138" s="515">
        <v>59484.53</v>
      </c>
      <c r="P138" s="515">
        <v>14359.320000000002</v>
      </c>
      <c r="Q138" s="515">
        <v>59484.53</v>
      </c>
      <c r="R138" s="515">
        <v>14880.31</v>
      </c>
      <c r="S138" s="515">
        <v>59484.53</v>
      </c>
      <c r="T138" s="515">
        <v>15401.300000000001</v>
      </c>
      <c r="U138" s="515">
        <v>59484.53</v>
      </c>
      <c r="V138" s="515">
        <v>15922.29</v>
      </c>
      <c r="W138" s="515">
        <v>59484.53</v>
      </c>
      <c r="X138" s="515">
        <v>16443.28</v>
      </c>
      <c r="Y138" s="515">
        <v>59484.53</v>
      </c>
      <c r="Z138" s="515">
        <v>16964.27</v>
      </c>
      <c r="AA138" s="515">
        <v>59484.53</v>
      </c>
      <c r="AB138" s="515">
        <v>17485.260000000002</v>
      </c>
      <c r="AC138" s="515">
        <v>59484.53</v>
      </c>
      <c r="AD138" s="515">
        <v>18006.25</v>
      </c>
      <c r="AE138" s="515">
        <f t="shared" si="6"/>
        <v>59484.530000000021</v>
      </c>
      <c r="AF138" s="515">
        <f t="shared" si="6"/>
        <v>14880.31</v>
      </c>
    </row>
    <row r="139" spans="1:32">
      <c r="A139" s="509"/>
      <c r="B139" s="26"/>
      <c r="C139" s="26" t="s">
        <v>1025</v>
      </c>
      <c r="D139" s="26" t="s">
        <v>1585</v>
      </c>
      <c r="E139" s="515">
        <v>2606936.2199999997</v>
      </c>
      <c r="F139" s="515">
        <v>241473.06</v>
      </c>
      <c r="G139" s="515">
        <v>2607043.1799999997</v>
      </c>
      <c r="H139" s="515">
        <v>256441.22</v>
      </c>
      <c r="I139" s="515">
        <v>2629780.31</v>
      </c>
      <c r="J139" s="515">
        <v>271409.99</v>
      </c>
      <c r="K139" s="515">
        <v>2629410.61</v>
      </c>
      <c r="L139" s="515">
        <v>286139.61</v>
      </c>
      <c r="M139" s="515">
        <v>2672890.14</v>
      </c>
      <c r="N139" s="515">
        <v>300844</v>
      </c>
      <c r="O139" s="515">
        <v>2881105.2600000002</v>
      </c>
      <c r="P139" s="515">
        <v>316190.84000000003</v>
      </c>
      <c r="Q139" s="515">
        <v>5550034.7800000003</v>
      </c>
      <c r="R139" s="515">
        <v>331624.08</v>
      </c>
      <c r="S139" s="515">
        <v>7213800.9500000002</v>
      </c>
      <c r="T139" s="515">
        <v>363490.53</v>
      </c>
      <c r="U139" s="515">
        <v>9058175.7199999988</v>
      </c>
      <c r="V139" s="515">
        <v>404332.11</v>
      </c>
      <c r="W139" s="515">
        <v>9347763.1899999995</v>
      </c>
      <c r="X139" s="515">
        <v>456063.86</v>
      </c>
      <c r="Y139" s="515">
        <v>11126291.1</v>
      </c>
      <c r="Z139" s="515">
        <v>509435.22000000003</v>
      </c>
      <c r="AA139" s="515">
        <v>12403775.57</v>
      </c>
      <c r="AB139" s="515">
        <v>573156.91999999993</v>
      </c>
      <c r="AC139" s="515">
        <v>17021371.539999999</v>
      </c>
      <c r="AD139" s="515">
        <v>-4862761.5600000005</v>
      </c>
      <c r="AE139" s="515">
        <f t="shared" si="6"/>
        <v>6494518.7241666662</v>
      </c>
      <c r="AF139" s="515">
        <f t="shared" si="6"/>
        <v>146540.34416666662</v>
      </c>
    </row>
    <row r="140" spans="1:32">
      <c r="A140" s="509"/>
      <c r="B140" s="26"/>
      <c r="C140" s="26" t="s">
        <v>1026</v>
      </c>
      <c r="D140" s="26" t="s">
        <v>1585</v>
      </c>
      <c r="E140" s="515">
        <v>55355844.560000002</v>
      </c>
      <c r="F140" s="515">
        <v>17462029.149999999</v>
      </c>
      <c r="G140" s="515">
        <v>55622323.57</v>
      </c>
      <c r="H140" s="515">
        <v>17525271.050000001</v>
      </c>
      <c r="I140" s="515">
        <v>55552720.759999998</v>
      </c>
      <c r="J140" s="515">
        <v>17601262.829999998</v>
      </c>
      <c r="K140" s="515">
        <v>55449161.290000007</v>
      </c>
      <c r="L140" s="515">
        <v>17587001.890000001</v>
      </c>
      <c r="M140" s="515">
        <v>53971103.799999997</v>
      </c>
      <c r="N140" s="515">
        <v>16219664.5</v>
      </c>
      <c r="O140" s="515">
        <v>54610463.390000001</v>
      </c>
      <c r="P140" s="515">
        <v>16321759.84</v>
      </c>
      <c r="Q140" s="515">
        <v>54837484.270000003</v>
      </c>
      <c r="R140" s="515">
        <v>16239469.319999998</v>
      </c>
      <c r="S140" s="515">
        <v>55131239.309999995</v>
      </c>
      <c r="T140" s="515">
        <v>16343209.109999999</v>
      </c>
      <c r="U140" s="515">
        <v>54961062.140000001</v>
      </c>
      <c r="V140" s="515">
        <v>16128154</v>
      </c>
      <c r="W140" s="515">
        <v>55386169.869999997</v>
      </c>
      <c r="X140" s="515">
        <v>16105026.57</v>
      </c>
      <c r="Y140" s="515">
        <v>55568520.469999999</v>
      </c>
      <c r="Z140" s="515">
        <v>15952750.27</v>
      </c>
      <c r="AA140" s="515">
        <v>55759508.899999999</v>
      </c>
      <c r="AB140" s="515">
        <v>15921964.33</v>
      </c>
      <c r="AC140" s="515">
        <v>47999110.489999995</v>
      </c>
      <c r="AD140" s="515">
        <v>13548823.51</v>
      </c>
      <c r="AE140" s="515">
        <f t="shared" si="6"/>
        <v>54877269.607916661</v>
      </c>
      <c r="AF140" s="515">
        <f t="shared" si="6"/>
        <v>16454246.670000002</v>
      </c>
    </row>
    <row r="141" spans="1:32">
      <c r="A141" s="509"/>
      <c r="B141" s="26"/>
      <c r="C141" s="26" t="s">
        <v>1027</v>
      </c>
      <c r="D141" s="26" t="s">
        <v>1585</v>
      </c>
      <c r="E141" s="515">
        <v>10687870.530000001</v>
      </c>
      <c r="F141" s="515">
        <v>3599653.07</v>
      </c>
      <c r="G141" s="515">
        <v>10687911.699999999</v>
      </c>
      <c r="H141" s="515">
        <v>3609802.35</v>
      </c>
      <c r="I141" s="515">
        <v>10758721.939999999</v>
      </c>
      <c r="J141" s="515">
        <v>3622817.39</v>
      </c>
      <c r="K141" s="515">
        <v>10730517.75</v>
      </c>
      <c r="L141" s="515">
        <v>3609450.77</v>
      </c>
      <c r="M141" s="515">
        <v>10726320.890000001</v>
      </c>
      <c r="N141" s="515">
        <v>3585272.6</v>
      </c>
      <c r="O141" s="515">
        <v>10820036.939999999</v>
      </c>
      <c r="P141" s="515">
        <v>3606010.15</v>
      </c>
      <c r="Q141" s="515">
        <v>10361291.710000001</v>
      </c>
      <c r="R141" s="515">
        <v>3559047.48</v>
      </c>
      <c r="S141" s="515">
        <v>10424788.390000001</v>
      </c>
      <c r="T141" s="515">
        <v>3579079.3099999996</v>
      </c>
      <c r="U141" s="515">
        <v>10492020.309999999</v>
      </c>
      <c r="V141" s="515">
        <v>3429868.1399999997</v>
      </c>
      <c r="W141" s="515">
        <v>10495007.65</v>
      </c>
      <c r="X141" s="515">
        <v>3411880.23</v>
      </c>
      <c r="Y141" s="515">
        <v>10491264.5</v>
      </c>
      <c r="Z141" s="515">
        <v>3383681.77</v>
      </c>
      <c r="AA141" s="515">
        <v>10648463.939999999</v>
      </c>
      <c r="AB141" s="515">
        <v>3371344.39</v>
      </c>
      <c r="AC141" s="515">
        <v>11160435.100000001</v>
      </c>
      <c r="AD141" s="515">
        <v>3817599.66</v>
      </c>
      <c r="AE141" s="515">
        <f t="shared" si="6"/>
        <v>10630041.544583334</v>
      </c>
      <c r="AF141" s="515">
        <f t="shared" si="6"/>
        <v>3539740.0787499999</v>
      </c>
    </row>
    <row r="142" spans="1:32">
      <c r="A142" s="509">
        <v>122</v>
      </c>
      <c r="B142" s="516" t="s">
        <v>988</v>
      </c>
      <c r="C142" s="517"/>
      <c r="D142" s="516" t="s">
        <v>1028</v>
      </c>
      <c r="E142" s="518">
        <f t="shared" ref="E142:AF142" si="7">SUM(E94:E141)</f>
        <v>124863934.59999999</v>
      </c>
      <c r="F142" s="518">
        <f t="shared" si="7"/>
        <v>46961988.159999996</v>
      </c>
      <c r="G142" s="518">
        <f t="shared" si="7"/>
        <v>125140463.3</v>
      </c>
      <c r="H142" s="518">
        <f t="shared" si="7"/>
        <v>47388558.539999999</v>
      </c>
      <c r="I142" s="518">
        <f t="shared" si="7"/>
        <v>125176532.61999999</v>
      </c>
      <c r="J142" s="518">
        <f t="shared" si="7"/>
        <v>47830867.209999993</v>
      </c>
      <c r="K142" s="518">
        <f t="shared" si="7"/>
        <v>125038135.16</v>
      </c>
      <c r="L142" s="518">
        <f t="shared" si="7"/>
        <v>48125175.720000006</v>
      </c>
      <c r="M142" s="518">
        <f t="shared" si="7"/>
        <v>123615994.54000001</v>
      </c>
      <c r="N142" s="518">
        <f t="shared" si="7"/>
        <v>47052040.710000001</v>
      </c>
      <c r="O142" s="518">
        <f t="shared" si="7"/>
        <v>124560303.17999999</v>
      </c>
      <c r="P142" s="518">
        <f t="shared" si="7"/>
        <v>47528567.56000001</v>
      </c>
      <c r="Q142" s="518">
        <f t="shared" si="7"/>
        <v>126990789.79000002</v>
      </c>
      <c r="R142" s="518">
        <f t="shared" si="7"/>
        <v>47721838.869999997</v>
      </c>
      <c r="S142" s="518">
        <f t="shared" si="7"/>
        <v>128977701.99999999</v>
      </c>
      <c r="T142" s="518">
        <f t="shared" si="7"/>
        <v>48182944.920000002</v>
      </c>
      <c r="U142" s="518">
        <f t="shared" si="7"/>
        <v>130747590.56999999</v>
      </c>
      <c r="V142" s="518">
        <f t="shared" si="7"/>
        <v>48197569.080000006</v>
      </c>
      <c r="W142" s="518">
        <f t="shared" si="7"/>
        <v>131838876.73</v>
      </c>
      <c r="X142" s="518">
        <f t="shared" si="7"/>
        <v>48546380.56000001</v>
      </c>
      <c r="Y142" s="518">
        <f t="shared" si="7"/>
        <v>134005213.13</v>
      </c>
      <c r="Z142" s="518">
        <f t="shared" si="7"/>
        <v>48747328.620000005</v>
      </c>
      <c r="AA142" s="518">
        <f t="shared" si="7"/>
        <v>135749276.56999999</v>
      </c>
      <c r="AB142" s="518">
        <f t="shared" si="7"/>
        <v>49121761.170000002</v>
      </c>
      <c r="AC142" s="518">
        <f t="shared" si="7"/>
        <v>134383391.37</v>
      </c>
      <c r="AD142" s="518">
        <f t="shared" si="7"/>
        <v>42166042.000000015</v>
      </c>
      <c r="AE142" s="518">
        <f t="shared" si="7"/>
        <v>128455378.38124999</v>
      </c>
      <c r="AF142" s="518">
        <f t="shared" si="7"/>
        <v>47750587.336666673</v>
      </c>
    </row>
    <row r="143" spans="1:32">
      <c r="A143" s="509">
        <v>123</v>
      </c>
      <c r="B143" s="901" t="s">
        <v>1029</v>
      </c>
      <c r="C143" s="901"/>
      <c r="D143" s="519"/>
      <c r="E143" s="520"/>
      <c r="F143" s="520"/>
      <c r="G143" s="520"/>
      <c r="H143" s="520"/>
      <c r="I143" s="520"/>
      <c r="J143" s="520"/>
      <c r="K143" s="520"/>
      <c r="L143" s="520"/>
      <c r="M143" s="520"/>
      <c r="N143" s="520"/>
      <c r="O143" s="520"/>
      <c r="P143" s="520"/>
      <c r="Q143" s="520"/>
      <c r="R143" s="520"/>
      <c r="S143" s="520"/>
      <c r="T143" s="520"/>
      <c r="U143" s="520"/>
      <c r="V143" s="520"/>
      <c r="W143" s="520"/>
      <c r="X143" s="520"/>
      <c r="Y143" s="520"/>
      <c r="Z143" s="520"/>
      <c r="AA143" s="520"/>
      <c r="AB143" s="520"/>
      <c r="AC143" s="520"/>
      <c r="AD143" s="520"/>
      <c r="AE143" s="520"/>
      <c r="AF143" s="520"/>
    </row>
    <row r="144" spans="1:32">
      <c r="A144" s="509">
        <v>124</v>
      </c>
      <c r="B144" s="26"/>
      <c r="C144" s="26" t="s">
        <v>1030</v>
      </c>
      <c r="D144" s="26"/>
      <c r="E144" s="515">
        <v>88010.82</v>
      </c>
      <c r="F144" s="515">
        <v>31212.25</v>
      </c>
      <c r="G144" s="515">
        <v>88010.82</v>
      </c>
      <c r="H144" s="515">
        <v>31283.350000000002</v>
      </c>
      <c r="I144" s="515">
        <v>88010.82</v>
      </c>
      <c r="J144" s="515">
        <v>31354.45</v>
      </c>
      <c r="K144" s="515">
        <v>88010.82</v>
      </c>
      <c r="L144" s="515">
        <v>31425.55</v>
      </c>
      <c r="M144" s="515">
        <v>88010.82</v>
      </c>
      <c r="N144" s="515">
        <v>31496.65</v>
      </c>
      <c r="O144" s="515">
        <v>88010.82</v>
      </c>
      <c r="P144" s="515">
        <v>31567.75</v>
      </c>
      <c r="Q144" s="515">
        <v>88010.82</v>
      </c>
      <c r="R144" s="515">
        <v>31638.850000000002</v>
      </c>
      <c r="S144" s="515">
        <v>88010.82</v>
      </c>
      <c r="T144" s="515">
        <v>31709.95</v>
      </c>
      <c r="U144" s="515">
        <v>88010.82</v>
      </c>
      <c r="V144" s="515">
        <v>31781.05</v>
      </c>
      <c r="W144" s="515">
        <v>88010.82</v>
      </c>
      <c r="X144" s="515">
        <v>31852.15</v>
      </c>
      <c r="Y144" s="515">
        <v>88010.82</v>
      </c>
      <c r="Z144" s="515">
        <v>31923.25</v>
      </c>
      <c r="AA144" s="515">
        <v>88010.82</v>
      </c>
      <c r="AB144" s="515">
        <v>31994.350000000002</v>
      </c>
      <c r="AC144" s="515">
        <v>87719.71</v>
      </c>
      <c r="AD144" s="515">
        <v>31955.280000000002</v>
      </c>
      <c r="AE144" s="515">
        <f t="shared" ref="AE144:AF146" si="8">+(E144+AC144+(+G144+I144+K144+M144+O144+Q144+S144+U144+W144+Y144+AA144)*2)/24</f>
        <v>87998.690416666679</v>
      </c>
      <c r="AF144" s="515">
        <f t="shared" si="8"/>
        <v>31634.259583333333</v>
      </c>
    </row>
    <row r="145" spans="1:32">
      <c r="A145" s="509">
        <v>125</v>
      </c>
      <c r="B145" s="26"/>
      <c r="C145" s="26" t="s">
        <v>1031</v>
      </c>
      <c r="D145" s="26"/>
      <c r="E145" s="515">
        <v>0</v>
      </c>
      <c r="F145" s="515">
        <v>0</v>
      </c>
      <c r="G145" s="515">
        <v>0</v>
      </c>
      <c r="H145" s="515">
        <v>0</v>
      </c>
      <c r="I145" s="515">
        <v>0</v>
      </c>
      <c r="J145" s="515">
        <v>0</v>
      </c>
      <c r="K145" s="515">
        <v>0</v>
      </c>
      <c r="L145" s="515">
        <v>0</v>
      </c>
      <c r="M145" s="515">
        <v>0</v>
      </c>
      <c r="N145" s="515">
        <v>0</v>
      </c>
      <c r="O145" s="515">
        <v>0</v>
      </c>
      <c r="P145" s="515">
        <v>0</v>
      </c>
      <c r="Q145" s="515">
        <v>0</v>
      </c>
      <c r="R145" s="515">
        <v>0</v>
      </c>
      <c r="S145" s="515">
        <v>0</v>
      </c>
      <c r="T145" s="515">
        <v>0</v>
      </c>
      <c r="U145" s="515">
        <v>0</v>
      </c>
      <c r="V145" s="515">
        <v>0</v>
      </c>
      <c r="W145" s="515">
        <v>0</v>
      </c>
      <c r="X145" s="515">
        <v>0</v>
      </c>
      <c r="Y145" s="515">
        <v>0</v>
      </c>
      <c r="Z145" s="515">
        <v>0</v>
      </c>
      <c r="AA145" s="515">
        <v>0</v>
      </c>
      <c r="AB145" s="515">
        <v>0</v>
      </c>
      <c r="AC145" s="515">
        <v>0</v>
      </c>
      <c r="AD145" s="515">
        <v>0</v>
      </c>
      <c r="AE145" s="515">
        <f t="shared" si="8"/>
        <v>0</v>
      </c>
      <c r="AF145" s="515">
        <f t="shared" si="8"/>
        <v>0</v>
      </c>
    </row>
    <row r="146" spans="1:32">
      <c r="A146" s="509">
        <v>126</v>
      </c>
      <c r="B146" s="26"/>
      <c r="C146" s="26" t="s">
        <v>1032</v>
      </c>
      <c r="D146" s="26"/>
      <c r="E146" s="515">
        <v>19917157.34</v>
      </c>
      <c r="F146" s="515">
        <v>4126179.9</v>
      </c>
      <c r="G146" s="515">
        <v>19917157.34</v>
      </c>
      <c r="H146" s="515">
        <v>4149142.24</v>
      </c>
      <c r="I146" s="515">
        <v>19917157.34</v>
      </c>
      <c r="J146" s="515">
        <v>4172104.6</v>
      </c>
      <c r="K146" s="515">
        <v>19917157.34</v>
      </c>
      <c r="L146" s="515">
        <v>4195066.97</v>
      </c>
      <c r="M146" s="515">
        <v>19917157.34</v>
      </c>
      <c r="N146" s="515">
        <v>4218029.3600000003</v>
      </c>
      <c r="O146" s="515">
        <v>19917157.34</v>
      </c>
      <c r="P146" s="515">
        <v>4240991.75</v>
      </c>
      <c r="Q146" s="515">
        <v>19917157.34</v>
      </c>
      <c r="R146" s="515">
        <v>4263954.1500000004</v>
      </c>
      <c r="S146" s="515">
        <v>19917157.34</v>
      </c>
      <c r="T146" s="515">
        <v>4286916.46</v>
      </c>
      <c r="U146" s="515">
        <v>19917157.34</v>
      </c>
      <c r="V146" s="515">
        <v>4309878.8099999996</v>
      </c>
      <c r="W146" s="515">
        <v>19917157.34</v>
      </c>
      <c r="X146" s="515">
        <v>4332841.1900000004</v>
      </c>
      <c r="Y146" s="515">
        <v>19917157.34</v>
      </c>
      <c r="Z146" s="515">
        <v>4355803.5599999996</v>
      </c>
      <c r="AA146" s="515">
        <v>19917157.34</v>
      </c>
      <c r="AB146" s="515">
        <v>4378765.8899999997</v>
      </c>
      <c r="AC146" s="515">
        <v>22097038.48</v>
      </c>
      <c r="AD146" s="515">
        <v>4372545.04</v>
      </c>
      <c r="AE146" s="515">
        <f t="shared" si="8"/>
        <v>20007985.720833335</v>
      </c>
      <c r="AF146" s="515">
        <f t="shared" si="8"/>
        <v>4262738.1208333336</v>
      </c>
    </row>
    <row r="147" spans="1:32">
      <c r="A147" s="509">
        <v>127</v>
      </c>
      <c r="B147" s="902" t="s">
        <v>1029</v>
      </c>
      <c r="C147" s="902"/>
      <c r="D147" s="516"/>
      <c r="E147" s="518">
        <f>SUM(E144:E146)</f>
        <v>20005168.16</v>
      </c>
      <c r="F147" s="518">
        <f t="shared" ref="F147:AF147" si="9">SUM(F144:F146)</f>
        <v>4157392.15</v>
      </c>
      <c r="G147" s="518">
        <f t="shared" si="9"/>
        <v>20005168.16</v>
      </c>
      <c r="H147" s="518">
        <f t="shared" si="9"/>
        <v>4180425.5900000003</v>
      </c>
      <c r="I147" s="518">
        <f t="shared" si="9"/>
        <v>20005168.16</v>
      </c>
      <c r="J147" s="518">
        <f t="shared" si="9"/>
        <v>4203459.05</v>
      </c>
      <c r="K147" s="518">
        <f t="shared" si="9"/>
        <v>20005168.16</v>
      </c>
      <c r="L147" s="518">
        <f t="shared" si="9"/>
        <v>4226492.5199999996</v>
      </c>
      <c r="M147" s="518">
        <f t="shared" si="9"/>
        <v>20005168.16</v>
      </c>
      <c r="N147" s="518">
        <f t="shared" si="9"/>
        <v>4249526.0100000007</v>
      </c>
      <c r="O147" s="518">
        <f t="shared" si="9"/>
        <v>20005168.16</v>
      </c>
      <c r="P147" s="518">
        <f t="shared" si="9"/>
        <v>4272559.5</v>
      </c>
      <c r="Q147" s="518">
        <f t="shared" si="9"/>
        <v>20005168.16</v>
      </c>
      <c r="R147" s="518">
        <f t="shared" si="9"/>
        <v>4295593</v>
      </c>
      <c r="S147" s="518">
        <f t="shared" si="9"/>
        <v>20005168.16</v>
      </c>
      <c r="T147" s="518">
        <f t="shared" si="9"/>
        <v>4318626.41</v>
      </c>
      <c r="U147" s="518">
        <f t="shared" si="9"/>
        <v>20005168.16</v>
      </c>
      <c r="V147" s="518">
        <f t="shared" si="9"/>
        <v>4341659.8599999994</v>
      </c>
      <c r="W147" s="518">
        <f t="shared" si="9"/>
        <v>20005168.16</v>
      </c>
      <c r="X147" s="518">
        <f t="shared" si="9"/>
        <v>4364693.3400000008</v>
      </c>
      <c r="Y147" s="518">
        <f t="shared" si="9"/>
        <v>20005168.16</v>
      </c>
      <c r="Z147" s="518">
        <f t="shared" si="9"/>
        <v>4387726.8099999996</v>
      </c>
      <c r="AA147" s="518">
        <f t="shared" si="9"/>
        <v>20005168.16</v>
      </c>
      <c r="AB147" s="518">
        <f t="shared" si="9"/>
        <v>4410760.2399999993</v>
      </c>
      <c r="AC147" s="518">
        <f t="shared" si="9"/>
        <v>22184758.190000001</v>
      </c>
      <c r="AD147" s="518">
        <f t="shared" si="9"/>
        <v>4404500.32</v>
      </c>
      <c r="AE147" s="518">
        <f t="shared" si="9"/>
        <v>20095984.411250003</v>
      </c>
      <c r="AF147" s="518">
        <f t="shared" si="9"/>
        <v>4294372.3804166671</v>
      </c>
    </row>
    <row r="148" spans="1:32">
      <c r="A148" s="509">
        <v>128</v>
      </c>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16.5" thickBot="1">
      <c r="A149" s="509">
        <v>129</v>
      </c>
      <c r="B149" s="521"/>
      <c r="C149" s="522" t="s">
        <v>1033</v>
      </c>
      <c r="D149" s="521"/>
      <c r="E149" s="215">
        <f t="shared" ref="E149:AF149" si="10">SUM(E147,E142,E92,E47)</f>
        <v>997637481.79999995</v>
      </c>
      <c r="F149" s="215">
        <f t="shared" si="10"/>
        <v>478445571.74000007</v>
      </c>
      <c r="G149" s="215">
        <f t="shared" si="10"/>
        <v>1001452601.62</v>
      </c>
      <c r="H149" s="215">
        <f t="shared" si="10"/>
        <v>479641085.83999991</v>
      </c>
      <c r="I149" s="215">
        <f t="shared" si="10"/>
        <v>1003878625.8499999</v>
      </c>
      <c r="J149" s="215">
        <f t="shared" si="10"/>
        <v>483005603.20000005</v>
      </c>
      <c r="K149" s="215">
        <f t="shared" si="10"/>
        <v>1006122777.4</v>
      </c>
      <c r="L149" s="215">
        <f t="shared" si="10"/>
        <v>484528302.27999985</v>
      </c>
      <c r="M149" s="215">
        <f t="shared" si="10"/>
        <v>1010101647.03</v>
      </c>
      <c r="N149" s="215">
        <f t="shared" si="10"/>
        <v>485188881.83999979</v>
      </c>
      <c r="O149" s="215">
        <f t="shared" si="10"/>
        <v>1015673147.2500001</v>
      </c>
      <c r="P149" s="215">
        <f t="shared" si="10"/>
        <v>487026599.62999988</v>
      </c>
      <c r="Q149" s="215">
        <f t="shared" si="10"/>
        <v>1021400918.0500001</v>
      </c>
      <c r="R149" s="215">
        <f t="shared" si="10"/>
        <v>487846825.5</v>
      </c>
      <c r="S149" s="215">
        <f t="shared" si="10"/>
        <v>1025361215.11</v>
      </c>
      <c r="T149" s="215">
        <f t="shared" si="10"/>
        <v>490271190.49999994</v>
      </c>
      <c r="U149" s="215">
        <f t="shared" si="10"/>
        <v>1033051485.1499997</v>
      </c>
      <c r="V149" s="215">
        <f t="shared" si="10"/>
        <v>491381970.87000018</v>
      </c>
      <c r="W149" s="215">
        <f t="shared" si="10"/>
        <v>1046792345.4</v>
      </c>
      <c r="X149" s="215">
        <f t="shared" si="10"/>
        <v>493688082.80999994</v>
      </c>
      <c r="Y149" s="215">
        <f t="shared" si="10"/>
        <v>1058480518.0799999</v>
      </c>
      <c r="Z149" s="215">
        <f t="shared" si="10"/>
        <v>495599562.56999993</v>
      </c>
      <c r="AA149" s="215">
        <f t="shared" si="10"/>
        <v>1065310930.3599999</v>
      </c>
      <c r="AB149" s="215">
        <f t="shared" si="10"/>
        <v>497943450.47999996</v>
      </c>
      <c r="AC149" s="215">
        <f t="shared" si="10"/>
        <v>1077226743.8999999</v>
      </c>
      <c r="AD149" s="215">
        <f t="shared" si="10"/>
        <v>490935882.09999996</v>
      </c>
      <c r="AE149" s="215">
        <f t="shared" si="10"/>
        <v>1027088193.6791668</v>
      </c>
      <c r="AF149" s="215">
        <f t="shared" si="10"/>
        <v>488401023.53666663</v>
      </c>
    </row>
    <row r="150" spans="1:32" ht="16.5" thickTop="1">
      <c r="A150" s="509">
        <v>130</v>
      </c>
      <c r="B150" s="26"/>
      <c r="C150" s="26"/>
      <c r="D150" s="26"/>
      <c r="E150" s="26"/>
      <c r="F150" s="488"/>
      <c r="G150" s="26"/>
      <c r="H150" s="488"/>
      <c r="I150" s="26"/>
      <c r="J150" s="488"/>
      <c r="K150" s="26"/>
      <c r="L150" s="488"/>
      <c r="M150" s="26"/>
      <c r="N150" s="488"/>
      <c r="O150" s="26"/>
      <c r="P150" s="488"/>
      <c r="Q150" s="26"/>
      <c r="R150" s="488"/>
      <c r="S150" s="26"/>
      <c r="T150" s="488"/>
      <c r="U150" s="26"/>
      <c r="V150" s="26"/>
      <c r="W150" s="26"/>
      <c r="X150" s="26"/>
      <c r="Y150" s="26"/>
      <c r="Z150" s="26"/>
      <c r="AA150" s="26"/>
      <c r="AB150" s="26"/>
    </row>
    <row r="151" spans="1:32">
      <c r="A151" s="509">
        <v>131</v>
      </c>
      <c r="B151" s="26"/>
      <c r="C151" s="26"/>
      <c r="D151" s="26"/>
      <c r="E151" s="26"/>
      <c r="F151" s="488"/>
      <c r="G151" s="26"/>
      <c r="H151" s="488"/>
      <c r="I151" s="488"/>
      <c r="J151" s="488"/>
      <c r="K151" s="488"/>
      <c r="L151" s="488"/>
      <c r="M151" s="488"/>
      <c r="N151" s="488"/>
      <c r="O151" s="488"/>
      <c r="P151" s="488"/>
      <c r="Q151" s="488"/>
      <c r="R151" s="488"/>
      <c r="S151" s="488"/>
      <c r="T151" s="488"/>
      <c r="U151" s="26"/>
      <c r="V151" s="26"/>
      <c r="W151" s="26"/>
      <c r="X151" s="523" t="s">
        <v>1091</v>
      </c>
      <c r="Y151" s="523"/>
      <c r="Z151" s="523"/>
      <c r="AA151" s="26"/>
      <c r="AB151" s="26"/>
      <c r="AC151" s="216"/>
      <c r="AD151" s="216"/>
      <c r="AE151" s="488"/>
      <c r="AF151" s="26"/>
    </row>
    <row r="152" spans="1:32" ht="30">
      <c r="A152" s="509">
        <v>132</v>
      </c>
      <c r="B152" s="524" t="s">
        <v>1184</v>
      </c>
      <c r="C152" s="26"/>
      <c r="D152" s="525"/>
      <c r="E152" s="26"/>
      <c r="F152" s="26"/>
      <c r="G152" s="26"/>
      <c r="H152" s="26"/>
      <c r="I152" s="26"/>
      <c r="J152" s="26"/>
      <c r="K152" s="26"/>
      <c r="L152" s="26"/>
      <c r="M152" s="26"/>
      <c r="N152" s="26"/>
      <c r="O152" s="26"/>
      <c r="P152" s="26"/>
      <c r="Q152" s="26"/>
      <c r="R152" s="26"/>
      <c r="S152" s="26"/>
      <c r="T152" s="26"/>
      <c r="U152" s="26"/>
      <c r="V152" s="26"/>
      <c r="W152" s="26"/>
      <c r="X152" s="523" t="s">
        <v>1092</v>
      </c>
      <c r="Y152" s="26"/>
      <c r="Z152" s="26"/>
      <c r="AA152" s="526"/>
      <c r="AB152" s="526"/>
      <c r="AC152" s="216"/>
      <c r="AD152" s="216"/>
      <c r="AE152" s="488"/>
      <c r="AF152" s="488"/>
    </row>
    <row r="153" spans="1:32">
      <c r="A153" s="509">
        <v>133</v>
      </c>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32">
      <c r="A154" s="30">
        <v>134</v>
      </c>
      <c r="Q154" s="62"/>
      <c r="X154" s="26"/>
      <c r="Y154" s="26"/>
      <c r="Z154" s="26"/>
      <c r="AA154" s="26"/>
      <c r="AB154" s="26"/>
      <c r="AC154" s="26"/>
      <c r="AD154" s="26"/>
    </row>
    <row r="155" spans="1:32">
      <c r="A155" s="30">
        <v>135</v>
      </c>
      <c r="D155" s="217" t="s">
        <v>1034</v>
      </c>
      <c r="E155" s="26"/>
      <c r="F155" s="488">
        <f>E92</f>
        <v>664307413.36000001</v>
      </c>
      <c r="G155" s="26"/>
      <c r="H155" s="488">
        <f>G92</f>
        <v>667243442.61000001</v>
      </c>
      <c r="I155" s="26"/>
      <c r="J155" s="488">
        <f>I92</f>
        <v>669245336.87999988</v>
      </c>
      <c r="K155" s="26"/>
      <c r="L155" s="488">
        <f>K92</f>
        <v>670484051.38000011</v>
      </c>
      <c r="M155" s="26"/>
      <c r="N155" s="488">
        <f>M92</f>
        <v>675045614.4799999</v>
      </c>
      <c r="O155" s="26"/>
      <c r="P155" s="488">
        <f>O92</f>
        <v>678080540.83000004</v>
      </c>
      <c r="Q155" s="26"/>
      <c r="R155" s="488">
        <f>Q92</f>
        <v>680825313.09000003</v>
      </c>
      <c r="S155" s="26"/>
      <c r="T155" s="488">
        <f>S92</f>
        <v>681929933.66000009</v>
      </c>
      <c r="U155" s="26"/>
      <c r="V155" s="488">
        <f>U92</f>
        <v>687365229.66999972</v>
      </c>
      <c r="X155" s="488">
        <f>W92</f>
        <v>696890261.58999991</v>
      </c>
      <c r="Y155" s="26"/>
      <c r="Z155" s="488">
        <f>Y92</f>
        <v>705319130.52999997</v>
      </c>
      <c r="AA155" s="26"/>
      <c r="AB155" s="488">
        <f>AA92</f>
        <v>709535614.42999995</v>
      </c>
      <c r="AC155" s="26"/>
      <c r="AD155" s="488">
        <f>AC92</f>
        <v>716908411.13999987</v>
      </c>
    </row>
    <row r="156" spans="1:32">
      <c r="A156" s="30">
        <v>136</v>
      </c>
      <c r="D156" s="217" t="s">
        <v>1035</v>
      </c>
      <c r="E156" s="312">
        <v>0.75039999999999996</v>
      </c>
      <c r="F156" s="488">
        <f>E156*SUM(E94:E138)</f>
        <v>42182447.780815996</v>
      </c>
      <c r="G156" s="312">
        <f>+'State Allocation Formulas'!C21</f>
        <v>0.74850000000000005</v>
      </c>
      <c r="H156" s="488">
        <f>G156*SUM(G94:G138)</f>
        <v>42083053.860225007</v>
      </c>
      <c r="I156" s="312">
        <f>+G156</f>
        <v>0.74850000000000005</v>
      </c>
      <c r="J156" s="488">
        <f>I156*SUM(I94:I138)</f>
        <v>42092129.243084997</v>
      </c>
      <c r="K156" s="312">
        <f>+I156</f>
        <v>0.74850000000000005</v>
      </c>
      <c r="L156" s="488">
        <f>K156*SUM(K94:K138)</f>
        <v>42087440.564235002</v>
      </c>
      <c r="M156" s="312">
        <f>+K156</f>
        <v>0.74850000000000005</v>
      </c>
      <c r="N156" s="488">
        <f>M156*SUM(M94:M138)</f>
        <v>42099891.262935005</v>
      </c>
      <c r="O156" s="312">
        <f>+M156</f>
        <v>0.74850000000000005</v>
      </c>
      <c r="P156" s="488">
        <f>O156*SUM(O94:O138)</f>
        <v>42102150.146114998</v>
      </c>
      <c r="Q156" s="312">
        <f>+O156</f>
        <v>0.74850000000000005</v>
      </c>
      <c r="R156" s="488">
        <f>Q156*SUM(Q94:Q138)</f>
        <v>42097121.303955004</v>
      </c>
      <c r="S156" s="312">
        <f>+Q156</f>
        <v>0.74850000000000005</v>
      </c>
      <c r="T156" s="488">
        <f>S156*SUM(S94:S138)</f>
        <v>42071593.202474996</v>
      </c>
      <c r="U156" s="312">
        <f>+S156</f>
        <v>0.74850000000000005</v>
      </c>
      <c r="V156" s="488">
        <f>U156*SUM(U94:U138)</f>
        <v>42092894.801399998</v>
      </c>
      <c r="W156" s="218">
        <f>+U156</f>
        <v>0.74850000000000005</v>
      </c>
      <c r="X156" s="488">
        <f>W156*SUM(W94:W138)</f>
        <v>42372537.110970005</v>
      </c>
      <c r="Y156" s="312">
        <f>+W156</f>
        <v>0.74850000000000005</v>
      </c>
      <c r="Z156" s="488">
        <f>Y156*SUM(Y94:Y138)</f>
        <v>42529124.089410007</v>
      </c>
      <c r="AA156" s="312">
        <f>+Y156</f>
        <v>0.74850000000000005</v>
      </c>
      <c r="AB156" s="488">
        <f>AA156*SUM(AA94:AA138)</f>
        <v>42617739.827760004</v>
      </c>
      <c r="AC156" s="312">
        <f>+AA156</f>
        <v>0.74850000000000005</v>
      </c>
      <c r="AD156" s="488">
        <f>AC156*SUM(AC94:AC138)</f>
        <v>43564551.96864</v>
      </c>
      <c r="AE156" s="62"/>
    </row>
    <row r="157" spans="1:32">
      <c r="A157" s="30">
        <v>137</v>
      </c>
      <c r="D157" s="217" t="s">
        <v>1036</v>
      </c>
      <c r="E157" s="312">
        <v>0.74680000000000002</v>
      </c>
      <c r="F157" s="488">
        <f>SUM(E139:E141)*E157</f>
        <v>51268306.398308001</v>
      </c>
      <c r="G157" s="312">
        <f>+'State Allocation Formulas'!C16</f>
        <v>0.74490000000000001</v>
      </c>
      <c r="H157" s="488">
        <f>SUM(G139:G141)*G157</f>
        <v>51336480.717405006</v>
      </c>
      <c r="I157" s="312">
        <f>+G157</f>
        <v>0.74490000000000001</v>
      </c>
      <c r="J157" s="488">
        <f>SUM(I139:I141)*I157</f>
        <v>51354317.020149007</v>
      </c>
      <c r="K157" s="312">
        <f>+I157</f>
        <v>0.74490000000000001</v>
      </c>
      <c r="L157" s="488">
        <f>SUM(K139:K141)*K157</f>
        <v>51255890.880285002</v>
      </c>
      <c r="M157" s="312">
        <f>+K157</f>
        <v>0.74490000000000001</v>
      </c>
      <c r="N157" s="488">
        <f>SUM(M139:M141)*M157</f>
        <v>50184147.516866997</v>
      </c>
      <c r="O157" s="312">
        <f>+M157</f>
        <v>0.74490000000000001</v>
      </c>
      <c r="P157" s="488">
        <f>SUM(O139:O141)*O157</f>
        <v>50885315.003991</v>
      </c>
      <c r="Q157" s="312">
        <f>+O157</f>
        <v>0.74490000000000001</v>
      </c>
      <c r="R157" s="488">
        <f>SUM(Q139:Q141)*Q157</f>
        <v>52700789.135124005</v>
      </c>
      <c r="S157" s="312">
        <f>+Q157</f>
        <v>0.74490000000000001</v>
      </c>
      <c r="T157" s="488">
        <f>SUM(S139:S141)*S157</f>
        <v>54206245.361385003</v>
      </c>
      <c r="U157" s="312">
        <f>+S157</f>
        <v>0.74490000000000001</v>
      </c>
      <c r="V157" s="488">
        <f>SUM(U139:U141)*U157</f>
        <v>55503436.210832998</v>
      </c>
      <c r="W157" s="218">
        <f>+U157</f>
        <v>0.74490000000000001</v>
      </c>
      <c r="X157" s="488">
        <f>SUM(W139:W141)*W157</f>
        <v>56038037.934878998</v>
      </c>
      <c r="Y157" s="312">
        <f>+W157</f>
        <v>0.74490000000000001</v>
      </c>
      <c r="Z157" s="488">
        <f>SUM(Y139:Y141)*Y157</f>
        <v>57495908.064542994</v>
      </c>
      <c r="AA157" s="312">
        <f>+Y157</f>
        <v>0.74490000000000001</v>
      </c>
      <c r="AB157" s="488">
        <f>SUM(AA139:AA141)*AA157</f>
        <v>58706871.390608996</v>
      </c>
      <c r="AC157" s="312">
        <f>+AA157</f>
        <v>0.74490000000000001</v>
      </c>
      <c r="AD157" s="488">
        <f>SUM(AC139:AC141)*AC157</f>
        <v>56747165.170136996</v>
      </c>
    </row>
    <row r="158" spans="1:32">
      <c r="A158" s="30">
        <v>138</v>
      </c>
      <c r="E158" s="26"/>
      <c r="F158" s="488"/>
      <c r="G158" s="26"/>
      <c r="H158" s="488"/>
      <c r="I158" s="26"/>
      <c r="J158" s="488"/>
      <c r="K158" s="26"/>
      <c r="L158" s="488"/>
      <c r="M158" s="26"/>
      <c r="N158" s="488"/>
      <c r="O158" s="26"/>
      <c r="P158" s="488"/>
      <c r="Q158" s="26"/>
      <c r="R158" s="488"/>
      <c r="S158" s="26"/>
      <c r="T158" s="488"/>
      <c r="U158" s="26"/>
      <c r="V158" s="488"/>
      <c r="X158" s="488"/>
      <c r="Y158" s="26"/>
      <c r="Z158" s="488"/>
      <c r="AA158" s="26"/>
      <c r="AB158" s="488"/>
      <c r="AC158" s="26"/>
      <c r="AD158" s="488"/>
    </row>
    <row r="159" spans="1:32">
      <c r="A159" s="30">
        <v>139</v>
      </c>
      <c r="D159" s="217" t="s">
        <v>1037</v>
      </c>
      <c r="E159" s="26"/>
      <c r="F159" s="488">
        <f>SUM(F155:F157)</f>
        <v>757758167.53912401</v>
      </c>
      <c r="G159" s="26"/>
      <c r="H159" s="488">
        <f>SUM(H155:H157)</f>
        <v>760662977.18762994</v>
      </c>
      <c r="I159" s="26"/>
      <c r="J159" s="488">
        <f>SUM(J155:J157)</f>
        <v>762691783.1432339</v>
      </c>
      <c r="K159" s="26"/>
      <c r="L159" s="488">
        <f>SUM(L155:L157)</f>
        <v>763827382.82452011</v>
      </c>
      <c r="M159" s="26"/>
      <c r="N159" s="488">
        <f>SUM(N155:N157)</f>
        <v>767329653.25980198</v>
      </c>
      <c r="O159" s="26"/>
      <c r="P159" s="488">
        <f>SUM(P155:P157)</f>
        <v>771068005.980106</v>
      </c>
      <c r="Q159" s="26"/>
      <c r="R159" s="488">
        <f>SUM(R155:R157)</f>
        <v>775623223.52907896</v>
      </c>
      <c r="S159" s="26"/>
      <c r="T159" s="488">
        <f>SUM(T155:T157)</f>
        <v>778207772.22386003</v>
      </c>
      <c r="U159" s="26"/>
      <c r="V159" s="488">
        <f>SUM(V155:V157)</f>
        <v>784961560.68223262</v>
      </c>
      <c r="X159" s="488">
        <f>SUM(X155:X157)</f>
        <v>795300836.63584888</v>
      </c>
      <c r="Y159" s="26"/>
      <c r="Z159" s="488">
        <f>SUM(Z155:Z157)</f>
        <v>805344162.68395305</v>
      </c>
      <c r="AA159" s="26"/>
      <c r="AB159" s="488">
        <f>SUM(AB155:AB157)</f>
        <v>810860225.64836895</v>
      </c>
      <c r="AC159" s="26"/>
      <c r="AD159" s="488">
        <f>SUM(AD155:AD157)</f>
        <v>817220128.27877688</v>
      </c>
      <c r="AE159" s="4" t="s">
        <v>1045</v>
      </c>
      <c r="AF159" s="515">
        <f t="shared" ref="AF159" si="11">+(F159+AD159+(+H159+J159+L159+N159+P159+R159+T159+V159+X159+Z159+AB159)*2)/24</f>
        <v>780280560.97563207</v>
      </c>
    </row>
    <row r="160" spans="1:32">
      <c r="A160" s="30">
        <v>140</v>
      </c>
      <c r="E160" s="26"/>
      <c r="F160" s="26"/>
      <c r="G160" s="26"/>
      <c r="H160" s="26"/>
      <c r="I160" s="26"/>
      <c r="J160" s="26"/>
      <c r="K160" s="26"/>
      <c r="L160" s="26"/>
      <c r="M160" s="26"/>
      <c r="N160" s="26"/>
      <c r="O160" s="26"/>
      <c r="P160" s="26"/>
      <c r="Q160" s="26"/>
      <c r="R160" s="26"/>
      <c r="S160" s="26"/>
      <c r="T160" s="26"/>
      <c r="U160" s="26"/>
      <c r="V160" s="26"/>
      <c r="X160" s="26"/>
      <c r="Y160" s="26"/>
      <c r="Z160" s="26"/>
      <c r="AA160" s="26"/>
      <c r="AB160" s="488"/>
      <c r="AC160" s="26"/>
      <c r="AD160" s="488"/>
      <c r="AF160" s="26"/>
    </row>
    <row r="161" spans="1:32">
      <c r="A161" s="30">
        <v>141</v>
      </c>
      <c r="D161" s="217" t="s">
        <v>1034</v>
      </c>
      <c r="E161" s="26"/>
      <c r="F161" s="488">
        <f>F92</f>
        <v>336482350.25000006</v>
      </c>
      <c r="G161" s="26"/>
      <c r="H161" s="488">
        <f>H92</f>
        <v>336817748.33999991</v>
      </c>
      <c r="I161" s="26"/>
      <c r="J161" s="488">
        <f>J92</f>
        <v>339176675.98000008</v>
      </c>
      <c r="K161" s="26"/>
      <c r="L161" s="488">
        <f>L92</f>
        <v>340005937.85999984</v>
      </c>
      <c r="M161" s="26"/>
      <c r="N161" s="488">
        <f>N92</f>
        <v>341481016.4599998</v>
      </c>
      <c r="O161" s="26"/>
      <c r="P161" s="488">
        <f>P92</f>
        <v>342525491.01999986</v>
      </c>
      <c r="Q161" s="26"/>
      <c r="R161" s="488">
        <f>R92</f>
        <v>343070583.94999999</v>
      </c>
      <c r="S161" s="26"/>
      <c r="T161" s="488">
        <f>T92</f>
        <v>344560229.63999999</v>
      </c>
      <c r="U161" s="26"/>
      <c r="V161" s="488">
        <f>V92</f>
        <v>345315214.59000021</v>
      </c>
      <c r="X161" s="488">
        <f>X92</f>
        <v>346817072.40999997</v>
      </c>
      <c r="Y161" s="26"/>
      <c r="Z161" s="488">
        <f>Z92</f>
        <v>348076301.32999992</v>
      </c>
      <c r="AA161" s="26"/>
      <c r="AB161" s="488">
        <f>AB92</f>
        <v>349588485.08999991</v>
      </c>
      <c r="AC161" s="26"/>
      <c r="AD161" s="488">
        <f>AD92</f>
        <v>349691372.54999995</v>
      </c>
      <c r="AF161" s="26"/>
    </row>
    <row r="162" spans="1:32">
      <c r="A162" s="30">
        <v>142</v>
      </c>
      <c r="D162" s="217" t="s">
        <v>1035</v>
      </c>
      <c r="E162" s="26"/>
      <c r="F162" s="488">
        <f>E156*SUM(F94:F138)</f>
        <v>19254388.193151999</v>
      </c>
      <c r="G162" s="26"/>
      <c r="H162" s="488">
        <f>G156*SUM(H94:H138)</f>
        <v>19458787.374120001</v>
      </c>
      <c r="I162" s="26"/>
      <c r="J162" s="488">
        <f>I156*SUM(J94:J138)</f>
        <v>19712029.684500001</v>
      </c>
      <c r="K162" s="26"/>
      <c r="L162" s="488">
        <f>K156*SUM(L94:L138)</f>
        <v>19941973.712324999</v>
      </c>
      <c r="M162" s="26"/>
      <c r="N162" s="488">
        <f>M156*SUM(N94:N138)</f>
        <v>20169275.318085004</v>
      </c>
      <c r="O162" s="26"/>
      <c r="P162" s="488">
        <f>O156*SUM(P94:P138)</f>
        <v>20422528.137405012</v>
      </c>
      <c r="Q162" s="26"/>
      <c r="R162" s="488">
        <f>Q156*SUM(R94:R138)</f>
        <v>20652385.945515003</v>
      </c>
      <c r="S162" s="26"/>
      <c r="T162" s="488">
        <f>S156*SUM(T94:T138)</f>
        <v>20881028.728544999</v>
      </c>
      <c r="U162" s="26"/>
      <c r="V162" s="488">
        <f>U156*SUM(V94:V138)</f>
        <v>21134058.300255004</v>
      </c>
      <c r="X162" s="488">
        <f>W156*SUM(X94:X138)</f>
        <v>21387197.310150009</v>
      </c>
      <c r="Y162" s="26"/>
      <c r="Z162" s="488">
        <f>Y156*SUM(Z94:Z138)</f>
        <v>21632743.827960003</v>
      </c>
      <c r="AA162" s="26"/>
      <c r="AB162" s="488">
        <f>AA156*SUM(AB94:AB138)</f>
        <v>21897588.704205003</v>
      </c>
      <c r="AC162" s="26"/>
      <c r="AD162" s="488">
        <f>AC156*SUM(AD94:AD138)</f>
        <v>22202291.72191501</v>
      </c>
      <c r="AF162" s="26"/>
    </row>
    <row r="163" spans="1:32">
      <c r="A163" s="30">
        <v>143</v>
      </c>
      <c r="D163" s="217" t="s">
        <v>1036</v>
      </c>
      <c r="E163" s="26"/>
      <c r="F163" s="488">
        <f>SUM(F139:F141)*E157</f>
        <v>15909196.363103999</v>
      </c>
      <c r="G163" s="26"/>
      <c r="H163" s="488">
        <f>SUM(H139:H141)*G157</f>
        <v>15934539.240438001</v>
      </c>
      <c r="I163" s="26"/>
      <c r="J163" s="488">
        <f>SUM(J139:J141)*I157</f>
        <v>16011990.657428999</v>
      </c>
      <c r="K163" s="26"/>
      <c r="L163" s="488">
        <f>SUM(L139:L141)*K157</f>
        <v>16002382.981922999</v>
      </c>
      <c r="M163" s="26"/>
      <c r="N163" s="488">
        <f>SUM(N139:N141)*M157</f>
        <v>14976796.341390001</v>
      </c>
      <c r="O163" s="26"/>
      <c r="P163" s="488">
        <f>SUM(P139:P141)*O157</f>
        <v>15079726.422266999</v>
      </c>
      <c r="Q163" s="26"/>
      <c r="R163" s="488">
        <f>SUM(R139:R141)*Q157</f>
        <v>14994941.941512</v>
      </c>
      <c r="S163" s="26"/>
      <c r="T163" s="488">
        <f>SUM(T139:T141)*S157</f>
        <v>15110876.739854999</v>
      </c>
      <c r="U163" s="26"/>
      <c r="V163" s="488">
        <f>SUM(V139:V141)*U157</f>
        <v>14869957.680825001</v>
      </c>
      <c r="X163" s="488">
        <f>SUM(X139:X141)*W157</f>
        <v>14877865.844634</v>
      </c>
      <c r="Y163" s="26"/>
      <c r="Z163" s="488">
        <f>SUM(Z139:Z141)*Y157</f>
        <v>14783186.521974001</v>
      </c>
      <c r="AA163" s="26"/>
      <c r="AB163" s="488">
        <f>SUM(AB139:AB141)*AA157</f>
        <v>14798530.255236</v>
      </c>
      <c r="AC163" s="26"/>
      <c r="AD163" s="488">
        <f>SUM(AD139:AD141)*AC157</f>
        <v>9313977.5332890004</v>
      </c>
      <c r="AF163" s="26"/>
    </row>
    <row r="164" spans="1:32">
      <c r="A164" s="30">
        <v>144</v>
      </c>
      <c r="E164" s="26"/>
      <c r="F164" s="488"/>
      <c r="G164" s="26"/>
      <c r="H164" s="488"/>
      <c r="I164" s="26"/>
      <c r="J164" s="488"/>
      <c r="K164" s="26"/>
      <c r="L164" s="488"/>
      <c r="M164" s="26"/>
      <c r="N164" s="488"/>
      <c r="O164" s="26"/>
      <c r="P164" s="488"/>
      <c r="Q164" s="26"/>
      <c r="R164" s="488"/>
      <c r="S164" s="26"/>
      <c r="T164" s="488"/>
      <c r="U164" s="26"/>
      <c r="V164" s="488"/>
      <c r="X164" s="488"/>
      <c r="Y164" s="26"/>
      <c r="Z164" s="488"/>
      <c r="AA164" s="26"/>
      <c r="AB164" s="488"/>
      <c r="AC164" s="26"/>
      <c r="AD164" s="488"/>
      <c r="AF164" s="26"/>
    </row>
    <row r="165" spans="1:32">
      <c r="A165" s="30">
        <v>145</v>
      </c>
      <c r="D165" s="217" t="s">
        <v>1038</v>
      </c>
      <c r="E165" s="26"/>
      <c r="F165" s="488">
        <f>SUM(F161:F163)</f>
        <v>371645934.80625606</v>
      </c>
      <c r="G165" s="26"/>
      <c r="H165" s="488">
        <f>SUM(H161:H163)</f>
        <v>372211074.9545579</v>
      </c>
      <c r="I165" s="26"/>
      <c r="J165" s="488">
        <f>SUM(J161:J163)</f>
        <v>374900696.32192904</v>
      </c>
      <c r="K165" s="26"/>
      <c r="L165" s="488">
        <f>SUM(L161:L163)</f>
        <v>375950294.5542478</v>
      </c>
      <c r="M165" s="26"/>
      <c r="N165" s="488">
        <f>SUM(N161:N163)</f>
        <v>376627088.11947483</v>
      </c>
      <c r="O165" s="26"/>
      <c r="P165" s="488">
        <f>SUM(P161:P163)</f>
        <v>378027745.57967192</v>
      </c>
      <c r="Q165" s="26"/>
      <c r="R165" s="488">
        <f>SUM(R161:R163)</f>
        <v>378717911.83702695</v>
      </c>
      <c r="S165" s="26"/>
      <c r="T165" s="488">
        <f>SUM(T161:T163)</f>
        <v>380552135.10839999</v>
      </c>
      <c r="U165" s="26"/>
      <c r="V165" s="488">
        <f>SUM(V161:V163)</f>
        <v>381319230.57108021</v>
      </c>
      <c r="X165" s="488">
        <f>SUM(X161:X163)</f>
        <v>383082135.56478399</v>
      </c>
      <c r="Y165" s="26"/>
      <c r="Z165" s="488">
        <f>SUM(Z161:Z163)</f>
        <v>384492231.67993397</v>
      </c>
      <c r="AA165" s="26"/>
      <c r="AB165" s="488">
        <f>SUM(AB161:AB163)</f>
        <v>386284604.04944086</v>
      </c>
      <c r="AC165" s="26"/>
      <c r="AD165" s="488">
        <f>SUM(AD161:AD163)</f>
        <v>381207641.80520397</v>
      </c>
      <c r="AE165" s="4" t="s">
        <v>1046</v>
      </c>
      <c r="AF165" s="515">
        <f t="shared" ref="AF165" si="12">+(F165+AD165+(+H165+J165+L165+N165+P165+R165+T165+V165+X165+Z165+AB165)*2)/24</f>
        <v>379049328.05385643</v>
      </c>
    </row>
    <row r="166" spans="1:32">
      <c r="E166" s="26"/>
      <c r="F166" s="26"/>
      <c r="G166" s="26"/>
      <c r="H166" s="26"/>
      <c r="I166" s="26"/>
      <c r="J166" s="26"/>
      <c r="K166" s="26"/>
      <c r="L166" s="26"/>
      <c r="M166" s="26"/>
      <c r="N166" s="26"/>
      <c r="O166" s="26"/>
      <c r="P166" s="26"/>
      <c r="Q166" s="26"/>
      <c r="R166" s="26"/>
      <c r="S166" s="26"/>
      <c r="T166" s="26"/>
      <c r="U166" s="26"/>
      <c r="V166" s="26"/>
      <c r="X166" s="26"/>
      <c r="Y166" s="26"/>
      <c r="Z166" s="26"/>
      <c r="AA166" s="26"/>
      <c r="AB166" s="26"/>
      <c r="AC166" s="26"/>
      <c r="AD166" s="26"/>
    </row>
    <row r="167" spans="1:32">
      <c r="X167" s="26"/>
      <c r="Y167" s="26"/>
      <c r="Z167" s="26"/>
      <c r="AA167" s="26"/>
      <c r="AB167" s="26"/>
      <c r="AC167" s="26"/>
      <c r="AD167" s="26"/>
    </row>
    <row r="168" spans="1:32">
      <c r="X168" s="26"/>
      <c r="Y168" s="26"/>
      <c r="Z168" s="26"/>
      <c r="AA168" s="26"/>
      <c r="AB168" s="26"/>
      <c r="AC168" s="26"/>
      <c r="AD168" s="26"/>
    </row>
  </sheetData>
  <mergeCells count="22">
    <mergeCell ref="B143:C143"/>
    <mergeCell ref="B147:C147"/>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1" orientation="landscape" r:id="rId1"/>
  <headerFooter scaleWithDoc="0" alignWithMargins="0">
    <oddHeader>&amp;RPage &amp;P of &amp;N</oddHeader>
    <oddFooter>&amp;LElectronic Tab Name:&amp;A</oddFooter>
  </headerFooter>
  <rowBreaks count="2" manualBreakCount="2">
    <brk id="55" max="16383" man="1"/>
    <brk id="110" max="34" man="1"/>
  </rowBreaks>
  <colBreaks count="4" manualBreakCount="4">
    <brk id="7" max="1048575" man="1"/>
    <brk id="14" max="1048575" man="1"/>
    <brk id="21" max="1048575" man="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88"/>
  <sheetViews>
    <sheetView view="pageBreakPreview" zoomScale="60" zoomScaleNormal="100" workbookViewId="0">
      <pane xSplit="9" ySplit="5" topLeftCell="AO6" activePane="bottomRight" state="frozen"/>
      <selection activeCell="D30" sqref="D30:D32"/>
      <selection pane="topRight" activeCell="D30" sqref="D30:D32"/>
      <selection pane="bottomLeft" activeCell="D30" sqref="D30:D32"/>
      <selection pane="bottomRight" activeCell="C90" sqref="C90"/>
    </sheetView>
  </sheetViews>
  <sheetFormatPr defaultRowHeight="15.75"/>
  <cols>
    <col min="1" max="1" width="9.42578125" style="30"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0.570312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884" t="s">
        <v>60</v>
      </c>
      <c r="F1" s="884"/>
      <c r="G1" s="884"/>
      <c r="H1" s="884"/>
      <c r="I1" s="884"/>
      <c r="J1" s="884"/>
      <c r="K1" s="884"/>
      <c r="R1" s="884" t="s">
        <v>60</v>
      </c>
      <c r="S1" s="884"/>
      <c r="T1" s="884"/>
      <c r="U1" s="884"/>
      <c r="V1" s="3"/>
      <c r="W1" s="3"/>
      <c r="X1" s="3"/>
      <c r="Y1" s="3"/>
      <c r="AB1" s="884" t="s">
        <v>60</v>
      </c>
      <c r="AC1" s="884"/>
      <c r="AD1" s="884"/>
      <c r="AE1" s="884"/>
      <c r="AF1" s="3"/>
      <c r="AG1" s="3"/>
      <c r="AK1" s="884" t="s">
        <v>60</v>
      </c>
      <c r="AL1" s="884"/>
      <c r="AM1" s="884"/>
      <c r="AN1" s="884"/>
      <c r="AO1" s="884"/>
      <c r="AU1" s="884" t="s">
        <v>60</v>
      </c>
      <c r="AV1" s="884"/>
      <c r="AW1" s="884"/>
      <c r="AX1" s="884"/>
      <c r="AY1" s="884"/>
    </row>
    <row r="2" spans="1:51">
      <c r="E2" s="6"/>
      <c r="F2" s="884" t="s">
        <v>1390</v>
      </c>
      <c r="G2" s="884"/>
      <c r="H2" s="884"/>
      <c r="I2" s="884"/>
      <c r="J2" s="884"/>
      <c r="K2" s="6"/>
      <c r="R2" s="884" t="str">
        <f>+F2</f>
        <v>UG 19_____</v>
      </c>
      <c r="S2" s="884"/>
      <c r="T2" s="884"/>
      <c r="U2" s="884"/>
      <c r="V2" s="3"/>
      <c r="W2" s="3"/>
      <c r="X2" s="3"/>
      <c r="Y2" s="6"/>
      <c r="AA2" s="6"/>
      <c r="AB2" s="884" t="str">
        <f>+R2</f>
        <v>UG 19_____</v>
      </c>
      <c r="AC2" s="884"/>
      <c r="AD2" s="884"/>
      <c r="AE2" s="884"/>
      <c r="AF2" s="3"/>
      <c r="AG2" s="6"/>
      <c r="AK2" s="884" t="str">
        <f>+AB2</f>
        <v>UG 19_____</v>
      </c>
      <c r="AL2" s="884"/>
      <c r="AM2" s="884"/>
      <c r="AN2" s="884"/>
      <c r="AO2" s="884"/>
      <c r="AS2" s="6"/>
      <c r="AU2" s="884" t="str">
        <f>+AK2</f>
        <v>UG 19_____</v>
      </c>
      <c r="AV2" s="884"/>
      <c r="AW2" s="884"/>
      <c r="AX2" s="884"/>
      <c r="AY2" s="884"/>
    </row>
    <row r="3" spans="1:51">
      <c r="E3" s="6"/>
      <c r="F3" s="884" t="s">
        <v>1555</v>
      </c>
      <c r="G3" s="884"/>
      <c r="H3" s="884"/>
      <c r="I3" s="884"/>
      <c r="J3" s="884"/>
      <c r="K3" s="6"/>
      <c r="R3" s="884" t="str">
        <f>+F3</f>
        <v>MCP WP-1.4</v>
      </c>
      <c r="S3" s="884"/>
      <c r="T3" s="884"/>
      <c r="U3" s="884"/>
      <c r="V3" s="3"/>
      <c r="W3" s="3"/>
      <c r="X3" s="3"/>
      <c r="Y3" s="6"/>
      <c r="AA3" s="6"/>
      <c r="AB3" s="884" t="str">
        <f>+R3</f>
        <v>MCP WP-1.4</v>
      </c>
      <c r="AC3" s="884"/>
      <c r="AD3" s="884"/>
      <c r="AE3" s="884"/>
      <c r="AF3" s="3"/>
      <c r="AG3" s="6"/>
      <c r="AK3" s="884" t="str">
        <f>+AB3</f>
        <v>MCP WP-1.4</v>
      </c>
      <c r="AL3" s="884"/>
      <c r="AM3" s="884"/>
      <c r="AN3" s="884"/>
      <c r="AO3" s="884"/>
      <c r="AS3" s="6"/>
      <c r="AU3" s="884" t="str">
        <f>+AK3</f>
        <v>MCP WP-1.4</v>
      </c>
      <c r="AV3" s="884"/>
      <c r="AW3" s="884"/>
      <c r="AX3" s="884"/>
      <c r="AY3" s="884"/>
    </row>
    <row r="4" spans="1:51">
      <c r="E4" s="884" t="s">
        <v>1138</v>
      </c>
      <c r="F4" s="884"/>
      <c r="G4" s="884"/>
      <c r="H4" s="884"/>
      <c r="I4" s="884"/>
      <c r="J4" s="884"/>
      <c r="K4" s="884"/>
      <c r="R4" s="884" t="s">
        <v>1138</v>
      </c>
      <c r="S4" s="884"/>
      <c r="T4" s="884"/>
      <c r="U4" s="884"/>
      <c r="V4" s="3"/>
      <c r="W4" s="3"/>
      <c r="X4" s="3"/>
      <c r="Y4" s="3"/>
      <c r="AB4" s="884" t="s">
        <v>1138</v>
      </c>
      <c r="AC4" s="884"/>
      <c r="AD4" s="884"/>
      <c r="AE4" s="884"/>
      <c r="AF4" s="3"/>
      <c r="AG4" s="3"/>
      <c r="AK4" s="884" t="s">
        <v>1138</v>
      </c>
      <c r="AL4" s="884"/>
      <c r="AM4" s="884"/>
      <c r="AN4" s="884"/>
      <c r="AO4" s="884"/>
      <c r="AU4" s="884" t="s">
        <v>1138</v>
      </c>
      <c r="AV4" s="884"/>
      <c r="AW4" s="884"/>
      <c r="AX4" s="884"/>
      <c r="AY4" s="884"/>
    </row>
    <row r="5" spans="1:51">
      <c r="F5" s="884" t="s">
        <v>1376</v>
      </c>
      <c r="G5" s="884"/>
      <c r="H5" s="884"/>
      <c r="I5" s="884"/>
      <c r="J5" s="884"/>
      <c r="R5" s="884" t="str">
        <f>+F5</f>
        <v>Twelve Months Ended December 31, 2018</v>
      </c>
      <c r="S5" s="884"/>
      <c r="T5" s="884"/>
      <c r="U5" s="884"/>
      <c r="V5" s="3"/>
      <c r="W5" s="3"/>
      <c r="X5" s="3"/>
      <c r="AB5" s="884" t="str">
        <f>+R5</f>
        <v>Twelve Months Ended December 31, 2018</v>
      </c>
      <c r="AC5" s="884"/>
      <c r="AD5" s="884"/>
      <c r="AE5" s="884"/>
      <c r="AF5" s="3"/>
      <c r="AK5" s="884" t="str">
        <f>+AB5</f>
        <v>Twelve Months Ended December 31, 2018</v>
      </c>
      <c r="AL5" s="884"/>
      <c r="AM5" s="884"/>
      <c r="AN5" s="884"/>
      <c r="AO5" s="884"/>
      <c r="AU5" s="884" t="str">
        <f>+AK5</f>
        <v>Twelve Months Ended December 31, 2018</v>
      </c>
      <c r="AV5" s="884"/>
      <c r="AW5" s="884"/>
      <c r="AX5" s="884"/>
      <c r="AY5" s="884"/>
    </row>
    <row r="8" spans="1:51" s="30" customFormat="1" ht="16.5" thickBot="1">
      <c r="A8" s="30" t="s">
        <v>683</v>
      </c>
      <c r="B8" s="30" t="s">
        <v>885</v>
      </c>
      <c r="C8" s="30" t="s">
        <v>883</v>
      </c>
      <c r="E8" s="30" t="s">
        <v>884</v>
      </c>
      <c r="F8" s="30" t="s">
        <v>887</v>
      </c>
      <c r="G8" s="30" t="s">
        <v>888</v>
      </c>
      <c r="H8" s="30" t="s">
        <v>889</v>
      </c>
      <c r="I8" s="30" t="s">
        <v>890</v>
      </c>
      <c r="J8" s="30" t="s">
        <v>891</v>
      </c>
      <c r="K8" s="30" t="s">
        <v>892</v>
      </c>
      <c r="L8" s="30" t="s">
        <v>893</v>
      </c>
      <c r="M8" s="30" t="s">
        <v>894</v>
      </c>
      <c r="N8" s="30" t="s">
        <v>1049</v>
      </c>
      <c r="O8" s="30" t="s">
        <v>896</v>
      </c>
      <c r="P8" s="30" t="s">
        <v>897</v>
      </c>
      <c r="Q8" s="30" t="s">
        <v>898</v>
      </c>
      <c r="R8" s="30" t="s">
        <v>1105</v>
      </c>
      <c r="S8" s="30" t="s">
        <v>1106</v>
      </c>
      <c r="T8" s="30" t="s">
        <v>1107</v>
      </c>
      <c r="U8" s="30" t="s">
        <v>1108</v>
      </c>
      <c r="V8" s="30" t="s">
        <v>1109</v>
      </c>
      <c r="W8" s="30" t="s">
        <v>1110</v>
      </c>
      <c r="X8" s="30" t="s">
        <v>1111</v>
      </c>
      <c r="Y8" s="30" t="s">
        <v>1112</v>
      </c>
      <c r="Z8" s="30" t="s">
        <v>1113</v>
      </c>
      <c r="AA8" s="30" t="s">
        <v>1114</v>
      </c>
      <c r="AB8" s="30" t="s">
        <v>1115</v>
      </c>
      <c r="AC8" s="30" t="s">
        <v>789</v>
      </c>
      <c r="AD8" s="30" t="s">
        <v>1116</v>
      </c>
      <c r="AE8" s="30" t="s">
        <v>1117</v>
      </c>
      <c r="AF8" s="30" t="s">
        <v>1118</v>
      </c>
      <c r="AG8" s="30" t="s">
        <v>1119</v>
      </c>
      <c r="AH8" s="30" t="s">
        <v>1121</v>
      </c>
      <c r="AI8" s="30" t="s">
        <v>1122</v>
      </c>
      <c r="AJ8" s="30" t="s">
        <v>1123</v>
      </c>
      <c r="AK8" s="30" t="s">
        <v>1124</v>
      </c>
      <c r="AL8" s="30" t="s">
        <v>1125</v>
      </c>
      <c r="AM8" s="30" t="s">
        <v>1126</v>
      </c>
      <c r="AN8" s="30" t="s">
        <v>1127</v>
      </c>
      <c r="AO8" s="30" t="s">
        <v>1128</v>
      </c>
      <c r="AP8" s="30" t="s">
        <v>1129</v>
      </c>
      <c r="AQ8" s="30" t="s">
        <v>1130</v>
      </c>
      <c r="AR8" s="30" t="s">
        <v>1131</v>
      </c>
      <c r="AS8" s="30" t="s">
        <v>1132</v>
      </c>
      <c r="AT8" s="30" t="s">
        <v>1133</v>
      </c>
      <c r="AU8" s="30" t="s">
        <v>988</v>
      </c>
      <c r="AV8" s="30" t="s">
        <v>1134</v>
      </c>
      <c r="AW8" s="30" t="s">
        <v>1135</v>
      </c>
      <c r="AX8" s="30" t="s">
        <v>1136</v>
      </c>
      <c r="AY8" s="30" t="s">
        <v>1137</v>
      </c>
    </row>
    <row r="9" spans="1:51">
      <c r="A9" s="30">
        <v>1</v>
      </c>
      <c r="B9" s="914" t="s">
        <v>1183</v>
      </c>
      <c r="C9" s="915"/>
      <c r="D9" s="915"/>
      <c r="E9" s="916"/>
      <c r="F9" s="923" t="s">
        <v>373</v>
      </c>
      <c r="G9" s="923"/>
      <c r="H9" s="923"/>
      <c r="I9" s="924"/>
      <c r="J9" s="219" t="s">
        <v>789</v>
      </c>
      <c r="K9" s="220" t="s">
        <v>1047</v>
      </c>
      <c r="L9" s="221" t="s">
        <v>1048</v>
      </c>
      <c r="M9" s="219" t="s">
        <v>789</v>
      </c>
      <c r="N9" s="220" t="s">
        <v>1047</v>
      </c>
      <c r="O9" s="221" t="s">
        <v>1048</v>
      </c>
      <c r="P9" s="219" t="s">
        <v>789</v>
      </c>
      <c r="Q9" s="220" t="s">
        <v>1047</v>
      </c>
      <c r="R9" s="221" t="s">
        <v>1048</v>
      </c>
      <c r="S9" s="219" t="s">
        <v>789</v>
      </c>
      <c r="T9" s="220" t="s">
        <v>1047</v>
      </c>
      <c r="U9" s="221" t="s">
        <v>1048</v>
      </c>
      <c r="V9" s="219" t="s">
        <v>789</v>
      </c>
      <c r="W9" s="220" t="s">
        <v>1047</v>
      </c>
      <c r="X9" s="221" t="s">
        <v>1048</v>
      </c>
      <c r="Y9" s="219" t="s">
        <v>789</v>
      </c>
      <c r="Z9" s="220" t="s">
        <v>1047</v>
      </c>
      <c r="AA9" s="221" t="s">
        <v>1048</v>
      </c>
      <c r="AB9" s="219" t="s">
        <v>789</v>
      </c>
      <c r="AC9" s="220" t="s">
        <v>1047</v>
      </c>
      <c r="AD9" s="221" t="s">
        <v>1048</v>
      </c>
      <c r="AE9" s="219" t="s">
        <v>789</v>
      </c>
      <c r="AF9" s="220" t="s">
        <v>1047</v>
      </c>
      <c r="AG9" s="221" t="s">
        <v>1048</v>
      </c>
      <c r="AH9" s="219" t="s">
        <v>789</v>
      </c>
      <c r="AI9" s="220" t="s">
        <v>1047</v>
      </c>
      <c r="AJ9" s="221" t="s">
        <v>1048</v>
      </c>
      <c r="AK9" s="219" t="s">
        <v>789</v>
      </c>
      <c r="AL9" s="220" t="s">
        <v>1047</v>
      </c>
      <c r="AM9" s="221" t="s">
        <v>1048</v>
      </c>
      <c r="AN9" s="219" t="s">
        <v>789</v>
      </c>
      <c r="AO9" s="220" t="s">
        <v>1047</v>
      </c>
      <c r="AP9" s="221" t="s">
        <v>1048</v>
      </c>
      <c r="AQ9" s="219" t="s">
        <v>789</v>
      </c>
      <c r="AR9" s="220" t="s">
        <v>1047</v>
      </c>
      <c r="AS9" s="221" t="s">
        <v>1048</v>
      </c>
      <c r="AT9" s="219" t="s">
        <v>789</v>
      </c>
      <c r="AU9" s="220" t="s">
        <v>1047</v>
      </c>
      <c r="AV9" s="221" t="s">
        <v>1048</v>
      </c>
      <c r="AW9" s="222" t="s">
        <v>1087</v>
      </c>
      <c r="AX9" s="222" t="s">
        <v>106</v>
      </c>
      <c r="AY9" s="222" t="s">
        <v>83</v>
      </c>
    </row>
    <row r="10" spans="1:51">
      <c r="A10" s="30">
        <v>2</v>
      </c>
      <c r="B10" s="917"/>
      <c r="C10" s="918"/>
      <c r="D10" s="918"/>
      <c r="E10" s="919"/>
      <c r="F10" s="903" t="s">
        <v>374</v>
      </c>
      <c r="G10" s="903"/>
      <c r="H10" s="903"/>
      <c r="I10" s="904"/>
      <c r="J10" s="498" t="s">
        <v>1556</v>
      </c>
      <c r="K10" s="499" t="s">
        <v>1556</v>
      </c>
      <c r="L10" s="500" t="s">
        <v>1556</v>
      </c>
      <c r="M10" s="498" t="s">
        <v>1557</v>
      </c>
      <c r="N10" s="498" t="s">
        <v>1557</v>
      </c>
      <c r="O10" s="498" t="s">
        <v>1557</v>
      </c>
      <c r="P10" s="498" t="s">
        <v>1557</v>
      </c>
      <c r="Q10" s="498" t="s">
        <v>1557</v>
      </c>
      <c r="R10" s="498" t="s">
        <v>1557</v>
      </c>
      <c r="S10" s="498" t="s">
        <v>1557</v>
      </c>
      <c r="T10" s="498" t="s">
        <v>1557</v>
      </c>
      <c r="U10" s="498" t="s">
        <v>1557</v>
      </c>
      <c r="V10" s="498" t="s">
        <v>1557</v>
      </c>
      <c r="W10" s="498" t="s">
        <v>1557</v>
      </c>
      <c r="X10" s="498" t="s">
        <v>1557</v>
      </c>
      <c r="Y10" s="498" t="s">
        <v>1557</v>
      </c>
      <c r="Z10" s="498" t="s">
        <v>1557</v>
      </c>
      <c r="AA10" s="498" t="s">
        <v>1557</v>
      </c>
      <c r="AB10" s="498" t="s">
        <v>1557</v>
      </c>
      <c r="AC10" s="498" t="s">
        <v>1557</v>
      </c>
      <c r="AD10" s="498" t="s">
        <v>1557</v>
      </c>
      <c r="AE10" s="498" t="s">
        <v>1557</v>
      </c>
      <c r="AF10" s="498" t="s">
        <v>1557</v>
      </c>
      <c r="AG10" s="498" t="s">
        <v>1557</v>
      </c>
      <c r="AH10" s="498" t="s">
        <v>1557</v>
      </c>
      <c r="AI10" s="498" t="s">
        <v>1557</v>
      </c>
      <c r="AJ10" s="498" t="s">
        <v>1557</v>
      </c>
      <c r="AK10" s="498" t="s">
        <v>1557</v>
      </c>
      <c r="AL10" s="498" t="s">
        <v>1557</v>
      </c>
      <c r="AM10" s="498" t="s">
        <v>1557</v>
      </c>
      <c r="AN10" s="498" t="s">
        <v>1557</v>
      </c>
      <c r="AO10" s="498" t="s">
        <v>1557</v>
      </c>
      <c r="AP10" s="498" t="s">
        <v>1557</v>
      </c>
      <c r="AQ10" s="498" t="s">
        <v>1557</v>
      </c>
      <c r="AR10" s="498" t="s">
        <v>1557</v>
      </c>
      <c r="AS10" s="498" t="s">
        <v>1557</v>
      </c>
      <c r="AT10" s="498" t="s">
        <v>1557</v>
      </c>
      <c r="AU10" s="498" t="s">
        <v>1557</v>
      </c>
      <c r="AV10" s="498" t="s">
        <v>1557</v>
      </c>
    </row>
    <row r="11" spans="1:51">
      <c r="A11" s="30">
        <v>3</v>
      </c>
      <c r="B11" s="917"/>
      <c r="C11" s="918"/>
      <c r="D11" s="918"/>
      <c r="E11" s="919"/>
      <c r="F11" s="903" t="s">
        <v>375</v>
      </c>
      <c r="G11" s="903"/>
      <c r="H11" s="903"/>
      <c r="I11" s="904"/>
      <c r="J11" s="223" t="s">
        <v>1049</v>
      </c>
      <c r="K11" s="224" t="s">
        <v>1049</v>
      </c>
      <c r="L11" s="225" t="s">
        <v>1049</v>
      </c>
      <c r="M11" s="223" t="s">
        <v>1049</v>
      </c>
      <c r="N11" s="224" t="s">
        <v>1049</v>
      </c>
      <c r="O11" s="225" t="s">
        <v>1049</v>
      </c>
      <c r="P11" s="223" t="s">
        <v>1049</v>
      </c>
      <c r="Q11" s="224" t="s">
        <v>1049</v>
      </c>
      <c r="R11" s="225" t="s">
        <v>1049</v>
      </c>
      <c r="S11" s="223" t="s">
        <v>1049</v>
      </c>
      <c r="T11" s="224" t="s">
        <v>1049</v>
      </c>
      <c r="U11" s="225" t="s">
        <v>1049</v>
      </c>
      <c r="V11" s="223" t="s">
        <v>1049</v>
      </c>
      <c r="W11" s="224" t="s">
        <v>1049</v>
      </c>
      <c r="X11" s="225" t="s">
        <v>1049</v>
      </c>
      <c r="Y11" s="223" t="s">
        <v>1049</v>
      </c>
      <c r="Z11" s="224" t="s">
        <v>1049</v>
      </c>
      <c r="AA11" s="225" t="s">
        <v>1049</v>
      </c>
      <c r="AB11" s="223" t="s">
        <v>1049</v>
      </c>
      <c r="AC11" s="224" t="s">
        <v>1049</v>
      </c>
      <c r="AD11" s="225" t="s">
        <v>1049</v>
      </c>
      <c r="AE11" s="223" t="s">
        <v>1049</v>
      </c>
      <c r="AF11" s="224" t="s">
        <v>1049</v>
      </c>
      <c r="AG11" s="225" t="s">
        <v>1049</v>
      </c>
      <c r="AH11" s="223" t="s">
        <v>1049</v>
      </c>
      <c r="AI11" s="224" t="s">
        <v>1049</v>
      </c>
      <c r="AJ11" s="225" t="s">
        <v>1049</v>
      </c>
      <c r="AK11" s="223" t="s">
        <v>1049</v>
      </c>
      <c r="AL11" s="224" t="s">
        <v>1049</v>
      </c>
      <c r="AM11" s="225" t="s">
        <v>1049</v>
      </c>
      <c r="AN11" s="223" t="s">
        <v>1049</v>
      </c>
      <c r="AO11" s="224" t="s">
        <v>1049</v>
      </c>
      <c r="AP11" s="225" t="s">
        <v>1049</v>
      </c>
      <c r="AQ11" s="223" t="s">
        <v>1049</v>
      </c>
      <c r="AR11" s="224" t="s">
        <v>1049</v>
      </c>
      <c r="AS11" s="225" t="s">
        <v>1049</v>
      </c>
      <c r="AT11" s="223" t="s">
        <v>1049</v>
      </c>
      <c r="AU11" s="224" t="s">
        <v>1049</v>
      </c>
      <c r="AV11" s="225" t="s">
        <v>1049</v>
      </c>
      <c r="AX11" s="222" t="s">
        <v>369</v>
      </c>
    </row>
    <row r="12" spans="1:51">
      <c r="A12" s="204">
        <v>4</v>
      </c>
      <c r="B12" s="917"/>
      <c r="C12" s="918"/>
      <c r="D12" s="918"/>
      <c r="E12" s="919"/>
      <c r="F12" s="903" t="s">
        <v>376</v>
      </c>
      <c r="G12" s="903"/>
      <c r="H12" s="903"/>
      <c r="I12" s="904"/>
      <c r="J12" s="223" t="s">
        <v>482</v>
      </c>
      <c r="K12" s="224" t="s">
        <v>482</v>
      </c>
      <c r="L12" s="225" t="s">
        <v>482</v>
      </c>
      <c r="M12" s="223" t="s">
        <v>539</v>
      </c>
      <c r="N12" s="224" t="s">
        <v>539</v>
      </c>
      <c r="O12" s="225" t="s">
        <v>539</v>
      </c>
      <c r="P12" s="223" t="s">
        <v>573</v>
      </c>
      <c r="Q12" s="224" t="s">
        <v>573</v>
      </c>
      <c r="R12" s="225" t="s">
        <v>573</v>
      </c>
      <c r="S12" s="223" t="s">
        <v>575</v>
      </c>
      <c r="T12" s="224" t="s">
        <v>575</v>
      </c>
      <c r="U12" s="225" t="s">
        <v>575</v>
      </c>
      <c r="V12" s="223" t="s">
        <v>1050</v>
      </c>
      <c r="W12" s="224" t="s">
        <v>1050</v>
      </c>
      <c r="X12" s="225" t="s">
        <v>1050</v>
      </c>
      <c r="Y12" s="223" t="s">
        <v>1051</v>
      </c>
      <c r="Z12" s="224" t="s">
        <v>1051</v>
      </c>
      <c r="AA12" s="225" t="s">
        <v>1051</v>
      </c>
      <c r="AB12" s="223" t="s">
        <v>1052</v>
      </c>
      <c r="AC12" s="224" t="s">
        <v>1052</v>
      </c>
      <c r="AD12" s="225" t="s">
        <v>1052</v>
      </c>
      <c r="AE12" s="223" t="s">
        <v>1053</v>
      </c>
      <c r="AF12" s="224" t="s">
        <v>1053</v>
      </c>
      <c r="AG12" s="225" t="s">
        <v>1053</v>
      </c>
      <c r="AH12" s="223" t="s">
        <v>390</v>
      </c>
      <c r="AI12" s="224" t="s">
        <v>390</v>
      </c>
      <c r="AJ12" s="225" t="s">
        <v>390</v>
      </c>
      <c r="AK12" s="223" t="s">
        <v>1054</v>
      </c>
      <c r="AL12" s="224" t="s">
        <v>1054</v>
      </c>
      <c r="AM12" s="225" t="s">
        <v>1054</v>
      </c>
      <c r="AN12" s="223" t="s">
        <v>1055</v>
      </c>
      <c r="AO12" s="224" t="s">
        <v>1055</v>
      </c>
      <c r="AP12" s="225" t="s">
        <v>1055</v>
      </c>
      <c r="AQ12" s="223" t="s">
        <v>1056</v>
      </c>
      <c r="AR12" s="224" t="s">
        <v>1056</v>
      </c>
      <c r="AS12" s="225" t="s">
        <v>1056</v>
      </c>
      <c r="AT12" s="223" t="s">
        <v>482</v>
      </c>
      <c r="AU12" s="224" t="s">
        <v>482</v>
      </c>
      <c r="AV12" s="225" t="s">
        <v>482</v>
      </c>
    </row>
    <row r="13" spans="1:51" ht="16.5" thickBot="1">
      <c r="A13" s="204">
        <v>5</v>
      </c>
      <c r="B13" s="920"/>
      <c r="C13" s="921"/>
      <c r="D13" s="921"/>
      <c r="E13" s="922"/>
      <c r="F13" s="903" t="s">
        <v>377</v>
      </c>
      <c r="G13" s="903"/>
      <c r="H13" s="903"/>
      <c r="I13" s="904"/>
      <c r="J13" s="223" t="s">
        <v>750</v>
      </c>
      <c r="K13" s="224" t="s">
        <v>750</v>
      </c>
      <c r="L13" s="225" t="s">
        <v>750</v>
      </c>
      <c r="M13" s="223" t="s">
        <v>750</v>
      </c>
      <c r="N13" s="224" t="s">
        <v>750</v>
      </c>
      <c r="O13" s="225" t="s">
        <v>750</v>
      </c>
      <c r="P13" s="223" t="s">
        <v>750</v>
      </c>
      <c r="Q13" s="224" t="s">
        <v>750</v>
      </c>
      <c r="R13" s="225" t="s">
        <v>750</v>
      </c>
      <c r="S13" s="223" t="s">
        <v>750</v>
      </c>
      <c r="T13" s="224" t="s">
        <v>750</v>
      </c>
      <c r="U13" s="225" t="s">
        <v>750</v>
      </c>
      <c r="V13" s="223" t="s">
        <v>750</v>
      </c>
      <c r="W13" s="224" t="s">
        <v>750</v>
      </c>
      <c r="X13" s="225" t="s">
        <v>750</v>
      </c>
      <c r="Y13" s="223" t="s">
        <v>750</v>
      </c>
      <c r="Z13" s="224" t="s">
        <v>750</v>
      </c>
      <c r="AA13" s="225" t="s">
        <v>750</v>
      </c>
      <c r="AB13" s="223" t="s">
        <v>750</v>
      </c>
      <c r="AC13" s="224" t="s">
        <v>750</v>
      </c>
      <c r="AD13" s="225" t="s">
        <v>750</v>
      </c>
      <c r="AE13" s="223" t="s">
        <v>750</v>
      </c>
      <c r="AF13" s="224" t="s">
        <v>750</v>
      </c>
      <c r="AG13" s="225" t="s">
        <v>750</v>
      </c>
      <c r="AH13" s="223" t="s">
        <v>750</v>
      </c>
      <c r="AI13" s="224" t="s">
        <v>750</v>
      </c>
      <c r="AJ13" s="225" t="s">
        <v>750</v>
      </c>
      <c r="AK13" s="223" t="s">
        <v>750</v>
      </c>
      <c r="AL13" s="224" t="s">
        <v>750</v>
      </c>
      <c r="AM13" s="225" t="s">
        <v>750</v>
      </c>
      <c r="AN13" s="223" t="s">
        <v>750</v>
      </c>
      <c r="AO13" s="224" t="s">
        <v>750</v>
      </c>
      <c r="AP13" s="225" t="s">
        <v>750</v>
      </c>
      <c r="AQ13" s="223" t="s">
        <v>750</v>
      </c>
      <c r="AR13" s="224" t="s">
        <v>750</v>
      </c>
      <c r="AS13" s="225" t="s">
        <v>750</v>
      </c>
      <c r="AT13" s="223" t="s">
        <v>750</v>
      </c>
      <c r="AU13" s="224" t="s">
        <v>750</v>
      </c>
      <c r="AV13" s="225" t="s">
        <v>750</v>
      </c>
    </row>
    <row r="14" spans="1:51">
      <c r="A14" s="204">
        <v>6</v>
      </c>
      <c r="B14" s="226"/>
      <c r="C14" s="227"/>
      <c r="D14" s="227"/>
      <c r="E14" s="227"/>
      <c r="F14" s="227"/>
      <c r="G14" s="227"/>
      <c r="H14" s="227"/>
      <c r="I14" s="228"/>
      <c r="J14" s="226"/>
      <c r="K14" s="227"/>
      <c r="L14" s="228"/>
      <c r="M14" s="226"/>
      <c r="N14" s="227"/>
      <c r="O14" s="228"/>
      <c r="P14" s="226"/>
      <c r="Q14" s="227"/>
      <c r="R14" s="228"/>
      <c r="S14" s="226"/>
      <c r="T14" s="227"/>
      <c r="U14" s="228"/>
      <c r="V14" s="226"/>
      <c r="W14" s="227"/>
      <c r="X14" s="228"/>
      <c r="Y14" s="226"/>
      <c r="Z14" s="227"/>
      <c r="AA14" s="228"/>
      <c r="AB14" s="226"/>
      <c r="AC14" s="227"/>
      <c r="AD14" s="228"/>
      <c r="AE14" s="226"/>
      <c r="AF14" s="227"/>
      <c r="AG14" s="228"/>
      <c r="AH14" s="226"/>
      <c r="AI14" s="227"/>
      <c r="AJ14" s="228"/>
      <c r="AK14" s="226"/>
      <c r="AL14" s="227"/>
      <c r="AM14" s="228"/>
      <c r="AN14" s="226"/>
      <c r="AO14" s="227"/>
      <c r="AP14" s="228"/>
      <c r="AQ14" s="226"/>
      <c r="AR14" s="227"/>
      <c r="AS14" s="228"/>
      <c r="AT14" s="226"/>
      <c r="AU14" s="227"/>
      <c r="AV14" s="228"/>
      <c r="AW14" s="228"/>
      <c r="AX14" s="228"/>
      <c r="AY14" s="228"/>
    </row>
    <row r="15" spans="1:51" ht="31.5">
      <c r="A15" s="204">
        <v>7</v>
      </c>
      <c r="B15" s="230"/>
      <c r="C15" s="231" t="s">
        <v>1057</v>
      </c>
      <c r="D15" s="231"/>
      <c r="E15" s="231" t="s">
        <v>1058</v>
      </c>
      <c r="F15" s="231" t="s">
        <v>1059</v>
      </c>
      <c r="G15" s="231" t="s">
        <v>1060</v>
      </c>
      <c r="H15" s="231" t="s">
        <v>1061</v>
      </c>
      <c r="I15" s="232" t="s">
        <v>1062</v>
      </c>
      <c r="J15" s="230"/>
      <c r="K15" s="233"/>
      <c r="L15" s="234"/>
      <c r="M15" s="230"/>
      <c r="N15" s="233"/>
      <c r="O15" s="234"/>
      <c r="P15" s="230"/>
      <c r="Q15" s="233"/>
      <c r="R15" s="234"/>
      <c r="S15" s="230"/>
      <c r="T15" s="233"/>
      <c r="U15" s="234"/>
      <c r="V15" s="230"/>
      <c r="W15" s="233"/>
      <c r="X15" s="234"/>
      <c r="Y15" s="230"/>
      <c r="Z15" s="233"/>
      <c r="AA15" s="234"/>
      <c r="AB15" s="230"/>
      <c r="AC15" s="233"/>
      <c r="AD15" s="234"/>
      <c r="AE15" s="230"/>
      <c r="AF15" s="233"/>
      <c r="AG15" s="234"/>
      <c r="AH15" s="230"/>
      <c r="AI15" s="233"/>
      <c r="AJ15" s="234"/>
      <c r="AK15" s="230"/>
      <c r="AL15" s="233"/>
      <c r="AM15" s="234"/>
      <c r="AN15" s="230"/>
      <c r="AO15" s="233"/>
      <c r="AP15" s="234"/>
      <c r="AQ15" s="230"/>
      <c r="AR15" s="233"/>
      <c r="AS15" s="234"/>
      <c r="AT15" s="230"/>
      <c r="AU15" s="233"/>
      <c r="AV15" s="234"/>
    </row>
    <row r="16" spans="1:51">
      <c r="A16" s="204">
        <v>8</v>
      </c>
      <c r="B16" s="911" t="s">
        <v>1064</v>
      </c>
      <c r="C16" s="912"/>
      <c r="D16" s="912"/>
      <c r="E16" s="912"/>
      <c r="F16" s="912"/>
      <c r="G16" s="912"/>
      <c r="H16" s="912"/>
      <c r="I16" s="913"/>
      <c r="J16" s="235"/>
      <c r="K16" s="236"/>
      <c r="L16" s="237"/>
      <c r="M16" s="235"/>
      <c r="N16" s="236"/>
      <c r="O16" s="237"/>
      <c r="P16" s="235"/>
      <c r="Q16" s="236"/>
      <c r="R16" s="237"/>
      <c r="S16" s="235"/>
      <c r="T16" s="236"/>
      <c r="U16" s="237"/>
      <c r="V16" s="235"/>
      <c r="W16" s="236"/>
      <c r="X16" s="237"/>
      <c r="Y16" s="235"/>
      <c r="Z16" s="236"/>
      <c r="AA16" s="237"/>
      <c r="AB16" s="235"/>
      <c r="AC16" s="236"/>
      <c r="AD16" s="237"/>
      <c r="AE16" s="235"/>
      <c r="AF16" s="236"/>
      <c r="AG16" s="237"/>
      <c r="AH16" s="235"/>
      <c r="AI16" s="236"/>
      <c r="AJ16" s="237"/>
      <c r="AK16" s="235"/>
      <c r="AL16" s="236"/>
      <c r="AM16" s="237"/>
      <c r="AN16" s="235"/>
      <c r="AO16" s="236"/>
      <c r="AP16" s="237"/>
      <c r="AQ16" s="235"/>
      <c r="AR16" s="236"/>
      <c r="AS16" s="237"/>
      <c r="AT16" s="235"/>
      <c r="AU16" s="236"/>
      <c r="AV16" s="237"/>
    </row>
    <row r="17" spans="1:56">
      <c r="A17" s="204">
        <v>9</v>
      </c>
      <c r="B17" s="229" t="s">
        <v>1065</v>
      </c>
      <c r="C17" s="224" t="s">
        <v>790</v>
      </c>
      <c r="D17" s="224"/>
      <c r="E17" s="224" t="s">
        <v>1066</v>
      </c>
      <c r="F17" s="224" t="s">
        <v>650</v>
      </c>
      <c r="G17" s="224" t="s">
        <v>1067</v>
      </c>
      <c r="H17" s="224" t="s">
        <v>382</v>
      </c>
      <c r="I17" s="225" t="s">
        <v>382</v>
      </c>
      <c r="J17" s="235">
        <v>0</v>
      </c>
      <c r="K17" s="236">
        <v>0</v>
      </c>
      <c r="L17" s="237"/>
      <c r="M17" s="235">
        <v>0</v>
      </c>
      <c r="N17" s="236">
        <v>0</v>
      </c>
      <c r="O17" s="237"/>
      <c r="P17" s="235">
        <v>0</v>
      </c>
      <c r="Q17" s="236">
        <v>0</v>
      </c>
      <c r="R17" s="237"/>
      <c r="S17" s="235">
        <v>0</v>
      </c>
      <c r="T17" s="236">
        <v>0</v>
      </c>
      <c r="U17" s="237"/>
      <c r="V17" s="235">
        <v>0</v>
      </c>
      <c r="W17" s="236">
        <v>0</v>
      </c>
      <c r="X17" s="237"/>
      <c r="Y17" s="235">
        <v>0</v>
      </c>
      <c r="Z17" s="236">
        <v>0</v>
      </c>
      <c r="AA17" s="237"/>
      <c r="AB17" s="235">
        <v>0</v>
      </c>
      <c r="AC17" s="236">
        <v>0</v>
      </c>
      <c r="AD17" s="237"/>
      <c r="AE17" s="235">
        <v>0</v>
      </c>
      <c r="AF17" s="236">
        <v>0</v>
      </c>
      <c r="AG17" s="237"/>
      <c r="AH17" s="235">
        <v>0</v>
      </c>
      <c r="AI17" s="236">
        <v>0</v>
      </c>
      <c r="AJ17" s="237"/>
      <c r="AK17" s="235">
        <v>0</v>
      </c>
      <c r="AL17" s="236">
        <v>0</v>
      </c>
      <c r="AM17" s="237"/>
      <c r="AN17" s="235">
        <v>0</v>
      </c>
      <c r="AO17" s="236">
        <v>0</v>
      </c>
      <c r="AP17" s="237"/>
      <c r="AQ17" s="235">
        <v>0</v>
      </c>
      <c r="AR17" s="236">
        <v>0</v>
      </c>
      <c r="AS17" s="237"/>
      <c r="AT17" s="235">
        <v>0</v>
      </c>
      <c r="AU17" s="236">
        <v>0</v>
      </c>
      <c r="AV17" s="237"/>
    </row>
    <row r="18" spans="1:56">
      <c r="A18" s="30">
        <v>10</v>
      </c>
      <c r="B18" s="229" t="s">
        <v>1068</v>
      </c>
      <c r="C18" s="224" t="s">
        <v>790</v>
      </c>
      <c r="D18" s="224"/>
      <c r="E18" s="224" t="s">
        <v>382</v>
      </c>
      <c r="F18" s="224" t="s">
        <v>650</v>
      </c>
      <c r="G18" s="224" t="s">
        <v>1069</v>
      </c>
      <c r="H18" s="224" t="s">
        <v>382</v>
      </c>
      <c r="I18" s="225" t="s">
        <v>382</v>
      </c>
      <c r="J18" s="235">
        <v>-3488410.28</v>
      </c>
      <c r="K18" s="238">
        <v>-3349910.81</v>
      </c>
      <c r="L18" s="237">
        <v>-138499.47</v>
      </c>
      <c r="M18" s="235">
        <v>-3383027.75</v>
      </c>
      <c r="N18" s="238">
        <v>-3250415.58</v>
      </c>
      <c r="O18" s="237">
        <v>-132612.17000000001</v>
      </c>
      <c r="P18" s="235">
        <v>-3384526.44</v>
      </c>
      <c r="Q18" s="238">
        <v>-3250415.58</v>
      </c>
      <c r="R18" s="237">
        <v>-134110.85999999999</v>
      </c>
      <c r="S18" s="235">
        <v>-3387422.58</v>
      </c>
      <c r="T18" s="238">
        <v>-3250415.58</v>
      </c>
      <c r="U18" s="237">
        <v>-137007</v>
      </c>
      <c r="V18" s="235">
        <v>-3388772.81</v>
      </c>
      <c r="W18" s="238">
        <v>-3250415.58</v>
      </c>
      <c r="X18" s="237">
        <v>-138357.23000000001</v>
      </c>
      <c r="Y18" s="235">
        <v>-3390332.23</v>
      </c>
      <c r="Z18" s="238">
        <v>-3250415.58</v>
      </c>
      <c r="AA18" s="237">
        <v>-139916.65</v>
      </c>
      <c r="AB18" s="235">
        <v>-3404402.77</v>
      </c>
      <c r="AC18" s="238">
        <v>-3250415.58</v>
      </c>
      <c r="AD18" s="237">
        <v>-153987.19</v>
      </c>
      <c r="AE18" s="235">
        <v>-3426342.26</v>
      </c>
      <c r="AF18" s="238">
        <v>-3270213.8</v>
      </c>
      <c r="AG18" s="237">
        <v>-156128.46</v>
      </c>
      <c r="AH18" s="235">
        <v>-3432392.61</v>
      </c>
      <c r="AI18" s="238">
        <v>-3270213.8</v>
      </c>
      <c r="AJ18" s="237">
        <v>-162178.81</v>
      </c>
      <c r="AK18" s="235">
        <v>-3440098.2</v>
      </c>
      <c r="AL18" s="238">
        <v>-3277533.44</v>
      </c>
      <c r="AM18" s="237">
        <v>-162564.76</v>
      </c>
      <c r="AN18" s="235">
        <v>-3417688.2</v>
      </c>
      <c r="AO18" s="238">
        <v>-3255123.44</v>
      </c>
      <c r="AP18" s="237">
        <v>-162564.76</v>
      </c>
      <c r="AQ18" s="235">
        <v>-3417688.2</v>
      </c>
      <c r="AR18" s="238">
        <v>-3255123.44</v>
      </c>
      <c r="AS18" s="237">
        <v>-162564.76</v>
      </c>
      <c r="AT18" s="235">
        <v>-3418947.24</v>
      </c>
      <c r="AU18" s="238">
        <v>-3255123.44</v>
      </c>
      <c r="AV18" s="237">
        <v>-163823.79999999999</v>
      </c>
      <c r="AW18" s="179">
        <f>+(AT18+J18+(M18+P18+S18+V18+Y18+AB18+AE18+AH18+AK18+AN18+AQ18)*2)/24</f>
        <v>-3410531.0674999994</v>
      </c>
      <c r="AX18" s="179">
        <f t="shared" ref="AX18:AY22" si="0">+(AU18+K18+(N18+Q18+T18+W18+Z18+AC18+AF18+AI18+AL18+AO18+AR18)*2)/24</f>
        <v>-3261101.5437500007</v>
      </c>
      <c r="AY18" s="179">
        <f t="shared" si="0"/>
        <v>-149429.52375000002</v>
      </c>
    </row>
    <row r="19" spans="1:56">
      <c r="A19" s="30">
        <v>11</v>
      </c>
      <c r="B19" s="229" t="s">
        <v>1070</v>
      </c>
      <c r="C19" s="224" t="s">
        <v>790</v>
      </c>
      <c r="D19" s="224"/>
      <c r="E19" s="224" t="s">
        <v>1063</v>
      </c>
      <c r="F19" s="224" t="s">
        <v>650</v>
      </c>
      <c r="G19" s="224" t="s">
        <v>1071</v>
      </c>
      <c r="H19" s="224" t="s">
        <v>382</v>
      </c>
      <c r="I19" s="225" t="s">
        <v>382</v>
      </c>
      <c r="J19" s="235">
        <v>105195.79</v>
      </c>
      <c r="K19" s="236">
        <v>99495.23</v>
      </c>
      <c r="L19" s="237">
        <v>5700.56</v>
      </c>
      <c r="M19" s="235">
        <v>0</v>
      </c>
      <c r="N19" s="236">
        <v>0</v>
      </c>
      <c r="O19" s="237">
        <v>0</v>
      </c>
      <c r="P19" s="235">
        <v>0</v>
      </c>
      <c r="Q19" s="236">
        <v>0</v>
      </c>
      <c r="R19" s="237">
        <v>0</v>
      </c>
      <c r="S19" s="235">
        <v>0</v>
      </c>
      <c r="T19" s="236">
        <v>0</v>
      </c>
      <c r="U19" s="237">
        <v>0</v>
      </c>
      <c r="V19" s="235">
        <v>99992.08</v>
      </c>
      <c r="W19" s="236">
        <v>97387.61</v>
      </c>
      <c r="X19" s="237">
        <v>2604.4699999999998</v>
      </c>
      <c r="Y19" s="235">
        <v>99992.08</v>
      </c>
      <c r="Z19" s="236">
        <v>97387.61</v>
      </c>
      <c r="AA19" s="237">
        <v>2604.4699999999998</v>
      </c>
      <c r="AB19" s="235">
        <v>99992.08</v>
      </c>
      <c r="AC19" s="236">
        <v>97387.61</v>
      </c>
      <c r="AD19" s="237">
        <v>2604.4699999999998</v>
      </c>
      <c r="AE19" s="235">
        <v>99992.08</v>
      </c>
      <c r="AF19" s="236">
        <v>97387.61</v>
      </c>
      <c r="AG19" s="237">
        <v>2604.4699999999998</v>
      </c>
      <c r="AH19" s="235">
        <v>103023.82</v>
      </c>
      <c r="AI19" s="236">
        <v>97387.61</v>
      </c>
      <c r="AJ19" s="237">
        <v>5636.21</v>
      </c>
      <c r="AK19" s="235">
        <v>103023.82</v>
      </c>
      <c r="AL19" s="236">
        <v>97387.61</v>
      </c>
      <c r="AM19" s="237">
        <v>5636.21</v>
      </c>
      <c r="AN19" s="235">
        <v>117299.85</v>
      </c>
      <c r="AO19" s="236">
        <v>108675.06</v>
      </c>
      <c r="AP19" s="237">
        <v>8624.7900000000009</v>
      </c>
      <c r="AQ19" s="235">
        <v>117299.85</v>
      </c>
      <c r="AR19" s="236">
        <v>108675.06</v>
      </c>
      <c r="AS19" s="237">
        <v>8624.7900000000009</v>
      </c>
      <c r="AT19" s="235">
        <v>117299.85</v>
      </c>
      <c r="AU19" s="236">
        <v>108675.06</v>
      </c>
      <c r="AV19" s="237">
        <v>8624.7900000000009</v>
      </c>
      <c r="AW19" s="179">
        <f t="shared" ref="AW19:AW22" si="1">+(AT19+J19+(M19+P19+S19+V19+Y19+AB19+AE19+AH19+AK19+AN19+AQ19)*2)/24</f>
        <v>79321.956666666665</v>
      </c>
      <c r="AX19" s="179">
        <f t="shared" si="0"/>
        <v>75480.077083333337</v>
      </c>
      <c r="AY19" s="179">
        <f t="shared" si="0"/>
        <v>3841.8795833333338</v>
      </c>
    </row>
    <row r="20" spans="1:56">
      <c r="A20" s="30">
        <v>12</v>
      </c>
      <c r="B20" s="229" t="s">
        <v>1072</v>
      </c>
      <c r="C20" s="224" t="s">
        <v>790</v>
      </c>
      <c r="D20" s="224"/>
      <c r="E20" s="224" t="s">
        <v>1063</v>
      </c>
      <c r="F20" s="224" t="s">
        <v>650</v>
      </c>
      <c r="G20" s="224" t="s">
        <v>1073</v>
      </c>
      <c r="H20" s="224" t="s">
        <v>382</v>
      </c>
      <c r="I20" s="225" t="s">
        <v>382</v>
      </c>
      <c r="J20" s="239">
        <v>0</v>
      </c>
      <c r="K20" s="240">
        <v>0.01</v>
      </c>
      <c r="L20" s="241">
        <v>-0.01</v>
      </c>
      <c r="M20" s="239">
        <v>0</v>
      </c>
      <c r="N20" s="240">
        <v>0.01</v>
      </c>
      <c r="O20" s="241">
        <v>-0.01</v>
      </c>
      <c r="P20" s="239">
        <v>0</v>
      </c>
      <c r="Q20" s="240">
        <v>0.01</v>
      </c>
      <c r="R20" s="241">
        <v>-0.01</v>
      </c>
      <c r="S20" s="239">
        <v>0</v>
      </c>
      <c r="T20" s="240">
        <v>0.01</v>
      </c>
      <c r="U20" s="241">
        <v>-0.01</v>
      </c>
      <c r="V20" s="239">
        <v>0</v>
      </c>
      <c r="W20" s="240">
        <v>0.01</v>
      </c>
      <c r="X20" s="241">
        <v>-0.01</v>
      </c>
      <c r="Y20" s="239">
        <v>0</v>
      </c>
      <c r="Z20" s="240">
        <v>0.01</v>
      </c>
      <c r="AA20" s="241">
        <v>-0.01</v>
      </c>
      <c r="AB20" s="239">
        <v>0</v>
      </c>
      <c r="AC20" s="240">
        <v>0.01</v>
      </c>
      <c r="AD20" s="241">
        <v>-0.01</v>
      </c>
      <c r="AE20" s="239">
        <v>0</v>
      </c>
      <c r="AF20" s="240">
        <v>0.01</v>
      </c>
      <c r="AG20" s="241">
        <v>-0.01</v>
      </c>
      <c r="AH20" s="239">
        <v>0</v>
      </c>
      <c r="AI20" s="240">
        <v>0.01</v>
      </c>
      <c r="AJ20" s="241">
        <v>-0.01</v>
      </c>
      <c r="AK20" s="239">
        <v>0</v>
      </c>
      <c r="AL20" s="240">
        <v>0.01</v>
      </c>
      <c r="AM20" s="241">
        <v>-0.01</v>
      </c>
      <c r="AN20" s="239">
        <v>0</v>
      </c>
      <c r="AO20" s="240">
        <v>0.01</v>
      </c>
      <c r="AP20" s="241">
        <v>-0.01</v>
      </c>
      <c r="AQ20" s="239">
        <v>0</v>
      </c>
      <c r="AR20" s="240">
        <v>0.01</v>
      </c>
      <c r="AS20" s="241">
        <v>-0.01</v>
      </c>
      <c r="AT20" s="239">
        <v>0</v>
      </c>
      <c r="AU20" s="240">
        <v>0.01</v>
      </c>
      <c r="AV20" s="241">
        <v>-0.01</v>
      </c>
      <c r="AW20" s="179">
        <f t="shared" si="1"/>
        <v>0</v>
      </c>
      <c r="AX20" s="179">
        <f t="shared" si="0"/>
        <v>9.9999999999999985E-3</v>
      </c>
      <c r="AY20" s="179">
        <f t="shared" si="0"/>
        <v>-9.9999999999999985E-3</v>
      </c>
    </row>
    <row r="21" spans="1:56">
      <c r="A21" s="204">
        <v>13</v>
      </c>
      <c r="B21" s="229" t="s">
        <v>1074</v>
      </c>
      <c r="C21" s="224" t="s">
        <v>790</v>
      </c>
      <c r="D21" s="224"/>
      <c r="E21" s="224" t="s">
        <v>1063</v>
      </c>
      <c r="F21" s="224" t="s">
        <v>650</v>
      </c>
      <c r="G21" s="224" t="s">
        <v>1075</v>
      </c>
      <c r="H21" s="224" t="s">
        <v>382</v>
      </c>
      <c r="I21" s="225" t="s">
        <v>382</v>
      </c>
      <c r="J21" s="239">
        <v>-1104303.6499999999</v>
      </c>
      <c r="K21" s="240">
        <v>-828507.03</v>
      </c>
      <c r="L21" s="241">
        <v>-275796.62</v>
      </c>
      <c r="M21" s="239">
        <v>-1079956.68</v>
      </c>
      <c r="N21" s="240">
        <v>-808113.38</v>
      </c>
      <c r="O21" s="241">
        <v>-271843.3</v>
      </c>
      <c r="P21" s="239">
        <v>-1079956.68</v>
      </c>
      <c r="Q21" s="240">
        <v>-808113.38</v>
      </c>
      <c r="R21" s="241">
        <v>-271843.3</v>
      </c>
      <c r="S21" s="239">
        <v>-1079452.97</v>
      </c>
      <c r="T21" s="240">
        <v>-807736.35</v>
      </c>
      <c r="U21" s="241">
        <v>-271716.62</v>
      </c>
      <c r="V21" s="239">
        <v>-1079452.97</v>
      </c>
      <c r="W21" s="240">
        <v>-807736.35</v>
      </c>
      <c r="X21" s="241">
        <v>-271716.62</v>
      </c>
      <c r="Y21" s="239">
        <v>-1079452.97</v>
      </c>
      <c r="Z21" s="240">
        <v>-807736.35</v>
      </c>
      <c r="AA21" s="241">
        <v>-271716.62</v>
      </c>
      <c r="AB21" s="239">
        <v>-1082136.3</v>
      </c>
      <c r="AC21" s="240">
        <v>-809744.82</v>
      </c>
      <c r="AD21" s="241">
        <v>-272391.48</v>
      </c>
      <c r="AE21" s="239">
        <v>-1080347.08</v>
      </c>
      <c r="AF21" s="240">
        <v>-808405.59</v>
      </c>
      <c r="AG21" s="241">
        <v>-271941.49</v>
      </c>
      <c r="AH21" s="239">
        <v>-1072375.83</v>
      </c>
      <c r="AI21" s="240">
        <v>-802439.11</v>
      </c>
      <c r="AJ21" s="241">
        <v>-269936.71999999997</v>
      </c>
      <c r="AK21" s="239">
        <v>-1091726.19</v>
      </c>
      <c r="AL21" s="240">
        <v>-816922.85</v>
      </c>
      <c r="AM21" s="241">
        <v>-274803.34000000003</v>
      </c>
      <c r="AN21" s="239">
        <v>-1015519.5</v>
      </c>
      <c r="AO21" s="240">
        <v>-759882.14</v>
      </c>
      <c r="AP21" s="241">
        <v>-255637.36</v>
      </c>
      <c r="AQ21" s="239">
        <v>-1015519.5</v>
      </c>
      <c r="AR21" s="240">
        <v>-759882.14</v>
      </c>
      <c r="AS21" s="241">
        <v>-255637.36</v>
      </c>
      <c r="AT21" s="239">
        <v>-1014253.48</v>
      </c>
      <c r="AU21" s="240">
        <v>-758934.52</v>
      </c>
      <c r="AV21" s="241">
        <v>-255318.96</v>
      </c>
      <c r="AW21" s="179">
        <f t="shared" si="1"/>
        <v>-1067931.2695833333</v>
      </c>
      <c r="AX21" s="179">
        <f t="shared" si="0"/>
        <v>-799202.76958333328</v>
      </c>
      <c r="AY21" s="179">
        <f t="shared" si="0"/>
        <v>-268728.49999999994</v>
      </c>
    </row>
    <row r="22" spans="1:56" ht="16.5" thickBot="1">
      <c r="A22" s="204">
        <v>14</v>
      </c>
      <c r="B22" s="229" t="s">
        <v>1076</v>
      </c>
      <c r="C22" s="224" t="s">
        <v>790</v>
      </c>
      <c r="D22" s="224"/>
      <c r="E22" s="224" t="s">
        <v>1063</v>
      </c>
      <c r="F22" s="224" t="s">
        <v>650</v>
      </c>
      <c r="G22" s="224" t="s">
        <v>1077</v>
      </c>
      <c r="H22" s="224" t="s">
        <v>382</v>
      </c>
      <c r="I22" s="225" t="s">
        <v>382</v>
      </c>
      <c r="J22" s="239">
        <v>0</v>
      </c>
      <c r="K22" s="240">
        <v>0</v>
      </c>
      <c r="L22" s="241">
        <v>0</v>
      </c>
      <c r="M22" s="239">
        <v>0</v>
      </c>
      <c r="N22" s="240">
        <v>0</v>
      </c>
      <c r="O22" s="241">
        <v>0</v>
      </c>
      <c r="P22" s="239">
        <v>0</v>
      </c>
      <c r="Q22" s="240">
        <v>0</v>
      </c>
      <c r="R22" s="241">
        <v>0</v>
      </c>
      <c r="S22" s="239">
        <v>0</v>
      </c>
      <c r="T22" s="240">
        <v>0</v>
      </c>
      <c r="U22" s="241">
        <v>0</v>
      </c>
      <c r="V22" s="239">
        <v>0</v>
      </c>
      <c r="W22" s="240">
        <v>0</v>
      </c>
      <c r="X22" s="241">
        <v>0</v>
      </c>
      <c r="Y22" s="239">
        <v>0</v>
      </c>
      <c r="Z22" s="240">
        <v>0</v>
      </c>
      <c r="AA22" s="241">
        <v>0</v>
      </c>
      <c r="AB22" s="239">
        <v>0</v>
      </c>
      <c r="AC22" s="240">
        <v>0</v>
      </c>
      <c r="AD22" s="241">
        <v>0</v>
      </c>
      <c r="AE22" s="239">
        <v>0</v>
      </c>
      <c r="AF22" s="240">
        <v>0</v>
      </c>
      <c r="AG22" s="241">
        <v>0</v>
      </c>
      <c r="AH22" s="239">
        <v>0</v>
      </c>
      <c r="AI22" s="240">
        <v>0</v>
      </c>
      <c r="AJ22" s="241">
        <v>0</v>
      </c>
      <c r="AK22" s="239">
        <v>0</v>
      </c>
      <c r="AL22" s="240">
        <v>0</v>
      </c>
      <c r="AM22" s="241">
        <v>0</v>
      </c>
      <c r="AN22" s="239">
        <v>0</v>
      </c>
      <c r="AO22" s="240">
        <v>0</v>
      </c>
      <c r="AP22" s="241">
        <v>0</v>
      </c>
      <c r="AQ22" s="239">
        <v>0</v>
      </c>
      <c r="AR22" s="240">
        <v>0</v>
      </c>
      <c r="AS22" s="241">
        <v>0</v>
      </c>
      <c r="AT22" s="239">
        <v>0</v>
      </c>
      <c r="AU22" s="240">
        <v>0</v>
      </c>
      <c r="AV22" s="241">
        <v>0</v>
      </c>
      <c r="AW22" s="242">
        <f t="shared" si="1"/>
        <v>0</v>
      </c>
      <c r="AX22" s="242">
        <f t="shared" si="0"/>
        <v>0</v>
      </c>
      <c r="AY22" s="242">
        <f t="shared" si="0"/>
        <v>0</v>
      </c>
    </row>
    <row r="23" spans="1:56" ht="16.5" thickBot="1">
      <c r="A23" s="204">
        <v>15</v>
      </c>
      <c r="B23" s="229"/>
      <c r="C23" s="224"/>
      <c r="D23" s="224"/>
      <c r="E23" s="224"/>
      <c r="F23" s="224"/>
      <c r="G23" s="224"/>
      <c r="H23" s="224"/>
      <c r="I23" s="225"/>
      <c r="J23" s="243">
        <f>SUM(J18:J22)</f>
        <v>-4487518.1399999997</v>
      </c>
      <c r="K23" s="244">
        <f>SUM(K17:K22)</f>
        <v>-4078922.6000000006</v>
      </c>
      <c r="L23" s="245">
        <f>SUM(L18:L22)</f>
        <v>-408595.54000000004</v>
      </c>
      <c r="M23" s="243">
        <f>SUM(M17:M22)</f>
        <v>-4462984.43</v>
      </c>
      <c r="N23" s="244">
        <f>SUM(N17:N22)</f>
        <v>-4058528.95</v>
      </c>
      <c r="O23" s="245">
        <f>SUM(O18:O22)</f>
        <v>-404455.48</v>
      </c>
      <c r="P23" s="243">
        <f>SUM(P17:P22)</f>
        <v>-4464483.12</v>
      </c>
      <c r="Q23" s="244">
        <f>SUM(Q17:Q22)</f>
        <v>-4058528.95</v>
      </c>
      <c r="R23" s="245">
        <f>SUM(R18:R22)</f>
        <v>-405954.17</v>
      </c>
      <c r="S23" s="243">
        <f>SUM(S17:S22)</f>
        <v>-4466875.55</v>
      </c>
      <c r="T23" s="244">
        <f>SUM(T17:T22)</f>
        <v>-4058151.9200000004</v>
      </c>
      <c r="U23" s="245">
        <f>SUM(U18:U22)</f>
        <v>-408723.63</v>
      </c>
      <c r="V23" s="243">
        <f>SUM(V17:V22)</f>
        <v>-4368233.7</v>
      </c>
      <c r="W23" s="244">
        <f>SUM(W17:W22)</f>
        <v>-3960764.3100000005</v>
      </c>
      <c r="X23" s="245">
        <f>SUM(X18:X22)</f>
        <v>-407469.39</v>
      </c>
      <c r="Y23" s="243">
        <f>SUM(Y17:Y22)</f>
        <v>-4369793.12</v>
      </c>
      <c r="Z23" s="244">
        <f>SUM(Z17:Z22)</f>
        <v>-3960764.3100000005</v>
      </c>
      <c r="AA23" s="245">
        <f>SUM(AA18:AA22)</f>
        <v>-409028.81</v>
      </c>
      <c r="AB23" s="243">
        <f>SUM(AB17:AB22)</f>
        <v>-4386546.99</v>
      </c>
      <c r="AC23" s="244">
        <f>SUM(AC17:AC22)</f>
        <v>-3962772.7800000003</v>
      </c>
      <c r="AD23" s="245">
        <f>SUM(AD18:AD22)</f>
        <v>-423774.20999999996</v>
      </c>
      <c r="AE23" s="243">
        <f>SUM(AE17:AE22)</f>
        <v>-4406697.26</v>
      </c>
      <c r="AF23" s="244">
        <f>SUM(AF17:AF22)</f>
        <v>-3981231.77</v>
      </c>
      <c r="AG23" s="245">
        <f>SUM(AG18:AG22)</f>
        <v>-425465.49</v>
      </c>
      <c r="AH23" s="243">
        <f>SUM(AH17:AH22)</f>
        <v>-4401744.62</v>
      </c>
      <c r="AI23" s="244">
        <f>SUM(AI17:AI22)</f>
        <v>-3975265.29</v>
      </c>
      <c r="AJ23" s="245">
        <f>SUM(AJ18:AJ22)</f>
        <v>-426479.32999999996</v>
      </c>
      <c r="AK23" s="243">
        <f>SUM(AK17:AK22)</f>
        <v>-4428800.57</v>
      </c>
      <c r="AL23" s="244">
        <f>SUM(AL17:AL22)</f>
        <v>-3997068.6700000004</v>
      </c>
      <c r="AM23" s="245">
        <f>SUM(AM18:AM22)</f>
        <v>-431731.9</v>
      </c>
      <c r="AN23" s="243">
        <f>SUM(AN17:AN22)</f>
        <v>-4315907.8499999996</v>
      </c>
      <c r="AO23" s="244">
        <f>SUM(AO17:AO22)</f>
        <v>-3906330.5100000002</v>
      </c>
      <c r="AP23" s="245">
        <f>SUM(AP18:AP22)</f>
        <v>-409577.33999999997</v>
      </c>
      <c r="AQ23" s="243">
        <f>SUM(AQ17:AQ22)</f>
        <v>-4315907.8499999996</v>
      </c>
      <c r="AR23" s="244">
        <f>SUM(AR17:AR22)</f>
        <v>-3906330.5100000002</v>
      </c>
      <c r="AS23" s="245">
        <f>SUM(AS18:AS22)</f>
        <v>-409577.33999999997</v>
      </c>
      <c r="AT23" s="243">
        <f>SUM(AT17:AT22)</f>
        <v>-4315900.87</v>
      </c>
      <c r="AU23" s="244">
        <f>SUM(AU17:AU22)</f>
        <v>-3905382.89</v>
      </c>
      <c r="AV23" s="245">
        <f>SUM(AV18:AV22)</f>
        <v>-410517.98</v>
      </c>
      <c r="AW23" s="246">
        <f>SUM(AW18:AW22)</f>
        <v>-4399140.3804166662</v>
      </c>
      <c r="AX23" s="247">
        <f t="shared" ref="AX23:AY23" si="2">SUM(AX18:AX22)</f>
        <v>-3984824.2262500008</v>
      </c>
      <c r="AY23" s="248">
        <f t="shared" si="2"/>
        <v>-414316.15416666667</v>
      </c>
    </row>
    <row r="24" spans="1:56" ht="16.5" thickTop="1">
      <c r="A24" s="204">
        <v>16</v>
      </c>
      <c r="B24" s="229"/>
      <c r="C24" s="224"/>
      <c r="D24" s="224"/>
      <c r="E24" s="224"/>
      <c r="F24" s="224"/>
      <c r="G24" s="224"/>
      <c r="H24" s="224"/>
      <c r="I24" s="225"/>
      <c r="J24" s="235"/>
      <c r="K24" s="236"/>
      <c r="L24" s="237">
        <v>8.7311491370201111E-10</v>
      </c>
      <c r="M24" s="235"/>
      <c r="N24" s="236"/>
      <c r="O24" s="237">
        <v>5.8207660913467407E-10</v>
      </c>
      <c r="P24" s="235"/>
      <c r="Q24" s="236"/>
      <c r="R24" s="237">
        <v>6.9849193096160889E-10</v>
      </c>
      <c r="S24" s="235"/>
      <c r="T24" s="236"/>
      <c r="U24" s="237">
        <v>0</v>
      </c>
      <c r="V24" s="235"/>
      <c r="W24" s="236"/>
      <c r="X24" s="237">
        <v>0</v>
      </c>
      <c r="Y24" s="235"/>
      <c r="Z24" s="236"/>
      <c r="AA24" s="237">
        <v>0</v>
      </c>
      <c r="AB24" s="235"/>
      <c r="AC24" s="236"/>
      <c r="AD24" s="237">
        <v>0</v>
      </c>
      <c r="AE24" s="235"/>
      <c r="AF24" s="236"/>
      <c r="AG24" s="237">
        <v>0</v>
      </c>
      <c r="AH24" s="235"/>
      <c r="AI24" s="236"/>
      <c r="AJ24" s="237">
        <v>0</v>
      </c>
      <c r="AK24" s="235"/>
      <c r="AL24" s="236"/>
      <c r="AM24" s="237">
        <v>4.6566128730773926E-10</v>
      </c>
      <c r="AN24" s="235"/>
      <c r="AO24" s="236"/>
      <c r="AP24" s="237">
        <v>4.6566128730773926E-10</v>
      </c>
      <c r="AQ24" s="235"/>
      <c r="AR24" s="236"/>
      <c r="AS24" s="237">
        <v>6.4028427004814148E-10</v>
      </c>
      <c r="AT24" s="235"/>
      <c r="AU24" s="236"/>
      <c r="AV24" s="237">
        <v>0</v>
      </c>
      <c r="AW24" s="249"/>
      <c r="AX24" s="925" t="s">
        <v>1093</v>
      </c>
      <c r="AY24" s="925"/>
      <c r="AZ24" s="925"/>
      <c r="BA24" s="925"/>
      <c r="BB24" s="925"/>
      <c r="BC24" s="925"/>
      <c r="BD24" s="925"/>
    </row>
    <row r="25" spans="1:56">
      <c r="A25" s="204">
        <v>17</v>
      </c>
      <c r="B25" s="911" t="s">
        <v>1078</v>
      </c>
      <c r="C25" s="912"/>
      <c r="D25" s="912"/>
      <c r="E25" s="912"/>
      <c r="F25" s="912"/>
      <c r="G25" s="912"/>
      <c r="H25" s="912"/>
      <c r="I25" s="913"/>
      <c r="J25" s="250"/>
      <c r="K25" s="251"/>
      <c r="L25" s="252"/>
      <c r="M25" s="250"/>
      <c r="N25" s="251"/>
      <c r="O25" s="252"/>
      <c r="P25" s="250"/>
      <c r="Q25" s="251"/>
      <c r="R25" s="252"/>
      <c r="S25" s="250"/>
      <c r="T25" s="251"/>
      <c r="U25" s="252"/>
      <c r="V25" s="250"/>
      <c r="W25" s="251"/>
      <c r="X25" s="252"/>
      <c r="Y25" s="250"/>
      <c r="Z25" s="251"/>
      <c r="AA25" s="252"/>
      <c r="AB25" s="250"/>
      <c r="AC25" s="251"/>
      <c r="AD25" s="252"/>
      <c r="AE25" s="250"/>
      <c r="AF25" s="251"/>
      <c r="AG25" s="252"/>
      <c r="AH25" s="250"/>
      <c r="AI25" s="251"/>
      <c r="AJ25" s="252"/>
      <c r="AK25" s="250"/>
      <c r="AL25" s="251"/>
      <c r="AM25" s="252"/>
      <c r="AN25" s="250"/>
      <c r="AO25" s="251"/>
      <c r="AP25" s="252"/>
      <c r="AQ25" s="250"/>
      <c r="AR25" s="251"/>
      <c r="AS25" s="252"/>
      <c r="AT25" s="250"/>
      <c r="AU25" s="251"/>
      <c r="AV25" s="252"/>
      <c r="AX25" s="925"/>
      <c r="AY25" s="925"/>
      <c r="AZ25" s="925"/>
      <c r="BA25" s="925"/>
      <c r="BB25" s="925"/>
      <c r="BC25" s="925"/>
      <c r="BD25" s="925"/>
    </row>
    <row r="26" spans="1:56">
      <c r="A26" s="204">
        <v>18</v>
      </c>
      <c r="B26" s="253" t="s">
        <v>1079</v>
      </c>
      <c r="C26" s="224" t="s">
        <v>790</v>
      </c>
      <c r="D26" s="224"/>
      <c r="E26" s="224" t="s">
        <v>1063</v>
      </c>
      <c r="F26" s="254" t="s">
        <v>659</v>
      </c>
      <c r="G26" s="254" t="s">
        <v>1080</v>
      </c>
      <c r="H26" s="254" t="s">
        <v>382</v>
      </c>
      <c r="I26" s="255" t="s">
        <v>382</v>
      </c>
      <c r="J26" s="256">
        <v>-100214084.3</v>
      </c>
      <c r="K26" s="257">
        <v>-77325187.450000003</v>
      </c>
      <c r="L26" s="258">
        <v>-22888896.850000001</v>
      </c>
      <c r="M26" s="256">
        <v>-100072681.7</v>
      </c>
      <c r="N26" s="257">
        <v>-77085986.719999999</v>
      </c>
      <c r="O26" s="258">
        <v>-22986694.98</v>
      </c>
      <c r="P26" s="256">
        <v>-99929507.170000002</v>
      </c>
      <c r="Q26" s="257">
        <v>-76975699.379999995</v>
      </c>
      <c r="R26" s="258">
        <v>-22953807.789999999</v>
      </c>
      <c r="S26" s="256">
        <v>-99642303.599999994</v>
      </c>
      <c r="T26" s="257">
        <v>-76754466.469999999</v>
      </c>
      <c r="U26" s="258">
        <v>-22887837.129999999</v>
      </c>
      <c r="V26" s="256">
        <v>-99483213.659999996</v>
      </c>
      <c r="W26" s="257">
        <v>-76631919.489999995</v>
      </c>
      <c r="X26" s="258">
        <v>-22851294.170000002</v>
      </c>
      <c r="Y26" s="256">
        <v>-99324123.709999993</v>
      </c>
      <c r="Z26" s="257">
        <v>-76509372.5</v>
      </c>
      <c r="AA26" s="258">
        <v>-22814751.210000001</v>
      </c>
      <c r="AB26" s="256">
        <v>-99165033.769999996</v>
      </c>
      <c r="AC26" s="257">
        <v>-76386825.519999996</v>
      </c>
      <c r="AD26" s="258">
        <v>-22778208.25</v>
      </c>
      <c r="AE26" s="256">
        <v>-99080207.829999998</v>
      </c>
      <c r="AF26" s="257">
        <v>-76321484.099999994</v>
      </c>
      <c r="AG26" s="258">
        <v>-22758723.73</v>
      </c>
      <c r="AH26" s="256">
        <v>-98931727.030000001</v>
      </c>
      <c r="AI26" s="257">
        <v>-76207109.340000004</v>
      </c>
      <c r="AJ26" s="258">
        <v>-22724617.690000001</v>
      </c>
      <c r="AK26" s="256">
        <v>-98783246.230000004</v>
      </c>
      <c r="AL26" s="257">
        <v>-76092734.579999998</v>
      </c>
      <c r="AM26" s="258">
        <v>-22690511.649999999</v>
      </c>
      <c r="AN26" s="256">
        <v>-98634765.430000007</v>
      </c>
      <c r="AO26" s="257">
        <v>-75978359.819999993</v>
      </c>
      <c r="AP26" s="258">
        <v>-22656405.609999999</v>
      </c>
      <c r="AQ26" s="256">
        <v>-98558812.739999995</v>
      </c>
      <c r="AR26" s="257">
        <v>-75919853.459999993</v>
      </c>
      <c r="AS26" s="258">
        <v>-22638959.280000001</v>
      </c>
      <c r="AT26" s="256">
        <v>-99638867.390000001</v>
      </c>
      <c r="AU26" s="257">
        <v>-76751819.560000002</v>
      </c>
      <c r="AV26" s="258">
        <v>-22887047.829999998</v>
      </c>
      <c r="AW26" s="179">
        <f t="shared" ref="AW26:AW36" si="3">+(AT26+J26+(M26+P26+S26+V26+Y26+AB26+AE26+AH26+AK26+AN26+AQ26)*2)/24</f>
        <v>-99294341.559583351</v>
      </c>
      <c r="AX26" s="179">
        <f t="shared" ref="AX26:AX36" si="4">+(AU26+K26+(N26+Q26+T26+W26+Z26+AC26+AF26+AI26+AL26+AO26+AR26)*2)/24</f>
        <v>-76491859.573750004</v>
      </c>
      <c r="AY26" s="179">
        <f t="shared" ref="AY26:AY36" si="5">+(AV26+L26+(O26+R26+U26+X26+AA26+AD26+AG26+AJ26+AM26+AP26+AS26)*2)/24</f>
        <v>-22802481.985833332</v>
      </c>
    </row>
    <row r="27" spans="1:56">
      <c r="A27" s="204">
        <v>19</v>
      </c>
      <c r="B27" s="253" t="s">
        <v>1081</v>
      </c>
      <c r="C27" s="224" t="s">
        <v>790</v>
      </c>
      <c r="D27" s="224"/>
      <c r="E27" s="224" t="s">
        <v>1063</v>
      </c>
      <c r="F27" s="254" t="s">
        <v>660</v>
      </c>
      <c r="G27" s="254" t="s">
        <v>1082</v>
      </c>
      <c r="H27" s="254" t="s">
        <v>382</v>
      </c>
      <c r="I27" s="255" t="s">
        <v>382</v>
      </c>
      <c r="J27" s="256">
        <v>-161930.57</v>
      </c>
      <c r="K27" s="257">
        <v>-124945.62</v>
      </c>
      <c r="L27" s="258">
        <v>-36984.949999999997</v>
      </c>
      <c r="M27" s="256">
        <v>-161226.51999999999</v>
      </c>
      <c r="N27" s="257">
        <v>-124192.79</v>
      </c>
      <c r="O27" s="258">
        <v>-37033.730000000003</v>
      </c>
      <c r="P27" s="256">
        <v>-160522.47</v>
      </c>
      <c r="Q27" s="257">
        <v>-123650.46</v>
      </c>
      <c r="R27" s="258">
        <v>-36872.01</v>
      </c>
      <c r="S27" s="256">
        <v>-159818.42000000001</v>
      </c>
      <c r="T27" s="257">
        <v>-123108.13</v>
      </c>
      <c r="U27" s="258">
        <v>-36710.29</v>
      </c>
      <c r="V27" s="256">
        <v>-159114.37</v>
      </c>
      <c r="W27" s="257">
        <v>-122565.8</v>
      </c>
      <c r="X27" s="258">
        <v>-36548.57</v>
      </c>
      <c r="Y27" s="256">
        <v>-158410.32</v>
      </c>
      <c r="Z27" s="257">
        <v>-122023.47</v>
      </c>
      <c r="AA27" s="258">
        <v>-36386.85</v>
      </c>
      <c r="AB27" s="256">
        <v>-157706.26999999999</v>
      </c>
      <c r="AC27" s="257">
        <v>-121481.14</v>
      </c>
      <c r="AD27" s="258">
        <v>-36225.129999999997</v>
      </c>
      <c r="AE27" s="256">
        <v>-157002.22</v>
      </c>
      <c r="AF27" s="257">
        <v>-120938.81</v>
      </c>
      <c r="AG27" s="258">
        <v>-36063.410000000003</v>
      </c>
      <c r="AH27" s="256">
        <v>-156298.17000000001</v>
      </c>
      <c r="AI27" s="257">
        <v>-120396.48</v>
      </c>
      <c r="AJ27" s="258">
        <v>-35901.69</v>
      </c>
      <c r="AK27" s="256">
        <v>-155594.12</v>
      </c>
      <c r="AL27" s="257">
        <v>-119854.15</v>
      </c>
      <c r="AM27" s="258">
        <v>-35739.97</v>
      </c>
      <c r="AN27" s="256">
        <v>-154890.07</v>
      </c>
      <c r="AO27" s="257">
        <v>-119311.82</v>
      </c>
      <c r="AP27" s="258">
        <v>-35578.25</v>
      </c>
      <c r="AQ27" s="256">
        <v>-154186.01999999999</v>
      </c>
      <c r="AR27" s="257">
        <v>-118769.49</v>
      </c>
      <c r="AS27" s="258">
        <v>-35416.53</v>
      </c>
      <c r="AT27" s="256">
        <v>-153482.01</v>
      </c>
      <c r="AU27" s="257">
        <v>-118227.19</v>
      </c>
      <c r="AV27" s="258">
        <v>-35254.82</v>
      </c>
      <c r="AW27" s="179">
        <f t="shared" si="3"/>
        <v>-157706.27166666667</v>
      </c>
      <c r="AX27" s="179">
        <f t="shared" si="4"/>
        <v>-121489.91208333334</v>
      </c>
      <c r="AY27" s="179">
        <f t="shared" si="5"/>
        <v>-36216.359583333338</v>
      </c>
    </row>
    <row r="28" spans="1:56">
      <c r="A28" s="204">
        <v>20</v>
      </c>
      <c r="B28" s="253" t="s">
        <v>1558</v>
      </c>
      <c r="C28" s="224" t="s">
        <v>790</v>
      </c>
      <c r="D28" s="224"/>
      <c r="E28" s="224" t="s">
        <v>1063</v>
      </c>
      <c r="F28" s="254" t="s">
        <v>478</v>
      </c>
      <c r="G28" s="254" t="s">
        <v>1563</v>
      </c>
      <c r="H28" s="254" t="s">
        <v>382</v>
      </c>
      <c r="I28" s="255" t="s">
        <v>382</v>
      </c>
      <c r="J28" s="256">
        <v>697651.87</v>
      </c>
      <c r="K28" s="257">
        <v>538308.18000000005</v>
      </c>
      <c r="L28" s="258">
        <v>159343.69</v>
      </c>
      <c r="M28" s="257">
        <v>697613.36</v>
      </c>
      <c r="N28" s="257">
        <v>537371.57999999996</v>
      </c>
      <c r="O28" s="258">
        <v>160241.78</v>
      </c>
      <c r="P28" s="257">
        <v>697922.4</v>
      </c>
      <c r="Q28" s="257">
        <v>537609.63</v>
      </c>
      <c r="R28" s="258">
        <v>160312.76999999999</v>
      </c>
      <c r="S28" s="257">
        <v>698519.61</v>
      </c>
      <c r="T28" s="257">
        <v>538069.66</v>
      </c>
      <c r="U28" s="258">
        <v>160449.95000000001</v>
      </c>
      <c r="V28" s="257">
        <v>678178.7</v>
      </c>
      <c r="W28" s="257">
        <v>522401.06</v>
      </c>
      <c r="X28" s="258">
        <v>155777.64000000001</v>
      </c>
      <c r="Y28" s="257">
        <v>678500.27</v>
      </c>
      <c r="Z28" s="257">
        <v>522648.77</v>
      </c>
      <c r="AA28" s="258">
        <v>155851.5</v>
      </c>
      <c r="AB28" s="257">
        <v>681401.76</v>
      </c>
      <c r="AC28" s="257">
        <v>524883.79</v>
      </c>
      <c r="AD28" s="258">
        <v>156517.97</v>
      </c>
      <c r="AE28" s="257">
        <v>685925.9</v>
      </c>
      <c r="AF28" s="257">
        <v>528368.74</v>
      </c>
      <c r="AG28" s="258">
        <v>157557.16</v>
      </c>
      <c r="AH28" s="257">
        <v>686548.36</v>
      </c>
      <c r="AI28" s="257">
        <v>528848.22</v>
      </c>
      <c r="AJ28" s="258">
        <v>157700.14000000001</v>
      </c>
      <c r="AK28" s="257">
        <v>688137.33</v>
      </c>
      <c r="AL28" s="257">
        <v>530072.19999999995</v>
      </c>
      <c r="AM28" s="258">
        <v>158065.13</v>
      </c>
      <c r="AN28" s="257">
        <v>680572.31</v>
      </c>
      <c r="AO28" s="257">
        <v>524244.87</v>
      </c>
      <c r="AP28" s="258">
        <v>156327.44</v>
      </c>
      <c r="AQ28" s="257">
        <v>680572.31</v>
      </c>
      <c r="AR28" s="257">
        <v>524244.87</v>
      </c>
      <c r="AS28" s="258">
        <v>156327.44</v>
      </c>
      <c r="AT28" s="257">
        <v>680831.94</v>
      </c>
      <c r="AU28" s="257">
        <v>524444.86</v>
      </c>
      <c r="AV28" s="258">
        <v>156387.07999999999</v>
      </c>
      <c r="AW28" s="179">
        <f t="shared" si="3"/>
        <v>686927.85125000018</v>
      </c>
      <c r="AX28" s="179">
        <f t="shared" si="4"/>
        <v>529178.32583333331</v>
      </c>
      <c r="AY28" s="179">
        <f t="shared" si="5"/>
        <v>157749.52541666667</v>
      </c>
    </row>
    <row r="29" spans="1:56">
      <c r="A29" s="204">
        <v>21</v>
      </c>
      <c r="B29" s="253" t="s">
        <v>1559</v>
      </c>
      <c r="C29" s="224" t="s">
        <v>790</v>
      </c>
      <c r="D29" s="224"/>
      <c r="E29" s="224" t="s">
        <v>1066</v>
      </c>
      <c r="F29" s="254" t="s">
        <v>659</v>
      </c>
      <c r="G29" s="254" t="s">
        <v>1564</v>
      </c>
      <c r="H29" s="254" t="s">
        <v>382</v>
      </c>
      <c r="I29" s="255" t="s">
        <v>382</v>
      </c>
      <c r="J29" s="503">
        <v>-48616.4</v>
      </c>
      <c r="K29" s="504">
        <v>-48616.4</v>
      </c>
      <c r="L29" s="505">
        <v>0</v>
      </c>
      <c r="M29" s="504">
        <v>-48616.4</v>
      </c>
      <c r="N29" s="504">
        <v>-48616.4</v>
      </c>
      <c r="O29" s="505">
        <v>0</v>
      </c>
      <c r="P29" s="504">
        <v>-48616.4</v>
      </c>
      <c r="Q29" s="504">
        <v>-48616.4</v>
      </c>
      <c r="R29" s="505">
        <v>0</v>
      </c>
      <c r="S29" s="504">
        <v>0</v>
      </c>
      <c r="T29" s="504">
        <v>0</v>
      </c>
      <c r="U29" s="505">
        <v>0</v>
      </c>
      <c r="V29" s="504">
        <v>0</v>
      </c>
      <c r="W29" s="504">
        <v>0</v>
      </c>
      <c r="X29" s="505">
        <v>0</v>
      </c>
      <c r="Y29" s="504">
        <v>0</v>
      </c>
      <c r="Z29" s="504">
        <v>0</v>
      </c>
      <c r="AA29" s="505">
        <v>0</v>
      </c>
      <c r="AB29" s="504">
        <v>0</v>
      </c>
      <c r="AC29" s="504">
        <v>0</v>
      </c>
      <c r="AD29" s="505">
        <v>0</v>
      </c>
      <c r="AE29" s="504">
        <v>0</v>
      </c>
      <c r="AF29" s="504">
        <v>0</v>
      </c>
      <c r="AG29" s="505">
        <v>0</v>
      </c>
      <c r="AH29" s="504">
        <v>0</v>
      </c>
      <c r="AI29" s="504">
        <v>0</v>
      </c>
      <c r="AJ29" s="505">
        <v>0</v>
      </c>
      <c r="AK29" s="504">
        <v>0</v>
      </c>
      <c r="AL29" s="504">
        <v>0</v>
      </c>
      <c r="AM29" s="505">
        <v>0</v>
      </c>
      <c r="AN29" s="504">
        <v>0</v>
      </c>
      <c r="AO29" s="504">
        <v>0</v>
      </c>
      <c r="AP29" s="505">
        <v>0</v>
      </c>
      <c r="AQ29" s="504">
        <v>0</v>
      </c>
      <c r="AR29" s="504">
        <v>0</v>
      </c>
      <c r="AS29" s="505">
        <v>0</v>
      </c>
      <c r="AT29" s="504">
        <v>0</v>
      </c>
      <c r="AU29" s="504">
        <v>0</v>
      </c>
      <c r="AV29" s="504">
        <v>0</v>
      </c>
      <c r="AW29" s="501">
        <f t="shared" si="3"/>
        <v>-10128.416666666666</v>
      </c>
      <c r="AX29" s="502">
        <f t="shared" si="4"/>
        <v>-10128.416666666666</v>
      </c>
      <c r="AY29" s="502">
        <f t="shared" si="5"/>
        <v>0</v>
      </c>
    </row>
    <row r="30" spans="1:56">
      <c r="A30" s="204">
        <v>22</v>
      </c>
      <c r="B30" s="253" t="s">
        <v>1560</v>
      </c>
      <c r="C30" s="224" t="s">
        <v>790</v>
      </c>
      <c r="D30" s="224"/>
      <c r="E30" s="224" t="s">
        <v>1066</v>
      </c>
      <c r="F30" s="254" t="s">
        <v>478</v>
      </c>
      <c r="G30" s="254" t="s">
        <v>1565</v>
      </c>
      <c r="H30" s="254" t="s">
        <v>382</v>
      </c>
      <c r="I30" s="255" t="s">
        <v>382</v>
      </c>
      <c r="J30" s="503">
        <v>276347.64</v>
      </c>
      <c r="K30" s="504">
        <v>276347.64</v>
      </c>
      <c r="L30" s="505">
        <v>0</v>
      </c>
      <c r="M30" s="504">
        <v>274044.74</v>
      </c>
      <c r="N30" s="504">
        <v>274044.74</v>
      </c>
      <c r="O30" s="505">
        <v>0</v>
      </c>
      <c r="P30" s="504">
        <v>271741.84000000003</v>
      </c>
      <c r="Q30" s="504">
        <v>271741.84000000003</v>
      </c>
      <c r="R30" s="505">
        <v>0</v>
      </c>
      <c r="S30" s="504">
        <v>269438.95</v>
      </c>
      <c r="T30" s="504">
        <v>269438.95</v>
      </c>
      <c r="U30" s="505">
        <v>0</v>
      </c>
      <c r="V30" s="504">
        <v>267136.05</v>
      </c>
      <c r="W30" s="504">
        <v>267136.05</v>
      </c>
      <c r="X30" s="505">
        <v>0</v>
      </c>
      <c r="Y30" s="504">
        <v>264833.15000000002</v>
      </c>
      <c r="Z30" s="504">
        <v>264833.15000000002</v>
      </c>
      <c r="AA30" s="505">
        <v>0</v>
      </c>
      <c r="AB30" s="504">
        <v>262530.26</v>
      </c>
      <c r="AC30" s="504">
        <v>262530.26</v>
      </c>
      <c r="AD30" s="505">
        <v>0</v>
      </c>
      <c r="AE30" s="504">
        <v>260227.36</v>
      </c>
      <c r="AF30" s="504">
        <v>260227.36</v>
      </c>
      <c r="AG30" s="505">
        <v>0</v>
      </c>
      <c r="AH30" s="504">
        <v>257924.46</v>
      </c>
      <c r="AI30" s="504">
        <v>257924.46</v>
      </c>
      <c r="AJ30" s="505">
        <v>0</v>
      </c>
      <c r="AK30" s="504">
        <v>255621.57</v>
      </c>
      <c r="AL30" s="504">
        <v>255621.57</v>
      </c>
      <c r="AM30" s="505">
        <v>0</v>
      </c>
      <c r="AN30" s="504">
        <v>253318.67</v>
      </c>
      <c r="AO30" s="504">
        <v>253318.67</v>
      </c>
      <c r="AP30" s="505">
        <v>0</v>
      </c>
      <c r="AQ30" s="504">
        <v>251015.77</v>
      </c>
      <c r="AR30" s="504">
        <v>251015.77</v>
      </c>
      <c r="AS30" s="505">
        <v>0</v>
      </c>
      <c r="AT30" s="504">
        <v>248712.88</v>
      </c>
      <c r="AU30" s="504">
        <v>248712.88</v>
      </c>
      <c r="AV30" s="504">
        <v>0</v>
      </c>
      <c r="AW30" s="501">
        <f t="shared" si="3"/>
        <v>262530.25666666665</v>
      </c>
      <c r="AX30" s="502">
        <f t="shared" si="4"/>
        <v>262530.25666666665</v>
      </c>
      <c r="AY30" s="502">
        <f t="shared" si="5"/>
        <v>0</v>
      </c>
    </row>
    <row r="31" spans="1:56">
      <c r="A31" s="204">
        <v>23</v>
      </c>
      <c r="B31" s="253" t="s">
        <v>1560</v>
      </c>
      <c r="C31" s="224" t="s">
        <v>790</v>
      </c>
      <c r="D31" s="224"/>
      <c r="E31" s="224" t="s">
        <v>1094</v>
      </c>
      <c r="F31" s="254" t="s">
        <v>478</v>
      </c>
      <c r="G31" s="254" t="s">
        <v>1565</v>
      </c>
      <c r="H31" s="254" t="s">
        <v>382</v>
      </c>
      <c r="I31" s="255" t="s">
        <v>382</v>
      </c>
      <c r="J31" s="506">
        <v>81801.2</v>
      </c>
      <c r="K31" s="259">
        <v>0</v>
      </c>
      <c r="L31" s="260">
        <v>81801.2</v>
      </c>
      <c r="M31" s="259">
        <v>81119.520000000004</v>
      </c>
      <c r="N31" s="259">
        <v>0</v>
      </c>
      <c r="O31" s="260">
        <v>81119.520000000004</v>
      </c>
      <c r="P31" s="259">
        <v>80437.84</v>
      </c>
      <c r="Q31" s="259">
        <v>0</v>
      </c>
      <c r="R31" s="260">
        <v>80437.84</v>
      </c>
      <c r="S31" s="259">
        <v>79756.17</v>
      </c>
      <c r="T31" s="259">
        <v>0</v>
      </c>
      <c r="U31" s="260">
        <v>79756.17</v>
      </c>
      <c r="V31" s="259">
        <v>79074.490000000005</v>
      </c>
      <c r="W31" s="259">
        <v>0</v>
      </c>
      <c r="X31" s="260">
        <v>79074.490000000005</v>
      </c>
      <c r="Y31" s="259">
        <v>78392.81</v>
      </c>
      <c r="Z31" s="259">
        <v>0</v>
      </c>
      <c r="AA31" s="260">
        <v>78392.81</v>
      </c>
      <c r="AB31" s="259">
        <v>77711.14</v>
      </c>
      <c r="AC31" s="259">
        <v>0</v>
      </c>
      <c r="AD31" s="260">
        <v>77711.14</v>
      </c>
      <c r="AE31" s="259">
        <v>77029.460000000006</v>
      </c>
      <c r="AF31" s="259">
        <v>0</v>
      </c>
      <c r="AG31" s="260">
        <v>77029.460000000006</v>
      </c>
      <c r="AH31" s="259">
        <v>76347.78</v>
      </c>
      <c r="AI31" s="259">
        <v>0</v>
      </c>
      <c r="AJ31" s="260">
        <v>76347.78</v>
      </c>
      <c r="AK31" s="259">
        <v>75666.11</v>
      </c>
      <c r="AL31" s="259">
        <v>0</v>
      </c>
      <c r="AM31" s="260">
        <v>75666.11</v>
      </c>
      <c r="AN31" s="259">
        <v>74984.430000000095</v>
      </c>
      <c r="AO31" s="259">
        <v>0</v>
      </c>
      <c r="AP31" s="260">
        <v>74984.430000000095</v>
      </c>
      <c r="AQ31" s="259">
        <v>74302.750000000102</v>
      </c>
      <c r="AR31" s="259">
        <v>0</v>
      </c>
      <c r="AS31" s="260">
        <v>74302.750000000102</v>
      </c>
      <c r="AT31" s="259">
        <v>65440.960000000101</v>
      </c>
      <c r="AU31" s="259">
        <v>0</v>
      </c>
      <c r="AV31" s="259">
        <v>65440.960000000101</v>
      </c>
      <c r="AW31" s="501">
        <f t="shared" si="3"/>
        <v>77370.298333333354</v>
      </c>
      <c r="AX31" s="502">
        <f t="shared" si="4"/>
        <v>0</v>
      </c>
      <c r="AY31" s="502">
        <f t="shared" si="5"/>
        <v>77370.298333333354</v>
      </c>
    </row>
    <row r="32" spans="1:56">
      <c r="A32" s="204">
        <v>24</v>
      </c>
      <c r="B32" s="253" t="s">
        <v>1559</v>
      </c>
      <c r="C32" s="224" t="s">
        <v>790</v>
      </c>
      <c r="D32" s="224"/>
      <c r="E32" s="224" t="s">
        <v>1094</v>
      </c>
      <c r="F32" s="254" t="s">
        <v>659</v>
      </c>
      <c r="G32" s="254" t="s">
        <v>1564</v>
      </c>
      <c r="H32" s="254" t="s">
        <v>382</v>
      </c>
      <c r="I32" s="255" t="s">
        <v>382</v>
      </c>
      <c r="J32" s="506">
        <v>-14390.85</v>
      </c>
      <c r="K32" s="259">
        <v>0</v>
      </c>
      <c r="L32" s="260">
        <v>-14390.85</v>
      </c>
      <c r="M32" s="259">
        <v>-14390.85</v>
      </c>
      <c r="N32" s="259">
        <v>0</v>
      </c>
      <c r="O32" s="260">
        <v>-14390.85</v>
      </c>
      <c r="P32" s="259">
        <v>-14390.85</v>
      </c>
      <c r="Q32" s="259">
        <v>0</v>
      </c>
      <c r="R32" s="260">
        <v>-14390.85</v>
      </c>
      <c r="S32" s="259">
        <v>0</v>
      </c>
      <c r="T32" s="259">
        <v>0</v>
      </c>
      <c r="U32" s="260">
        <v>0</v>
      </c>
      <c r="V32" s="259">
        <v>0</v>
      </c>
      <c r="W32" s="259">
        <v>0</v>
      </c>
      <c r="X32" s="260">
        <v>0</v>
      </c>
      <c r="Y32" s="259">
        <v>0</v>
      </c>
      <c r="Z32" s="259">
        <v>0</v>
      </c>
      <c r="AA32" s="260">
        <v>0</v>
      </c>
      <c r="AB32" s="259">
        <v>0</v>
      </c>
      <c r="AC32" s="259">
        <v>0</v>
      </c>
      <c r="AD32" s="260">
        <v>0</v>
      </c>
      <c r="AE32" s="259">
        <v>0</v>
      </c>
      <c r="AF32" s="259">
        <v>0</v>
      </c>
      <c r="AG32" s="260">
        <v>0</v>
      </c>
      <c r="AH32" s="259">
        <v>0</v>
      </c>
      <c r="AI32" s="259">
        <v>0</v>
      </c>
      <c r="AJ32" s="260">
        <v>0</v>
      </c>
      <c r="AK32" s="259">
        <v>0</v>
      </c>
      <c r="AL32" s="259">
        <v>0</v>
      </c>
      <c r="AM32" s="260">
        <v>0</v>
      </c>
      <c r="AN32" s="259">
        <v>0</v>
      </c>
      <c r="AO32" s="259">
        <v>0</v>
      </c>
      <c r="AP32" s="260">
        <v>0</v>
      </c>
      <c r="AQ32" s="259">
        <v>0</v>
      </c>
      <c r="AR32" s="259">
        <v>0</v>
      </c>
      <c r="AS32" s="260">
        <v>0</v>
      </c>
      <c r="AT32" s="259">
        <v>0</v>
      </c>
      <c r="AU32" s="259">
        <v>0</v>
      </c>
      <c r="AV32" s="259">
        <v>0</v>
      </c>
      <c r="AW32" s="501">
        <f t="shared" si="3"/>
        <v>-2998.09375</v>
      </c>
      <c r="AX32" s="502">
        <f t="shared" si="4"/>
        <v>0</v>
      </c>
      <c r="AY32" s="502">
        <f t="shared" si="5"/>
        <v>-2998.09375</v>
      </c>
    </row>
    <row r="33" spans="1:51">
      <c r="A33" s="204">
        <v>25</v>
      </c>
      <c r="B33" s="253" t="s">
        <v>1083</v>
      </c>
      <c r="C33" s="224" t="s">
        <v>790</v>
      </c>
      <c r="D33" s="224"/>
      <c r="E33" s="224" t="s">
        <v>1094</v>
      </c>
      <c r="F33" s="254" t="s">
        <v>659</v>
      </c>
      <c r="G33" s="254" t="s">
        <v>1084</v>
      </c>
      <c r="H33" s="254" t="s">
        <v>382</v>
      </c>
      <c r="I33" s="255" t="s">
        <v>382</v>
      </c>
      <c r="J33" s="506">
        <v>-4259635.7699999996</v>
      </c>
      <c r="K33" s="259">
        <v>0</v>
      </c>
      <c r="L33" s="260">
        <v>-4259635.7699999996</v>
      </c>
      <c r="M33" s="259">
        <v>-4264098.26</v>
      </c>
      <c r="N33" s="259">
        <v>0</v>
      </c>
      <c r="O33" s="260">
        <v>-4264098.26</v>
      </c>
      <c r="P33" s="259">
        <v>-4268405.67</v>
      </c>
      <c r="Q33" s="259">
        <v>0</v>
      </c>
      <c r="R33" s="260">
        <v>-4268405.67</v>
      </c>
      <c r="S33" s="259">
        <v>-4260106.82</v>
      </c>
      <c r="T33" s="259">
        <v>0</v>
      </c>
      <c r="U33" s="260">
        <v>-4260106.82</v>
      </c>
      <c r="V33" s="259">
        <v>-4263021.22</v>
      </c>
      <c r="W33" s="259">
        <v>0</v>
      </c>
      <c r="X33" s="260">
        <v>-4263021.22</v>
      </c>
      <c r="Y33" s="259">
        <v>-4265935.62</v>
      </c>
      <c r="Z33" s="259">
        <v>0</v>
      </c>
      <c r="AA33" s="260">
        <v>-4265935.62</v>
      </c>
      <c r="AB33" s="259">
        <v>-4268850.0199999996</v>
      </c>
      <c r="AC33" s="259">
        <v>0</v>
      </c>
      <c r="AD33" s="260">
        <v>-4268850.0199999996</v>
      </c>
      <c r="AE33" s="259">
        <v>-4288249.96</v>
      </c>
      <c r="AF33" s="259">
        <v>0</v>
      </c>
      <c r="AG33" s="260">
        <v>-4288249.96</v>
      </c>
      <c r="AH33" s="259">
        <v>-4293519.4400000004</v>
      </c>
      <c r="AI33" s="259">
        <v>0</v>
      </c>
      <c r="AJ33" s="260">
        <v>-4293519.4400000004</v>
      </c>
      <c r="AK33" s="259">
        <v>-4298788.92</v>
      </c>
      <c r="AL33" s="259">
        <v>0</v>
      </c>
      <c r="AM33" s="260">
        <v>-4298788.92</v>
      </c>
      <c r="AN33" s="259">
        <v>-4304058.3899999997</v>
      </c>
      <c r="AO33" s="259">
        <v>0</v>
      </c>
      <c r="AP33" s="260">
        <v>-4304058.3899999997</v>
      </c>
      <c r="AQ33" s="259">
        <v>-4313894.84</v>
      </c>
      <c r="AR33" s="259">
        <v>0</v>
      </c>
      <c r="AS33" s="260">
        <v>-4313894.84</v>
      </c>
      <c r="AT33" s="259">
        <v>-4420542.34</v>
      </c>
      <c r="AU33" s="259">
        <v>0</v>
      </c>
      <c r="AV33" s="259">
        <v>-4420542.34</v>
      </c>
      <c r="AW33" s="501">
        <f t="shared" si="3"/>
        <v>-4285751.5179166663</v>
      </c>
      <c r="AX33" s="502">
        <f t="shared" si="4"/>
        <v>0</v>
      </c>
      <c r="AY33" s="502">
        <f t="shared" si="5"/>
        <v>-4285751.5179166663</v>
      </c>
    </row>
    <row r="34" spans="1:51">
      <c r="A34" s="204">
        <v>26</v>
      </c>
      <c r="B34" s="253" t="s">
        <v>1085</v>
      </c>
      <c r="C34" s="224" t="s">
        <v>790</v>
      </c>
      <c r="D34" s="224"/>
      <c r="E34" s="224" t="s">
        <v>1094</v>
      </c>
      <c r="F34" s="254" t="s">
        <v>660</v>
      </c>
      <c r="G34" s="254" t="s">
        <v>1086</v>
      </c>
      <c r="H34" s="254" t="s">
        <v>382</v>
      </c>
      <c r="I34" s="255" t="s">
        <v>382</v>
      </c>
      <c r="J34" s="506">
        <v>-14173.13</v>
      </c>
      <c r="K34" s="259">
        <v>0</v>
      </c>
      <c r="L34" s="260">
        <v>-14173.13</v>
      </c>
      <c r="M34" s="259">
        <v>-14111.51</v>
      </c>
      <c r="N34" s="259">
        <v>0</v>
      </c>
      <c r="O34" s="260">
        <v>-14111.51</v>
      </c>
      <c r="P34" s="259">
        <v>-14049.89</v>
      </c>
      <c r="Q34" s="259">
        <v>0</v>
      </c>
      <c r="R34" s="260">
        <v>-14049.89</v>
      </c>
      <c r="S34" s="259">
        <v>-13988.27</v>
      </c>
      <c r="T34" s="259">
        <v>0</v>
      </c>
      <c r="U34" s="260">
        <v>-13988.27</v>
      </c>
      <c r="V34" s="259">
        <v>-13926.65</v>
      </c>
      <c r="W34" s="259">
        <v>0</v>
      </c>
      <c r="X34" s="260">
        <v>-13926.65</v>
      </c>
      <c r="Y34" s="259">
        <v>-13865.03</v>
      </c>
      <c r="Z34" s="259">
        <v>0</v>
      </c>
      <c r="AA34" s="260">
        <v>-13865.03</v>
      </c>
      <c r="AB34" s="259">
        <v>-13803.41</v>
      </c>
      <c r="AC34" s="259">
        <v>0</v>
      </c>
      <c r="AD34" s="260">
        <v>-13803.41</v>
      </c>
      <c r="AE34" s="259">
        <v>-13741.79</v>
      </c>
      <c r="AF34" s="259">
        <v>0</v>
      </c>
      <c r="AG34" s="260">
        <v>-13741.79</v>
      </c>
      <c r="AH34" s="259">
        <v>-13680.17</v>
      </c>
      <c r="AI34" s="259">
        <v>0</v>
      </c>
      <c r="AJ34" s="260">
        <v>-13680.17</v>
      </c>
      <c r="AK34" s="259">
        <v>-13618.55</v>
      </c>
      <c r="AL34" s="259">
        <v>0</v>
      </c>
      <c r="AM34" s="260">
        <v>-13618.55</v>
      </c>
      <c r="AN34" s="259">
        <v>-13556.93</v>
      </c>
      <c r="AO34" s="259">
        <v>0</v>
      </c>
      <c r="AP34" s="260">
        <v>-13556.93</v>
      </c>
      <c r="AQ34" s="259">
        <v>-13495.31</v>
      </c>
      <c r="AR34" s="259">
        <v>0</v>
      </c>
      <c r="AS34" s="260">
        <v>-13495.31</v>
      </c>
      <c r="AT34" s="259">
        <v>-13433.67</v>
      </c>
      <c r="AU34" s="259">
        <v>0</v>
      </c>
      <c r="AV34" s="259">
        <v>-13433.67</v>
      </c>
      <c r="AW34" s="501">
        <f t="shared" si="3"/>
        <v>-13803.409166666666</v>
      </c>
      <c r="AX34" s="502">
        <f t="shared" si="4"/>
        <v>0</v>
      </c>
      <c r="AY34" s="502">
        <f t="shared" si="5"/>
        <v>-13803.409166666666</v>
      </c>
    </row>
    <row r="35" spans="1:51">
      <c r="A35" s="204">
        <v>27</v>
      </c>
      <c r="B35" s="253" t="s">
        <v>1561</v>
      </c>
      <c r="C35" s="224" t="s">
        <v>790</v>
      </c>
      <c r="D35" s="224"/>
      <c r="E35" s="224" t="s">
        <v>1094</v>
      </c>
      <c r="F35" s="254" t="s">
        <v>478</v>
      </c>
      <c r="G35" s="254" t="s">
        <v>1566</v>
      </c>
      <c r="H35" s="254" t="s">
        <v>382</v>
      </c>
      <c r="I35" s="255" t="s">
        <v>382</v>
      </c>
      <c r="J35" s="506">
        <v>61062.65</v>
      </c>
      <c r="K35" s="259">
        <v>0</v>
      </c>
      <c r="L35" s="260">
        <v>61062.65</v>
      </c>
      <c r="M35" s="259">
        <v>61059.28</v>
      </c>
      <c r="N35" s="259">
        <v>0</v>
      </c>
      <c r="O35" s="260">
        <v>61059.28</v>
      </c>
      <c r="P35" s="259">
        <v>61086.33</v>
      </c>
      <c r="Q35" s="259">
        <v>0</v>
      </c>
      <c r="R35" s="260">
        <v>61086.33</v>
      </c>
      <c r="S35" s="259">
        <v>61138.6</v>
      </c>
      <c r="T35" s="259">
        <v>0</v>
      </c>
      <c r="U35" s="260">
        <v>61138.6</v>
      </c>
      <c r="V35" s="259">
        <v>59358.239999999998</v>
      </c>
      <c r="W35" s="259">
        <v>0</v>
      </c>
      <c r="X35" s="260">
        <v>59358.239999999998</v>
      </c>
      <c r="Y35" s="259">
        <v>59386.39</v>
      </c>
      <c r="Z35" s="259">
        <v>0</v>
      </c>
      <c r="AA35" s="260">
        <v>59386.39</v>
      </c>
      <c r="AB35" s="259">
        <v>59640.34</v>
      </c>
      <c r="AC35" s="259">
        <v>0</v>
      </c>
      <c r="AD35" s="260">
        <v>59640.34</v>
      </c>
      <c r="AE35" s="259">
        <v>60036.32</v>
      </c>
      <c r="AF35" s="259">
        <v>0</v>
      </c>
      <c r="AG35" s="260">
        <v>60036.32</v>
      </c>
      <c r="AH35" s="259">
        <v>60090.8</v>
      </c>
      <c r="AI35" s="259">
        <v>0</v>
      </c>
      <c r="AJ35" s="260">
        <v>60090.8</v>
      </c>
      <c r="AK35" s="259">
        <v>60229.88</v>
      </c>
      <c r="AL35" s="259">
        <v>0</v>
      </c>
      <c r="AM35" s="260">
        <v>60229.88</v>
      </c>
      <c r="AN35" s="259">
        <v>59567.74</v>
      </c>
      <c r="AO35" s="259">
        <v>0</v>
      </c>
      <c r="AP35" s="260">
        <v>59567.74</v>
      </c>
      <c r="AQ35" s="259">
        <v>59567.74</v>
      </c>
      <c r="AR35" s="259">
        <v>0</v>
      </c>
      <c r="AS35" s="260">
        <v>59567.74</v>
      </c>
      <c r="AT35" s="259">
        <v>59590.47</v>
      </c>
      <c r="AU35" s="259">
        <v>0</v>
      </c>
      <c r="AV35" s="259">
        <v>59590.47</v>
      </c>
      <c r="AW35" s="501">
        <f t="shared" si="3"/>
        <v>60124.018333333333</v>
      </c>
      <c r="AX35" s="502">
        <f t="shared" si="4"/>
        <v>0</v>
      </c>
      <c r="AY35" s="502">
        <f t="shared" si="5"/>
        <v>60124.018333333333</v>
      </c>
    </row>
    <row r="36" spans="1:51">
      <c r="A36" s="204">
        <v>28</v>
      </c>
      <c r="B36" s="253" t="s">
        <v>1562</v>
      </c>
      <c r="C36" s="224" t="s">
        <v>790</v>
      </c>
      <c r="D36" s="224"/>
      <c r="E36" s="224" t="s">
        <v>1094</v>
      </c>
      <c r="F36" s="254" t="s">
        <v>478</v>
      </c>
      <c r="G36" s="254" t="s">
        <v>1567</v>
      </c>
      <c r="H36" s="254" t="s">
        <v>382</v>
      </c>
      <c r="I36" s="255" t="s">
        <v>382</v>
      </c>
      <c r="J36" s="506">
        <v>-2860.28</v>
      </c>
      <c r="K36" s="259">
        <v>0</v>
      </c>
      <c r="L36" s="260">
        <v>-2860.28</v>
      </c>
      <c r="M36" s="259">
        <v>-2836.44</v>
      </c>
      <c r="N36" s="259">
        <v>0</v>
      </c>
      <c r="O36" s="260">
        <v>-2836.44</v>
      </c>
      <c r="P36" s="259">
        <v>-2812.6</v>
      </c>
      <c r="Q36" s="259">
        <v>0</v>
      </c>
      <c r="R36" s="260">
        <v>-2812.6</v>
      </c>
      <c r="S36" s="259">
        <v>-2788.77</v>
      </c>
      <c r="T36" s="259">
        <v>0</v>
      </c>
      <c r="U36" s="260">
        <v>-2788.77</v>
      </c>
      <c r="V36" s="259">
        <v>-2764.93</v>
      </c>
      <c r="W36" s="259">
        <v>0</v>
      </c>
      <c r="X36" s="260">
        <v>-2764.93</v>
      </c>
      <c r="Y36" s="259">
        <v>-2741.09</v>
      </c>
      <c r="Z36" s="259">
        <v>0</v>
      </c>
      <c r="AA36" s="260">
        <v>-2741.09</v>
      </c>
      <c r="AB36" s="259">
        <v>-2717.26</v>
      </c>
      <c r="AC36" s="259">
        <v>0</v>
      </c>
      <c r="AD36" s="260">
        <v>-2717.26</v>
      </c>
      <c r="AE36" s="259">
        <v>-2693.42</v>
      </c>
      <c r="AF36" s="259">
        <v>0</v>
      </c>
      <c r="AG36" s="260">
        <v>-2693.42</v>
      </c>
      <c r="AH36" s="259">
        <v>-2669.58</v>
      </c>
      <c r="AI36" s="259">
        <v>0</v>
      </c>
      <c r="AJ36" s="260">
        <v>-2669.58</v>
      </c>
      <c r="AK36" s="259">
        <v>-2645.75</v>
      </c>
      <c r="AL36" s="259">
        <v>0</v>
      </c>
      <c r="AM36" s="260">
        <v>-2645.75</v>
      </c>
      <c r="AN36" s="259">
        <v>-2621.91</v>
      </c>
      <c r="AO36" s="259">
        <v>0</v>
      </c>
      <c r="AP36" s="260">
        <v>-2621.91</v>
      </c>
      <c r="AQ36" s="259">
        <v>-2598.0700000000002</v>
      </c>
      <c r="AR36" s="259">
        <v>0</v>
      </c>
      <c r="AS36" s="260">
        <v>-2598.0700000000002</v>
      </c>
      <c r="AT36" s="259">
        <v>-2574.25</v>
      </c>
      <c r="AU36" s="259">
        <v>0</v>
      </c>
      <c r="AV36" s="259">
        <v>-2574.25</v>
      </c>
      <c r="AW36" s="501">
        <f t="shared" si="3"/>
        <v>-2717.2570833333334</v>
      </c>
      <c r="AX36" s="502">
        <f t="shared" si="4"/>
        <v>0</v>
      </c>
      <c r="AY36" s="502">
        <f t="shared" si="5"/>
        <v>-2717.2570833333334</v>
      </c>
    </row>
    <row r="37" spans="1:51" ht="16.5" thickBot="1">
      <c r="A37" s="204">
        <v>29</v>
      </c>
      <c r="B37" s="229"/>
      <c r="C37" s="224"/>
      <c r="D37" s="224"/>
      <c r="E37" s="224"/>
      <c r="F37" s="224"/>
      <c r="G37" s="224"/>
      <c r="H37" s="224"/>
      <c r="I37" s="225"/>
      <c r="J37" s="243">
        <f>SUM(J26:J36)</f>
        <v>-103598827.93999997</v>
      </c>
      <c r="K37" s="243">
        <f>SUM(K26:K36)</f>
        <v>-76684093.650000006</v>
      </c>
      <c r="L37" s="243">
        <f>SUM(L26:L36)</f>
        <v>-26914734.290000003</v>
      </c>
      <c r="M37" s="243">
        <f t="shared" ref="M37:AV37" si="6">SUM(M26:M29)</f>
        <v>-99584911.260000005</v>
      </c>
      <c r="N37" s="244">
        <f t="shared" si="6"/>
        <v>-76721424.330000013</v>
      </c>
      <c r="O37" s="245">
        <f t="shared" si="6"/>
        <v>-22863486.93</v>
      </c>
      <c r="P37" s="243">
        <f t="shared" si="6"/>
        <v>-99440723.640000001</v>
      </c>
      <c r="Q37" s="244">
        <f t="shared" si="6"/>
        <v>-76610356.609999999</v>
      </c>
      <c r="R37" s="245">
        <f t="shared" si="6"/>
        <v>-22830367.030000001</v>
      </c>
      <c r="S37" s="243">
        <f t="shared" si="6"/>
        <v>-99103602.409999996</v>
      </c>
      <c r="T37" s="244">
        <f t="shared" si="6"/>
        <v>-76339504.939999998</v>
      </c>
      <c r="U37" s="245">
        <f t="shared" si="6"/>
        <v>-22764097.469999999</v>
      </c>
      <c r="V37" s="243">
        <f t="shared" si="6"/>
        <v>-98964149.329999998</v>
      </c>
      <c r="W37" s="244">
        <f t="shared" si="6"/>
        <v>-76232084.229999989</v>
      </c>
      <c r="X37" s="245">
        <f t="shared" si="6"/>
        <v>-22732065.100000001</v>
      </c>
      <c r="Y37" s="243">
        <f t="shared" si="6"/>
        <v>-98804033.75999999</v>
      </c>
      <c r="Z37" s="244">
        <f t="shared" si="6"/>
        <v>-76108747.200000003</v>
      </c>
      <c r="AA37" s="245">
        <f t="shared" si="6"/>
        <v>-22695286.560000002</v>
      </c>
      <c r="AB37" s="243">
        <f t="shared" si="6"/>
        <v>-98641338.279999986</v>
      </c>
      <c r="AC37" s="244">
        <f t="shared" si="6"/>
        <v>-75983422.86999999</v>
      </c>
      <c r="AD37" s="245">
        <f t="shared" si="6"/>
        <v>-22657915.41</v>
      </c>
      <c r="AE37" s="243">
        <f t="shared" si="6"/>
        <v>-98551284.149999991</v>
      </c>
      <c r="AF37" s="244">
        <f t="shared" si="6"/>
        <v>-75914054.170000002</v>
      </c>
      <c r="AG37" s="245">
        <f t="shared" si="6"/>
        <v>-22637229.98</v>
      </c>
      <c r="AH37" s="243">
        <f t="shared" si="6"/>
        <v>-98401476.840000004</v>
      </c>
      <c r="AI37" s="244">
        <f t="shared" si="6"/>
        <v>-75798657.600000009</v>
      </c>
      <c r="AJ37" s="245">
        <f t="shared" si="6"/>
        <v>-22602819.240000002</v>
      </c>
      <c r="AK37" s="243">
        <f t="shared" si="6"/>
        <v>-98250703.020000011</v>
      </c>
      <c r="AL37" s="244">
        <f t="shared" si="6"/>
        <v>-75682516.530000001</v>
      </c>
      <c r="AM37" s="245">
        <f t="shared" si="6"/>
        <v>-22568186.489999998</v>
      </c>
      <c r="AN37" s="243">
        <f t="shared" si="6"/>
        <v>-98109083.189999998</v>
      </c>
      <c r="AO37" s="244">
        <f t="shared" si="6"/>
        <v>-75573426.769999981</v>
      </c>
      <c r="AP37" s="245">
        <f t="shared" si="6"/>
        <v>-22535656.419999998</v>
      </c>
      <c r="AQ37" s="243">
        <f t="shared" si="6"/>
        <v>-98032426.449999988</v>
      </c>
      <c r="AR37" s="244">
        <f t="shared" si="6"/>
        <v>-75514378.079999983</v>
      </c>
      <c r="AS37" s="245">
        <f t="shared" si="6"/>
        <v>-22518048.370000001</v>
      </c>
      <c r="AT37" s="243">
        <f t="shared" si="6"/>
        <v>-99111517.460000008</v>
      </c>
      <c r="AU37" s="244">
        <f t="shared" si="6"/>
        <v>-76345601.890000001</v>
      </c>
      <c r="AV37" s="245">
        <f t="shared" si="6"/>
        <v>-22765915.57</v>
      </c>
      <c r="AW37" s="507">
        <f>SUM(AW25:AW36)</f>
        <v>-102680494.10125002</v>
      </c>
      <c r="AX37" s="608">
        <f t="shared" ref="AX37:AY37" si="7">SUM(AX25:AX36)</f>
        <v>-75831769.320000008</v>
      </c>
      <c r="AY37" s="508">
        <f t="shared" si="7"/>
        <v>-26848724.78125</v>
      </c>
    </row>
    <row r="38" spans="1:51" s="26" customFormat="1" ht="17.25" thickTop="1" thickBot="1">
      <c r="A38" s="204">
        <v>30</v>
      </c>
      <c r="B38" s="583" t="s">
        <v>1103</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row>
    <row r="39" spans="1:51" s="26" customFormat="1">
      <c r="A39" s="204">
        <v>31</v>
      </c>
      <c r="B39" s="26" t="s">
        <v>1656</v>
      </c>
      <c r="C39" s="584" t="s">
        <v>790</v>
      </c>
      <c r="E39" s="584"/>
      <c r="F39" s="585">
        <v>1900</v>
      </c>
      <c r="G39" s="585" t="s">
        <v>1095</v>
      </c>
      <c r="H39" s="584"/>
      <c r="I39" s="584"/>
      <c r="J39" s="586">
        <v>-8266.2800000000007</v>
      </c>
      <c r="K39" s="587"/>
      <c r="L39" s="588"/>
      <c r="M39" s="587">
        <v>-8197.4</v>
      </c>
      <c r="N39" s="587"/>
      <c r="O39" s="588"/>
      <c r="P39" s="587">
        <v>-8128.51</v>
      </c>
      <c r="Q39" s="587"/>
      <c r="R39" s="588"/>
      <c r="S39" s="587">
        <v>-8059.63</v>
      </c>
      <c r="T39" s="587"/>
      <c r="U39" s="588"/>
      <c r="V39" s="587">
        <v>-7990.74</v>
      </c>
      <c r="W39" s="587"/>
      <c r="X39" s="588"/>
      <c r="Y39" s="587">
        <v>-7921.85</v>
      </c>
      <c r="Z39" s="587"/>
      <c r="AA39" s="588"/>
      <c r="AB39" s="587">
        <v>-7852.97</v>
      </c>
      <c r="AC39" s="587"/>
      <c r="AD39" s="588"/>
      <c r="AE39" s="587">
        <v>-7784.08</v>
      </c>
      <c r="AF39" s="587"/>
      <c r="AG39" s="588"/>
      <c r="AH39" s="587">
        <v>-7715.2</v>
      </c>
      <c r="AI39" s="587"/>
      <c r="AJ39" s="588"/>
      <c r="AK39" s="587">
        <v>-7646.31</v>
      </c>
      <c r="AL39" s="587"/>
      <c r="AM39" s="588"/>
      <c r="AN39" s="587">
        <v>-7577.43</v>
      </c>
      <c r="AO39" s="587"/>
      <c r="AP39" s="588"/>
      <c r="AQ39" s="587">
        <v>-7508.54</v>
      </c>
      <c r="AR39" s="587"/>
      <c r="AS39" s="588"/>
      <c r="AT39" s="587">
        <v>-7249.34</v>
      </c>
      <c r="AU39" s="587"/>
      <c r="AV39" s="588"/>
      <c r="AW39" s="589">
        <f t="shared" ref="AW39:AW72" si="8">+(AT39+J39+(M39+P39+S39+V39+Y39+AB39+AE39+AH39+AK39+AN39+AQ39)*2)/24</f>
        <v>-7845.0391666666656</v>
      </c>
      <c r="AX39" s="584"/>
      <c r="AY39" s="584"/>
    </row>
    <row r="40" spans="1:51" s="26" customFormat="1">
      <c r="A40" s="204">
        <v>32</v>
      </c>
      <c r="B40" s="26" t="s">
        <v>1657</v>
      </c>
      <c r="C40" s="584" t="s">
        <v>790</v>
      </c>
      <c r="E40" s="584"/>
      <c r="F40" s="585" t="s">
        <v>478</v>
      </c>
      <c r="G40" s="585" t="s">
        <v>1096</v>
      </c>
      <c r="H40" s="584"/>
      <c r="I40" s="584"/>
      <c r="J40" s="590">
        <v>2860.27</v>
      </c>
      <c r="K40" s="591"/>
      <c r="L40" s="592"/>
      <c r="M40" s="591">
        <v>2836.43</v>
      </c>
      <c r="N40" s="591"/>
      <c r="O40" s="592"/>
      <c r="P40" s="591">
        <v>2812.6</v>
      </c>
      <c r="Q40" s="591"/>
      <c r="R40" s="592"/>
      <c r="S40" s="591">
        <v>2788.78</v>
      </c>
      <c r="T40" s="591"/>
      <c r="U40" s="592"/>
      <c r="V40" s="591">
        <v>2764.94</v>
      </c>
      <c r="W40" s="591"/>
      <c r="X40" s="592"/>
      <c r="Y40" s="591">
        <v>2741.09</v>
      </c>
      <c r="Z40" s="591"/>
      <c r="AA40" s="592"/>
      <c r="AB40" s="591">
        <v>2717.26</v>
      </c>
      <c r="AC40" s="591"/>
      <c r="AD40" s="592"/>
      <c r="AE40" s="591">
        <v>2693.42</v>
      </c>
      <c r="AF40" s="591"/>
      <c r="AG40" s="592"/>
      <c r="AH40" s="591">
        <v>2669.58</v>
      </c>
      <c r="AI40" s="591"/>
      <c r="AJ40" s="592"/>
      <c r="AK40" s="591">
        <v>2645.76</v>
      </c>
      <c r="AL40" s="591"/>
      <c r="AM40" s="592"/>
      <c r="AN40" s="591">
        <v>2621.92</v>
      </c>
      <c r="AO40" s="591"/>
      <c r="AP40" s="592"/>
      <c r="AQ40" s="591">
        <v>2598.0700000000002</v>
      </c>
      <c r="AR40" s="591"/>
      <c r="AS40" s="592"/>
      <c r="AT40" s="591">
        <v>2574.23</v>
      </c>
      <c r="AU40" s="591"/>
      <c r="AV40" s="592"/>
      <c r="AW40" s="593">
        <f t="shared" si="8"/>
        <v>2717.2583333333332</v>
      </c>
      <c r="AX40" s="584"/>
      <c r="AY40" s="584"/>
    </row>
    <row r="41" spans="1:51" s="26" customFormat="1">
      <c r="A41" s="204">
        <v>33</v>
      </c>
      <c r="B41" s="26" t="s">
        <v>1658</v>
      </c>
      <c r="C41" s="584" t="s">
        <v>790</v>
      </c>
      <c r="E41" s="584"/>
      <c r="F41" s="585" t="s">
        <v>478</v>
      </c>
      <c r="G41" s="585" t="s">
        <v>1666</v>
      </c>
      <c r="H41" s="584"/>
      <c r="I41" s="584"/>
      <c r="J41" s="590">
        <v>178549.95</v>
      </c>
      <c r="K41" s="591"/>
      <c r="L41" s="592"/>
      <c r="M41" s="591">
        <v>178675.45</v>
      </c>
      <c r="N41" s="591"/>
      <c r="O41" s="592"/>
      <c r="P41" s="591">
        <v>178835.7</v>
      </c>
      <c r="Q41" s="591"/>
      <c r="R41" s="592"/>
      <c r="S41" s="591">
        <v>178995.94</v>
      </c>
      <c r="T41" s="591"/>
      <c r="U41" s="592"/>
      <c r="V41" s="591">
        <v>179156.19</v>
      </c>
      <c r="W41" s="591"/>
      <c r="X41" s="592"/>
      <c r="Y41" s="591">
        <v>179422.82</v>
      </c>
      <c r="Z41" s="591"/>
      <c r="AA41" s="592"/>
      <c r="AB41" s="591">
        <v>179604.35</v>
      </c>
      <c r="AC41" s="591"/>
      <c r="AD41" s="592"/>
      <c r="AE41" s="591">
        <v>179785.87</v>
      </c>
      <c r="AF41" s="591"/>
      <c r="AG41" s="592"/>
      <c r="AH41" s="591">
        <v>179967.39</v>
      </c>
      <c r="AI41" s="591"/>
      <c r="AJ41" s="592"/>
      <c r="AK41" s="591">
        <v>180148.92</v>
      </c>
      <c r="AL41" s="591"/>
      <c r="AM41" s="592"/>
      <c r="AN41" s="591">
        <v>180330.44</v>
      </c>
      <c r="AO41" s="591"/>
      <c r="AP41" s="592"/>
      <c r="AQ41" s="591">
        <v>184453.09</v>
      </c>
      <c r="AR41" s="591"/>
      <c r="AS41" s="592"/>
      <c r="AT41" s="591">
        <v>171224.15</v>
      </c>
      <c r="AU41" s="591"/>
      <c r="AV41" s="592"/>
      <c r="AW41" s="593">
        <f t="shared" si="8"/>
        <v>179521.9341666667</v>
      </c>
      <c r="AX41" s="584"/>
      <c r="AY41" s="584"/>
    </row>
    <row r="42" spans="1:51" s="26" customFormat="1">
      <c r="A42" s="204">
        <v>34</v>
      </c>
      <c r="B42" s="26" t="s">
        <v>1659</v>
      </c>
      <c r="C42" s="584" t="s">
        <v>790</v>
      </c>
      <c r="E42" s="584"/>
      <c r="F42" s="585" t="s">
        <v>478</v>
      </c>
      <c r="G42" s="585" t="s">
        <v>1097</v>
      </c>
      <c r="H42" s="584"/>
      <c r="I42" s="584"/>
      <c r="J42" s="590">
        <v>1026444.73</v>
      </c>
      <c r="K42" s="591"/>
      <c r="L42" s="592"/>
      <c r="M42" s="591">
        <v>1026652.92</v>
      </c>
      <c r="N42" s="591"/>
      <c r="O42" s="592"/>
      <c r="P42" s="591">
        <v>1024851.3</v>
      </c>
      <c r="Q42" s="591"/>
      <c r="R42" s="592"/>
      <c r="S42" s="591">
        <v>1024831.27</v>
      </c>
      <c r="T42" s="591"/>
      <c r="U42" s="592"/>
      <c r="V42" s="591">
        <v>1021479.92</v>
      </c>
      <c r="W42" s="591"/>
      <c r="X42" s="592"/>
      <c r="Y42" s="591">
        <v>1019845.01</v>
      </c>
      <c r="Z42" s="591"/>
      <c r="AA42" s="592"/>
      <c r="AB42" s="591">
        <v>1026293.44</v>
      </c>
      <c r="AC42" s="591"/>
      <c r="AD42" s="592"/>
      <c r="AE42" s="591">
        <v>1024548.48</v>
      </c>
      <c r="AF42" s="591"/>
      <c r="AG42" s="592"/>
      <c r="AH42" s="591">
        <v>1016837.09</v>
      </c>
      <c r="AI42" s="591"/>
      <c r="AJ42" s="592"/>
      <c r="AK42" s="591">
        <v>1015295.24</v>
      </c>
      <c r="AL42" s="591"/>
      <c r="AM42" s="592"/>
      <c r="AN42" s="591">
        <v>1013659.91</v>
      </c>
      <c r="AO42" s="591"/>
      <c r="AP42" s="592"/>
      <c r="AQ42" s="591">
        <v>1011280.06</v>
      </c>
      <c r="AR42" s="591"/>
      <c r="AS42" s="592"/>
      <c r="AT42" s="591">
        <v>1007436.65</v>
      </c>
      <c r="AU42" s="591"/>
      <c r="AV42" s="592"/>
      <c r="AW42" s="593">
        <f t="shared" si="8"/>
        <v>1020209.6108333333</v>
      </c>
      <c r="AX42" s="584"/>
      <c r="AY42" s="584"/>
    </row>
    <row r="43" spans="1:51" s="26" customFormat="1">
      <c r="A43" s="204">
        <v>35</v>
      </c>
      <c r="B43" s="26" t="s">
        <v>1660</v>
      </c>
      <c r="C43" s="584" t="s">
        <v>790</v>
      </c>
      <c r="E43" s="584"/>
      <c r="F43" s="585" t="s">
        <v>478</v>
      </c>
      <c r="G43" s="585" t="s">
        <v>200</v>
      </c>
      <c r="H43" s="584"/>
      <c r="I43" s="584"/>
      <c r="J43" s="590">
        <v>54009.9</v>
      </c>
      <c r="K43" s="591"/>
      <c r="L43" s="592"/>
      <c r="M43" s="591">
        <v>62857.06</v>
      </c>
      <c r="N43" s="591"/>
      <c r="O43" s="592"/>
      <c r="P43" s="591">
        <v>62519.01</v>
      </c>
      <c r="Q43" s="591"/>
      <c r="R43" s="592"/>
      <c r="S43" s="591">
        <v>69897.05</v>
      </c>
      <c r="T43" s="591"/>
      <c r="U43" s="592"/>
      <c r="V43" s="591">
        <v>75144.73</v>
      </c>
      <c r="W43" s="591"/>
      <c r="X43" s="592"/>
      <c r="Y43" s="591">
        <v>95934.89</v>
      </c>
      <c r="Z43" s="591"/>
      <c r="AA43" s="592"/>
      <c r="AB43" s="591">
        <v>125597.82</v>
      </c>
      <c r="AC43" s="591"/>
      <c r="AD43" s="592"/>
      <c r="AE43" s="591">
        <v>134285.41</v>
      </c>
      <c r="AF43" s="591"/>
      <c r="AG43" s="592"/>
      <c r="AH43" s="591">
        <v>132272.57999999999</v>
      </c>
      <c r="AI43" s="591"/>
      <c r="AJ43" s="592"/>
      <c r="AK43" s="591">
        <v>137254.6</v>
      </c>
      <c r="AL43" s="591"/>
      <c r="AM43" s="592"/>
      <c r="AN43" s="591">
        <v>141897.17000000001</v>
      </c>
      <c r="AO43" s="591"/>
      <c r="AP43" s="592"/>
      <c r="AQ43" s="591">
        <v>146194.31</v>
      </c>
      <c r="AR43" s="591"/>
      <c r="AS43" s="592"/>
      <c r="AT43" s="591">
        <v>145396.82</v>
      </c>
      <c r="AU43" s="591"/>
      <c r="AV43" s="592"/>
      <c r="AW43" s="593">
        <f t="shared" si="8"/>
        <v>106963.16583333333</v>
      </c>
      <c r="AX43" s="584"/>
      <c r="AY43" s="584"/>
    </row>
    <row r="44" spans="1:51" s="26" customFormat="1">
      <c r="A44" s="204">
        <v>36</v>
      </c>
      <c r="B44" s="26" t="s">
        <v>1661</v>
      </c>
      <c r="C44" s="584" t="s">
        <v>790</v>
      </c>
      <c r="E44" s="584"/>
      <c r="F44" s="585" t="s">
        <v>478</v>
      </c>
      <c r="G44" s="585" t="s">
        <v>1098</v>
      </c>
      <c r="H44" s="584"/>
      <c r="I44" s="584"/>
      <c r="J44" s="590">
        <v>-94443.78</v>
      </c>
      <c r="K44" s="591"/>
      <c r="L44" s="592"/>
      <c r="M44" s="591">
        <v>-93656.73</v>
      </c>
      <c r="N44" s="591"/>
      <c r="O44" s="592"/>
      <c r="P44" s="591">
        <v>-92869.71</v>
      </c>
      <c r="Q44" s="591"/>
      <c r="R44" s="592"/>
      <c r="S44" s="591">
        <v>-92082.7</v>
      </c>
      <c r="T44" s="591"/>
      <c r="U44" s="592"/>
      <c r="V44" s="591">
        <v>-91295.65</v>
      </c>
      <c r="W44" s="591"/>
      <c r="X44" s="592"/>
      <c r="Y44" s="591">
        <v>-90508.62</v>
      </c>
      <c r="Z44" s="591"/>
      <c r="AA44" s="592"/>
      <c r="AB44" s="591">
        <v>-89721.58</v>
      </c>
      <c r="AC44" s="591"/>
      <c r="AD44" s="592"/>
      <c r="AE44" s="591">
        <v>-88934.57</v>
      </c>
      <c r="AF44" s="591"/>
      <c r="AG44" s="592"/>
      <c r="AH44" s="591">
        <v>-88147.520000000004</v>
      </c>
      <c r="AI44" s="591"/>
      <c r="AJ44" s="592"/>
      <c r="AK44" s="591">
        <v>-87360.51</v>
      </c>
      <c r="AL44" s="591"/>
      <c r="AM44" s="592"/>
      <c r="AN44" s="591">
        <v>-86573.46</v>
      </c>
      <c r="AO44" s="591"/>
      <c r="AP44" s="592"/>
      <c r="AQ44" s="591">
        <v>-85786.43</v>
      </c>
      <c r="AR44" s="591"/>
      <c r="AS44" s="592"/>
      <c r="AT44" s="591">
        <v>-82824.95</v>
      </c>
      <c r="AU44" s="591"/>
      <c r="AV44" s="592"/>
      <c r="AW44" s="593">
        <f t="shared" si="8"/>
        <v>-89630.987083333326</v>
      </c>
      <c r="AX44" s="584"/>
      <c r="AY44" s="584"/>
    </row>
    <row r="45" spans="1:51" s="26" customFormat="1">
      <c r="A45" s="204">
        <v>37</v>
      </c>
      <c r="B45" s="26" t="s">
        <v>1662</v>
      </c>
      <c r="C45" s="584" t="s">
        <v>790</v>
      </c>
      <c r="E45" s="584"/>
      <c r="F45" s="585" t="s">
        <v>478</v>
      </c>
      <c r="G45" s="585" t="s">
        <v>1099</v>
      </c>
      <c r="H45" s="584"/>
      <c r="I45" s="584"/>
      <c r="J45" s="590">
        <v>-358148.8</v>
      </c>
      <c r="K45" s="591"/>
      <c r="L45" s="592"/>
      <c r="M45" s="591">
        <v>-355164.23</v>
      </c>
      <c r="N45" s="591"/>
      <c r="O45" s="592"/>
      <c r="P45" s="591">
        <v>-352179.64</v>
      </c>
      <c r="Q45" s="591"/>
      <c r="R45" s="592"/>
      <c r="S45" s="591">
        <v>-349195.1</v>
      </c>
      <c r="T45" s="591"/>
      <c r="U45" s="592"/>
      <c r="V45" s="591">
        <v>-346210.53</v>
      </c>
      <c r="W45" s="591"/>
      <c r="X45" s="592"/>
      <c r="Y45" s="591">
        <v>-343225.97</v>
      </c>
      <c r="Z45" s="591"/>
      <c r="AA45" s="592"/>
      <c r="AB45" s="591">
        <v>-340241.41</v>
      </c>
      <c r="AC45" s="591"/>
      <c r="AD45" s="592"/>
      <c r="AE45" s="591">
        <v>-337256.82</v>
      </c>
      <c r="AF45" s="591"/>
      <c r="AG45" s="592"/>
      <c r="AH45" s="591">
        <v>-334272.25</v>
      </c>
      <c r="AI45" s="591"/>
      <c r="AJ45" s="592"/>
      <c r="AK45" s="591">
        <v>-331287.65999999997</v>
      </c>
      <c r="AL45" s="591"/>
      <c r="AM45" s="592"/>
      <c r="AN45" s="591">
        <v>-328303.08</v>
      </c>
      <c r="AO45" s="591"/>
      <c r="AP45" s="592"/>
      <c r="AQ45" s="591">
        <v>-325318.53000000003</v>
      </c>
      <c r="AR45" s="591"/>
      <c r="AS45" s="592"/>
      <c r="AT45" s="591">
        <v>-314153.82</v>
      </c>
      <c r="AU45" s="591"/>
      <c r="AV45" s="592"/>
      <c r="AW45" s="593">
        <f t="shared" si="8"/>
        <v>-339900.54416666663</v>
      </c>
      <c r="AX45" s="584"/>
      <c r="AY45" s="584"/>
    </row>
    <row r="46" spans="1:51" s="26" customFormat="1">
      <c r="A46" s="204">
        <v>38</v>
      </c>
      <c r="B46" s="26" t="s">
        <v>1663</v>
      </c>
      <c r="C46" s="584" t="s">
        <v>790</v>
      </c>
      <c r="E46" s="584"/>
      <c r="F46" s="585" t="s">
        <v>478</v>
      </c>
      <c r="G46" s="585" t="s">
        <v>1667</v>
      </c>
      <c r="H46" s="584"/>
      <c r="I46" s="584"/>
      <c r="J46" s="590">
        <v>2039965.44</v>
      </c>
      <c r="K46" s="591"/>
      <c r="L46" s="592"/>
      <c r="M46" s="591">
        <v>2041399.36</v>
      </c>
      <c r="N46" s="591"/>
      <c r="O46" s="592"/>
      <c r="P46" s="591">
        <v>2043230.19</v>
      </c>
      <c r="Q46" s="591"/>
      <c r="R46" s="592"/>
      <c r="S46" s="591">
        <v>2045061.03</v>
      </c>
      <c r="T46" s="591"/>
      <c r="U46" s="592"/>
      <c r="V46" s="591">
        <v>2046891.85</v>
      </c>
      <c r="W46" s="591"/>
      <c r="X46" s="592"/>
      <c r="Y46" s="591">
        <v>2049938.21</v>
      </c>
      <c r="Z46" s="591"/>
      <c r="AA46" s="592"/>
      <c r="AB46" s="591">
        <v>2052012.15</v>
      </c>
      <c r="AC46" s="591"/>
      <c r="AD46" s="592"/>
      <c r="AE46" s="591">
        <v>2054086.08</v>
      </c>
      <c r="AF46" s="591"/>
      <c r="AG46" s="592"/>
      <c r="AH46" s="591">
        <v>2056160.02</v>
      </c>
      <c r="AI46" s="591"/>
      <c r="AJ46" s="592"/>
      <c r="AK46" s="591">
        <v>2058233.95</v>
      </c>
      <c r="AL46" s="591"/>
      <c r="AM46" s="592"/>
      <c r="AN46" s="591">
        <v>2060307.89</v>
      </c>
      <c r="AO46" s="591"/>
      <c r="AP46" s="592"/>
      <c r="AQ46" s="591">
        <v>2107410</v>
      </c>
      <c r="AR46" s="591"/>
      <c r="AS46" s="592"/>
      <c r="AT46" s="591">
        <v>1956266.79</v>
      </c>
      <c r="AU46" s="591"/>
      <c r="AV46" s="592"/>
      <c r="AW46" s="593">
        <f t="shared" si="8"/>
        <v>2051070.5704166666</v>
      </c>
      <c r="AX46" s="584"/>
      <c r="AY46" s="584"/>
    </row>
    <row r="47" spans="1:51" s="26" customFormat="1">
      <c r="A47" s="204">
        <v>39</v>
      </c>
      <c r="B47" s="26" t="s">
        <v>1664</v>
      </c>
      <c r="C47" s="584" t="s">
        <v>790</v>
      </c>
      <c r="E47" s="584"/>
      <c r="F47" s="585" t="s">
        <v>478</v>
      </c>
      <c r="G47" s="585" t="s">
        <v>1100</v>
      </c>
      <c r="H47" s="584"/>
      <c r="I47" s="584"/>
      <c r="J47" s="590">
        <v>11771087.18</v>
      </c>
      <c r="K47" s="591"/>
      <c r="L47" s="592"/>
      <c r="M47" s="591">
        <v>11773465.810000001</v>
      </c>
      <c r="N47" s="591"/>
      <c r="O47" s="592"/>
      <c r="P47" s="591">
        <v>11752882.02</v>
      </c>
      <c r="Q47" s="591"/>
      <c r="R47" s="592"/>
      <c r="S47" s="591">
        <v>11708882.130000001</v>
      </c>
      <c r="T47" s="591"/>
      <c r="U47" s="592"/>
      <c r="V47" s="591">
        <v>11670592.35</v>
      </c>
      <c r="W47" s="591"/>
      <c r="X47" s="592"/>
      <c r="Y47" s="591">
        <v>11651913.210000001</v>
      </c>
      <c r="Z47" s="591"/>
      <c r="AA47" s="592"/>
      <c r="AB47" s="591">
        <v>11725587.689999999</v>
      </c>
      <c r="AC47" s="591"/>
      <c r="AD47" s="592"/>
      <c r="AE47" s="591">
        <v>11705651.25</v>
      </c>
      <c r="AF47" s="591"/>
      <c r="AG47" s="592"/>
      <c r="AH47" s="591">
        <v>11617547.18</v>
      </c>
      <c r="AI47" s="591"/>
      <c r="AJ47" s="592"/>
      <c r="AK47" s="591">
        <v>11599931.310000001</v>
      </c>
      <c r="AL47" s="591"/>
      <c r="AM47" s="592"/>
      <c r="AN47" s="591">
        <v>11581247.359999999</v>
      </c>
      <c r="AO47" s="591"/>
      <c r="AP47" s="592"/>
      <c r="AQ47" s="591">
        <v>11554057.15</v>
      </c>
      <c r="AR47" s="591"/>
      <c r="AS47" s="592"/>
      <c r="AT47" s="591">
        <v>11510145.4</v>
      </c>
      <c r="AU47" s="591"/>
      <c r="AV47" s="592"/>
      <c r="AW47" s="593">
        <f t="shared" si="8"/>
        <v>11665197.812500002</v>
      </c>
      <c r="AX47" s="584"/>
      <c r="AY47" s="584"/>
    </row>
    <row r="48" spans="1:51" s="26" customFormat="1">
      <c r="A48" s="204">
        <v>40</v>
      </c>
      <c r="B48" s="26" t="s">
        <v>1665</v>
      </c>
      <c r="C48" s="584" t="s">
        <v>790</v>
      </c>
      <c r="E48" s="584"/>
      <c r="F48" s="585" t="s">
        <v>478</v>
      </c>
      <c r="G48" s="585" t="s">
        <v>1254</v>
      </c>
      <c r="H48" s="584"/>
      <c r="I48" s="584"/>
      <c r="J48" s="594">
        <v>617072.96</v>
      </c>
      <c r="K48" s="591"/>
      <c r="L48" s="592"/>
      <c r="M48" s="594">
        <v>718153.35</v>
      </c>
      <c r="N48" s="591"/>
      <c r="O48" s="592"/>
      <c r="P48" s="594">
        <v>714291.03</v>
      </c>
      <c r="Q48" s="591"/>
      <c r="R48" s="592"/>
      <c r="S48" s="594">
        <v>798586.64</v>
      </c>
      <c r="T48" s="591"/>
      <c r="U48" s="592"/>
      <c r="V48" s="594">
        <v>858542.37</v>
      </c>
      <c r="W48" s="591"/>
      <c r="X48" s="592"/>
      <c r="Y48" s="594">
        <v>1096073.54</v>
      </c>
      <c r="Z48" s="591"/>
      <c r="AA48" s="592"/>
      <c r="AB48" s="594">
        <v>1434977.89</v>
      </c>
      <c r="AC48" s="591"/>
      <c r="AD48" s="592"/>
      <c r="AE48" s="594">
        <v>1534235.08</v>
      </c>
      <c r="AF48" s="591"/>
      <c r="AG48" s="592"/>
      <c r="AH48" s="594">
        <v>1511238.18</v>
      </c>
      <c r="AI48" s="591"/>
      <c r="AJ48" s="592"/>
      <c r="AK48" s="594">
        <v>1568158.85</v>
      </c>
      <c r="AL48" s="591"/>
      <c r="AM48" s="592"/>
      <c r="AN48" s="594">
        <v>1621200.81</v>
      </c>
      <c r="AO48" s="591"/>
      <c r="AP48" s="592"/>
      <c r="AQ48" s="594">
        <v>1670296.35</v>
      </c>
      <c r="AR48" s="591"/>
      <c r="AS48" s="592"/>
      <c r="AT48" s="594">
        <v>1661184.9</v>
      </c>
      <c r="AU48" s="591"/>
      <c r="AV48" s="591"/>
      <c r="AW48" s="595">
        <f t="shared" si="8"/>
        <v>1222073.585</v>
      </c>
      <c r="AX48" s="584"/>
      <c r="AY48" s="584"/>
    </row>
    <row r="49" spans="1:51" s="26" customFormat="1">
      <c r="A49" s="204">
        <v>41</v>
      </c>
      <c r="C49" s="584"/>
      <c r="E49" s="584"/>
      <c r="F49" s="584"/>
      <c r="G49" s="584"/>
      <c r="H49" s="584"/>
      <c r="I49" s="584"/>
      <c r="J49" s="590">
        <f>SUM(J39:J48)</f>
        <v>15229131.57</v>
      </c>
      <c r="K49" s="591"/>
      <c r="L49" s="592"/>
      <c r="M49" s="591">
        <f>SUM(M39:M48)</f>
        <v>15347022.020000001</v>
      </c>
      <c r="N49" s="591"/>
      <c r="O49" s="591"/>
      <c r="P49" s="591">
        <f t="shared" ref="P49:AT49" si="9">SUM(P39:P48)</f>
        <v>15326243.989999998</v>
      </c>
      <c r="Q49" s="591"/>
      <c r="R49" s="591"/>
      <c r="S49" s="591">
        <f t="shared" si="9"/>
        <v>15379705.410000002</v>
      </c>
      <c r="T49" s="591"/>
      <c r="U49" s="591"/>
      <c r="V49" s="591">
        <f t="shared" si="9"/>
        <v>15409075.429999998</v>
      </c>
      <c r="W49" s="591"/>
      <c r="X49" s="591"/>
      <c r="Y49" s="591">
        <f t="shared" si="9"/>
        <v>15654212.330000002</v>
      </c>
      <c r="Z49" s="591"/>
      <c r="AA49" s="591"/>
      <c r="AB49" s="591">
        <f t="shared" si="9"/>
        <v>16108974.640000001</v>
      </c>
      <c r="AC49" s="591"/>
      <c r="AD49" s="591"/>
      <c r="AE49" s="591">
        <f t="shared" si="9"/>
        <v>16201310.119999999</v>
      </c>
      <c r="AF49" s="591"/>
      <c r="AG49" s="591"/>
      <c r="AH49" s="591">
        <f t="shared" si="9"/>
        <v>16086557.049999999</v>
      </c>
      <c r="AI49" s="591"/>
      <c r="AJ49" s="591"/>
      <c r="AK49" s="591">
        <f t="shared" si="9"/>
        <v>16135374.15</v>
      </c>
      <c r="AL49" s="591"/>
      <c r="AM49" s="591"/>
      <c r="AN49" s="591">
        <f t="shared" si="9"/>
        <v>16178811.529999999</v>
      </c>
      <c r="AO49" s="591"/>
      <c r="AP49" s="591"/>
      <c r="AQ49" s="591">
        <f t="shared" si="9"/>
        <v>16257675.529999999</v>
      </c>
      <c r="AR49" s="591"/>
      <c r="AS49" s="591"/>
      <c r="AT49" s="591">
        <f t="shared" si="9"/>
        <v>16050000.83</v>
      </c>
      <c r="AU49" s="591"/>
      <c r="AV49" s="591"/>
      <c r="AW49" s="593">
        <f t="shared" si="8"/>
        <v>15810377.366666667</v>
      </c>
      <c r="AX49" s="584"/>
      <c r="AY49" s="584"/>
    </row>
    <row r="50" spans="1:51" s="26" customFormat="1">
      <c r="A50" s="204">
        <v>42</v>
      </c>
      <c r="C50" s="584"/>
      <c r="E50" s="584"/>
      <c r="F50" s="584"/>
      <c r="G50" s="584"/>
      <c r="H50" s="584"/>
      <c r="I50" s="584"/>
      <c r="J50" s="590"/>
      <c r="K50" s="591"/>
      <c r="L50" s="592"/>
      <c r="M50" s="591"/>
      <c r="N50" s="591"/>
      <c r="O50" s="592"/>
      <c r="P50" s="591"/>
      <c r="Q50" s="591"/>
      <c r="R50" s="592"/>
      <c r="S50" s="591"/>
      <c r="T50" s="591"/>
      <c r="U50" s="592"/>
      <c r="V50" s="591"/>
      <c r="W50" s="591"/>
      <c r="X50" s="592"/>
      <c r="Y50" s="591"/>
      <c r="Z50" s="591"/>
      <c r="AA50" s="592"/>
      <c r="AB50" s="591"/>
      <c r="AC50" s="591"/>
      <c r="AD50" s="592"/>
      <c r="AE50" s="591"/>
      <c r="AF50" s="591"/>
      <c r="AG50" s="592"/>
      <c r="AH50" s="591"/>
      <c r="AI50" s="591"/>
      <c r="AJ50" s="592"/>
      <c r="AK50" s="591"/>
      <c r="AL50" s="591"/>
      <c r="AM50" s="592"/>
      <c r="AN50" s="591"/>
      <c r="AO50" s="591"/>
      <c r="AP50" s="592"/>
      <c r="AQ50" s="591"/>
      <c r="AR50" s="591"/>
      <c r="AS50" s="592"/>
      <c r="AT50" s="591"/>
      <c r="AU50" s="591"/>
      <c r="AV50" s="592"/>
      <c r="AW50" s="593"/>
      <c r="AX50" s="584"/>
      <c r="AY50" s="584"/>
    </row>
    <row r="51" spans="1:51" s="26" customFormat="1">
      <c r="A51" s="204">
        <v>43</v>
      </c>
      <c r="B51" s="26" t="s">
        <v>1656</v>
      </c>
      <c r="C51" s="584" t="s">
        <v>790</v>
      </c>
      <c r="E51" s="584"/>
      <c r="F51" s="584" t="s">
        <v>659</v>
      </c>
      <c r="G51" s="584" t="s">
        <v>1095</v>
      </c>
      <c r="H51" s="584"/>
      <c r="I51" s="584"/>
      <c r="J51" s="590">
        <v>939972</v>
      </c>
      <c r="K51" s="591"/>
      <c r="L51" s="592"/>
      <c r="M51" s="591">
        <v>936890.3</v>
      </c>
      <c r="N51" s="591"/>
      <c r="O51" s="592"/>
      <c r="P51" s="591">
        <v>933800.21</v>
      </c>
      <c r="Q51" s="591"/>
      <c r="R51" s="592"/>
      <c r="S51" s="591">
        <v>930695.46</v>
      </c>
      <c r="T51" s="591"/>
      <c r="U51" s="592"/>
      <c r="V51" s="591">
        <v>927684.27</v>
      </c>
      <c r="W51" s="591"/>
      <c r="X51" s="592"/>
      <c r="Y51" s="591">
        <v>924672.45</v>
      </c>
      <c r="Z51" s="591"/>
      <c r="AA51" s="592"/>
      <c r="AB51" s="591">
        <v>921660.48</v>
      </c>
      <c r="AC51" s="591"/>
      <c r="AD51" s="592"/>
      <c r="AE51" s="591">
        <v>914129.32</v>
      </c>
      <c r="AF51" s="591"/>
      <c r="AG51" s="592"/>
      <c r="AH51" s="591">
        <v>910473.28</v>
      </c>
      <c r="AI51" s="591"/>
      <c r="AJ51" s="592"/>
      <c r="AK51" s="591">
        <v>906817.18</v>
      </c>
      <c r="AL51" s="591"/>
      <c r="AM51" s="592"/>
      <c r="AN51" s="591">
        <v>903161.07</v>
      </c>
      <c r="AO51" s="591"/>
      <c r="AP51" s="592"/>
      <c r="AQ51" s="591">
        <v>897032.55</v>
      </c>
      <c r="AR51" s="591"/>
      <c r="AS51" s="592"/>
      <c r="AT51" s="591">
        <v>895436.16</v>
      </c>
      <c r="AU51" s="591"/>
      <c r="AV51" s="592"/>
      <c r="AW51" s="593">
        <f t="shared" si="8"/>
        <v>918726.72083333333</v>
      </c>
      <c r="AX51" s="584"/>
      <c r="AY51" s="584"/>
    </row>
    <row r="52" spans="1:51" s="26" customFormat="1">
      <c r="A52" s="204">
        <v>44</v>
      </c>
      <c r="B52" s="26" t="s">
        <v>1657</v>
      </c>
      <c r="C52" s="584" t="s">
        <v>790</v>
      </c>
      <c r="E52" s="584"/>
      <c r="F52" s="584" t="s">
        <v>659</v>
      </c>
      <c r="G52" s="584" t="s">
        <v>1096</v>
      </c>
      <c r="H52" s="584"/>
      <c r="I52" s="584"/>
      <c r="J52" s="590">
        <v>-849262.69</v>
      </c>
      <c r="K52" s="591"/>
      <c r="L52" s="592"/>
      <c r="M52" s="591">
        <v>-845073.75</v>
      </c>
      <c r="N52" s="591"/>
      <c r="O52" s="592"/>
      <c r="P52" s="591">
        <v>-840913.86</v>
      </c>
      <c r="Q52" s="591"/>
      <c r="R52" s="592"/>
      <c r="S52" s="591">
        <v>-836804.57</v>
      </c>
      <c r="T52" s="591"/>
      <c r="U52" s="592"/>
      <c r="V52" s="591">
        <v>-832371.81</v>
      </c>
      <c r="W52" s="591"/>
      <c r="X52" s="592"/>
      <c r="Y52" s="591">
        <v>-827941.05</v>
      </c>
      <c r="Z52" s="591"/>
      <c r="AA52" s="592"/>
      <c r="AB52" s="591">
        <v>-823510.95</v>
      </c>
      <c r="AC52" s="591"/>
      <c r="AD52" s="592"/>
      <c r="AE52" s="591">
        <v>-825543.72</v>
      </c>
      <c r="AF52" s="591"/>
      <c r="AG52" s="592"/>
      <c r="AH52" s="591">
        <v>-822031.55</v>
      </c>
      <c r="AI52" s="591"/>
      <c r="AJ52" s="592"/>
      <c r="AK52" s="591">
        <v>-818519.6</v>
      </c>
      <c r="AL52" s="591"/>
      <c r="AM52" s="592"/>
      <c r="AN52" s="591">
        <v>-815007.66</v>
      </c>
      <c r="AO52" s="591"/>
      <c r="AP52" s="592"/>
      <c r="AQ52" s="591">
        <v>-810817.82</v>
      </c>
      <c r="AR52" s="591"/>
      <c r="AS52" s="592"/>
      <c r="AT52" s="591">
        <v>-798533.89</v>
      </c>
      <c r="AU52" s="591"/>
      <c r="AV52" s="592"/>
      <c r="AW52" s="593">
        <f t="shared" si="8"/>
        <v>-826869.55249999987</v>
      </c>
      <c r="AX52" s="584"/>
      <c r="AY52" s="584"/>
    </row>
    <row r="53" spans="1:51" s="26" customFormat="1">
      <c r="A53" s="204">
        <v>45</v>
      </c>
      <c r="B53" s="26" t="s">
        <v>1658</v>
      </c>
      <c r="C53" s="584" t="s">
        <v>790</v>
      </c>
      <c r="E53" s="584"/>
      <c r="F53" s="584" t="s">
        <v>659</v>
      </c>
      <c r="G53" s="584" t="s">
        <v>1666</v>
      </c>
      <c r="H53" s="584"/>
      <c r="I53" s="584"/>
      <c r="J53" s="590">
        <v>0</v>
      </c>
      <c r="K53" s="591"/>
      <c r="L53" s="592"/>
      <c r="M53" s="591">
        <v>0</v>
      </c>
      <c r="N53" s="591"/>
      <c r="O53" s="592"/>
      <c r="P53" s="591">
        <v>0</v>
      </c>
      <c r="Q53" s="591"/>
      <c r="R53" s="592"/>
      <c r="S53" s="591">
        <v>0</v>
      </c>
      <c r="T53" s="591"/>
      <c r="U53" s="592"/>
      <c r="V53" s="591">
        <v>0</v>
      </c>
      <c r="W53" s="591"/>
      <c r="X53" s="592"/>
      <c r="Y53" s="591">
        <v>0</v>
      </c>
      <c r="Z53" s="591"/>
      <c r="AA53" s="592"/>
      <c r="AB53" s="591">
        <v>0</v>
      </c>
      <c r="AC53" s="591"/>
      <c r="AD53" s="592"/>
      <c r="AE53" s="591">
        <v>0</v>
      </c>
      <c r="AF53" s="591"/>
      <c r="AG53" s="592"/>
      <c r="AH53" s="591">
        <v>0</v>
      </c>
      <c r="AI53" s="591"/>
      <c r="AJ53" s="592"/>
      <c r="AK53" s="591">
        <v>0</v>
      </c>
      <c r="AL53" s="591"/>
      <c r="AM53" s="592"/>
      <c r="AN53" s="591">
        <v>0</v>
      </c>
      <c r="AO53" s="591"/>
      <c r="AP53" s="592"/>
      <c r="AQ53" s="591">
        <v>0</v>
      </c>
      <c r="AR53" s="591"/>
      <c r="AS53" s="592"/>
      <c r="AT53" s="591">
        <v>0</v>
      </c>
      <c r="AU53" s="591"/>
      <c r="AV53" s="592"/>
      <c r="AW53" s="593">
        <f t="shared" si="8"/>
        <v>0</v>
      </c>
      <c r="AX53" s="584"/>
      <c r="AY53" s="584"/>
    </row>
    <row r="54" spans="1:51" s="26" customFormat="1">
      <c r="A54" s="204">
        <v>46</v>
      </c>
      <c r="B54" s="26" t="s">
        <v>1659</v>
      </c>
      <c r="C54" s="584" t="s">
        <v>790</v>
      </c>
      <c r="E54" s="584"/>
      <c r="F54" s="584" t="s">
        <v>659</v>
      </c>
      <c r="G54" s="584" t="s">
        <v>1097</v>
      </c>
      <c r="H54" s="584"/>
      <c r="I54" s="584"/>
      <c r="J54" s="590">
        <v>503976.85</v>
      </c>
      <c r="K54" s="591"/>
      <c r="L54" s="592"/>
      <c r="M54" s="591">
        <v>503976.85</v>
      </c>
      <c r="N54" s="591"/>
      <c r="O54" s="592"/>
      <c r="P54" s="591">
        <v>503976.85</v>
      </c>
      <c r="Q54" s="591"/>
      <c r="R54" s="592"/>
      <c r="S54" s="591">
        <v>511403.25</v>
      </c>
      <c r="T54" s="591"/>
      <c r="U54" s="592"/>
      <c r="V54" s="591">
        <v>513627.95</v>
      </c>
      <c r="W54" s="591"/>
      <c r="X54" s="592"/>
      <c r="Y54" s="591">
        <v>510920.59</v>
      </c>
      <c r="Z54" s="591"/>
      <c r="AA54" s="592"/>
      <c r="AB54" s="591">
        <v>510499.49</v>
      </c>
      <c r="AC54" s="591"/>
      <c r="AD54" s="592"/>
      <c r="AE54" s="591">
        <v>511640.88</v>
      </c>
      <c r="AF54" s="591"/>
      <c r="AG54" s="592"/>
      <c r="AH54" s="591">
        <v>522193.7</v>
      </c>
      <c r="AI54" s="591"/>
      <c r="AJ54" s="592"/>
      <c r="AK54" s="591">
        <v>503022.42</v>
      </c>
      <c r="AL54" s="591"/>
      <c r="AM54" s="592"/>
      <c r="AN54" s="591">
        <v>504355.22</v>
      </c>
      <c r="AO54" s="591"/>
      <c r="AP54" s="592"/>
      <c r="AQ54" s="591">
        <v>521350.27</v>
      </c>
      <c r="AR54" s="591"/>
      <c r="AS54" s="592"/>
      <c r="AT54" s="591">
        <v>492728.47</v>
      </c>
      <c r="AU54" s="591"/>
      <c r="AV54" s="592"/>
      <c r="AW54" s="593">
        <f t="shared" si="8"/>
        <v>509610.01083333325</v>
      </c>
      <c r="AX54" s="584"/>
      <c r="AY54" s="584"/>
    </row>
    <row r="55" spans="1:51" s="26" customFormat="1">
      <c r="A55" s="204">
        <v>47</v>
      </c>
      <c r="B55" s="26" t="s">
        <v>1660</v>
      </c>
      <c r="C55" s="584" t="s">
        <v>790</v>
      </c>
      <c r="E55" s="584"/>
      <c r="F55" s="584" t="s">
        <v>659</v>
      </c>
      <c r="G55" s="584" t="s">
        <v>200</v>
      </c>
      <c r="H55" s="584"/>
      <c r="I55" s="584"/>
      <c r="J55" s="590">
        <v>0</v>
      </c>
      <c r="K55" s="591"/>
      <c r="L55" s="592"/>
      <c r="M55" s="591">
        <v>0</v>
      </c>
      <c r="N55" s="591"/>
      <c r="O55" s="592"/>
      <c r="P55" s="591">
        <v>0</v>
      </c>
      <c r="Q55" s="591"/>
      <c r="R55" s="592"/>
      <c r="S55" s="591">
        <v>0</v>
      </c>
      <c r="T55" s="591"/>
      <c r="U55" s="592"/>
      <c r="V55" s="591">
        <v>0</v>
      </c>
      <c r="W55" s="591"/>
      <c r="X55" s="592"/>
      <c r="Y55" s="591">
        <v>0</v>
      </c>
      <c r="Z55" s="591"/>
      <c r="AA55" s="592"/>
      <c r="AB55" s="591">
        <v>0</v>
      </c>
      <c r="AC55" s="591"/>
      <c r="AD55" s="592"/>
      <c r="AE55" s="591">
        <v>0</v>
      </c>
      <c r="AF55" s="591"/>
      <c r="AG55" s="592"/>
      <c r="AH55" s="591">
        <v>0</v>
      </c>
      <c r="AI55" s="591"/>
      <c r="AJ55" s="592"/>
      <c r="AK55" s="591">
        <v>0</v>
      </c>
      <c r="AL55" s="591"/>
      <c r="AM55" s="592"/>
      <c r="AN55" s="591">
        <v>0</v>
      </c>
      <c r="AO55" s="591"/>
      <c r="AP55" s="592"/>
      <c r="AQ55" s="591">
        <v>0</v>
      </c>
      <c r="AR55" s="591"/>
      <c r="AS55" s="592"/>
      <c r="AT55" s="591">
        <v>0</v>
      </c>
      <c r="AU55" s="591"/>
      <c r="AV55" s="592"/>
      <c r="AW55" s="593">
        <f t="shared" si="8"/>
        <v>0</v>
      </c>
      <c r="AX55" s="584"/>
      <c r="AY55" s="584"/>
    </row>
    <row r="56" spans="1:51" s="26" customFormat="1">
      <c r="A56" s="204">
        <v>48</v>
      </c>
      <c r="B56" s="26" t="s">
        <v>1661</v>
      </c>
      <c r="C56" s="584" t="s">
        <v>790</v>
      </c>
      <c r="E56" s="584"/>
      <c r="F56" s="584" t="s">
        <v>659</v>
      </c>
      <c r="G56" s="584" t="s">
        <v>1098</v>
      </c>
      <c r="H56" s="584"/>
      <c r="I56" s="584"/>
      <c r="J56" s="590">
        <v>10739349.869999999</v>
      </c>
      <c r="K56" s="591"/>
      <c r="L56" s="592"/>
      <c r="M56" s="591">
        <v>10704140.869999999</v>
      </c>
      <c r="N56" s="591"/>
      <c r="O56" s="592"/>
      <c r="P56" s="591">
        <v>10668835.9</v>
      </c>
      <c r="Q56" s="591"/>
      <c r="R56" s="592"/>
      <c r="S56" s="591">
        <v>10633363.82</v>
      </c>
      <c r="T56" s="591"/>
      <c r="U56" s="592"/>
      <c r="V56" s="591">
        <v>10598960.15</v>
      </c>
      <c r="W56" s="591"/>
      <c r="X56" s="592"/>
      <c r="Y56" s="591">
        <v>10564549.82</v>
      </c>
      <c r="Z56" s="591"/>
      <c r="AA56" s="592"/>
      <c r="AB56" s="591">
        <v>10530137.380000001</v>
      </c>
      <c r="AC56" s="591"/>
      <c r="AD56" s="592"/>
      <c r="AE56" s="591">
        <v>10444092.59</v>
      </c>
      <c r="AF56" s="591"/>
      <c r="AG56" s="592"/>
      <c r="AH56" s="591">
        <v>10402321.68</v>
      </c>
      <c r="AI56" s="591"/>
      <c r="AJ56" s="592"/>
      <c r="AK56" s="591">
        <v>10360550.029999999</v>
      </c>
      <c r="AL56" s="591"/>
      <c r="AM56" s="592"/>
      <c r="AN56" s="591">
        <v>10318778.42</v>
      </c>
      <c r="AO56" s="591"/>
      <c r="AP56" s="592"/>
      <c r="AQ56" s="591">
        <v>10248758.779999999</v>
      </c>
      <c r="AR56" s="591"/>
      <c r="AS56" s="592"/>
      <c r="AT56" s="591">
        <v>10230519.77</v>
      </c>
      <c r="AU56" s="591"/>
      <c r="AV56" s="592"/>
      <c r="AW56" s="593">
        <f t="shared" si="8"/>
        <v>10496618.688333334</v>
      </c>
      <c r="AX56" s="584"/>
      <c r="AY56" s="584"/>
    </row>
    <row r="57" spans="1:51" s="26" customFormat="1">
      <c r="A57" s="204">
        <v>49</v>
      </c>
      <c r="B57" s="26" t="s">
        <v>1662</v>
      </c>
      <c r="C57" s="584" t="s">
        <v>790</v>
      </c>
      <c r="E57" s="584"/>
      <c r="F57" s="584" t="s">
        <v>659</v>
      </c>
      <c r="G57" s="584" t="s">
        <v>1099</v>
      </c>
      <c r="H57" s="584"/>
      <c r="I57" s="584"/>
      <c r="J57" s="590">
        <v>41264063.450000003</v>
      </c>
      <c r="K57" s="591"/>
      <c r="L57" s="592"/>
      <c r="M57" s="591">
        <v>41127242.270000003</v>
      </c>
      <c r="N57" s="591"/>
      <c r="O57" s="592"/>
      <c r="P57" s="591">
        <v>40990089.109999999</v>
      </c>
      <c r="Q57" s="591"/>
      <c r="R57" s="592"/>
      <c r="S57" s="591">
        <v>40852357.780000001</v>
      </c>
      <c r="T57" s="591"/>
      <c r="U57" s="592"/>
      <c r="V57" s="591">
        <v>40718322.310000002</v>
      </c>
      <c r="W57" s="591"/>
      <c r="X57" s="592"/>
      <c r="Y57" s="591">
        <v>40584263.780000001</v>
      </c>
      <c r="Z57" s="591"/>
      <c r="AA57" s="592"/>
      <c r="AB57" s="591">
        <v>40450197.969999999</v>
      </c>
      <c r="AC57" s="591"/>
      <c r="AD57" s="592"/>
      <c r="AE57" s="591">
        <v>40128359.039999999</v>
      </c>
      <c r="AF57" s="591"/>
      <c r="AG57" s="592"/>
      <c r="AH57" s="591">
        <v>39967529.289999999</v>
      </c>
      <c r="AI57" s="591"/>
      <c r="AJ57" s="592"/>
      <c r="AK57" s="591">
        <v>39806697.079999998</v>
      </c>
      <c r="AL57" s="591"/>
      <c r="AM57" s="592"/>
      <c r="AN57" s="591">
        <v>39645864.850000001</v>
      </c>
      <c r="AO57" s="591"/>
      <c r="AP57" s="592"/>
      <c r="AQ57" s="591">
        <v>39378116.229999997</v>
      </c>
      <c r="AR57" s="591"/>
      <c r="AS57" s="592"/>
      <c r="AT57" s="591">
        <v>39297042.920000002</v>
      </c>
      <c r="AU57" s="591"/>
      <c r="AV57" s="592"/>
      <c r="AW57" s="593">
        <f t="shared" si="8"/>
        <v>40327466.074583337</v>
      </c>
      <c r="AX57" s="584"/>
      <c r="AY57" s="584"/>
    </row>
    <row r="58" spans="1:51" s="26" customFormat="1">
      <c r="A58" s="204">
        <v>50</v>
      </c>
      <c r="B58" s="26" t="s">
        <v>1663</v>
      </c>
      <c r="C58" s="584" t="s">
        <v>790</v>
      </c>
      <c r="E58" s="584"/>
      <c r="F58" s="584" t="s">
        <v>659</v>
      </c>
      <c r="G58" s="584" t="s">
        <v>1667</v>
      </c>
      <c r="H58" s="584"/>
      <c r="I58" s="584"/>
      <c r="J58" s="590">
        <v>0</v>
      </c>
      <c r="K58" s="591"/>
      <c r="L58" s="592"/>
      <c r="M58" s="591">
        <v>0</v>
      </c>
      <c r="N58" s="591"/>
      <c r="O58" s="592"/>
      <c r="P58" s="591">
        <v>0</v>
      </c>
      <c r="Q58" s="591"/>
      <c r="R58" s="592"/>
      <c r="S58" s="591">
        <v>0</v>
      </c>
      <c r="T58" s="591"/>
      <c r="U58" s="592"/>
      <c r="V58" s="591">
        <v>0</v>
      </c>
      <c r="W58" s="591"/>
      <c r="X58" s="592"/>
      <c r="Y58" s="591">
        <v>0</v>
      </c>
      <c r="Z58" s="591"/>
      <c r="AA58" s="592"/>
      <c r="AB58" s="591">
        <v>0</v>
      </c>
      <c r="AC58" s="591"/>
      <c r="AD58" s="592"/>
      <c r="AE58" s="591">
        <v>0</v>
      </c>
      <c r="AF58" s="591"/>
      <c r="AG58" s="592"/>
      <c r="AH58" s="591">
        <v>0</v>
      </c>
      <c r="AI58" s="591"/>
      <c r="AJ58" s="592"/>
      <c r="AK58" s="591">
        <v>0</v>
      </c>
      <c r="AL58" s="591"/>
      <c r="AM58" s="592"/>
      <c r="AN58" s="591">
        <v>0</v>
      </c>
      <c r="AO58" s="591"/>
      <c r="AP58" s="592"/>
      <c r="AQ58" s="591">
        <v>0</v>
      </c>
      <c r="AR58" s="591"/>
      <c r="AS58" s="592"/>
      <c r="AT58" s="591">
        <v>0</v>
      </c>
      <c r="AU58" s="591"/>
      <c r="AV58" s="592"/>
      <c r="AW58" s="593">
        <f t="shared" si="8"/>
        <v>0</v>
      </c>
      <c r="AX58" s="584"/>
      <c r="AY58" s="584"/>
    </row>
    <row r="59" spans="1:51" s="26" customFormat="1">
      <c r="A59" s="204">
        <v>51</v>
      </c>
      <c r="B59" s="26" t="s">
        <v>1664</v>
      </c>
      <c r="C59" s="584" t="s">
        <v>790</v>
      </c>
      <c r="E59" s="584"/>
      <c r="F59" s="584" t="s">
        <v>659</v>
      </c>
      <c r="G59" s="584" t="s">
        <v>1100</v>
      </c>
      <c r="H59" s="584"/>
      <c r="I59" s="584"/>
      <c r="J59" s="590">
        <v>-140309.65</v>
      </c>
      <c r="K59" s="591"/>
      <c r="L59" s="592"/>
      <c r="M59" s="591">
        <v>-140309.65</v>
      </c>
      <c r="N59" s="591"/>
      <c r="O59" s="592"/>
      <c r="P59" s="591">
        <v>-140309.65</v>
      </c>
      <c r="Q59" s="591"/>
      <c r="R59" s="592"/>
      <c r="S59" s="591">
        <v>-118468.96</v>
      </c>
      <c r="T59" s="591"/>
      <c r="U59" s="592"/>
      <c r="V59" s="591">
        <v>-93051.35</v>
      </c>
      <c r="W59" s="591"/>
      <c r="X59" s="592"/>
      <c r="Y59" s="591">
        <v>-123983.44</v>
      </c>
      <c r="Z59" s="591"/>
      <c r="AA59" s="592"/>
      <c r="AB59" s="591">
        <v>-128794.44</v>
      </c>
      <c r="AC59" s="591"/>
      <c r="AD59" s="592"/>
      <c r="AE59" s="591">
        <v>-115754.06</v>
      </c>
      <c r="AF59" s="591"/>
      <c r="AG59" s="592"/>
      <c r="AH59" s="591">
        <v>4813.8100000000104</v>
      </c>
      <c r="AI59" s="591"/>
      <c r="AJ59" s="592"/>
      <c r="AK59" s="591">
        <v>-214221.45</v>
      </c>
      <c r="AL59" s="591"/>
      <c r="AM59" s="592"/>
      <c r="AN59" s="591">
        <v>-198993.98</v>
      </c>
      <c r="AO59" s="591"/>
      <c r="AP59" s="592"/>
      <c r="AQ59" s="591">
        <v>130178.89</v>
      </c>
      <c r="AR59" s="591"/>
      <c r="AS59" s="592"/>
      <c r="AT59" s="591">
        <v>347877.73</v>
      </c>
      <c r="AU59" s="591"/>
      <c r="AV59" s="592"/>
      <c r="AW59" s="593">
        <f t="shared" si="8"/>
        <v>-86259.186666666661</v>
      </c>
      <c r="AX59" s="584"/>
      <c r="AY59" s="584"/>
    </row>
    <row r="60" spans="1:51" s="26" customFormat="1">
      <c r="A60" s="204">
        <v>52</v>
      </c>
      <c r="B60" s="26" t="s">
        <v>1665</v>
      </c>
      <c r="C60" s="584" t="s">
        <v>790</v>
      </c>
      <c r="E60" s="584"/>
      <c r="F60" s="584" t="s">
        <v>659</v>
      </c>
      <c r="G60" s="584" t="s">
        <v>1254</v>
      </c>
      <c r="H60" s="584"/>
      <c r="I60" s="584"/>
      <c r="J60" s="594">
        <v>0</v>
      </c>
      <c r="K60" s="591"/>
      <c r="L60" s="592"/>
      <c r="M60" s="590">
        <v>0</v>
      </c>
      <c r="N60" s="591"/>
      <c r="O60" s="592"/>
      <c r="P60" s="594">
        <v>0</v>
      </c>
      <c r="Q60" s="591"/>
      <c r="R60" s="592"/>
      <c r="S60" s="594">
        <v>0</v>
      </c>
      <c r="T60" s="591"/>
      <c r="U60" s="592"/>
      <c r="V60" s="594">
        <v>0</v>
      </c>
      <c r="W60" s="591"/>
      <c r="X60" s="592"/>
      <c r="Y60" s="594">
        <v>0</v>
      </c>
      <c r="Z60" s="591"/>
      <c r="AA60" s="592"/>
      <c r="AB60" s="594">
        <v>0</v>
      </c>
      <c r="AC60" s="591"/>
      <c r="AD60" s="592"/>
      <c r="AE60" s="594">
        <v>0</v>
      </c>
      <c r="AF60" s="591"/>
      <c r="AG60" s="592"/>
      <c r="AH60" s="594">
        <v>0</v>
      </c>
      <c r="AI60" s="591"/>
      <c r="AJ60" s="592"/>
      <c r="AK60" s="594">
        <v>0</v>
      </c>
      <c r="AL60" s="591"/>
      <c r="AM60" s="592"/>
      <c r="AN60" s="594">
        <v>0</v>
      </c>
      <c r="AO60" s="591"/>
      <c r="AP60" s="592"/>
      <c r="AQ60" s="594">
        <v>0</v>
      </c>
      <c r="AR60" s="591"/>
      <c r="AS60" s="592"/>
      <c r="AT60" s="594">
        <v>0</v>
      </c>
      <c r="AU60" s="591"/>
      <c r="AV60" s="592"/>
      <c r="AW60" s="596">
        <f t="shared" si="8"/>
        <v>0</v>
      </c>
      <c r="AX60" s="584"/>
      <c r="AY60" s="584"/>
    </row>
    <row r="61" spans="1:51" s="26" customFormat="1">
      <c r="A61" s="204">
        <v>53</v>
      </c>
      <c r="C61" s="584"/>
      <c r="E61" s="584"/>
      <c r="F61" s="584"/>
      <c r="G61" s="584"/>
      <c r="H61" s="584"/>
      <c r="I61" s="584"/>
      <c r="J61" s="590">
        <f t="shared" ref="J61:AQ61" si="10">SUM(J51:J60)</f>
        <v>52457789.830000006</v>
      </c>
      <c r="K61" s="591"/>
      <c r="L61" s="591"/>
      <c r="M61" s="597">
        <f t="shared" si="10"/>
        <v>52286866.890000008</v>
      </c>
      <c r="N61" s="591"/>
      <c r="O61" s="591"/>
      <c r="P61" s="591">
        <f t="shared" si="10"/>
        <v>52115478.560000002</v>
      </c>
      <c r="Q61" s="591"/>
      <c r="R61" s="591"/>
      <c r="S61" s="591">
        <f t="shared" si="10"/>
        <v>51972546.780000001</v>
      </c>
      <c r="T61" s="591"/>
      <c r="U61" s="591"/>
      <c r="V61" s="591">
        <f t="shared" si="10"/>
        <v>51833171.520000003</v>
      </c>
      <c r="W61" s="591"/>
      <c r="X61" s="591"/>
      <c r="Y61" s="591">
        <f t="shared" si="10"/>
        <v>51632482.150000006</v>
      </c>
      <c r="Z61" s="591"/>
      <c r="AA61" s="591"/>
      <c r="AB61" s="591">
        <f t="shared" si="10"/>
        <v>51460189.93</v>
      </c>
      <c r="AC61" s="591"/>
      <c r="AD61" s="591"/>
      <c r="AE61" s="591">
        <f t="shared" si="10"/>
        <v>51056924.049999997</v>
      </c>
      <c r="AF61" s="591"/>
      <c r="AG61" s="591"/>
      <c r="AH61" s="591">
        <f t="shared" si="10"/>
        <v>50985300.210000001</v>
      </c>
      <c r="AI61" s="591"/>
      <c r="AJ61" s="591"/>
      <c r="AK61" s="591">
        <f t="shared" si="10"/>
        <v>50544345.659999996</v>
      </c>
      <c r="AL61" s="591"/>
      <c r="AM61" s="591"/>
      <c r="AN61" s="591">
        <f t="shared" si="10"/>
        <v>50358157.920000009</v>
      </c>
      <c r="AO61" s="591"/>
      <c r="AP61" s="591"/>
      <c r="AQ61" s="591">
        <f t="shared" si="10"/>
        <v>50364618.899999999</v>
      </c>
      <c r="AR61" s="591"/>
      <c r="AS61" s="591"/>
      <c r="AT61" s="591">
        <f>SUM(AT51:AT60)</f>
        <v>50465071.159999996</v>
      </c>
      <c r="AU61" s="591"/>
      <c r="AV61" s="591"/>
      <c r="AW61" s="593">
        <f>SUM(AW51:AW60)</f>
        <v>51339292.755416669</v>
      </c>
      <c r="AX61" s="584"/>
      <c r="AY61" s="584"/>
    </row>
    <row r="62" spans="1:51" s="26" customFormat="1">
      <c r="A62" s="204">
        <v>54</v>
      </c>
      <c r="C62" s="584"/>
      <c r="E62" s="584"/>
      <c r="F62" s="584"/>
      <c r="G62" s="584"/>
      <c r="H62" s="584"/>
      <c r="I62" s="584"/>
      <c r="J62" s="590"/>
      <c r="K62" s="591"/>
      <c r="L62" s="592"/>
      <c r="M62" s="591"/>
      <c r="N62" s="591"/>
      <c r="O62" s="592"/>
      <c r="P62" s="591"/>
      <c r="Q62" s="591"/>
      <c r="R62" s="592"/>
      <c r="S62" s="591"/>
      <c r="T62" s="591"/>
      <c r="U62" s="592"/>
      <c r="V62" s="591"/>
      <c r="W62" s="591"/>
      <c r="X62" s="592"/>
      <c r="Y62" s="591"/>
      <c r="Z62" s="591"/>
      <c r="AA62" s="592"/>
      <c r="AB62" s="591"/>
      <c r="AC62" s="591"/>
      <c r="AD62" s="592"/>
      <c r="AE62" s="591"/>
      <c r="AF62" s="591"/>
      <c r="AG62" s="592"/>
      <c r="AH62" s="591"/>
      <c r="AI62" s="591"/>
      <c r="AJ62" s="592"/>
      <c r="AK62" s="591"/>
      <c r="AL62" s="591"/>
      <c r="AM62" s="592"/>
      <c r="AN62" s="591"/>
      <c r="AO62" s="591"/>
      <c r="AP62" s="592"/>
      <c r="AQ62" s="591"/>
      <c r="AR62" s="591"/>
      <c r="AS62" s="592"/>
      <c r="AT62" s="591"/>
      <c r="AU62" s="591"/>
      <c r="AV62" s="592"/>
      <c r="AW62" s="593"/>
      <c r="AX62" s="584"/>
      <c r="AY62" s="584"/>
    </row>
    <row r="63" spans="1:51" s="26" customFormat="1">
      <c r="A63" s="204">
        <v>55</v>
      </c>
      <c r="B63" s="26" t="s">
        <v>1656</v>
      </c>
      <c r="C63" s="584" t="s">
        <v>790</v>
      </c>
      <c r="E63" s="584"/>
      <c r="F63" s="584" t="s">
        <v>660</v>
      </c>
      <c r="G63" s="584" t="s">
        <v>1095</v>
      </c>
      <c r="H63" s="584"/>
      <c r="I63" s="591"/>
      <c r="J63" s="590">
        <v>189266.26</v>
      </c>
      <c r="K63" s="591"/>
      <c r="L63" s="592"/>
      <c r="M63" s="591">
        <v>187689.04</v>
      </c>
      <c r="N63" s="591"/>
      <c r="O63" s="592"/>
      <c r="P63" s="591">
        <v>186111.82</v>
      </c>
      <c r="Q63" s="591"/>
      <c r="R63" s="592"/>
      <c r="S63" s="591">
        <v>184534.6</v>
      </c>
      <c r="T63" s="591"/>
      <c r="U63" s="592"/>
      <c r="V63" s="591">
        <v>182957.38</v>
      </c>
      <c r="W63" s="591"/>
      <c r="X63" s="592"/>
      <c r="Y63" s="591">
        <v>181380.15</v>
      </c>
      <c r="Z63" s="591"/>
      <c r="AA63" s="592"/>
      <c r="AB63" s="591">
        <v>179802.94</v>
      </c>
      <c r="AC63" s="591"/>
      <c r="AD63" s="592"/>
      <c r="AE63" s="591">
        <v>178225.72</v>
      </c>
      <c r="AF63" s="591"/>
      <c r="AG63" s="592"/>
      <c r="AH63" s="591">
        <v>176648.51</v>
      </c>
      <c r="AI63" s="591"/>
      <c r="AJ63" s="592"/>
      <c r="AK63" s="591">
        <v>175071.29</v>
      </c>
      <c r="AL63" s="591"/>
      <c r="AM63" s="592"/>
      <c r="AN63" s="591">
        <v>173494.07</v>
      </c>
      <c r="AO63" s="591"/>
      <c r="AP63" s="592"/>
      <c r="AQ63" s="591">
        <v>172140.66</v>
      </c>
      <c r="AR63" s="591"/>
      <c r="AS63" s="592"/>
      <c r="AT63" s="591">
        <v>167522.1</v>
      </c>
      <c r="AU63" s="591"/>
      <c r="AV63" s="592"/>
      <c r="AW63" s="593">
        <f t="shared" si="8"/>
        <v>179704.19666666666</v>
      </c>
      <c r="AX63" s="584"/>
      <c r="AY63" s="584"/>
    </row>
    <row r="64" spans="1:51" s="26" customFormat="1">
      <c r="A64" s="204">
        <v>56</v>
      </c>
      <c r="B64" s="26" t="s">
        <v>1657</v>
      </c>
      <c r="C64" s="584" t="s">
        <v>790</v>
      </c>
      <c r="E64" s="584"/>
      <c r="F64" s="584" t="s">
        <v>660</v>
      </c>
      <c r="G64" s="584" t="s">
        <v>1096</v>
      </c>
      <c r="H64" s="584"/>
      <c r="I64" s="591"/>
      <c r="J64" s="590">
        <v>-118133.35</v>
      </c>
      <c r="K64" s="591"/>
      <c r="L64" s="592"/>
      <c r="M64" s="591">
        <v>-117148.9</v>
      </c>
      <c r="N64" s="591"/>
      <c r="O64" s="592"/>
      <c r="P64" s="591">
        <v>-116164.48</v>
      </c>
      <c r="Q64" s="591"/>
      <c r="R64" s="592"/>
      <c r="S64" s="591">
        <v>-115179.99</v>
      </c>
      <c r="T64" s="591"/>
      <c r="U64" s="592"/>
      <c r="V64" s="591">
        <v>-114195.55</v>
      </c>
      <c r="W64" s="591"/>
      <c r="X64" s="592"/>
      <c r="Y64" s="591">
        <v>-113211.11</v>
      </c>
      <c r="Z64" s="591"/>
      <c r="AA64" s="592"/>
      <c r="AB64" s="591">
        <v>-112226.67</v>
      </c>
      <c r="AC64" s="591"/>
      <c r="AD64" s="592"/>
      <c r="AE64" s="591">
        <v>-111242.23</v>
      </c>
      <c r="AF64" s="591"/>
      <c r="AG64" s="592"/>
      <c r="AH64" s="591">
        <v>-110257.76</v>
      </c>
      <c r="AI64" s="591"/>
      <c r="AJ64" s="592"/>
      <c r="AK64" s="591">
        <v>-109273.33</v>
      </c>
      <c r="AL64" s="591"/>
      <c r="AM64" s="592"/>
      <c r="AN64" s="591">
        <v>-108288.89</v>
      </c>
      <c r="AO64" s="591"/>
      <c r="AP64" s="592"/>
      <c r="AQ64" s="591">
        <v>-107304.4</v>
      </c>
      <c r="AR64" s="591"/>
      <c r="AS64" s="592"/>
      <c r="AT64" s="591">
        <v>-94506.66</v>
      </c>
      <c r="AU64" s="591"/>
      <c r="AV64" s="592"/>
      <c r="AW64" s="593">
        <f t="shared" si="8"/>
        <v>-111734.44291666667</v>
      </c>
      <c r="AX64" s="584"/>
      <c r="AY64" s="584"/>
    </row>
    <row r="65" spans="1:51" s="26" customFormat="1">
      <c r="A65" s="204">
        <v>57</v>
      </c>
      <c r="B65" s="26" t="s">
        <v>1658</v>
      </c>
      <c r="C65" s="584" t="s">
        <v>790</v>
      </c>
      <c r="E65" s="584"/>
      <c r="F65" s="584" t="s">
        <v>660</v>
      </c>
      <c r="G65" s="584" t="s">
        <v>1666</v>
      </c>
      <c r="H65" s="584"/>
      <c r="I65" s="591"/>
      <c r="J65" s="590">
        <v>-42129.37</v>
      </c>
      <c r="K65" s="591"/>
      <c r="L65" s="592"/>
      <c r="M65" s="591">
        <v>-42129.37</v>
      </c>
      <c r="N65" s="591"/>
      <c r="O65" s="592"/>
      <c r="P65" s="591">
        <v>-42129.37</v>
      </c>
      <c r="Q65" s="591"/>
      <c r="R65" s="592"/>
      <c r="S65" s="591">
        <v>-42129.37</v>
      </c>
      <c r="T65" s="591"/>
      <c r="U65" s="592"/>
      <c r="V65" s="591">
        <v>-42129.37</v>
      </c>
      <c r="W65" s="591"/>
      <c r="X65" s="592"/>
      <c r="Y65" s="591">
        <v>-42129.37</v>
      </c>
      <c r="Z65" s="591"/>
      <c r="AA65" s="592"/>
      <c r="AB65" s="591">
        <v>-42129.37</v>
      </c>
      <c r="AC65" s="591"/>
      <c r="AD65" s="592"/>
      <c r="AE65" s="591">
        <v>-42129.37</v>
      </c>
      <c r="AF65" s="591"/>
      <c r="AG65" s="592"/>
      <c r="AH65" s="591">
        <v>-42129.37</v>
      </c>
      <c r="AI65" s="591"/>
      <c r="AJ65" s="592"/>
      <c r="AK65" s="591">
        <v>-42129.37</v>
      </c>
      <c r="AL65" s="591"/>
      <c r="AM65" s="592"/>
      <c r="AN65" s="591">
        <v>-42129.37</v>
      </c>
      <c r="AO65" s="591"/>
      <c r="AP65" s="592"/>
      <c r="AQ65" s="591">
        <v>-42129.37</v>
      </c>
      <c r="AR65" s="591"/>
      <c r="AS65" s="592"/>
      <c r="AT65" s="591">
        <v>-55906.400000000001</v>
      </c>
      <c r="AU65" s="591"/>
      <c r="AV65" s="592"/>
      <c r="AW65" s="593">
        <f t="shared" si="8"/>
        <v>-42703.412916666668</v>
      </c>
      <c r="AX65" s="584"/>
      <c r="AY65" s="584"/>
    </row>
    <row r="66" spans="1:51" s="26" customFormat="1">
      <c r="A66" s="204">
        <v>58</v>
      </c>
      <c r="B66" s="26" t="s">
        <v>1659</v>
      </c>
      <c r="C66" s="584" t="s">
        <v>790</v>
      </c>
      <c r="E66" s="584"/>
      <c r="F66" s="584" t="s">
        <v>660</v>
      </c>
      <c r="G66" s="584" t="s">
        <v>1097</v>
      </c>
      <c r="H66" s="584"/>
      <c r="I66" s="591"/>
      <c r="J66" s="590">
        <v>-2331587.4300000002</v>
      </c>
      <c r="K66" s="591"/>
      <c r="L66" s="592"/>
      <c r="M66" s="591">
        <v>-2260720.52</v>
      </c>
      <c r="N66" s="591"/>
      <c r="O66" s="592"/>
      <c r="P66" s="591">
        <v>-2197036.9700000002</v>
      </c>
      <c r="Q66" s="591"/>
      <c r="R66" s="592"/>
      <c r="S66" s="591">
        <v>-2145666.65</v>
      </c>
      <c r="T66" s="591"/>
      <c r="U66" s="592"/>
      <c r="V66" s="591">
        <v>-2126988.5299999998</v>
      </c>
      <c r="W66" s="591"/>
      <c r="X66" s="592"/>
      <c r="Y66" s="591">
        <v>-2117838.02</v>
      </c>
      <c r="Z66" s="591"/>
      <c r="AA66" s="592"/>
      <c r="AB66" s="591">
        <v>-2149047.1800000002</v>
      </c>
      <c r="AC66" s="591"/>
      <c r="AD66" s="592"/>
      <c r="AE66" s="591">
        <v>-2182433.81</v>
      </c>
      <c r="AF66" s="591"/>
      <c r="AG66" s="592"/>
      <c r="AH66" s="591">
        <v>-2236160.96</v>
      </c>
      <c r="AI66" s="591"/>
      <c r="AJ66" s="592"/>
      <c r="AK66" s="591">
        <v>-2272922.08</v>
      </c>
      <c r="AL66" s="591"/>
      <c r="AM66" s="592"/>
      <c r="AN66" s="591">
        <v>-2267650.4</v>
      </c>
      <c r="AO66" s="591"/>
      <c r="AP66" s="592"/>
      <c r="AQ66" s="591">
        <v>-2456207.8199999998</v>
      </c>
      <c r="AR66" s="591"/>
      <c r="AS66" s="592"/>
      <c r="AT66" s="591">
        <v>-3065780.91</v>
      </c>
      <c r="AU66" s="591"/>
      <c r="AV66" s="592"/>
      <c r="AW66" s="593">
        <f t="shared" si="8"/>
        <v>-2259279.7591666668</v>
      </c>
      <c r="AX66" s="584"/>
      <c r="AY66" s="584"/>
    </row>
    <row r="67" spans="1:51" s="26" customFormat="1">
      <c r="A67" s="204">
        <v>59</v>
      </c>
      <c r="B67" s="26" t="s">
        <v>1660</v>
      </c>
      <c r="C67" s="584" t="s">
        <v>790</v>
      </c>
      <c r="E67" s="584"/>
      <c r="F67" s="584" t="s">
        <v>660</v>
      </c>
      <c r="G67" s="584" t="s">
        <v>200</v>
      </c>
      <c r="H67" s="584"/>
      <c r="I67" s="591"/>
      <c r="J67" s="590">
        <v>0</v>
      </c>
      <c r="K67" s="591"/>
      <c r="L67" s="592"/>
      <c r="M67" s="591">
        <v>0</v>
      </c>
      <c r="N67" s="591"/>
      <c r="O67" s="592"/>
      <c r="P67" s="591">
        <v>0</v>
      </c>
      <c r="Q67" s="591"/>
      <c r="R67" s="592"/>
      <c r="S67" s="591">
        <v>0</v>
      </c>
      <c r="T67" s="591"/>
      <c r="U67" s="592"/>
      <c r="V67" s="591">
        <v>0</v>
      </c>
      <c r="W67" s="591"/>
      <c r="X67" s="592"/>
      <c r="Y67" s="591">
        <v>0</v>
      </c>
      <c r="Z67" s="591"/>
      <c r="AA67" s="592"/>
      <c r="AB67" s="591">
        <v>0</v>
      </c>
      <c r="AC67" s="591"/>
      <c r="AD67" s="592"/>
      <c r="AE67" s="591">
        <v>0</v>
      </c>
      <c r="AF67" s="591"/>
      <c r="AG67" s="592"/>
      <c r="AH67" s="591">
        <v>0</v>
      </c>
      <c r="AI67" s="591"/>
      <c r="AJ67" s="592"/>
      <c r="AK67" s="591">
        <v>0</v>
      </c>
      <c r="AL67" s="591"/>
      <c r="AM67" s="592"/>
      <c r="AN67" s="591">
        <v>0</v>
      </c>
      <c r="AO67" s="591"/>
      <c r="AP67" s="592"/>
      <c r="AQ67" s="591">
        <v>0</v>
      </c>
      <c r="AR67" s="591"/>
      <c r="AS67" s="592"/>
      <c r="AT67" s="591">
        <v>0</v>
      </c>
      <c r="AU67" s="591"/>
      <c r="AV67" s="592"/>
      <c r="AW67" s="593">
        <f t="shared" si="8"/>
        <v>0</v>
      </c>
      <c r="AX67" s="584"/>
      <c r="AY67" s="584"/>
    </row>
    <row r="68" spans="1:51" s="26" customFormat="1">
      <c r="A68" s="204">
        <v>60</v>
      </c>
      <c r="B68" s="26" t="s">
        <v>1661</v>
      </c>
      <c r="C68" s="584" t="s">
        <v>790</v>
      </c>
      <c r="E68" s="584"/>
      <c r="F68" s="584" t="s">
        <v>660</v>
      </c>
      <c r="G68" s="584" t="s">
        <v>1098</v>
      </c>
      <c r="H68" s="584"/>
      <c r="I68" s="591"/>
      <c r="J68" s="590">
        <v>2162401.16</v>
      </c>
      <c r="K68" s="591"/>
      <c r="L68" s="592"/>
      <c r="M68" s="591">
        <v>2144381.14</v>
      </c>
      <c r="N68" s="591"/>
      <c r="O68" s="591"/>
      <c r="P68" s="590">
        <v>2126361.12</v>
      </c>
      <c r="Q68" s="591"/>
      <c r="R68" s="592"/>
      <c r="S68" s="591">
        <v>2108341.12</v>
      </c>
      <c r="T68" s="591"/>
      <c r="U68" s="592"/>
      <c r="V68" s="591">
        <v>2090321.11</v>
      </c>
      <c r="W68" s="591"/>
      <c r="X68" s="592"/>
      <c r="Y68" s="591">
        <v>2072301.1</v>
      </c>
      <c r="Z68" s="591"/>
      <c r="AA68" s="592"/>
      <c r="AB68" s="591">
        <v>2054281.07</v>
      </c>
      <c r="AC68" s="591"/>
      <c r="AD68" s="592"/>
      <c r="AE68" s="591">
        <v>2036261.06</v>
      </c>
      <c r="AF68" s="591"/>
      <c r="AG68" s="592"/>
      <c r="AH68" s="591">
        <v>2018241.05</v>
      </c>
      <c r="AI68" s="591"/>
      <c r="AJ68" s="592"/>
      <c r="AK68" s="591">
        <v>2000221.05</v>
      </c>
      <c r="AL68" s="591"/>
      <c r="AM68" s="592"/>
      <c r="AN68" s="591">
        <v>1982201.05</v>
      </c>
      <c r="AO68" s="591"/>
      <c r="AP68" s="592"/>
      <c r="AQ68" s="591">
        <v>1966738.21</v>
      </c>
      <c r="AR68" s="591"/>
      <c r="AS68" s="591"/>
      <c r="AT68" s="590">
        <v>1913970.3</v>
      </c>
      <c r="AU68" s="591"/>
      <c r="AV68" s="592"/>
      <c r="AW68" s="593">
        <f t="shared" si="8"/>
        <v>2053152.9008333336</v>
      </c>
      <c r="AX68" s="584"/>
      <c r="AY68" s="584"/>
    </row>
    <row r="69" spans="1:51" s="26" customFormat="1">
      <c r="A69" s="204">
        <v>61</v>
      </c>
      <c r="B69" s="26" t="s">
        <v>1662</v>
      </c>
      <c r="C69" s="584" t="s">
        <v>790</v>
      </c>
      <c r="E69" s="584"/>
      <c r="F69" s="584" t="s">
        <v>660</v>
      </c>
      <c r="G69" s="584" t="s">
        <v>1099</v>
      </c>
      <c r="H69" s="584"/>
      <c r="I69" s="591"/>
      <c r="J69" s="590">
        <v>8252880.6200000001</v>
      </c>
      <c r="K69" s="591"/>
      <c r="L69" s="592"/>
      <c r="M69" s="591">
        <v>8184106.5700000003</v>
      </c>
      <c r="N69" s="591"/>
      <c r="O69" s="591"/>
      <c r="P69" s="590">
        <v>8115332.5499999998</v>
      </c>
      <c r="Q69" s="591"/>
      <c r="R69" s="592"/>
      <c r="S69" s="591">
        <v>8046558.5999999996</v>
      </c>
      <c r="T69" s="591"/>
      <c r="U69" s="592"/>
      <c r="V69" s="591">
        <v>7977784.54</v>
      </c>
      <c r="W69" s="591"/>
      <c r="X69" s="592"/>
      <c r="Y69" s="591">
        <v>7909010.5599999996</v>
      </c>
      <c r="Z69" s="591"/>
      <c r="AA69" s="592"/>
      <c r="AB69" s="591">
        <v>7840236.5199999996</v>
      </c>
      <c r="AC69" s="591"/>
      <c r="AD69" s="592"/>
      <c r="AE69" s="591">
        <v>7771462.5</v>
      </c>
      <c r="AF69" s="591"/>
      <c r="AG69" s="592"/>
      <c r="AH69" s="591">
        <v>7702688.5300000003</v>
      </c>
      <c r="AI69" s="591"/>
      <c r="AJ69" s="592"/>
      <c r="AK69" s="591">
        <v>7633914.46</v>
      </c>
      <c r="AL69" s="591"/>
      <c r="AM69" s="592"/>
      <c r="AN69" s="591">
        <v>7565140.4800000004</v>
      </c>
      <c r="AO69" s="591"/>
      <c r="AP69" s="592"/>
      <c r="AQ69" s="591">
        <v>7505986.2999999998</v>
      </c>
      <c r="AR69" s="591"/>
      <c r="AS69" s="591"/>
      <c r="AT69" s="590">
        <v>7294680.6500000004</v>
      </c>
      <c r="AU69" s="591"/>
      <c r="AV69" s="592"/>
      <c r="AW69" s="593">
        <f t="shared" si="8"/>
        <v>7835500.1870833337</v>
      </c>
      <c r="AX69" s="584"/>
      <c r="AY69" s="584"/>
    </row>
    <row r="70" spans="1:51" s="26" customFormat="1">
      <c r="A70" s="204">
        <v>62</v>
      </c>
      <c r="B70" s="26" t="s">
        <v>1663</v>
      </c>
      <c r="C70" s="584" t="s">
        <v>790</v>
      </c>
      <c r="E70" s="584"/>
      <c r="F70" s="584" t="s">
        <v>660</v>
      </c>
      <c r="G70" s="584" t="s">
        <v>1667</v>
      </c>
      <c r="H70" s="584"/>
      <c r="I70" s="591"/>
      <c r="J70" s="590">
        <v>-481335.67</v>
      </c>
      <c r="K70" s="591"/>
      <c r="L70" s="592"/>
      <c r="M70" s="591">
        <v>-481335.67</v>
      </c>
      <c r="N70" s="591"/>
      <c r="O70" s="592"/>
      <c r="P70" s="591">
        <v>-481335.67</v>
      </c>
      <c r="Q70" s="591"/>
      <c r="R70" s="592"/>
      <c r="S70" s="591">
        <v>-481335.67</v>
      </c>
      <c r="T70" s="591"/>
      <c r="U70" s="592"/>
      <c r="V70" s="591">
        <v>-481335.67</v>
      </c>
      <c r="W70" s="591"/>
      <c r="X70" s="592"/>
      <c r="Y70" s="591">
        <v>-481335.67</v>
      </c>
      <c r="Z70" s="591"/>
      <c r="AA70" s="592"/>
      <c r="AB70" s="591">
        <v>-481335.67</v>
      </c>
      <c r="AC70" s="591"/>
      <c r="AD70" s="592"/>
      <c r="AE70" s="591">
        <v>-481335.67</v>
      </c>
      <c r="AF70" s="591"/>
      <c r="AG70" s="592"/>
      <c r="AH70" s="591">
        <v>-481335.67</v>
      </c>
      <c r="AI70" s="591"/>
      <c r="AJ70" s="592"/>
      <c r="AK70" s="591">
        <v>-481335.67</v>
      </c>
      <c r="AL70" s="591"/>
      <c r="AM70" s="592"/>
      <c r="AN70" s="591">
        <v>-481335.67</v>
      </c>
      <c r="AO70" s="591"/>
      <c r="AP70" s="592"/>
      <c r="AQ70" s="591">
        <v>-481335.67</v>
      </c>
      <c r="AR70" s="591"/>
      <c r="AS70" s="591"/>
      <c r="AT70" s="590">
        <v>-638740.75</v>
      </c>
      <c r="AU70" s="591"/>
      <c r="AV70" s="592"/>
      <c r="AW70" s="593">
        <f t="shared" si="8"/>
        <v>-487894.21500000003</v>
      </c>
      <c r="AX70" s="584"/>
      <c r="AY70" s="584"/>
    </row>
    <row r="71" spans="1:51" s="26" customFormat="1">
      <c r="A71" s="204">
        <v>63</v>
      </c>
      <c r="B71" s="26" t="s">
        <v>1664</v>
      </c>
      <c r="C71" s="584" t="s">
        <v>790</v>
      </c>
      <c r="E71" s="584"/>
      <c r="F71" s="584" t="s">
        <v>660</v>
      </c>
      <c r="G71" s="584" t="s">
        <v>1100</v>
      </c>
      <c r="H71" s="584"/>
      <c r="I71" s="591"/>
      <c r="J71" s="590">
        <v>-32833635.199999999</v>
      </c>
      <c r="K71" s="591"/>
      <c r="L71" s="592"/>
      <c r="M71" s="591">
        <v>-31943946.600000001</v>
      </c>
      <c r="N71" s="591"/>
      <c r="O71" s="592"/>
      <c r="P71" s="591">
        <v>-31136329.219999999</v>
      </c>
      <c r="Q71" s="591"/>
      <c r="R71" s="592"/>
      <c r="S71" s="591">
        <v>-30469392.350000001</v>
      </c>
      <c r="T71" s="591"/>
      <c r="U71" s="592"/>
      <c r="V71" s="591">
        <v>-30175970.079999998</v>
      </c>
      <c r="W71" s="591"/>
      <c r="X71" s="592"/>
      <c r="Y71" s="591">
        <v>-29991402.34</v>
      </c>
      <c r="Z71" s="591"/>
      <c r="AA71" s="592"/>
      <c r="AB71" s="591">
        <v>-30267951.260000002</v>
      </c>
      <c r="AC71" s="591"/>
      <c r="AD71" s="592"/>
      <c r="AE71" s="591">
        <v>-30569378.079999998</v>
      </c>
      <c r="AF71" s="591"/>
      <c r="AG71" s="592"/>
      <c r="AH71" s="591">
        <v>-31103198.75</v>
      </c>
      <c r="AI71" s="591"/>
      <c r="AJ71" s="592"/>
      <c r="AK71" s="591">
        <v>-31443179.859999999</v>
      </c>
      <c r="AL71" s="591"/>
      <c r="AM71" s="592"/>
      <c r="AN71" s="591">
        <v>-31302928.609999999</v>
      </c>
      <c r="AO71" s="591"/>
      <c r="AP71" s="592"/>
      <c r="AQ71" s="591">
        <v>-33386829.190000001</v>
      </c>
      <c r="AR71" s="591"/>
      <c r="AS71" s="591"/>
      <c r="AT71" s="590">
        <v>-40255923.640000001</v>
      </c>
      <c r="AU71" s="591"/>
      <c r="AV71" s="592"/>
      <c r="AW71" s="593">
        <f t="shared" si="8"/>
        <v>-31527940.480000004</v>
      </c>
      <c r="AX71" s="584"/>
      <c r="AY71" s="584"/>
    </row>
    <row r="72" spans="1:51" s="26" customFormat="1" ht="16.5" thickBot="1">
      <c r="A72" s="204">
        <v>64</v>
      </c>
      <c r="B72" s="26" t="s">
        <v>1665</v>
      </c>
      <c r="C72" s="584" t="s">
        <v>790</v>
      </c>
      <c r="E72" s="584"/>
      <c r="F72" s="584" t="s">
        <v>660</v>
      </c>
      <c r="G72" s="584" t="s">
        <v>1254</v>
      </c>
      <c r="H72" s="584"/>
      <c r="I72" s="591"/>
      <c r="J72" s="590">
        <v>0</v>
      </c>
      <c r="K72" s="591"/>
      <c r="L72" s="592"/>
      <c r="M72" s="590">
        <v>0</v>
      </c>
      <c r="N72" s="591"/>
      <c r="O72" s="592"/>
      <c r="P72" s="590">
        <v>0</v>
      </c>
      <c r="Q72" s="591"/>
      <c r="R72" s="592"/>
      <c r="S72" s="590">
        <v>0</v>
      </c>
      <c r="T72" s="591"/>
      <c r="U72" s="592"/>
      <c r="V72" s="590">
        <v>0</v>
      </c>
      <c r="W72" s="591"/>
      <c r="X72" s="592"/>
      <c r="Y72" s="590">
        <v>0</v>
      </c>
      <c r="Z72" s="591"/>
      <c r="AA72" s="592"/>
      <c r="AB72" s="590">
        <v>0</v>
      </c>
      <c r="AC72" s="591"/>
      <c r="AD72" s="592"/>
      <c r="AE72" s="590">
        <v>0</v>
      </c>
      <c r="AF72" s="591"/>
      <c r="AG72" s="592"/>
      <c r="AH72" s="590">
        <v>0</v>
      </c>
      <c r="AI72" s="591"/>
      <c r="AJ72" s="592"/>
      <c r="AK72" s="590">
        <v>0</v>
      </c>
      <c r="AL72" s="591"/>
      <c r="AM72" s="592"/>
      <c r="AN72" s="590">
        <v>0</v>
      </c>
      <c r="AO72" s="591"/>
      <c r="AP72" s="592"/>
      <c r="AQ72" s="590">
        <v>0</v>
      </c>
      <c r="AR72" s="591"/>
      <c r="AS72" s="592"/>
      <c r="AT72" s="590">
        <v>0</v>
      </c>
      <c r="AU72" s="591"/>
      <c r="AV72" s="592"/>
      <c r="AW72" s="593">
        <f t="shared" si="8"/>
        <v>0</v>
      </c>
      <c r="AX72" s="584"/>
      <c r="AY72" s="584"/>
    </row>
    <row r="73" spans="1:51" s="26" customFormat="1">
      <c r="A73" s="204">
        <v>65</v>
      </c>
      <c r="C73" s="584"/>
      <c r="E73" s="584"/>
      <c r="F73" s="584"/>
      <c r="G73" s="584"/>
      <c r="H73" s="584"/>
      <c r="I73" s="584"/>
      <c r="J73" s="598">
        <f>SUM(J63:J72)</f>
        <v>-25202272.979999997</v>
      </c>
      <c r="K73" s="591"/>
      <c r="L73" s="591"/>
      <c r="M73" s="598">
        <v>-1866801.81</v>
      </c>
      <c r="N73" s="591"/>
      <c r="O73" s="591"/>
      <c r="P73" s="598">
        <v>-1867330.76</v>
      </c>
      <c r="Q73" s="591"/>
      <c r="R73" s="591"/>
      <c r="S73" s="598">
        <v>-2160511.04</v>
      </c>
      <c r="T73" s="591"/>
      <c r="U73" s="591"/>
      <c r="V73" s="598">
        <v>-2161140.1</v>
      </c>
      <c r="W73" s="591"/>
      <c r="X73" s="591"/>
      <c r="Y73" s="598">
        <v>-2161769.15</v>
      </c>
      <c r="Z73" s="591"/>
      <c r="AA73" s="591"/>
      <c r="AB73" s="598">
        <v>-2161571.6</v>
      </c>
      <c r="AC73" s="591"/>
      <c r="AD73" s="591"/>
      <c r="AE73" s="598">
        <v>-2162063.12</v>
      </c>
      <c r="AF73" s="591"/>
      <c r="AG73" s="591"/>
      <c r="AH73" s="598">
        <v>-2162554.64</v>
      </c>
      <c r="AI73" s="591"/>
      <c r="AJ73" s="591"/>
      <c r="AK73" s="598">
        <v>-2157345.3199999998</v>
      </c>
      <c r="AL73" s="591"/>
      <c r="AM73" s="591"/>
      <c r="AN73" s="598">
        <v>-2157203.5499999998</v>
      </c>
      <c r="AO73" s="591"/>
      <c r="AP73" s="591"/>
      <c r="AQ73" s="598">
        <v>-2157061.7999999998</v>
      </c>
      <c r="AR73" s="591"/>
      <c r="AS73" s="591"/>
      <c r="AT73" s="598">
        <v>-2094061.52</v>
      </c>
      <c r="AU73" s="591"/>
      <c r="AV73" s="591"/>
      <c r="AW73" s="599">
        <f>SUM(AW63:AW72)</f>
        <v>-24361195.025416672</v>
      </c>
      <c r="AX73" s="584"/>
      <c r="AY73" s="584"/>
    </row>
    <row r="74" spans="1:51" s="26" customFormat="1">
      <c r="A74" s="204">
        <v>66</v>
      </c>
      <c r="B74" s="584"/>
      <c r="C74" s="584"/>
      <c r="D74" s="584"/>
      <c r="E74" s="584"/>
      <c r="F74" s="584"/>
      <c r="G74" s="584"/>
      <c r="H74" s="584"/>
      <c r="I74" s="584"/>
      <c r="J74" s="600"/>
      <c r="K74" s="591"/>
      <c r="L74" s="591"/>
      <c r="M74" s="600"/>
      <c r="N74" s="591"/>
      <c r="O74" s="591"/>
      <c r="P74" s="600"/>
      <c r="Q74" s="591"/>
      <c r="R74" s="591"/>
      <c r="S74" s="600"/>
      <c r="T74" s="591"/>
      <c r="U74" s="591"/>
      <c r="V74" s="600"/>
      <c r="W74" s="591"/>
      <c r="X74" s="591"/>
      <c r="Y74" s="600"/>
      <c r="Z74" s="591"/>
      <c r="AA74" s="591"/>
      <c r="AB74" s="600"/>
      <c r="AC74" s="591"/>
      <c r="AD74" s="591"/>
      <c r="AE74" s="600"/>
      <c r="AF74" s="591"/>
      <c r="AG74" s="591"/>
      <c r="AH74" s="600"/>
      <c r="AI74" s="591"/>
      <c r="AJ74" s="591"/>
      <c r="AK74" s="600"/>
      <c r="AL74" s="591"/>
      <c r="AM74" s="591"/>
      <c r="AN74" s="600"/>
      <c r="AO74" s="591"/>
      <c r="AP74" s="591"/>
      <c r="AQ74" s="600"/>
      <c r="AR74" s="591"/>
      <c r="AS74" s="591"/>
      <c r="AT74" s="600"/>
      <c r="AU74" s="591"/>
      <c r="AV74" s="591"/>
      <c r="AW74" s="600"/>
      <c r="AX74" s="584"/>
      <c r="AY74" s="584"/>
    </row>
    <row r="75" spans="1:51" s="26" customFormat="1">
      <c r="A75" s="204">
        <v>67</v>
      </c>
      <c r="B75" s="584"/>
      <c r="C75" s="584"/>
      <c r="D75" s="584"/>
      <c r="E75" s="584"/>
      <c r="F75" s="584"/>
      <c r="G75" s="584"/>
      <c r="H75" s="584"/>
      <c r="I75" s="584"/>
      <c r="J75" s="601">
        <f>+J37+J49+J61+J73</f>
        <v>-61114179.519999966</v>
      </c>
      <c r="K75" s="602"/>
      <c r="L75" s="602"/>
      <c r="M75" s="601">
        <f>+M37+M49+M61+M73</f>
        <v>-33817824.160000004</v>
      </c>
      <c r="N75" s="602"/>
      <c r="O75" s="602"/>
      <c r="P75" s="601">
        <f>+P37+P49+P61+P73</f>
        <v>-33866331.850000001</v>
      </c>
      <c r="Q75" s="602"/>
      <c r="R75" s="602"/>
      <c r="S75" s="601">
        <f>+S37+S49+S61+S73</f>
        <v>-33911861.259999998</v>
      </c>
      <c r="T75" s="602"/>
      <c r="U75" s="602"/>
      <c r="V75" s="601">
        <f>+V37+V49+V61+V73</f>
        <v>-33883042.480000004</v>
      </c>
      <c r="W75" s="602"/>
      <c r="X75" s="602"/>
      <c r="Y75" s="601">
        <f>+Y37+Y49+Y61+Y73</f>
        <v>-33679108.429999985</v>
      </c>
      <c r="Z75" s="602"/>
      <c r="AA75" s="602"/>
      <c r="AB75" s="601">
        <f>+AB37+AB49+AB61+AB73</f>
        <v>-33233745.309999987</v>
      </c>
      <c r="AC75" s="602"/>
      <c r="AD75" s="602"/>
      <c r="AE75" s="601">
        <f>+AE37+AE49+AE61+AE73</f>
        <v>-33455113.09999999</v>
      </c>
      <c r="AF75" s="602"/>
      <c r="AG75" s="602"/>
      <c r="AH75" s="601">
        <f>+AH37+AH49+AH61+AH73</f>
        <v>-33492174.220000006</v>
      </c>
      <c r="AI75" s="602"/>
      <c r="AJ75" s="602"/>
      <c r="AK75" s="601">
        <f>+AK37+AK49+AK61+AK73</f>
        <v>-33728328.530000009</v>
      </c>
      <c r="AL75" s="602"/>
      <c r="AM75" s="602"/>
      <c r="AN75" s="601">
        <f>+AN37+AN49+AN61+AN73</f>
        <v>-33729317.289999984</v>
      </c>
      <c r="AO75" s="602"/>
      <c r="AP75" s="602"/>
      <c r="AQ75" s="601">
        <f>+AQ37+AQ49+AQ61+AQ73</f>
        <v>-33567193.819999985</v>
      </c>
      <c r="AR75" s="602"/>
      <c r="AS75" s="602"/>
      <c r="AT75" s="601">
        <f>+AT37+AT49+AT61+AT73</f>
        <v>-34690506.990000017</v>
      </c>
      <c r="AU75" s="602"/>
      <c r="AV75" s="602"/>
      <c r="AW75" s="601">
        <f>+AW37+AW49+AW61+AW73</f>
        <v>-59892019.004583351</v>
      </c>
      <c r="AX75" s="584"/>
      <c r="AY75" s="584"/>
    </row>
    <row r="76" spans="1:51" s="26" customFormat="1" ht="16.5" thickBot="1">
      <c r="A76" s="204">
        <v>68</v>
      </c>
      <c r="B76" s="584"/>
      <c r="C76" s="584"/>
      <c r="D76" s="584"/>
      <c r="E76" s="584"/>
      <c r="F76" s="584"/>
      <c r="G76" s="584"/>
      <c r="H76" s="584"/>
      <c r="I76" s="584"/>
      <c r="J76" s="600"/>
      <c r="K76" s="591"/>
      <c r="L76" s="591"/>
      <c r="M76" s="600"/>
      <c r="N76" s="591"/>
      <c r="O76" s="591"/>
      <c r="P76" s="600"/>
      <c r="Q76" s="591"/>
      <c r="R76" s="591"/>
      <c r="S76" s="600"/>
      <c r="T76" s="591"/>
      <c r="U76" s="591"/>
      <c r="V76" s="600"/>
      <c r="W76" s="591"/>
      <c r="X76" s="591"/>
      <c r="Y76" s="600"/>
      <c r="Z76" s="591"/>
      <c r="AA76" s="591"/>
      <c r="AB76" s="600"/>
      <c r="AC76" s="591"/>
      <c r="AD76" s="591"/>
      <c r="AE76" s="600"/>
      <c r="AF76" s="591"/>
      <c r="AG76" s="591"/>
      <c r="AH76" s="600"/>
      <c r="AI76" s="591"/>
      <c r="AJ76" s="591"/>
      <c r="AK76" s="600"/>
      <c r="AL76" s="591"/>
      <c r="AM76" s="591"/>
      <c r="AN76" s="600"/>
      <c r="AO76" s="591"/>
      <c r="AP76" s="591"/>
      <c r="AQ76" s="600"/>
      <c r="AR76" s="591"/>
      <c r="AS76" s="591"/>
      <c r="AT76" s="600"/>
      <c r="AU76" s="591"/>
      <c r="AV76" s="591"/>
      <c r="AW76" s="600"/>
      <c r="AX76" s="584"/>
      <c r="AY76" s="584"/>
    </row>
    <row r="77" spans="1:51" s="26" customFormat="1">
      <c r="A77" s="204">
        <v>69</v>
      </c>
      <c r="B77" s="905" t="s">
        <v>1183</v>
      </c>
      <c r="C77" s="906"/>
      <c r="D77" s="906"/>
      <c r="E77" s="907"/>
      <c r="F77" s="584"/>
      <c r="G77" s="584" t="s">
        <v>1668</v>
      </c>
      <c r="H77" s="584"/>
      <c r="I77" s="584"/>
      <c r="J77" s="600">
        <f>+J28+J30+J31+J35+J36+J49</f>
        <v>16343134.65</v>
      </c>
      <c r="K77" s="591"/>
      <c r="L77" s="591"/>
      <c r="M77" s="600">
        <f t="shared" ref="M77:AT77" si="11">+M28+M30+M31+M35+M36+M49</f>
        <v>16458022.48</v>
      </c>
      <c r="N77" s="591"/>
      <c r="O77" s="591"/>
      <c r="P77" s="600">
        <f t="shared" si="11"/>
        <v>16434619.799999999</v>
      </c>
      <c r="Q77" s="591"/>
      <c r="R77" s="591"/>
      <c r="S77" s="600">
        <f t="shared" si="11"/>
        <v>16485769.970000003</v>
      </c>
      <c r="T77" s="591"/>
      <c r="U77" s="591"/>
      <c r="V77" s="600">
        <f t="shared" si="11"/>
        <v>16490057.979999999</v>
      </c>
      <c r="W77" s="591"/>
      <c r="X77" s="591"/>
      <c r="Y77" s="600">
        <f t="shared" si="11"/>
        <v>16732583.860000001</v>
      </c>
      <c r="Z77" s="591"/>
      <c r="AA77" s="591"/>
      <c r="AB77" s="600">
        <f t="shared" si="11"/>
        <v>17187540.879999999</v>
      </c>
      <c r="AC77" s="591"/>
      <c r="AD77" s="591"/>
      <c r="AE77" s="600">
        <f t="shared" si="11"/>
        <v>17281835.739999998</v>
      </c>
      <c r="AF77" s="591"/>
      <c r="AG77" s="591"/>
      <c r="AH77" s="600">
        <f t="shared" si="11"/>
        <v>17164798.869999997</v>
      </c>
      <c r="AI77" s="591"/>
      <c r="AJ77" s="591"/>
      <c r="AK77" s="600">
        <f t="shared" si="11"/>
        <v>17212383.289999999</v>
      </c>
      <c r="AL77" s="591"/>
      <c r="AM77" s="591"/>
      <c r="AN77" s="600">
        <f t="shared" si="11"/>
        <v>17244632.77</v>
      </c>
      <c r="AO77" s="591"/>
      <c r="AP77" s="591"/>
      <c r="AQ77" s="600">
        <f t="shared" si="11"/>
        <v>17320536.030000001</v>
      </c>
      <c r="AR77" s="591"/>
      <c r="AS77" s="591"/>
      <c r="AT77" s="600">
        <f t="shared" si="11"/>
        <v>17102002.829999998</v>
      </c>
      <c r="AU77" s="591"/>
      <c r="AV77" s="591"/>
      <c r="AW77" s="600">
        <f t="shared" ref="AW77" si="12">+AW28+AW30+AW31+AW35+AW36+AW49</f>
        <v>16894612.534166668</v>
      </c>
      <c r="AX77" s="584"/>
      <c r="AY77" s="584"/>
    </row>
    <row r="78" spans="1:51" s="26" customFormat="1">
      <c r="A78" s="204">
        <v>70</v>
      </c>
      <c r="B78" s="908"/>
      <c r="C78" s="909"/>
      <c r="D78" s="909"/>
      <c r="E78" s="910"/>
      <c r="F78" s="584"/>
      <c r="G78" s="584" t="s">
        <v>1101</v>
      </c>
      <c r="H78" s="584"/>
      <c r="I78" s="584"/>
      <c r="J78" s="600">
        <f>+J26+J29+J32+J33+J61</f>
        <v>-52078937.489999987</v>
      </c>
      <c r="K78" s="591"/>
      <c r="L78" s="591"/>
      <c r="M78" s="600">
        <f t="shared" ref="M78:AT78" si="13">+M26+M29+M32+M33+M61</f>
        <v>-52112920.32</v>
      </c>
      <c r="N78" s="591"/>
      <c r="O78" s="591"/>
      <c r="P78" s="600">
        <f t="shared" si="13"/>
        <v>-52145441.530000001</v>
      </c>
      <c r="Q78" s="591"/>
      <c r="R78" s="591"/>
      <c r="S78" s="600">
        <f t="shared" si="13"/>
        <v>-51929863.639999986</v>
      </c>
      <c r="T78" s="591"/>
      <c r="U78" s="591"/>
      <c r="V78" s="600">
        <f t="shared" si="13"/>
        <v>-51913063.359999992</v>
      </c>
      <c r="W78" s="591"/>
      <c r="X78" s="591"/>
      <c r="Y78" s="600">
        <f t="shared" si="13"/>
        <v>-51957577.179999992</v>
      </c>
      <c r="Z78" s="591"/>
      <c r="AA78" s="591"/>
      <c r="AB78" s="600">
        <f t="shared" si="13"/>
        <v>-51973693.859999992</v>
      </c>
      <c r="AC78" s="591"/>
      <c r="AD78" s="591"/>
      <c r="AE78" s="600">
        <f t="shared" si="13"/>
        <v>-52311533.739999995</v>
      </c>
      <c r="AF78" s="591"/>
      <c r="AG78" s="591"/>
      <c r="AH78" s="600">
        <f t="shared" si="13"/>
        <v>-52239946.259999998</v>
      </c>
      <c r="AI78" s="591"/>
      <c r="AJ78" s="591"/>
      <c r="AK78" s="600">
        <f t="shared" si="13"/>
        <v>-52537689.49000001</v>
      </c>
      <c r="AL78" s="591"/>
      <c r="AM78" s="591"/>
      <c r="AN78" s="600">
        <f t="shared" si="13"/>
        <v>-52580665.899999999</v>
      </c>
      <c r="AO78" s="591"/>
      <c r="AP78" s="591"/>
      <c r="AQ78" s="600">
        <f t="shared" si="13"/>
        <v>-52508088.68</v>
      </c>
      <c r="AR78" s="591"/>
      <c r="AS78" s="591"/>
      <c r="AT78" s="600">
        <f t="shared" si="13"/>
        <v>-53594338.570000008</v>
      </c>
      <c r="AU78" s="591"/>
      <c r="AV78" s="591"/>
      <c r="AW78" s="600">
        <f t="shared" ref="AW78" si="14">+AW26+AW29+AW32+AW33+AW61</f>
        <v>-52253926.832500018</v>
      </c>
      <c r="AX78" s="584"/>
      <c r="AY78" s="584"/>
    </row>
    <row r="79" spans="1:51" s="26" customFormat="1">
      <c r="A79" s="204">
        <v>71</v>
      </c>
      <c r="B79" s="908"/>
      <c r="C79" s="909"/>
      <c r="D79" s="909"/>
      <c r="E79" s="910"/>
      <c r="F79" s="584"/>
      <c r="G79" s="584" t="s">
        <v>1102</v>
      </c>
      <c r="H79" s="584"/>
      <c r="I79" s="584"/>
      <c r="J79" s="603">
        <f>+J27+J34+J73</f>
        <v>-25378376.679999996</v>
      </c>
      <c r="K79" s="591"/>
      <c r="L79" s="591"/>
      <c r="M79" s="603">
        <f t="shared" ref="M79:AT79" si="15">+M27+M34+M73</f>
        <v>-2042139.84</v>
      </c>
      <c r="N79" s="591"/>
      <c r="O79" s="591"/>
      <c r="P79" s="603">
        <f t="shared" si="15"/>
        <v>-2041903.12</v>
      </c>
      <c r="Q79" s="591"/>
      <c r="R79" s="591"/>
      <c r="S79" s="603">
        <f t="shared" si="15"/>
        <v>-2334317.73</v>
      </c>
      <c r="T79" s="591"/>
      <c r="U79" s="591"/>
      <c r="V79" s="603">
        <f t="shared" si="15"/>
        <v>-2334181.12</v>
      </c>
      <c r="W79" s="591"/>
      <c r="X79" s="591"/>
      <c r="Y79" s="603">
        <f t="shared" si="15"/>
        <v>-2334044.5</v>
      </c>
      <c r="Z79" s="591"/>
      <c r="AA79" s="591"/>
      <c r="AB79" s="603">
        <f t="shared" si="15"/>
        <v>-2333081.2800000003</v>
      </c>
      <c r="AC79" s="591"/>
      <c r="AD79" s="591"/>
      <c r="AE79" s="603">
        <f t="shared" si="15"/>
        <v>-2332807.13</v>
      </c>
      <c r="AF79" s="591"/>
      <c r="AG79" s="591"/>
      <c r="AH79" s="603">
        <f t="shared" si="15"/>
        <v>-2332532.98</v>
      </c>
      <c r="AI79" s="591"/>
      <c r="AJ79" s="591"/>
      <c r="AK79" s="603">
        <f t="shared" si="15"/>
        <v>-2326557.9899999998</v>
      </c>
      <c r="AL79" s="591"/>
      <c r="AM79" s="591"/>
      <c r="AN79" s="603">
        <f t="shared" si="15"/>
        <v>-2325650.5499999998</v>
      </c>
      <c r="AO79" s="591"/>
      <c r="AP79" s="591"/>
      <c r="AQ79" s="603">
        <f t="shared" si="15"/>
        <v>-2324743.13</v>
      </c>
      <c r="AR79" s="591"/>
      <c r="AS79" s="591"/>
      <c r="AT79" s="603">
        <f t="shared" si="15"/>
        <v>-2260977.2000000002</v>
      </c>
      <c r="AU79" s="604"/>
      <c r="AV79" s="604"/>
      <c r="AW79" s="603">
        <f t="shared" ref="AW79" si="16">+AW27+AW34+AW73</f>
        <v>-24532704.706250004</v>
      </c>
      <c r="AX79" s="584"/>
      <c r="AY79" s="584"/>
    </row>
    <row r="80" spans="1:51" s="26" customFormat="1" ht="16.5" thickBot="1">
      <c r="A80" s="204">
        <v>72</v>
      </c>
      <c r="B80" s="908"/>
      <c r="C80" s="909"/>
      <c r="D80" s="909"/>
      <c r="E80" s="910"/>
      <c r="F80" s="584"/>
      <c r="G80" s="584"/>
      <c r="H80" s="584"/>
      <c r="I80" s="584"/>
      <c r="J80" s="605">
        <f>+J77+J78+J79</f>
        <v>-61114179.519999981</v>
      </c>
      <c r="K80" s="606"/>
      <c r="L80" s="606"/>
      <c r="M80" s="605">
        <f t="shared" ref="M80:AT80" si="17">+M77+M78+M79</f>
        <v>-37697037.680000007</v>
      </c>
      <c r="N80" s="606"/>
      <c r="O80" s="606"/>
      <c r="P80" s="605">
        <f t="shared" si="17"/>
        <v>-37752724.850000001</v>
      </c>
      <c r="Q80" s="606"/>
      <c r="R80" s="606"/>
      <c r="S80" s="605">
        <f t="shared" si="17"/>
        <v>-37778411.399999984</v>
      </c>
      <c r="T80" s="606"/>
      <c r="U80" s="606"/>
      <c r="V80" s="605">
        <f t="shared" si="17"/>
        <v>-37757186.499999993</v>
      </c>
      <c r="W80" s="606"/>
      <c r="X80" s="606"/>
      <c r="Y80" s="605">
        <f t="shared" si="17"/>
        <v>-37559037.819999993</v>
      </c>
      <c r="Z80" s="606"/>
      <c r="AA80" s="606"/>
      <c r="AB80" s="605">
        <f t="shared" si="17"/>
        <v>-37119234.25999999</v>
      </c>
      <c r="AC80" s="606"/>
      <c r="AD80" s="606"/>
      <c r="AE80" s="605">
        <f t="shared" si="17"/>
        <v>-37362505.130000003</v>
      </c>
      <c r="AF80" s="606"/>
      <c r="AG80" s="606"/>
      <c r="AH80" s="605">
        <f t="shared" si="17"/>
        <v>-37407680.369999997</v>
      </c>
      <c r="AI80" s="606"/>
      <c r="AJ80" s="606"/>
      <c r="AK80" s="605">
        <f t="shared" si="17"/>
        <v>-37651864.190000013</v>
      </c>
      <c r="AL80" s="606"/>
      <c r="AM80" s="606"/>
      <c r="AN80" s="605">
        <f t="shared" si="17"/>
        <v>-37661683.679999992</v>
      </c>
      <c r="AO80" s="606"/>
      <c r="AP80" s="606"/>
      <c r="AQ80" s="605">
        <f t="shared" si="17"/>
        <v>-37512295.780000001</v>
      </c>
      <c r="AR80" s="606"/>
      <c r="AS80" s="606"/>
      <c r="AT80" s="605">
        <f t="shared" si="17"/>
        <v>-38753312.940000013</v>
      </c>
      <c r="AU80" s="606"/>
      <c r="AV80" s="606"/>
      <c r="AW80" s="605">
        <f>+AW78+AW79+AW77</f>
        <v>-59892019.004583359</v>
      </c>
      <c r="AX80" s="584"/>
      <c r="AY80" s="584"/>
    </row>
    <row r="81" spans="2:5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row>
    <row r="82" spans="2:5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row>
    <row r="83" spans="2:5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row>
    <row r="84" spans="2:5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row>
    <row r="85" spans="2:5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row>
    <row r="86" spans="2:5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row>
    <row r="87" spans="2:5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row>
    <row r="88" spans="2:5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77:E8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37" max="16383" man="1"/>
  </rowBreaks>
  <colBreaks count="4" manualBreakCount="4">
    <brk id="13" max="1048575" man="1"/>
    <brk id="24" max="57" man="1"/>
    <brk id="34" max="83" man="1"/>
    <brk id="4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17"/>
  <sheetViews>
    <sheetView view="pageBreakPreview" zoomScaleNormal="100" zoomScaleSheetLayoutView="100" workbookViewId="0">
      <selection activeCell="H14" sqref="H14"/>
    </sheetView>
  </sheetViews>
  <sheetFormatPr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263"/>
      <c r="C1" s="884" t="s">
        <v>60</v>
      </c>
      <c r="D1" s="884"/>
      <c r="E1" s="884"/>
      <c r="F1" s="884"/>
      <c r="G1" s="884"/>
      <c r="H1" s="884"/>
      <c r="I1" s="884"/>
      <c r="J1" s="884"/>
      <c r="K1" s="264"/>
      <c r="L1" s="265"/>
      <c r="M1" s="264"/>
    </row>
    <row r="2" spans="2:14">
      <c r="B2" s="263"/>
      <c r="C2" s="884" t="s">
        <v>1390</v>
      </c>
      <c r="D2" s="884"/>
      <c r="E2" s="884"/>
      <c r="F2" s="884"/>
      <c r="G2" s="884"/>
      <c r="H2" s="884"/>
      <c r="I2" s="884"/>
      <c r="J2" s="884"/>
      <c r="K2" s="266"/>
      <c r="L2" s="266"/>
      <c r="M2" s="266"/>
    </row>
    <row r="3" spans="2:14">
      <c r="B3" s="263"/>
      <c r="C3" s="884" t="s">
        <v>1641</v>
      </c>
      <c r="D3" s="884"/>
      <c r="E3" s="884"/>
      <c r="F3" s="884"/>
      <c r="G3" s="884"/>
      <c r="H3" s="884"/>
      <c r="I3" s="884"/>
      <c r="J3" s="884"/>
      <c r="K3" s="266"/>
      <c r="L3" s="266"/>
      <c r="M3" s="266"/>
    </row>
    <row r="4" spans="2:14">
      <c r="B4" s="263"/>
      <c r="C4" s="884" t="s">
        <v>746</v>
      </c>
      <c r="D4" s="884"/>
      <c r="E4" s="884"/>
      <c r="F4" s="884"/>
      <c r="G4" s="884"/>
      <c r="H4" s="884"/>
      <c r="I4" s="884"/>
      <c r="J4" s="884"/>
      <c r="K4" s="267"/>
      <c r="L4" s="267"/>
      <c r="M4" s="267"/>
    </row>
    <row r="5" spans="2:14">
      <c r="B5" s="263"/>
      <c r="C5" s="884" t="s">
        <v>1376</v>
      </c>
      <c r="D5" s="884"/>
      <c r="E5" s="884"/>
      <c r="F5" s="884"/>
      <c r="G5" s="884"/>
      <c r="H5" s="884"/>
      <c r="I5" s="884"/>
      <c r="J5" s="884"/>
      <c r="K5" s="268"/>
      <c r="L5" s="268"/>
      <c r="M5" s="268"/>
    </row>
    <row r="6" spans="2:14">
      <c r="E6" s="926"/>
      <c r="F6" s="926"/>
      <c r="G6" s="926"/>
      <c r="H6" s="926"/>
      <c r="I6" s="926"/>
      <c r="J6" s="926"/>
    </row>
    <row r="7" spans="2:14">
      <c r="B7" s="269"/>
      <c r="C7" s="270"/>
      <c r="D7" s="269"/>
      <c r="E7" s="264"/>
      <c r="F7" s="264"/>
      <c r="G7" s="264"/>
      <c r="H7" s="264"/>
      <c r="I7" s="264"/>
      <c r="J7" s="264"/>
      <c r="K7" s="269"/>
      <c r="L7" s="269"/>
      <c r="M7" s="263"/>
    </row>
    <row r="8" spans="2:14" s="6" customFormat="1">
      <c r="B8" s="271"/>
      <c r="C8" s="272" t="s">
        <v>47</v>
      </c>
      <c r="D8" s="272" t="s">
        <v>885</v>
      </c>
      <c r="E8" s="272"/>
      <c r="F8" s="272" t="s">
        <v>883</v>
      </c>
      <c r="G8" s="272"/>
      <c r="H8" s="272" t="s">
        <v>886</v>
      </c>
      <c r="I8" s="272"/>
      <c r="J8" s="272" t="s">
        <v>887</v>
      </c>
      <c r="K8" s="271"/>
      <c r="L8" s="273"/>
      <c r="M8" s="272"/>
    </row>
    <row r="9" spans="2:14">
      <c r="B9" s="269"/>
      <c r="C9" s="274" t="s">
        <v>881</v>
      </c>
      <c r="D9" s="275" t="s">
        <v>48</v>
      </c>
      <c r="E9" s="276"/>
      <c r="F9" s="276" t="s">
        <v>49</v>
      </c>
      <c r="G9" s="276"/>
      <c r="H9" s="277" t="s">
        <v>50</v>
      </c>
      <c r="I9" s="277"/>
      <c r="J9" s="278" t="s">
        <v>51</v>
      </c>
      <c r="K9" s="269"/>
      <c r="L9" s="269"/>
      <c r="M9" s="263"/>
    </row>
    <row r="10" spans="2:14">
      <c r="B10" s="269"/>
      <c r="C10" s="262"/>
      <c r="D10" s="279"/>
      <c r="E10" s="279"/>
      <c r="F10" s="279"/>
      <c r="G10" s="279"/>
      <c r="H10" s="279"/>
      <c r="I10" s="279"/>
      <c r="J10" s="280" t="s">
        <v>50</v>
      </c>
      <c r="K10" s="269"/>
      <c r="L10" s="269"/>
      <c r="M10" s="263"/>
    </row>
    <row r="11" spans="2:14">
      <c r="C11" s="262">
        <v>1</v>
      </c>
      <c r="D11" s="281" t="s">
        <v>52</v>
      </c>
      <c r="E11" s="279"/>
      <c r="F11" s="282">
        <v>0.5</v>
      </c>
      <c r="G11" s="283"/>
      <c r="H11" s="284">
        <v>5.1549999999999999E-2</v>
      </c>
      <c r="I11" s="285"/>
      <c r="J11" s="286">
        <f>ROUND(+F11*H11,5)</f>
        <v>2.5780000000000001E-2</v>
      </c>
      <c r="K11" s="269"/>
      <c r="L11" s="287"/>
      <c r="M11" s="263"/>
      <c r="N11" s="288"/>
    </row>
    <row r="12" spans="2:14">
      <c r="C12" s="262">
        <v>2</v>
      </c>
      <c r="D12" s="281" t="s">
        <v>53</v>
      </c>
      <c r="E12" s="279"/>
      <c r="F12" s="282">
        <v>0</v>
      </c>
      <c r="G12" s="283"/>
      <c r="H12" s="284">
        <v>0</v>
      </c>
      <c r="I12" s="285"/>
      <c r="J12" s="286">
        <f>ROUND(+F12*H12,5)</f>
        <v>0</v>
      </c>
      <c r="K12" s="269"/>
      <c r="L12" s="287"/>
      <c r="M12" s="263"/>
    </row>
    <row r="13" spans="2:14">
      <c r="C13" s="262">
        <v>3</v>
      </c>
      <c r="D13" s="281" t="s">
        <v>54</v>
      </c>
      <c r="E13" s="279"/>
      <c r="F13" s="282">
        <v>0.5</v>
      </c>
      <c r="G13" s="283"/>
      <c r="H13" s="284">
        <v>0.10299999999999999</v>
      </c>
      <c r="I13" s="285"/>
      <c r="J13" s="286">
        <f>ROUND(+F13*H13,5)</f>
        <v>5.1499999999999997E-2</v>
      </c>
      <c r="K13" s="269"/>
      <c r="L13" s="287"/>
      <c r="M13" s="263"/>
    </row>
    <row r="14" spans="2:14" ht="16.5" thickBot="1">
      <c r="B14" s="269"/>
      <c r="C14" s="262">
        <v>4</v>
      </c>
      <c r="D14" s="281" t="s">
        <v>55</v>
      </c>
      <c r="E14" s="279"/>
      <c r="F14" s="289">
        <f>SUM(F11:F13)</f>
        <v>1</v>
      </c>
      <c r="G14" s="283"/>
      <c r="H14" s="283"/>
      <c r="I14" s="285"/>
      <c r="J14" s="290">
        <f>SUM(J11:J13)</f>
        <v>7.7280000000000001E-2</v>
      </c>
      <c r="K14" s="269"/>
      <c r="L14" s="269"/>
      <c r="M14" s="263"/>
    </row>
    <row r="15" spans="2:14" ht="16.5" thickTop="1">
      <c r="B15" s="269"/>
      <c r="C15" s="291"/>
      <c r="D15" s="292"/>
      <c r="E15" s="292"/>
      <c r="F15" s="292"/>
      <c r="G15" s="292"/>
      <c r="H15" s="292"/>
      <c r="I15" s="292"/>
      <c r="J15" s="293"/>
      <c r="K15" s="269"/>
      <c r="L15" s="269"/>
      <c r="M15" s="263"/>
    </row>
    <row r="16" spans="2:14">
      <c r="B16" s="269"/>
      <c r="C16" s="271"/>
      <c r="D16" s="269"/>
      <c r="E16" s="269"/>
      <c r="F16" s="269"/>
      <c r="G16" s="269"/>
      <c r="H16" s="269"/>
      <c r="I16" s="269"/>
      <c r="J16" s="269"/>
      <c r="K16" s="269"/>
      <c r="L16" s="269"/>
      <c r="M16" s="263"/>
    </row>
    <row r="17" spans="2:12">
      <c r="B17" s="263"/>
      <c r="C17" s="272"/>
      <c r="D17" s="263" t="s">
        <v>1185</v>
      </c>
      <c r="E17" s="263"/>
      <c r="F17" s="263"/>
      <c r="G17" s="263"/>
      <c r="H17" s="263"/>
      <c r="I17" s="263"/>
      <c r="J17" s="263"/>
      <c r="K17" s="263"/>
      <c r="L17" s="263"/>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71"/>
  <sheetViews>
    <sheetView view="pageBreakPreview" topLeftCell="A28" zoomScaleNormal="75" zoomScaleSheetLayoutView="100" workbookViewId="0">
      <selection activeCell="D30" sqref="D30:D32"/>
    </sheetView>
  </sheetViews>
  <sheetFormatPr defaultColWidth="17.85546875" defaultRowHeight="12.75"/>
  <cols>
    <col min="1" max="1" width="7.85546875" style="375" bestFit="1" customWidth="1"/>
    <col min="2" max="2" width="17.7109375" style="330" customWidth="1"/>
    <col min="3" max="3" width="11.28515625" style="330" bestFit="1" customWidth="1"/>
    <col min="4" max="4" width="8.7109375" style="330" customWidth="1"/>
    <col min="5" max="5" width="10.42578125" style="330" customWidth="1"/>
    <col min="6" max="6" width="22.42578125" style="330" customWidth="1"/>
    <col min="7" max="7" width="15.140625" style="330" customWidth="1"/>
    <col min="8" max="9" width="15.42578125" style="330" bestFit="1" customWidth="1"/>
    <col min="10" max="10" width="8.28515625" style="330" bestFit="1" customWidth="1"/>
    <col min="11" max="11" width="15.5703125" style="330" bestFit="1" customWidth="1"/>
    <col min="12" max="13" width="11.7109375" style="330" bestFit="1" customWidth="1"/>
    <col min="14" max="14" width="12.28515625" style="330" bestFit="1" customWidth="1"/>
    <col min="15" max="15" width="10.85546875" style="330" bestFit="1" customWidth="1"/>
    <col min="16" max="16" width="12" style="330" bestFit="1" customWidth="1"/>
    <col min="17" max="17" width="10.42578125" style="330" bestFit="1" customWidth="1"/>
    <col min="18" max="18" width="13.42578125" style="330" customWidth="1"/>
    <col min="19" max="19" width="15.140625" style="330" customWidth="1"/>
    <col min="20" max="20" width="26.5703125" style="330" customWidth="1"/>
    <col min="21" max="16384" width="17.85546875" style="330"/>
  </cols>
  <sheetData>
    <row r="1" spans="1:20" s="331" customFormat="1" ht="15.75">
      <c r="A1" s="536"/>
      <c r="H1" s="884" t="s">
        <v>60</v>
      </c>
      <c r="I1" s="884"/>
      <c r="J1" s="884"/>
      <c r="K1" s="884"/>
      <c r="L1" s="884"/>
      <c r="M1" s="884"/>
      <c r="N1" s="884"/>
      <c r="O1" s="884"/>
      <c r="P1" s="884"/>
    </row>
    <row r="2" spans="1:20" s="331" customFormat="1" ht="15.75">
      <c r="A2" s="536"/>
      <c r="H2" s="884" t="s">
        <v>1390</v>
      </c>
      <c r="I2" s="884"/>
      <c r="J2" s="884"/>
      <c r="K2" s="884"/>
      <c r="L2" s="884"/>
      <c r="M2" s="884"/>
      <c r="N2" s="884"/>
      <c r="O2" s="884"/>
      <c r="P2" s="884"/>
    </row>
    <row r="3" spans="1:20" s="331" customFormat="1" ht="15.75">
      <c r="A3" s="536"/>
      <c r="B3" s="537"/>
      <c r="H3" s="884" t="s">
        <v>1642</v>
      </c>
      <c r="I3" s="884"/>
      <c r="J3" s="884"/>
      <c r="K3" s="884"/>
      <c r="L3" s="884"/>
      <c r="M3" s="884"/>
      <c r="N3" s="884"/>
      <c r="O3" s="884"/>
      <c r="P3" s="884"/>
    </row>
    <row r="4" spans="1:20" s="331" customFormat="1" ht="15.75">
      <c r="A4" s="536"/>
      <c r="H4" s="884" t="s">
        <v>1193</v>
      </c>
      <c r="I4" s="884"/>
      <c r="J4" s="884"/>
      <c r="K4" s="884"/>
      <c r="L4" s="884"/>
      <c r="M4" s="884"/>
      <c r="N4" s="884"/>
      <c r="O4" s="884"/>
      <c r="P4" s="884"/>
    </row>
    <row r="5" spans="1:20" s="331" customFormat="1" ht="15.75">
      <c r="A5" s="536"/>
      <c r="B5" s="538"/>
      <c r="H5" s="884" t="s">
        <v>1376</v>
      </c>
      <c r="I5" s="884"/>
      <c r="J5" s="884"/>
      <c r="K5" s="884"/>
      <c r="L5" s="884"/>
      <c r="M5" s="884"/>
      <c r="N5" s="884"/>
      <c r="O5" s="884"/>
      <c r="P5" s="884"/>
    </row>
    <row r="6" spans="1:20" s="536" customFormat="1" ht="15.75">
      <c r="B6" s="539" t="s">
        <v>885</v>
      </c>
      <c r="C6" s="536" t="s">
        <v>883</v>
      </c>
      <c r="D6" s="536" t="s">
        <v>884</v>
      </c>
      <c r="E6" s="536" t="s">
        <v>887</v>
      </c>
      <c r="F6" s="536" t="s">
        <v>888</v>
      </c>
      <c r="G6" s="536" t="s">
        <v>889</v>
      </c>
      <c r="H6" s="376" t="s">
        <v>890</v>
      </c>
      <c r="I6" s="376" t="s">
        <v>891</v>
      </c>
      <c r="J6" s="376" t="s">
        <v>892</v>
      </c>
      <c r="K6" s="376" t="s">
        <v>893</v>
      </c>
      <c r="L6" s="376" t="s">
        <v>894</v>
      </c>
      <c r="M6" s="376" t="s">
        <v>895</v>
      </c>
      <c r="N6" s="376" t="s">
        <v>896</v>
      </c>
      <c r="O6" s="376" t="s">
        <v>897</v>
      </c>
      <c r="P6" s="376" t="s">
        <v>898</v>
      </c>
      <c r="Q6" s="536" t="s">
        <v>1105</v>
      </c>
      <c r="R6" s="536" t="s">
        <v>1106</v>
      </c>
      <c r="S6" s="536" t="s">
        <v>1107</v>
      </c>
      <c r="T6" s="536" t="s">
        <v>1108</v>
      </c>
    </row>
    <row r="7" spans="1:20" s="331" customFormat="1" ht="15.75" thickBot="1">
      <c r="A7" s="536"/>
      <c r="B7" s="538" t="s">
        <v>1393</v>
      </c>
    </row>
    <row r="8" spans="1:20" s="331" customFormat="1">
      <c r="A8" s="536" t="s">
        <v>683</v>
      </c>
      <c r="B8" s="367"/>
      <c r="C8" s="366"/>
      <c r="D8" s="366"/>
      <c r="E8" s="365"/>
      <c r="F8" s="366"/>
      <c r="G8" s="366"/>
      <c r="H8" s="369"/>
      <c r="I8" s="369"/>
      <c r="J8" s="368"/>
      <c r="K8" s="367"/>
      <c r="L8" s="366"/>
      <c r="M8" s="366"/>
      <c r="N8" s="365"/>
      <c r="O8" s="367"/>
      <c r="P8" s="366"/>
      <c r="Q8" s="365"/>
      <c r="R8" s="367"/>
      <c r="S8" s="366"/>
      <c r="T8" s="365"/>
    </row>
    <row r="9" spans="1:20" s="331" customFormat="1">
      <c r="A9" s="536">
        <v>1</v>
      </c>
      <c r="B9" s="363" t="s">
        <v>60</v>
      </c>
      <c r="C9" s="360"/>
      <c r="D9" s="360"/>
      <c r="E9" s="359"/>
      <c r="F9" s="364" t="s">
        <v>60</v>
      </c>
      <c r="G9" s="360"/>
      <c r="H9" s="362"/>
      <c r="I9" s="362"/>
      <c r="J9" s="361"/>
      <c r="K9" s="363" t="s">
        <v>60</v>
      </c>
      <c r="L9" s="360"/>
      <c r="M9" s="360"/>
      <c r="N9" s="359"/>
      <c r="O9" s="363" t="s">
        <v>60</v>
      </c>
      <c r="P9" s="360"/>
      <c r="Q9" s="359"/>
      <c r="R9" s="363" t="s">
        <v>60</v>
      </c>
      <c r="S9" s="360"/>
      <c r="T9" s="359"/>
    </row>
    <row r="10" spans="1:20" s="331" customFormat="1" ht="14.25">
      <c r="A10" s="536">
        <v>2</v>
      </c>
      <c r="B10" s="363" t="s">
        <v>1179</v>
      </c>
      <c r="C10" s="360"/>
      <c r="D10" s="360"/>
      <c r="E10" s="359"/>
      <c r="F10" s="364" t="s">
        <v>1178</v>
      </c>
      <c r="G10" s="360"/>
      <c r="H10" s="362"/>
      <c r="I10" s="362"/>
      <c r="J10" s="361"/>
      <c r="K10" s="363" t="s">
        <v>1177</v>
      </c>
      <c r="L10" s="360"/>
      <c r="M10" s="360"/>
      <c r="N10" s="359"/>
      <c r="O10" s="363" t="s">
        <v>1176</v>
      </c>
      <c r="P10" s="360"/>
      <c r="Q10" s="359"/>
      <c r="R10" s="363" t="s">
        <v>117</v>
      </c>
      <c r="S10" s="360"/>
      <c r="T10" s="359"/>
    </row>
    <row r="11" spans="1:20" s="331" customFormat="1">
      <c r="A11" s="536">
        <v>3</v>
      </c>
      <c r="B11" s="540">
        <v>2017</v>
      </c>
      <c r="C11" s="360"/>
      <c r="D11" s="360"/>
      <c r="E11" s="359"/>
      <c r="F11" s="541">
        <f>+B11</f>
        <v>2017</v>
      </c>
      <c r="G11" s="360"/>
      <c r="H11" s="362"/>
      <c r="I11" s="362"/>
      <c r="J11" s="361"/>
      <c r="K11" s="542">
        <f>+B11</f>
        <v>2017</v>
      </c>
      <c r="L11" s="360"/>
      <c r="M11" s="360"/>
      <c r="N11" s="359"/>
      <c r="O11" s="542">
        <f>B11</f>
        <v>2017</v>
      </c>
      <c r="P11" s="360"/>
      <c r="Q11" s="359"/>
      <c r="R11" s="542">
        <f>B11</f>
        <v>2017</v>
      </c>
      <c r="S11" s="360"/>
      <c r="T11" s="359"/>
    </row>
    <row r="12" spans="1:20" s="331" customFormat="1">
      <c r="A12" s="536"/>
      <c r="B12" s="340"/>
      <c r="C12" s="339"/>
      <c r="D12" s="339"/>
      <c r="E12" s="338"/>
      <c r="F12" s="339"/>
      <c r="G12" s="339"/>
      <c r="H12" s="345"/>
      <c r="I12" s="345"/>
      <c r="J12" s="344"/>
      <c r="K12" s="340"/>
      <c r="L12" s="339"/>
      <c r="M12" s="339"/>
      <c r="N12" s="338"/>
      <c r="O12" s="340"/>
      <c r="P12" s="339"/>
      <c r="Q12" s="338"/>
      <c r="R12" s="340"/>
      <c r="S12" s="339"/>
      <c r="T12" s="338"/>
    </row>
    <row r="13" spans="1:20" s="331" customFormat="1">
      <c r="A13" s="536">
        <v>4</v>
      </c>
      <c r="B13" s="340"/>
      <c r="C13" s="339"/>
      <c r="D13" s="339"/>
      <c r="E13" s="338"/>
      <c r="F13" s="341" t="s">
        <v>1175</v>
      </c>
      <c r="G13" s="339"/>
      <c r="H13" s="357" t="s">
        <v>372</v>
      </c>
      <c r="I13" s="357" t="s">
        <v>760</v>
      </c>
      <c r="J13" s="344"/>
      <c r="K13" s="340"/>
      <c r="L13" s="339"/>
      <c r="M13" s="339"/>
      <c r="N13" s="338"/>
      <c r="O13" s="340"/>
      <c r="P13" s="339"/>
      <c r="Q13" s="338"/>
      <c r="R13" s="340"/>
      <c r="S13" s="339"/>
      <c r="T13" s="338"/>
    </row>
    <row r="14" spans="1:20" s="331" customFormat="1">
      <c r="A14" s="536">
        <v>5</v>
      </c>
      <c r="B14" s="340"/>
      <c r="C14" s="351" t="s">
        <v>372</v>
      </c>
      <c r="D14" s="351" t="s">
        <v>760</v>
      </c>
      <c r="E14" s="350" t="s">
        <v>58</v>
      </c>
      <c r="F14" s="339"/>
      <c r="G14" s="358"/>
      <c r="H14" s="357" t="s">
        <v>791</v>
      </c>
      <c r="I14" s="357" t="s">
        <v>791</v>
      </c>
      <c r="J14" s="344"/>
      <c r="K14" s="340"/>
      <c r="L14" s="339"/>
      <c r="M14" s="339"/>
      <c r="N14" s="338"/>
      <c r="O14" s="340"/>
      <c r="P14" s="353" t="s">
        <v>1174</v>
      </c>
      <c r="Q14" s="354"/>
      <c r="R14" s="347" t="s">
        <v>1173</v>
      </c>
      <c r="S14" s="339"/>
      <c r="T14" s="338"/>
    </row>
    <row r="15" spans="1:20" s="331" customFormat="1">
      <c r="A15" s="536">
        <v>6</v>
      </c>
      <c r="B15" s="340"/>
      <c r="C15" s="343"/>
      <c r="D15" s="343"/>
      <c r="E15" s="342"/>
      <c r="F15" s="339"/>
      <c r="G15" s="351" t="s">
        <v>1172</v>
      </c>
      <c r="H15" s="356" t="s">
        <v>1171</v>
      </c>
      <c r="I15" s="356" t="s">
        <v>1171</v>
      </c>
      <c r="J15" s="344"/>
      <c r="K15" s="340"/>
      <c r="L15" s="353" t="s">
        <v>372</v>
      </c>
      <c r="M15" s="353" t="s">
        <v>760</v>
      </c>
      <c r="N15" s="354"/>
      <c r="O15" s="340"/>
      <c r="P15" s="351" t="s">
        <v>1170</v>
      </c>
      <c r="Q15" s="350" t="s">
        <v>1163</v>
      </c>
      <c r="R15" s="340"/>
      <c r="S15" s="339"/>
      <c r="T15" s="338"/>
    </row>
    <row r="16" spans="1:20" s="331" customFormat="1">
      <c r="A16" s="536">
        <v>7</v>
      </c>
      <c r="B16" s="347" t="s">
        <v>1169</v>
      </c>
      <c r="C16" s="543">
        <f>Q17</f>
        <v>0.74490000000000001</v>
      </c>
      <c r="D16" s="543">
        <f>E16-C16</f>
        <v>0.25509999999999999</v>
      </c>
      <c r="E16" s="544">
        <v>1</v>
      </c>
      <c r="F16" s="339"/>
      <c r="G16" s="343"/>
      <c r="H16" s="346"/>
      <c r="I16" s="346"/>
      <c r="J16" s="344"/>
      <c r="K16" s="340"/>
      <c r="L16" s="351" t="s">
        <v>1168</v>
      </c>
      <c r="M16" s="351" t="s">
        <v>1168</v>
      </c>
      <c r="N16" s="350" t="s">
        <v>58</v>
      </c>
      <c r="O16" s="340"/>
      <c r="P16" s="343"/>
      <c r="Q16" s="342"/>
      <c r="R16" s="340"/>
      <c r="S16" s="339"/>
      <c r="T16" s="338"/>
    </row>
    <row r="17" spans="1:21" s="331" customFormat="1">
      <c r="A17" s="536">
        <v>8</v>
      </c>
      <c r="B17" s="347" t="s">
        <v>1167</v>
      </c>
      <c r="C17" s="543">
        <f>H39</f>
        <v>0.7258</v>
      </c>
      <c r="D17" s="543">
        <f>E17-C17</f>
        <v>0.2742</v>
      </c>
      <c r="E17" s="544">
        <v>1</v>
      </c>
      <c r="F17" s="339"/>
      <c r="G17" s="545">
        <v>42735</v>
      </c>
      <c r="H17" s="546">
        <v>186</v>
      </c>
      <c r="I17" s="546">
        <v>67</v>
      </c>
      <c r="J17" s="344"/>
      <c r="K17" s="340"/>
      <c r="L17" s="343"/>
      <c r="M17" s="343"/>
      <c r="N17" s="342"/>
      <c r="O17" s="347" t="s">
        <v>372</v>
      </c>
      <c r="P17" s="546">
        <f>+P62</f>
        <v>211164.58333333334</v>
      </c>
      <c r="Q17" s="544">
        <f>ROUND(P17/P21,4)</f>
        <v>0.74490000000000001</v>
      </c>
      <c r="R17" s="340"/>
      <c r="S17" s="355">
        <f>R11</f>
        <v>2017</v>
      </c>
      <c r="T17" s="354"/>
    </row>
    <row r="18" spans="1:21" s="331" customFormat="1">
      <c r="A18" s="536">
        <v>9</v>
      </c>
      <c r="B18" s="347" t="s">
        <v>1166</v>
      </c>
      <c r="C18" s="547">
        <f>L25</f>
        <v>0.77490000000000003</v>
      </c>
      <c r="D18" s="547">
        <f>E18-C18</f>
        <v>0.22509999999999997</v>
      </c>
      <c r="E18" s="548">
        <v>1</v>
      </c>
      <c r="F18" s="339"/>
      <c r="G18" s="545">
        <f>G17+30</f>
        <v>42765</v>
      </c>
      <c r="H18" s="546">
        <v>170</v>
      </c>
      <c r="I18" s="546">
        <v>64</v>
      </c>
      <c r="J18" s="344"/>
      <c r="K18" s="347" t="s">
        <v>1165</v>
      </c>
      <c r="L18" s="331">
        <v>721672786</v>
      </c>
      <c r="M18" s="331">
        <v>209695352</v>
      </c>
      <c r="N18" s="549">
        <f>SUM(L18:M18)</f>
        <v>931368138</v>
      </c>
      <c r="O18" s="347" t="s">
        <v>760</v>
      </c>
      <c r="P18" s="550">
        <f>+Q62</f>
        <v>72304.25</v>
      </c>
      <c r="Q18" s="548">
        <f>Q21-Q17</f>
        <v>0.25509999999999999</v>
      </c>
      <c r="R18" s="340"/>
      <c r="S18" s="353" t="s">
        <v>1142</v>
      </c>
      <c r="T18" s="352" t="s">
        <v>745</v>
      </c>
    </row>
    <row r="19" spans="1:21" s="331" customFormat="1">
      <c r="A19" s="536">
        <v>10</v>
      </c>
      <c r="B19" s="340"/>
      <c r="C19" s="343"/>
      <c r="D19" s="343"/>
      <c r="E19" s="342"/>
      <c r="F19" s="339"/>
      <c r="G19" s="545">
        <f>G18+28</f>
        <v>42793</v>
      </c>
      <c r="H19" s="546">
        <v>171</v>
      </c>
      <c r="I19" s="546">
        <v>65</v>
      </c>
      <c r="J19" s="344"/>
      <c r="K19" s="340"/>
      <c r="L19" s="345"/>
      <c r="M19" s="345"/>
      <c r="N19" s="344"/>
      <c r="O19" s="340"/>
      <c r="P19" s="346"/>
      <c r="Q19" s="342"/>
      <c r="R19" s="340"/>
      <c r="S19" s="351" t="s">
        <v>41</v>
      </c>
      <c r="T19" s="350" t="s">
        <v>1164</v>
      </c>
    </row>
    <row r="20" spans="1:21">
      <c r="A20" s="375">
        <v>11</v>
      </c>
      <c r="B20" s="340"/>
      <c r="C20" s="339"/>
      <c r="D20" s="339"/>
      <c r="E20" s="338"/>
      <c r="F20" s="339"/>
      <c r="G20" s="545">
        <f t="shared" ref="G20:G29" si="0">G19+30</f>
        <v>42823</v>
      </c>
      <c r="H20" s="546">
        <v>169</v>
      </c>
      <c r="I20" s="546">
        <v>65</v>
      </c>
      <c r="J20" s="344"/>
      <c r="K20" s="340"/>
      <c r="L20" s="346"/>
      <c r="M20" s="346"/>
      <c r="N20" s="551"/>
      <c r="O20" s="340"/>
      <c r="P20" s="345"/>
      <c r="Q20" s="338"/>
      <c r="R20" s="340"/>
      <c r="S20" s="346"/>
      <c r="T20" s="352"/>
    </row>
    <row r="21" spans="1:21">
      <c r="A21" s="375">
        <v>12</v>
      </c>
      <c r="B21" s="347" t="s">
        <v>115</v>
      </c>
      <c r="C21" s="547">
        <f>ROUND(AVERAGE(C16:C18),4)</f>
        <v>0.74850000000000005</v>
      </c>
      <c r="D21" s="547">
        <f>AVERAGE(D16:D18)</f>
        <v>0.25146666666666667</v>
      </c>
      <c r="E21" s="548">
        <f>AVERAGE(E16:E18)</f>
        <v>1</v>
      </c>
      <c r="F21" s="339"/>
      <c r="G21" s="545">
        <f t="shared" si="0"/>
        <v>42853</v>
      </c>
      <c r="H21" s="546">
        <v>170</v>
      </c>
      <c r="I21" s="546">
        <v>65</v>
      </c>
      <c r="J21" s="344"/>
      <c r="K21" s="340"/>
      <c r="L21" s="345"/>
      <c r="M21" s="345"/>
      <c r="N21" s="344"/>
      <c r="O21" s="347" t="s">
        <v>58</v>
      </c>
      <c r="P21" s="552">
        <f>SUM(P16:P19)</f>
        <v>283468.83333333337</v>
      </c>
      <c r="Q21" s="548">
        <v>1</v>
      </c>
      <c r="R21" s="347" t="s">
        <v>372</v>
      </c>
      <c r="S21" s="546">
        <v>283774539</v>
      </c>
      <c r="T21" s="352">
        <f>ROUND(S21/S25,4)</f>
        <v>0.76729999999999998</v>
      </c>
      <c r="U21" s="349"/>
    </row>
    <row r="22" spans="1:21">
      <c r="A22" s="375">
        <v>13</v>
      </c>
      <c r="B22" s="340"/>
      <c r="C22" s="343"/>
      <c r="D22" s="343"/>
      <c r="E22" s="342"/>
      <c r="F22" s="339"/>
      <c r="G22" s="545">
        <f t="shared" si="0"/>
        <v>42883</v>
      </c>
      <c r="H22" s="546">
        <v>172</v>
      </c>
      <c r="I22" s="546">
        <v>65</v>
      </c>
      <c r="J22" s="344"/>
      <c r="K22" s="340"/>
      <c r="L22" s="343"/>
      <c r="M22" s="343"/>
      <c r="N22" s="342"/>
      <c r="O22" s="340"/>
      <c r="P22" s="346"/>
      <c r="Q22" s="342"/>
      <c r="R22" s="347" t="s">
        <v>760</v>
      </c>
      <c r="S22" s="546">
        <v>86063721</v>
      </c>
      <c r="T22" s="350">
        <f>T25-T21</f>
        <v>0.23270000000000002</v>
      </c>
      <c r="U22" s="349"/>
    </row>
    <row r="23" spans="1:21">
      <c r="A23" s="375">
        <v>14</v>
      </c>
      <c r="B23" s="340"/>
      <c r="C23" s="553"/>
      <c r="D23" s="339"/>
      <c r="E23" s="338"/>
      <c r="F23" s="339"/>
      <c r="G23" s="545">
        <f t="shared" si="0"/>
        <v>42913</v>
      </c>
      <c r="H23" s="546">
        <v>174</v>
      </c>
      <c r="I23" s="546">
        <v>69</v>
      </c>
      <c r="J23" s="344"/>
      <c r="K23" s="340"/>
      <c r="L23" s="339"/>
      <c r="M23" s="339"/>
      <c r="N23" s="338"/>
      <c r="O23" s="340"/>
      <c r="P23" s="339"/>
      <c r="Q23" s="338"/>
      <c r="R23" s="340"/>
      <c r="S23" s="346"/>
      <c r="T23" s="352"/>
    </row>
    <row r="24" spans="1:21">
      <c r="A24" s="375">
        <v>15</v>
      </c>
      <c r="B24" s="340"/>
      <c r="C24" s="339"/>
      <c r="D24" s="339"/>
      <c r="E24" s="338"/>
      <c r="F24" s="339"/>
      <c r="G24" s="545">
        <f t="shared" si="0"/>
        <v>42943</v>
      </c>
      <c r="H24" s="546">
        <v>173</v>
      </c>
      <c r="I24" s="546">
        <v>68</v>
      </c>
      <c r="J24" s="344"/>
      <c r="K24" s="340"/>
      <c r="L24" s="339"/>
      <c r="M24" s="339"/>
      <c r="N24" s="338"/>
      <c r="O24" s="340"/>
      <c r="P24" s="339"/>
      <c r="Q24" s="338"/>
      <c r="R24" s="340"/>
      <c r="S24" s="345"/>
      <c r="T24" s="354"/>
    </row>
    <row r="25" spans="1:21">
      <c r="A25" s="375">
        <v>16</v>
      </c>
      <c r="B25" s="340"/>
      <c r="C25" s="339"/>
      <c r="D25" s="339"/>
      <c r="E25" s="338"/>
      <c r="F25" s="339"/>
      <c r="G25" s="545">
        <f t="shared" si="0"/>
        <v>42973</v>
      </c>
      <c r="H25" s="546">
        <v>177</v>
      </c>
      <c r="I25" s="546">
        <v>68</v>
      </c>
      <c r="J25" s="344"/>
      <c r="K25" s="347" t="s">
        <v>1163</v>
      </c>
      <c r="L25" s="547">
        <f>ROUND(L18/N18,4)</f>
        <v>0.77490000000000003</v>
      </c>
      <c r="M25" s="547">
        <f>N25-L25</f>
        <v>0.22509999999999997</v>
      </c>
      <c r="N25" s="548">
        <v>1</v>
      </c>
      <c r="O25" s="340"/>
      <c r="P25" s="339"/>
      <c r="Q25" s="338"/>
      <c r="R25" s="340"/>
      <c r="S25" s="552">
        <f>SUM(S20:S23)</f>
        <v>369838260</v>
      </c>
      <c r="T25" s="350">
        <v>1</v>
      </c>
    </row>
    <row r="26" spans="1:21">
      <c r="A26" s="375">
        <v>17</v>
      </c>
      <c r="B26" s="340"/>
      <c r="C26" s="339"/>
      <c r="D26" s="339"/>
      <c r="E26" s="338"/>
      <c r="F26" s="339"/>
      <c r="G26" s="545">
        <f t="shared" si="0"/>
        <v>43003</v>
      </c>
      <c r="H26" s="546">
        <v>171</v>
      </c>
      <c r="I26" s="546">
        <v>64</v>
      </c>
      <c r="J26" s="344"/>
      <c r="K26" s="340"/>
      <c r="L26" s="343"/>
      <c r="M26" s="343"/>
      <c r="N26" s="342"/>
      <c r="O26" s="340"/>
      <c r="P26" s="339"/>
      <c r="Q26" s="338"/>
      <c r="R26" s="340"/>
      <c r="S26" s="346"/>
      <c r="T26" s="342"/>
    </row>
    <row r="27" spans="1:21">
      <c r="A27" s="375">
        <v>18</v>
      </c>
      <c r="B27" s="340"/>
      <c r="C27" s="339"/>
      <c r="D27" s="339"/>
      <c r="E27" s="338"/>
      <c r="F27" s="339"/>
      <c r="G27" s="545">
        <f t="shared" si="0"/>
        <v>43033</v>
      </c>
      <c r="H27" s="546">
        <v>173</v>
      </c>
      <c r="I27" s="546">
        <v>64</v>
      </c>
      <c r="J27" s="344"/>
      <c r="K27" s="340"/>
      <c r="L27" s="339"/>
      <c r="M27" s="339"/>
      <c r="N27" s="338"/>
      <c r="O27" s="340"/>
      <c r="P27" s="339"/>
      <c r="Q27" s="338"/>
      <c r="R27" s="340"/>
      <c r="S27" s="345"/>
      <c r="T27" s="338"/>
    </row>
    <row r="28" spans="1:21">
      <c r="A28" s="375">
        <v>19</v>
      </c>
      <c r="B28" s="340"/>
      <c r="C28" s="339"/>
      <c r="D28" s="339"/>
      <c r="E28" s="338"/>
      <c r="F28" s="339"/>
      <c r="G28" s="545">
        <f t="shared" si="0"/>
        <v>43063</v>
      </c>
      <c r="H28" s="546">
        <v>172</v>
      </c>
      <c r="I28" s="546">
        <v>61</v>
      </c>
      <c r="J28" s="344"/>
      <c r="K28" s="340"/>
      <c r="L28" s="348"/>
      <c r="M28" s="348"/>
      <c r="N28" s="338"/>
      <c r="O28" s="340"/>
      <c r="P28" s="339"/>
      <c r="Q28" s="338"/>
      <c r="R28" s="340"/>
      <c r="S28" s="339"/>
      <c r="T28" s="338"/>
    </row>
    <row r="29" spans="1:21">
      <c r="A29" s="375">
        <v>20</v>
      </c>
      <c r="B29" s="347" t="s">
        <v>117</v>
      </c>
      <c r="C29" s="547">
        <f>T21</f>
        <v>0.76729999999999998</v>
      </c>
      <c r="D29" s="547">
        <f>E29-C29</f>
        <v>0.23270000000000002</v>
      </c>
      <c r="E29" s="548">
        <v>1</v>
      </c>
      <c r="F29" s="339"/>
      <c r="G29" s="545">
        <f t="shared" si="0"/>
        <v>43093</v>
      </c>
      <c r="H29" s="550">
        <v>172</v>
      </c>
      <c r="I29" s="550">
        <v>62</v>
      </c>
      <c r="J29" s="344"/>
      <c r="K29" s="347"/>
      <c r="L29" s="339"/>
      <c r="M29" s="339"/>
      <c r="N29" s="338"/>
      <c r="O29" s="340"/>
      <c r="P29" s="339"/>
      <c r="Q29" s="338"/>
      <c r="R29" s="340"/>
      <c r="S29" s="339"/>
      <c r="T29" s="338"/>
    </row>
    <row r="30" spans="1:21">
      <c r="A30" s="375">
        <v>21</v>
      </c>
      <c r="B30" s="340"/>
      <c r="C30" s="343"/>
      <c r="D30" s="343"/>
      <c r="E30" s="342"/>
      <c r="F30" s="339"/>
      <c r="G30" s="339"/>
      <c r="H30" s="346"/>
      <c r="I30" s="346" t="s">
        <v>56</v>
      </c>
      <c r="J30" s="344"/>
      <c r="K30" s="340"/>
      <c r="L30" s="339"/>
      <c r="M30" s="339"/>
      <c r="N30" s="338"/>
      <c r="O30" s="340"/>
      <c r="P30" s="339"/>
      <c r="Q30" s="338"/>
      <c r="R30" s="340"/>
      <c r="S30" s="339"/>
      <c r="T30" s="338"/>
    </row>
    <row r="31" spans="1:21">
      <c r="A31" s="375">
        <v>22</v>
      </c>
      <c r="B31" s="340"/>
      <c r="C31" s="339"/>
      <c r="D31" s="339"/>
      <c r="E31" s="338"/>
      <c r="F31" s="339"/>
      <c r="G31" s="339"/>
      <c r="H31" s="345"/>
      <c r="I31" s="345"/>
      <c r="J31" s="344"/>
      <c r="K31" s="340"/>
      <c r="L31" s="339"/>
      <c r="M31" s="339"/>
      <c r="N31" s="338"/>
      <c r="O31" s="340"/>
      <c r="P31" s="339"/>
      <c r="Q31" s="338"/>
      <c r="R31" s="340"/>
      <c r="S31" s="339"/>
      <c r="T31" s="338"/>
    </row>
    <row r="32" spans="1:21">
      <c r="A32" s="375">
        <v>23</v>
      </c>
      <c r="B32" s="340"/>
      <c r="C32" s="339"/>
      <c r="D32" s="339"/>
      <c r="E32" s="338"/>
      <c r="F32" s="339"/>
      <c r="G32" s="339"/>
      <c r="H32" s="554">
        <f>SUM(H16:H30)</f>
        <v>2250</v>
      </c>
      <c r="I32" s="554">
        <f>SUM(I16:I30)</f>
        <v>847</v>
      </c>
      <c r="J32" s="344"/>
      <c r="K32" s="340"/>
      <c r="L32" s="339"/>
      <c r="M32" s="339"/>
      <c r="N32" s="338"/>
      <c r="O32" s="340"/>
      <c r="P32" s="339"/>
      <c r="Q32" s="338"/>
      <c r="R32" s="340"/>
      <c r="S32" s="339"/>
      <c r="T32" s="338"/>
    </row>
    <row r="33" spans="1:20">
      <c r="A33" s="375">
        <v>24</v>
      </c>
      <c r="B33" s="340"/>
      <c r="C33" s="339"/>
      <c r="D33" s="339"/>
      <c r="E33" s="338"/>
      <c r="F33" s="339"/>
      <c r="G33" s="339"/>
      <c r="H33" s="345" t="s">
        <v>56</v>
      </c>
      <c r="I33" s="345" t="s">
        <v>56</v>
      </c>
      <c r="J33" s="344"/>
      <c r="K33" s="340"/>
      <c r="L33" s="339"/>
      <c r="M33" s="339"/>
      <c r="N33" s="338"/>
      <c r="O33" s="340"/>
      <c r="P33" s="339"/>
      <c r="Q33" s="338"/>
      <c r="R33" s="340"/>
      <c r="S33" s="339"/>
      <c r="T33" s="338"/>
    </row>
    <row r="34" spans="1:20">
      <c r="A34" s="375">
        <v>25</v>
      </c>
      <c r="B34" s="347"/>
      <c r="C34" s="555"/>
      <c r="D34" s="543"/>
      <c r="E34" s="544"/>
      <c r="F34" s="339"/>
      <c r="G34" s="339"/>
      <c r="H34" s="345"/>
      <c r="I34" s="345" t="s">
        <v>56</v>
      </c>
      <c r="J34" s="344"/>
      <c r="K34" s="340"/>
      <c r="L34" s="331"/>
      <c r="M34" s="339"/>
      <c r="N34" s="338"/>
      <c r="O34" s="340"/>
      <c r="P34" s="339"/>
      <c r="Q34" s="338"/>
      <c r="R34" s="340"/>
      <c r="S34" s="339"/>
      <c r="T34" s="338"/>
    </row>
    <row r="35" spans="1:20">
      <c r="A35" s="375">
        <v>26</v>
      </c>
      <c r="B35" s="340"/>
      <c r="C35" s="343"/>
      <c r="D35" s="343"/>
      <c r="E35" s="342"/>
      <c r="F35" s="341" t="s">
        <v>1162</v>
      </c>
      <c r="G35" s="339"/>
      <c r="H35" s="552">
        <f>ROUND((SUM(H18:H28)*2+H17+H29)/24,2)</f>
        <v>172.58</v>
      </c>
      <c r="I35" s="552">
        <f>ROUND((SUM(I18:I28)*2+I17+I29)/24,2)</f>
        <v>65.209999999999994</v>
      </c>
      <c r="J35" s="556">
        <f>H35+I35</f>
        <v>237.79000000000002</v>
      </c>
      <c r="K35" s="340"/>
      <c r="L35" s="339"/>
      <c r="M35" s="339"/>
      <c r="N35" s="338"/>
      <c r="O35" s="340"/>
      <c r="P35" s="339"/>
      <c r="Q35" s="338"/>
      <c r="R35" s="340"/>
      <c r="S35" s="339"/>
      <c r="T35" s="338"/>
    </row>
    <row r="36" spans="1:20">
      <c r="A36" s="375">
        <v>27</v>
      </c>
      <c r="B36" s="340"/>
      <c r="C36" s="339"/>
      <c r="D36" s="339"/>
      <c r="E36" s="338"/>
      <c r="F36" s="339"/>
      <c r="G36" s="339"/>
      <c r="H36" s="343"/>
      <c r="I36" s="343" t="s">
        <v>56</v>
      </c>
      <c r="J36" s="342"/>
      <c r="K36" s="340"/>
      <c r="L36" s="339"/>
      <c r="M36" s="339"/>
      <c r="N36" s="338"/>
      <c r="O36" s="340"/>
      <c r="P36" s="339"/>
      <c r="Q36" s="338"/>
      <c r="R36" s="340"/>
      <c r="S36" s="339"/>
      <c r="T36" s="338"/>
    </row>
    <row r="37" spans="1:20">
      <c r="A37" s="375">
        <v>28</v>
      </c>
      <c r="B37" s="340"/>
      <c r="C37" s="339"/>
      <c r="D37" s="339"/>
      <c r="E37" s="338"/>
      <c r="F37" s="339"/>
      <c r="G37" s="339"/>
      <c r="H37" s="339"/>
      <c r="I37" s="339"/>
      <c r="J37" s="338"/>
      <c r="K37" s="340"/>
      <c r="L37" s="339"/>
      <c r="M37" s="339"/>
      <c r="N37" s="338"/>
      <c r="O37" s="340"/>
      <c r="P37" s="339"/>
      <c r="Q37" s="338"/>
      <c r="R37" s="340"/>
      <c r="S37" s="339"/>
      <c r="T37" s="338"/>
    </row>
    <row r="38" spans="1:20">
      <c r="A38" s="375">
        <v>29</v>
      </c>
      <c r="B38" s="340"/>
      <c r="C38" s="339"/>
      <c r="D38" s="339"/>
      <c r="E38" s="338"/>
      <c r="F38" s="339"/>
      <c r="G38" s="339"/>
      <c r="H38" s="339"/>
      <c r="I38" s="339"/>
      <c r="J38" s="338"/>
      <c r="K38" s="340"/>
      <c r="L38" s="339"/>
      <c r="M38" s="339"/>
      <c r="N38" s="338"/>
      <c r="O38" s="340"/>
      <c r="P38" s="339"/>
      <c r="Q38" s="338"/>
      <c r="R38" s="340"/>
      <c r="S38" s="339"/>
      <c r="T38" s="338"/>
    </row>
    <row r="39" spans="1:20">
      <c r="A39" s="375">
        <v>30</v>
      </c>
      <c r="B39" s="340"/>
      <c r="C39" s="339"/>
      <c r="D39" s="339"/>
      <c r="E39" s="338"/>
      <c r="F39" s="339"/>
      <c r="G39" s="341" t="s">
        <v>1161</v>
      </c>
      <c r="H39" s="547">
        <f>ROUND(H35/J35,4)</f>
        <v>0.7258</v>
      </c>
      <c r="I39" s="547">
        <f>J39-H39</f>
        <v>0.2742</v>
      </c>
      <c r="J39" s="548">
        <v>1</v>
      </c>
      <c r="K39" s="340"/>
      <c r="L39" s="339"/>
      <c r="M39" s="339"/>
      <c r="N39" s="338"/>
      <c r="O39" s="340"/>
      <c r="P39" s="339"/>
      <c r="Q39" s="338"/>
      <c r="R39" s="340"/>
      <c r="S39" s="339"/>
      <c r="T39" s="338"/>
    </row>
    <row r="40" spans="1:20">
      <c r="A40" s="375">
        <v>31</v>
      </c>
      <c r="B40" s="340"/>
      <c r="C40" s="339"/>
      <c r="D40" s="339"/>
      <c r="E40" s="338"/>
      <c r="F40" s="339"/>
      <c r="G40" s="339"/>
      <c r="H40" s="343"/>
      <c r="I40" s="343"/>
      <c r="J40" s="342"/>
      <c r="K40" s="340"/>
      <c r="L40" s="339"/>
      <c r="M40" s="339"/>
      <c r="N40" s="338"/>
      <c r="O40" s="340"/>
      <c r="P40" s="339"/>
      <c r="Q40" s="338"/>
      <c r="R40" s="340"/>
      <c r="S40" s="339"/>
      <c r="T40" s="338"/>
    </row>
    <row r="41" spans="1:20">
      <c r="A41" s="375">
        <v>32</v>
      </c>
      <c r="B41" s="340"/>
      <c r="C41" s="339"/>
      <c r="D41" s="339"/>
      <c r="E41" s="338"/>
      <c r="F41" s="339"/>
      <c r="G41" s="339"/>
      <c r="H41" s="339"/>
      <c r="I41" s="339"/>
      <c r="J41" s="338"/>
      <c r="K41" s="340"/>
      <c r="L41" s="339"/>
      <c r="M41" s="339"/>
      <c r="N41" s="338"/>
      <c r="O41" s="340"/>
      <c r="P41" s="339"/>
      <c r="Q41" s="338"/>
      <c r="R41" s="340"/>
      <c r="S41" s="339"/>
      <c r="T41" s="338"/>
    </row>
    <row r="42" spans="1:20">
      <c r="A42" s="375">
        <v>33</v>
      </c>
      <c r="B42" s="340"/>
      <c r="C42" s="339"/>
      <c r="D42" s="339"/>
      <c r="E42" s="338"/>
      <c r="F42" s="339"/>
      <c r="G42" s="339"/>
      <c r="H42" s="339"/>
      <c r="I42" s="339"/>
      <c r="J42" s="338"/>
      <c r="K42" s="340"/>
      <c r="L42" s="339"/>
      <c r="M42" s="339"/>
      <c r="N42" s="338"/>
      <c r="O42" s="340"/>
      <c r="P42" s="339"/>
      <c r="Q42" s="338"/>
      <c r="R42" s="340"/>
      <c r="S42" s="339"/>
      <c r="T42" s="338"/>
    </row>
    <row r="43" spans="1:20">
      <c r="A43" s="375">
        <v>34</v>
      </c>
      <c r="B43" s="340"/>
      <c r="C43" s="339"/>
      <c r="D43" s="339"/>
      <c r="E43" s="338"/>
      <c r="F43" s="341" t="s">
        <v>1160</v>
      </c>
      <c r="G43" s="339"/>
      <c r="H43" s="339"/>
      <c r="I43" s="339"/>
      <c r="J43" s="338"/>
      <c r="K43" s="340"/>
      <c r="L43" s="339"/>
      <c r="M43" s="339"/>
      <c r="N43" s="338"/>
      <c r="O43" s="340"/>
      <c r="P43" s="339"/>
      <c r="Q43" s="338"/>
      <c r="R43" s="340"/>
      <c r="S43" s="339"/>
      <c r="T43" s="338"/>
    </row>
    <row r="44" spans="1:20">
      <c r="A44" s="375">
        <v>35</v>
      </c>
      <c r="B44" s="340"/>
      <c r="C44" s="339"/>
      <c r="D44" s="339"/>
      <c r="E44" s="338"/>
      <c r="F44" s="341"/>
      <c r="G44" s="339"/>
      <c r="H44" s="339"/>
      <c r="I44" s="339"/>
      <c r="J44" s="338"/>
      <c r="K44" s="340"/>
      <c r="L44" s="339"/>
      <c r="M44" s="339"/>
      <c r="N44" s="338"/>
      <c r="O44" s="340"/>
      <c r="P44" s="339"/>
      <c r="Q44" s="338"/>
      <c r="R44" s="340"/>
      <c r="S44" s="339"/>
      <c r="T44" s="338"/>
    </row>
    <row r="45" spans="1:20" ht="13.5" thickBot="1">
      <c r="A45" s="375">
        <v>36</v>
      </c>
      <c r="B45" s="336"/>
      <c r="C45" s="335"/>
      <c r="D45" s="335"/>
      <c r="E45" s="334"/>
      <c r="F45" s="337"/>
      <c r="G45" s="335"/>
      <c r="H45" s="335"/>
      <c r="I45" s="335"/>
      <c r="J45" s="334"/>
      <c r="K45" s="336"/>
      <c r="L45" s="335"/>
      <c r="M45" s="335"/>
      <c r="N45" s="334"/>
      <c r="O45" s="336"/>
      <c r="P45" s="335"/>
      <c r="Q45" s="334"/>
      <c r="R45" s="336"/>
      <c r="S45" s="335"/>
      <c r="T45" s="334"/>
    </row>
    <row r="46" spans="1:20">
      <c r="A46" s="375">
        <v>37</v>
      </c>
      <c r="B46" s="331"/>
      <c r="C46" s="331"/>
      <c r="D46" s="331"/>
      <c r="E46" s="331"/>
      <c r="F46" s="331"/>
      <c r="G46" s="331"/>
      <c r="H46" s="331"/>
      <c r="I46" s="331"/>
      <c r="J46" s="331"/>
      <c r="K46" s="331"/>
      <c r="L46" s="331"/>
      <c r="M46" s="331"/>
      <c r="N46" s="331"/>
      <c r="O46" s="331"/>
      <c r="P46" s="331"/>
      <c r="Q46" s="331"/>
      <c r="R46" s="331"/>
      <c r="S46" s="331"/>
      <c r="T46" s="331"/>
    </row>
    <row r="47" spans="1:20">
      <c r="A47" s="375">
        <v>38</v>
      </c>
      <c r="B47" s="331"/>
      <c r="C47" s="331"/>
      <c r="D47" s="331"/>
      <c r="E47" s="331"/>
      <c r="F47" s="331"/>
      <c r="G47" s="331"/>
      <c r="H47" s="331"/>
      <c r="I47" s="331"/>
      <c r="J47" s="331"/>
      <c r="K47" s="331"/>
      <c r="L47" s="331"/>
      <c r="M47" s="331"/>
      <c r="N47" s="331"/>
      <c r="O47" s="331"/>
      <c r="P47" s="331"/>
      <c r="Q47" s="331"/>
      <c r="R47" s="331"/>
      <c r="S47" s="331"/>
      <c r="T47" s="331"/>
    </row>
    <row r="48" spans="1:20" ht="14.25">
      <c r="A48" s="375">
        <v>39</v>
      </c>
      <c r="B48" s="331" t="s">
        <v>1159</v>
      </c>
      <c r="C48" s="331"/>
      <c r="D48" s="331"/>
      <c r="E48" s="331"/>
      <c r="F48" s="331"/>
      <c r="G48" s="331"/>
      <c r="H48" s="331"/>
      <c r="I48" s="331"/>
      <c r="J48" s="331"/>
      <c r="K48" s="331"/>
      <c r="L48" s="331"/>
      <c r="M48" s="331"/>
      <c r="N48" s="331"/>
      <c r="O48" s="331"/>
      <c r="P48" s="331"/>
      <c r="Q48" s="331"/>
      <c r="R48" s="331"/>
      <c r="S48" s="331"/>
      <c r="T48" s="331"/>
    </row>
    <row r="49" spans="1:20" ht="14.25">
      <c r="A49" s="375">
        <v>40</v>
      </c>
      <c r="B49" s="331" t="s">
        <v>1158</v>
      </c>
      <c r="C49" s="331"/>
      <c r="D49" s="331"/>
      <c r="E49" s="331"/>
      <c r="F49" s="331"/>
      <c r="G49" s="331"/>
      <c r="H49" s="331"/>
      <c r="I49" s="331"/>
      <c r="J49" s="331"/>
      <c r="K49" s="331"/>
      <c r="L49" s="331"/>
      <c r="M49" s="331"/>
      <c r="N49" s="331"/>
      <c r="O49" s="557">
        <v>2017</v>
      </c>
      <c r="P49" s="558" t="s">
        <v>1157</v>
      </c>
      <c r="Q49" s="558" t="s">
        <v>1156</v>
      </c>
      <c r="R49" s="558" t="s">
        <v>58</v>
      </c>
      <c r="S49" s="331"/>
      <c r="T49" s="331"/>
    </row>
    <row r="50" spans="1:20" ht="14.25">
      <c r="A50" s="375">
        <v>41</v>
      </c>
      <c r="B50" s="331" t="s">
        <v>1155</v>
      </c>
      <c r="C50" s="331"/>
      <c r="D50" s="331"/>
      <c r="E50" s="331"/>
      <c r="F50" s="331"/>
      <c r="G50" s="331"/>
      <c r="H50" s="331"/>
      <c r="I50" s="331"/>
      <c r="J50" s="331"/>
      <c r="K50" s="331"/>
      <c r="L50" s="331"/>
      <c r="M50" s="333"/>
      <c r="N50" s="333"/>
      <c r="O50" s="331" t="s">
        <v>1154</v>
      </c>
      <c r="P50" s="331">
        <v>210796</v>
      </c>
      <c r="Q50" s="331">
        <v>71933</v>
      </c>
      <c r="R50" s="331">
        <f t="shared" ref="R50:R61" si="1">SUM(P50:Q50)</f>
        <v>282729</v>
      </c>
      <c r="S50" s="331" t="s">
        <v>56</v>
      </c>
      <c r="T50" s="331"/>
    </row>
    <row r="51" spans="1:20">
      <c r="B51" s="331"/>
      <c r="C51" s="331"/>
      <c r="D51" s="331"/>
      <c r="E51" s="331"/>
      <c r="F51" s="331"/>
      <c r="G51" s="331"/>
      <c r="H51" s="331"/>
      <c r="I51" s="331"/>
      <c r="J51" s="331"/>
      <c r="K51" s="331"/>
      <c r="L51" s="331"/>
      <c r="M51" s="333"/>
      <c r="N51" s="333"/>
      <c r="O51" s="331" t="s">
        <v>1153</v>
      </c>
      <c r="P51" s="331">
        <v>210983</v>
      </c>
      <c r="Q51" s="331">
        <v>72009</v>
      </c>
      <c r="R51" s="331">
        <f t="shared" si="1"/>
        <v>282992</v>
      </c>
      <c r="S51" s="331"/>
      <c r="T51" s="331"/>
    </row>
    <row r="52" spans="1:20">
      <c r="B52" s="331"/>
      <c r="C52" s="331"/>
      <c r="D52" s="331"/>
      <c r="E52" s="331"/>
      <c r="F52" s="331"/>
      <c r="G52" s="331"/>
      <c r="H52" s="331"/>
      <c r="I52" s="331"/>
      <c r="J52" s="331"/>
      <c r="K52" s="331"/>
      <c r="L52" s="331"/>
      <c r="M52" s="333"/>
      <c r="N52" s="333"/>
      <c r="O52" s="331" t="s">
        <v>1152</v>
      </c>
      <c r="P52" s="331">
        <v>211065</v>
      </c>
      <c r="Q52" s="331">
        <v>72057</v>
      </c>
      <c r="R52" s="331">
        <f t="shared" si="1"/>
        <v>283122</v>
      </c>
      <c r="S52" s="331"/>
      <c r="T52" s="331"/>
    </row>
    <row r="53" spans="1:20">
      <c r="B53" s="331"/>
      <c r="C53" s="331"/>
      <c r="D53" s="331"/>
      <c r="E53" s="331"/>
      <c r="F53" s="331"/>
      <c r="G53" s="331"/>
      <c r="H53" s="331"/>
      <c r="I53" s="331"/>
      <c r="J53" s="331"/>
      <c r="K53" s="331"/>
      <c r="L53" s="331"/>
      <c r="M53" s="333"/>
      <c r="N53" s="333"/>
      <c r="O53" s="331" t="s">
        <v>1151</v>
      </c>
      <c r="P53" s="331">
        <v>211041</v>
      </c>
      <c r="Q53" s="331">
        <v>72101</v>
      </c>
      <c r="R53" s="331">
        <f t="shared" si="1"/>
        <v>283142</v>
      </c>
      <c r="S53" s="331"/>
      <c r="T53" s="331"/>
    </row>
    <row r="54" spans="1:20">
      <c r="B54" s="331"/>
      <c r="C54" s="331"/>
      <c r="D54" s="331"/>
      <c r="E54" s="331"/>
      <c r="F54" s="331"/>
      <c r="G54" s="331"/>
      <c r="H54" s="331"/>
      <c r="I54" s="331"/>
      <c r="J54" s="331"/>
      <c r="K54" s="331"/>
      <c r="L54" s="331"/>
      <c r="M54" s="333"/>
      <c r="N54" s="333"/>
      <c r="O54" s="331" t="s">
        <v>1150</v>
      </c>
      <c r="P54" s="331">
        <v>210636</v>
      </c>
      <c r="Q54" s="331">
        <v>72001</v>
      </c>
      <c r="R54" s="331">
        <f t="shared" si="1"/>
        <v>282637</v>
      </c>
      <c r="S54" s="331"/>
      <c r="T54" s="331"/>
    </row>
    <row r="55" spans="1:20">
      <c r="B55" s="331"/>
      <c r="C55" s="331"/>
      <c r="D55" s="331"/>
      <c r="E55" s="331"/>
      <c r="F55" s="331"/>
      <c r="G55" s="331"/>
      <c r="H55" s="331"/>
      <c r="I55" s="331"/>
      <c r="J55" s="331"/>
      <c r="K55" s="331"/>
      <c r="L55" s="331"/>
      <c r="M55" s="333"/>
      <c r="N55" s="333"/>
      <c r="O55" s="331" t="s">
        <v>1149</v>
      </c>
      <c r="P55" s="331">
        <v>210111</v>
      </c>
      <c r="Q55" s="331">
        <v>71882</v>
      </c>
      <c r="R55" s="331">
        <f t="shared" si="1"/>
        <v>281993</v>
      </c>
      <c r="S55" s="331"/>
      <c r="T55" s="331"/>
    </row>
    <row r="56" spans="1:20">
      <c r="B56" s="331"/>
      <c r="C56" s="331"/>
      <c r="D56" s="331"/>
      <c r="E56" s="331"/>
      <c r="F56" s="331"/>
      <c r="G56" s="331"/>
      <c r="H56" s="331"/>
      <c r="I56" s="331"/>
      <c r="J56" s="331"/>
      <c r="K56" s="331"/>
      <c r="L56" s="331"/>
      <c r="M56" s="333"/>
      <c r="N56" s="333"/>
      <c r="O56" s="331" t="s">
        <v>1148</v>
      </c>
      <c r="P56" s="331">
        <v>209873</v>
      </c>
      <c r="Q56" s="331">
        <v>71847</v>
      </c>
      <c r="R56" s="331">
        <f t="shared" si="1"/>
        <v>281720</v>
      </c>
      <c r="S56" s="331"/>
      <c r="T56" s="331"/>
    </row>
    <row r="57" spans="1:20">
      <c r="B57" s="331"/>
      <c r="C57" s="331"/>
      <c r="D57" s="331"/>
      <c r="E57" s="331"/>
      <c r="F57" s="331"/>
      <c r="G57" s="331"/>
      <c r="H57" s="331"/>
      <c r="I57" s="331"/>
      <c r="J57" s="331"/>
      <c r="K57" s="331"/>
      <c r="L57" s="331"/>
      <c r="M57" s="333"/>
      <c r="N57" s="333"/>
      <c r="O57" s="331" t="s">
        <v>1147</v>
      </c>
      <c r="P57" s="331">
        <v>209751</v>
      </c>
      <c r="Q57" s="331">
        <v>71902</v>
      </c>
      <c r="R57" s="331">
        <f t="shared" si="1"/>
        <v>281653</v>
      </c>
      <c r="S57" s="331"/>
      <c r="T57" s="331"/>
    </row>
    <row r="58" spans="1:20">
      <c r="B58" s="331"/>
      <c r="C58" s="331"/>
      <c r="D58" s="331"/>
      <c r="E58" s="331"/>
      <c r="F58" s="331"/>
      <c r="G58" s="331"/>
      <c r="H58" s="331"/>
      <c r="I58" s="331"/>
      <c r="J58" s="331"/>
      <c r="K58" s="331"/>
      <c r="L58" s="331"/>
      <c r="M58" s="333"/>
      <c r="N58" s="333"/>
      <c r="O58" s="331" t="s">
        <v>1146</v>
      </c>
      <c r="P58" s="331">
        <v>210539</v>
      </c>
      <c r="Q58" s="331">
        <v>72266</v>
      </c>
      <c r="R58" s="331">
        <f t="shared" si="1"/>
        <v>282805</v>
      </c>
      <c r="S58" s="331"/>
      <c r="T58" s="331"/>
    </row>
    <row r="59" spans="1:20">
      <c r="F59" s="331"/>
      <c r="G59" s="331"/>
      <c r="H59" s="331"/>
      <c r="I59" s="331"/>
      <c r="J59" s="331"/>
      <c r="K59" s="331"/>
      <c r="L59" s="331"/>
      <c r="M59" s="333"/>
      <c r="N59" s="333"/>
      <c r="O59" s="331" t="s">
        <v>1145</v>
      </c>
      <c r="P59" s="331">
        <v>212041</v>
      </c>
      <c r="Q59" s="331">
        <v>72811</v>
      </c>
      <c r="R59" s="331">
        <f t="shared" si="1"/>
        <v>284852</v>
      </c>
      <c r="S59" s="331"/>
      <c r="T59" s="331"/>
    </row>
    <row r="60" spans="1:20">
      <c r="F60" s="331"/>
      <c r="G60" s="331"/>
      <c r="H60" s="331"/>
      <c r="I60" s="331"/>
      <c r="J60" s="331"/>
      <c r="K60" s="331"/>
      <c r="L60" s="331"/>
      <c r="M60" s="333"/>
      <c r="N60" s="333"/>
      <c r="O60" s="331" t="s">
        <v>1144</v>
      </c>
      <c r="P60" s="331">
        <v>213194</v>
      </c>
      <c r="Q60" s="331">
        <v>73260</v>
      </c>
      <c r="R60" s="331">
        <f t="shared" si="1"/>
        <v>286454</v>
      </c>
      <c r="S60" s="331"/>
      <c r="T60" s="331"/>
    </row>
    <row r="61" spans="1:20">
      <c r="F61" s="331"/>
      <c r="G61" s="331"/>
      <c r="H61" s="331"/>
      <c r="I61" s="331"/>
      <c r="J61" s="331"/>
      <c r="K61" s="331"/>
      <c r="L61" s="331"/>
      <c r="M61" s="333"/>
      <c r="N61" s="333"/>
      <c r="O61" s="331" t="s">
        <v>1143</v>
      </c>
      <c r="P61" s="558">
        <v>213945</v>
      </c>
      <c r="Q61" s="558">
        <v>73582</v>
      </c>
      <c r="R61" s="331">
        <f t="shared" si="1"/>
        <v>287527</v>
      </c>
      <c r="S61" s="331"/>
      <c r="T61" s="331"/>
    </row>
    <row r="62" spans="1:20">
      <c r="F62" s="331"/>
      <c r="G62" s="331"/>
      <c r="H62" s="331"/>
      <c r="I62" s="331"/>
      <c r="J62" s="331"/>
      <c r="K62" s="331"/>
      <c r="L62" s="331"/>
      <c r="M62" s="331"/>
      <c r="N62" s="331"/>
      <c r="O62" s="331" t="s">
        <v>1142</v>
      </c>
      <c r="P62" s="331">
        <f>AVERAGE(P50:P61)</f>
        <v>211164.58333333334</v>
      </c>
      <c r="Q62" s="331">
        <f>AVERAGE(Q50:Q61)</f>
        <v>72304.25</v>
      </c>
      <c r="R62" s="331"/>
      <c r="S62" s="331"/>
      <c r="T62" s="331"/>
    </row>
    <row r="63" spans="1:20">
      <c r="F63" s="331"/>
      <c r="G63" s="331"/>
      <c r="H63" s="331"/>
      <c r="I63" s="331"/>
      <c r="J63" s="331"/>
      <c r="K63" s="331"/>
      <c r="L63" s="331"/>
      <c r="M63" s="331"/>
      <c r="N63" s="331"/>
      <c r="O63" s="331"/>
      <c r="P63" s="332"/>
      <c r="Q63" s="332"/>
      <c r="R63" s="331"/>
      <c r="S63" s="331"/>
      <c r="T63" s="331"/>
    </row>
    <row r="64" spans="1:20">
      <c r="F64" s="331"/>
      <c r="G64" s="331"/>
      <c r="H64" s="331"/>
      <c r="I64" s="331"/>
      <c r="J64" s="331"/>
      <c r="K64" s="331"/>
      <c r="L64" s="331"/>
      <c r="M64" s="331"/>
      <c r="N64" s="331"/>
      <c r="O64" s="331"/>
      <c r="P64" s="331"/>
      <c r="Q64" s="331"/>
      <c r="R64" s="331"/>
      <c r="S64" s="331"/>
      <c r="T64" s="331"/>
    </row>
    <row r="65" spans="6:20">
      <c r="F65" s="331"/>
      <c r="G65" s="331"/>
      <c r="H65" s="331"/>
      <c r="I65" s="331"/>
      <c r="J65" s="331"/>
      <c r="K65" s="331"/>
      <c r="L65" s="331"/>
      <c r="M65" s="331"/>
      <c r="N65" s="331"/>
      <c r="O65" s="331"/>
      <c r="P65" s="331"/>
      <c r="Q65" s="331"/>
      <c r="R65" s="331"/>
      <c r="S65" s="331"/>
      <c r="T65" s="331"/>
    </row>
    <row r="66" spans="6:20">
      <c r="F66" s="331"/>
      <c r="G66" s="331"/>
      <c r="H66" s="331"/>
      <c r="I66" s="331"/>
      <c r="J66" s="331"/>
      <c r="K66" s="331"/>
      <c r="L66" s="331"/>
      <c r="M66" s="331"/>
      <c r="N66" s="331"/>
      <c r="O66" s="331"/>
      <c r="P66" s="331"/>
      <c r="Q66" s="331"/>
      <c r="R66" s="331"/>
      <c r="S66" s="331"/>
      <c r="T66" s="331"/>
    </row>
    <row r="67" spans="6:20">
      <c r="F67" s="331"/>
      <c r="G67" s="331"/>
      <c r="H67" s="331"/>
      <c r="I67" s="331"/>
      <c r="J67" s="331"/>
      <c r="K67" s="331"/>
      <c r="L67" s="331"/>
      <c r="M67" s="331"/>
      <c r="N67" s="331"/>
      <c r="O67" s="331"/>
      <c r="P67" s="331"/>
      <c r="Q67" s="331"/>
      <c r="R67" s="331"/>
      <c r="S67" s="331"/>
      <c r="T67" s="331"/>
    </row>
    <row r="68" spans="6:20">
      <c r="F68" s="331"/>
      <c r="G68" s="331"/>
      <c r="H68" s="331"/>
      <c r="I68" s="331"/>
      <c r="J68" s="331"/>
      <c r="K68" s="331"/>
      <c r="L68" s="331"/>
      <c r="M68" s="331"/>
      <c r="N68" s="331"/>
      <c r="O68" s="331"/>
      <c r="P68" s="331"/>
      <c r="Q68" s="331"/>
      <c r="R68" s="331"/>
      <c r="S68" s="331"/>
      <c r="T68" s="331"/>
    </row>
    <row r="69" spans="6:20">
      <c r="F69" s="331"/>
      <c r="G69" s="331"/>
      <c r="H69" s="331"/>
      <c r="I69" s="331"/>
      <c r="J69" s="331"/>
      <c r="K69" s="331"/>
      <c r="L69" s="331"/>
      <c r="M69" s="331"/>
      <c r="N69" s="331"/>
      <c r="O69" s="331"/>
      <c r="P69" s="331"/>
      <c r="Q69" s="331"/>
      <c r="R69" s="331"/>
      <c r="S69" s="331"/>
      <c r="T69" s="331"/>
    </row>
    <row r="70" spans="6:20">
      <c r="F70" s="331"/>
      <c r="G70" s="331"/>
      <c r="H70" s="331"/>
      <c r="I70" s="331"/>
      <c r="J70" s="331"/>
      <c r="K70" s="331"/>
      <c r="L70" s="331"/>
      <c r="M70" s="331"/>
      <c r="N70" s="331"/>
      <c r="O70" s="331"/>
      <c r="P70" s="331"/>
      <c r="Q70" s="331"/>
      <c r="R70" s="331"/>
      <c r="S70" s="331"/>
      <c r="T70" s="331"/>
    </row>
    <row r="71" spans="6:20">
      <c r="F71" s="331"/>
      <c r="G71" s="331"/>
      <c r="H71" s="331"/>
      <c r="I71" s="331"/>
      <c r="J71" s="331"/>
      <c r="K71" s="331"/>
      <c r="L71" s="331"/>
      <c r="M71" s="331"/>
      <c r="N71" s="331"/>
      <c r="O71" s="331"/>
      <c r="P71" s="331"/>
      <c r="Q71" s="331"/>
      <c r="R71" s="331"/>
      <c r="S71" s="331"/>
      <c r="T71" s="331"/>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47"/>
  <sheetViews>
    <sheetView view="pageBreakPreview" zoomScaleNormal="80" zoomScaleSheetLayoutView="100" workbookViewId="0">
      <selection activeCell="T9" sqref="T9"/>
    </sheetView>
  </sheetViews>
  <sheetFormatPr defaultRowHeight="15.75"/>
  <cols>
    <col min="1" max="1" width="9.140625" style="4"/>
    <col min="2" max="2" width="3.42578125" style="4" bestFit="1" customWidth="1"/>
    <col min="3" max="3" width="35.140625" style="4" bestFit="1" customWidth="1"/>
    <col min="4" max="4" width="1" style="4" customWidth="1"/>
    <col min="5" max="5" width="14.570312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85546875" style="4" customWidth="1"/>
    <col min="20" max="20" width="12.28515625" style="4" bestFit="1" customWidth="1"/>
    <col min="21" max="21" width="10.5703125" style="4" bestFit="1" customWidth="1"/>
    <col min="22" max="16384" width="9.140625" style="4"/>
  </cols>
  <sheetData>
    <row r="1" spans="2:20">
      <c r="B1" s="872" t="s">
        <v>113</v>
      </c>
      <c r="C1" s="872"/>
      <c r="D1" s="872"/>
      <c r="E1" s="872"/>
      <c r="F1" s="872"/>
      <c r="G1" s="872"/>
      <c r="H1" s="872"/>
      <c r="I1" s="872"/>
      <c r="J1" s="872"/>
      <c r="K1" s="872"/>
      <c r="L1" s="872"/>
      <c r="M1" s="872"/>
      <c r="N1" s="872"/>
      <c r="O1" s="872"/>
      <c r="P1" s="872"/>
      <c r="Q1" s="872"/>
    </row>
    <row r="2" spans="2:20">
      <c r="B2" s="872" t="s">
        <v>865</v>
      </c>
      <c r="C2" s="872"/>
      <c r="D2" s="872"/>
      <c r="E2" s="872"/>
      <c r="F2" s="872"/>
      <c r="G2" s="872"/>
      <c r="H2" s="872"/>
      <c r="I2" s="872"/>
      <c r="J2" s="872"/>
      <c r="K2" s="872"/>
      <c r="L2" s="872"/>
      <c r="M2" s="872"/>
      <c r="N2" s="872"/>
      <c r="O2" s="872"/>
      <c r="P2" s="872"/>
      <c r="Q2" s="872"/>
    </row>
    <row r="3" spans="2:20">
      <c r="B3" s="873" t="s">
        <v>1376</v>
      </c>
      <c r="C3" s="873"/>
      <c r="D3" s="873"/>
      <c r="E3" s="873"/>
      <c r="F3" s="873"/>
      <c r="G3" s="873"/>
      <c r="H3" s="873"/>
      <c r="I3" s="873"/>
      <c r="J3" s="873"/>
      <c r="K3" s="873"/>
      <c r="L3" s="873"/>
      <c r="M3" s="873"/>
      <c r="N3" s="873"/>
      <c r="O3" s="873"/>
      <c r="P3" s="873"/>
      <c r="Q3" s="873"/>
    </row>
    <row r="4" spans="2:20">
      <c r="B4" s="36"/>
      <c r="C4" s="36"/>
      <c r="D4" s="36"/>
      <c r="E4" s="36"/>
      <c r="F4" s="36"/>
      <c r="G4" s="36"/>
      <c r="H4" s="36"/>
      <c r="I4" s="36"/>
      <c r="J4" s="36"/>
      <c r="K4" s="36"/>
      <c r="L4" s="36"/>
      <c r="M4" s="36"/>
      <c r="N4" s="36"/>
      <c r="O4" s="36"/>
      <c r="P4" s="36"/>
      <c r="Q4" s="36"/>
    </row>
    <row r="5" spans="2:20">
      <c r="B5" s="845"/>
      <c r="C5" s="37"/>
      <c r="D5" s="38"/>
      <c r="E5" s="848">
        <v>43465</v>
      </c>
      <c r="F5" s="38"/>
      <c r="G5" s="37"/>
      <c r="H5" s="849" t="s">
        <v>77</v>
      </c>
      <c r="I5" s="38"/>
      <c r="J5" s="37"/>
      <c r="K5" s="849" t="s">
        <v>67</v>
      </c>
      <c r="L5" s="38"/>
      <c r="M5" s="37"/>
      <c r="N5" s="849" t="s">
        <v>69</v>
      </c>
      <c r="O5" s="849"/>
      <c r="P5" s="38"/>
      <c r="Q5" s="850" t="s">
        <v>2</v>
      </c>
    </row>
    <row r="6" spans="2:20">
      <c r="B6" s="846"/>
      <c r="C6" s="35"/>
      <c r="D6" s="39"/>
      <c r="E6" s="868" t="s">
        <v>0</v>
      </c>
      <c r="F6" s="39"/>
      <c r="G6" s="35"/>
      <c r="H6" s="40" t="s">
        <v>78</v>
      </c>
      <c r="I6" s="41"/>
      <c r="J6" s="42"/>
      <c r="K6" s="43" t="s">
        <v>68</v>
      </c>
      <c r="L6" s="39"/>
      <c r="M6" s="35"/>
      <c r="N6" s="40" t="s">
        <v>741</v>
      </c>
      <c r="O6" s="40"/>
      <c r="P6" s="39"/>
      <c r="Q6" s="44" t="s">
        <v>862</v>
      </c>
    </row>
    <row r="7" spans="2:20">
      <c r="B7" s="846"/>
      <c r="C7" s="35"/>
      <c r="D7" s="39"/>
      <c r="E7" s="868" t="s">
        <v>3</v>
      </c>
      <c r="F7" s="39"/>
      <c r="G7" s="35"/>
      <c r="H7" s="40" t="s">
        <v>1</v>
      </c>
      <c r="I7" s="39"/>
      <c r="J7" s="35"/>
      <c r="K7" s="40" t="s">
        <v>58</v>
      </c>
      <c r="L7" s="39"/>
      <c r="M7" s="35"/>
      <c r="N7" s="40" t="s">
        <v>70</v>
      </c>
      <c r="O7" s="40"/>
      <c r="P7" s="39"/>
      <c r="Q7" s="45" t="s">
        <v>79</v>
      </c>
    </row>
    <row r="8" spans="2:20">
      <c r="B8" s="846"/>
      <c r="C8" s="35"/>
      <c r="D8" s="39"/>
      <c r="E8" s="868" t="s">
        <v>4</v>
      </c>
      <c r="F8" s="39"/>
      <c r="G8" s="35"/>
      <c r="H8" s="40"/>
      <c r="I8" s="39"/>
      <c r="J8" s="35"/>
      <c r="K8" s="40"/>
      <c r="L8" s="39"/>
      <c r="M8" s="35"/>
      <c r="N8" s="40"/>
      <c r="O8" s="40"/>
      <c r="P8" s="39"/>
      <c r="Q8" s="45" t="s">
        <v>80</v>
      </c>
    </row>
    <row r="9" spans="2:20">
      <c r="B9" s="846"/>
      <c r="C9" s="35"/>
      <c r="D9" s="39"/>
      <c r="E9" s="868"/>
      <c r="F9" s="39"/>
      <c r="G9" s="35"/>
      <c r="H9" s="40"/>
      <c r="I9" s="39"/>
      <c r="J9" s="35"/>
      <c r="K9" s="40"/>
      <c r="L9" s="39"/>
      <c r="M9" s="35"/>
      <c r="N9" s="43"/>
      <c r="O9" s="43"/>
      <c r="P9" s="39"/>
      <c r="Q9" s="45"/>
    </row>
    <row r="10" spans="2:20">
      <c r="B10" s="846"/>
      <c r="C10" s="34" t="s">
        <v>6</v>
      </c>
      <c r="D10" s="39"/>
      <c r="E10" s="869" t="s">
        <v>5</v>
      </c>
      <c r="F10" s="39"/>
      <c r="G10" s="35"/>
      <c r="H10" s="46" t="s">
        <v>7</v>
      </c>
      <c r="I10" s="39"/>
      <c r="J10" s="35"/>
      <c r="K10" s="43" t="s">
        <v>8</v>
      </c>
      <c r="L10" s="39"/>
      <c r="M10" s="35"/>
      <c r="N10" s="46" t="s">
        <v>9</v>
      </c>
      <c r="O10" s="46"/>
      <c r="P10" s="39"/>
      <c r="Q10" s="47" t="s">
        <v>10</v>
      </c>
    </row>
    <row r="11" spans="2:20">
      <c r="B11" s="846"/>
      <c r="C11" s="35"/>
      <c r="D11" s="39"/>
      <c r="E11" s="847"/>
      <c r="F11" s="851"/>
      <c r="G11" s="852"/>
      <c r="H11" s="852"/>
      <c r="I11" s="851"/>
      <c r="J11" s="852"/>
      <c r="K11" s="852"/>
      <c r="L11" s="851"/>
      <c r="M11" s="852"/>
      <c r="N11" s="852"/>
      <c r="O11" s="852"/>
      <c r="P11" s="851"/>
      <c r="Q11" s="851"/>
    </row>
    <row r="12" spans="2:20">
      <c r="B12" s="846"/>
      <c r="C12" s="34" t="s">
        <v>11</v>
      </c>
      <c r="D12" s="39"/>
      <c r="E12" s="853"/>
      <c r="F12" s="49"/>
      <c r="G12" s="55"/>
      <c r="H12" s="672"/>
      <c r="I12" s="49"/>
      <c r="J12" s="55"/>
      <c r="K12" s="55"/>
      <c r="L12" s="39"/>
      <c r="M12" s="35"/>
      <c r="N12" s="35"/>
      <c r="O12" s="35"/>
      <c r="P12" s="39"/>
      <c r="Q12" s="39"/>
    </row>
    <row r="13" spans="2:20">
      <c r="B13" s="846">
        <v>1</v>
      </c>
      <c r="C13" s="48" t="s">
        <v>30</v>
      </c>
      <c r="D13" s="49"/>
      <c r="E13" s="854">
        <f>+'Operating Report'!G17</f>
        <v>202965796.31</v>
      </c>
      <c r="F13" s="673"/>
      <c r="G13" s="63"/>
      <c r="H13" s="63">
        <f>+'Exh MCP-5 - Summary of Adj'!R16</f>
        <v>4097027.999954829</v>
      </c>
      <c r="I13" s="673"/>
      <c r="J13" s="63"/>
      <c r="K13" s="674">
        <f>+E13+H13</f>
        <v>207062824.30995482</v>
      </c>
      <c r="L13" s="50"/>
      <c r="M13" s="51"/>
      <c r="N13" s="52">
        <f>+'Exh MCP-3 - Rev Req Calc'!D21-N14</f>
        <v>12708528.732153783</v>
      </c>
      <c r="O13" s="52"/>
      <c r="P13" s="50"/>
      <c r="Q13" s="53">
        <f>+K13+N13</f>
        <v>219771353.0421086</v>
      </c>
      <c r="S13" s="54"/>
      <c r="T13" s="54"/>
    </row>
    <row r="14" spans="2:20">
      <c r="B14" s="846">
        <v>2</v>
      </c>
      <c r="C14" s="48" t="s">
        <v>31</v>
      </c>
      <c r="D14" s="49"/>
      <c r="E14" s="855">
        <f>+'Operating Report'!G21</f>
        <v>23006329.140000001</v>
      </c>
      <c r="F14" s="673"/>
      <c r="G14" s="63"/>
      <c r="H14" s="63">
        <f>+'Exh MCP-5 - Summary of Adj'!R17</f>
        <v>0</v>
      </c>
      <c r="I14" s="673"/>
      <c r="J14" s="63"/>
      <c r="K14" s="674">
        <f>+E14+H14</f>
        <v>23006329.140000001</v>
      </c>
      <c r="L14" s="50"/>
      <c r="M14" s="51"/>
      <c r="N14" s="51"/>
      <c r="O14" s="51"/>
      <c r="P14" s="50"/>
      <c r="Q14" s="53">
        <f>+K14+N14</f>
        <v>23006329.140000001</v>
      </c>
      <c r="S14" s="54"/>
      <c r="T14" s="54"/>
    </row>
    <row r="15" spans="2:20">
      <c r="B15" s="846">
        <v>3</v>
      </c>
      <c r="C15" s="48" t="s">
        <v>32</v>
      </c>
      <c r="D15" s="55"/>
      <c r="E15" s="856">
        <f>+'Operating Report'!G27-'Operating Report'!G21</f>
        <v>-1487484.5500000045</v>
      </c>
      <c r="F15" s="673"/>
      <c r="G15" s="63"/>
      <c r="H15" s="63">
        <f>+'Exh MCP-5 - Summary of Adj'!R18</f>
        <v>0</v>
      </c>
      <c r="I15" s="673"/>
      <c r="J15" s="63"/>
      <c r="K15" s="674">
        <f>+E15+H15</f>
        <v>-1487484.5500000045</v>
      </c>
      <c r="L15" s="50"/>
      <c r="M15" s="51"/>
      <c r="N15" s="51"/>
      <c r="O15" s="51"/>
      <c r="P15" s="50"/>
      <c r="Q15" s="53">
        <f>+K15+N15</f>
        <v>-1487484.5500000045</v>
      </c>
      <c r="S15" s="54"/>
      <c r="T15" s="54"/>
    </row>
    <row r="16" spans="2:20">
      <c r="B16" s="846">
        <v>4</v>
      </c>
      <c r="C16" s="56" t="s">
        <v>793</v>
      </c>
      <c r="D16" s="49"/>
      <c r="E16" s="855">
        <f>SUM(E13:E15)</f>
        <v>224484640.89999998</v>
      </c>
      <c r="F16" s="673"/>
      <c r="G16" s="63"/>
      <c r="H16" s="857">
        <f>SUM(H13:H15)</f>
        <v>4097027.999954829</v>
      </c>
      <c r="I16" s="673"/>
      <c r="J16" s="63"/>
      <c r="K16" s="857">
        <f>SUM(K13:K15)</f>
        <v>228581668.8999548</v>
      </c>
      <c r="L16" s="50"/>
      <c r="M16" s="51"/>
      <c r="N16" s="857">
        <f>SUM(N13:N15)</f>
        <v>12708528.732153783</v>
      </c>
      <c r="O16" s="54"/>
      <c r="P16" s="50"/>
      <c r="Q16" s="858">
        <f>SUM(Q13:Q15)</f>
        <v>241290197.63210857</v>
      </c>
      <c r="S16" s="54"/>
      <c r="T16" s="54"/>
    </row>
    <row r="17" spans="2:21">
      <c r="B17" s="846"/>
      <c r="C17" s="48"/>
      <c r="D17" s="49"/>
      <c r="E17" s="855"/>
      <c r="F17" s="673"/>
      <c r="G17" s="63"/>
      <c r="H17" s="54"/>
      <c r="I17" s="673"/>
      <c r="J17" s="63"/>
      <c r="K17" s="54"/>
      <c r="L17" s="50"/>
      <c r="M17" s="51"/>
      <c r="N17" s="54"/>
      <c r="O17" s="54"/>
      <c r="P17" s="50"/>
      <c r="Q17" s="57"/>
      <c r="S17" s="54"/>
      <c r="T17" s="54"/>
      <c r="U17" s="54"/>
    </row>
    <row r="18" spans="2:21">
      <c r="B18" s="846"/>
      <c r="C18" s="48" t="s">
        <v>12</v>
      </c>
      <c r="D18" s="49"/>
      <c r="E18" s="855"/>
      <c r="F18" s="673"/>
      <c r="G18" s="63"/>
      <c r="H18" s="54"/>
      <c r="I18" s="673"/>
      <c r="J18" s="63"/>
      <c r="K18" s="54"/>
      <c r="L18" s="50"/>
      <c r="M18" s="51"/>
      <c r="N18" s="54"/>
      <c r="O18" s="54"/>
      <c r="P18" s="50"/>
      <c r="Q18" s="57"/>
      <c r="S18" s="54"/>
      <c r="T18" s="54"/>
    </row>
    <row r="19" spans="2:21">
      <c r="B19" s="846">
        <v>5</v>
      </c>
      <c r="C19" s="48" t="s">
        <v>794</v>
      </c>
      <c r="D19" s="49"/>
      <c r="E19" s="855">
        <f>+'Operating Report'!G37</f>
        <v>109783204.17999999</v>
      </c>
      <c r="F19" s="673"/>
      <c r="G19" s="63"/>
      <c r="H19" s="63">
        <f>+'Exh MCP-5 - Summary of Adj'!R22</f>
        <v>0</v>
      </c>
      <c r="I19" s="673"/>
      <c r="J19" s="63"/>
      <c r="K19" s="674">
        <f>+E19+H19</f>
        <v>109783204.17999999</v>
      </c>
      <c r="L19" s="50"/>
      <c r="M19" s="51"/>
      <c r="N19" s="51"/>
      <c r="O19" s="51"/>
      <c r="P19" s="50"/>
      <c r="Q19" s="53">
        <f>+K19+N19</f>
        <v>109783204.17999999</v>
      </c>
      <c r="S19" s="54"/>
      <c r="T19" s="58"/>
      <c r="U19" s="54"/>
    </row>
    <row r="20" spans="2:21">
      <c r="B20" s="846">
        <v>6</v>
      </c>
      <c r="C20" s="48" t="s">
        <v>795</v>
      </c>
      <c r="D20" s="49"/>
      <c r="E20" s="855">
        <f>+'Operating Report'!G53</f>
        <v>19055890.390000001</v>
      </c>
      <c r="F20" s="673"/>
      <c r="G20" s="63"/>
      <c r="H20" s="63">
        <f>+'Exh MCP-5 - Summary of Adj'!R23</f>
        <v>166011.57455816967</v>
      </c>
      <c r="I20" s="673"/>
      <c r="J20" s="63"/>
      <c r="K20" s="674">
        <f>+E20+H20</f>
        <v>19221901.964558169</v>
      </c>
      <c r="L20" s="50"/>
      <c r="M20" s="51"/>
      <c r="N20" s="51">
        <f>+N16*('Exh MCP-4 - Conversion Factor'!C9+'Exh MCP-4 - Conversion Factor'!C10)</f>
        <v>514949.58422687126</v>
      </c>
      <c r="O20" s="51"/>
      <c r="P20" s="50"/>
      <c r="Q20" s="59">
        <f>+K20+N20</f>
        <v>19736851.548785042</v>
      </c>
      <c r="S20" s="54"/>
    </row>
    <row r="21" spans="2:21">
      <c r="B21" s="846">
        <v>7</v>
      </c>
      <c r="C21" s="60" t="s">
        <v>34</v>
      </c>
      <c r="D21" s="49"/>
      <c r="E21" s="855">
        <f>+'Operating Report'!G57</f>
        <v>241632.79</v>
      </c>
      <c r="F21" s="673"/>
      <c r="G21" s="63"/>
      <c r="H21" s="63">
        <f>+'Exh MCP-5 - Summary of Adj'!R24</f>
        <v>7721.3045280000006</v>
      </c>
      <c r="I21" s="673"/>
      <c r="J21" s="63"/>
      <c r="K21" s="674">
        <f t="shared" ref="K21:K30" si="0">+E21+H21</f>
        <v>249354.09452800002</v>
      </c>
      <c r="L21" s="50"/>
      <c r="M21" s="51"/>
      <c r="N21" s="51"/>
      <c r="O21" s="51"/>
      <c r="P21" s="50"/>
      <c r="Q21" s="53">
        <f t="shared" ref="Q21:Q30" si="1">+K21+N21</f>
        <v>249354.09452800002</v>
      </c>
      <c r="S21" s="61"/>
      <c r="U21" s="61"/>
    </row>
    <row r="22" spans="2:21">
      <c r="B22" s="846">
        <v>8</v>
      </c>
      <c r="C22" s="60" t="s">
        <v>13</v>
      </c>
      <c r="D22" s="49"/>
      <c r="E22" s="855">
        <f>+'Operating Report'!G85</f>
        <v>19661048.670000002</v>
      </c>
      <c r="F22" s="673"/>
      <c r="G22" s="63"/>
      <c r="H22" s="63">
        <f>+'Exh MCP-5 - Summary of Adj'!R25</f>
        <v>1790385.0747917299</v>
      </c>
      <c r="I22" s="673"/>
      <c r="J22" s="63"/>
      <c r="K22" s="674">
        <f t="shared" si="0"/>
        <v>21451433.744791731</v>
      </c>
      <c r="L22" s="50"/>
      <c r="M22" s="51"/>
      <c r="N22" s="51"/>
      <c r="O22" s="51"/>
      <c r="P22" s="50"/>
      <c r="Q22" s="53">
        <f t="shared" si="1"/>
        <v>21451433.744791731</v>
      </c>
      <c r="S22" s="62"/>
      <c r="U22" s="61"/>
    </row>
    <row r="23" spans="2:21">
      <c r="B23" s="846">
        <v>9</v>
      </c>
      <c r="C23" s="60" t="s">
        <v>35</v>
      </c>
      <c r="D23" s="49"/>
      <c r="E23" s="855">
        <f>+'Operating Report'!G93</f>
        <v>5462931.1100000003</v>
      </c>
      <c r="F23" s="673"/>
      <c r="G23" s="63"/>
      <c r="H23" s="63">
        <f>+'Exh MCP-5 - Summary of Adj'!R26</f>
        <v>100058.38634620757</v>
      </c>
      <c r="I23" s="673"/>
      <c r="J23" s="63"/>
      <c r="K23" s="674">
        <f t="shared" si="0"/>
        <v>5562989.4963462083</v>
      </c>
      <c r="L23" s="50"/>
      <c r="M23" s="51"/>
      <c r="N23" s="51">
        <f>+N16*'Exh MCP-4 - Conversion Factor'!C8</f>
        <v>39350.105144537112</v>
      </c>
      <c r="O23" s="51"/>
      <c r="P23" s="50"/>
      <c r="Q23" s="53">
        <f t="shared" si="1"/>
        <v>5602339.6014907453</v>
      </c>
      <c r="U23" s="61"/>
    </row>
    <row r="24" spans="2:21">
      <c r="B24" s="846">
        <v>10</v>
      </c>
      <c r="C24" s="60" t="s">
        <v>14</v>
      </c>
      <c r="D24" s="49"/>
      <c r="E24" s="855">
        <f>+'Operating Report'!G100</f>
        <v>4298252.13</v>
      </c>
      <c r="F24" s="673"/>
      <c r="G24" s="63"/>
      <c r="H24" s="63">
        <f>+'Exh MCP-5 - Summary of Adj'!R27</f>
        <v>52300.645248000001</v>
      </c>
      <c r="I24" s="673"/>
      <c r="J24" s="63"/>
      <c r="K24" s="674">
        <f t="shared" si="0"/>
        <v>4350552.7752479995</v>
      </c>
      <c r="L24" s="50"/>
      <c r="M24" s="51"/>
      <c r="N24" s="51"/>
      <c r="O24" s="51"/>
      <c r="P24" s="50"/>
      <c r="Q24" s="53">
        <f t="shared" si="1"/>
        <v>4350552.7752479995</v>
      </c>
    </row>
    <row r="25" spans="2:21">
      <c r="B25" s="846">
        <v>11</v>
      </c>
      <c r="C25" s="60" t="s">
        <v>15</v>
      </c>
      <c r="D25" s="49"/>
      <c r="E25" s="855">
        <f>+'Operating Report'!G107</f>
        <v>1546.65</v>
      </c>
      <c r="F25" s="50"/>
      <c r="G25" s="51"/>
      <c r="H25" s="51">
        <f>+'Exh MCP-5 - Summary of Adj'!R28</f>
        <v>-1546.6574900000001</v>
      </c>
      <c r="I25" s="50"/>
      <c r="J25" s="51"/>
      <c r="K25" s="52">
        <f t="shared" si="0"/>
        <v>-7.4899999999615829E-3</v>
      </c>
      <c r="L25" s="50"/>
      <c r="M25" s="51"/>
      <c r="N25" s="63"/>
      <c r="O25" s="63"/>
      <c r="P25" s="50"/>
      <c r="Q25" s="53">
        <f t="shared" si="1"/>
        <v>-7.4899999999615829E-3</v>
      </c>
    </row>
    <row r="26" spans="2:21">
      <c r="B26" s="846">
        <v>12</v>
      </c>
      <c r="C26" s="60" t="s">
        <v>16</v>
      </c>
      <c r="D26" s="55"/>
      <c r="E26" s="855">
        <f>+'Operating Report'!G123</f>
        <v>17010421.399999999</v>
      </c>
      <c r="F26" s="50"/>
      <c r="G26" s="51"/>
      <c r="H26" s="51">
        <f>+'Exh MCP-5 - Summary of Adj'!R29</f>
        <v>-404132.19296853989</v>
      </c>
      <c r="I26" s="50"/>
      <c r="J26" s="51"/>
      <c r="K26" s="52">
        <f t="shared" si="0"/>
        <v>16606289.207031459</v>
      </c>
      <c r="L26" s="50"/>
      <c r="M26" s="51"/>
      <c r="N26" s="63"/>
      <c r="O26" s="63"/>
      <c r="P26" s="50"/>
      <c r="Q26" s="53">
        <f t="shared" si="1"/>
        <v>16606289.207031459</v>
      </c>
    </row>
    <row r="27" spans="2:21">
      <c r="B27" s="846">
        <v>13</v>
      </c>
      <c r="C27" s="60" t="s">
        <v>36</v>
      </c>
      <c r="D27" s="49"/>
      <c r="E27" s="854">
        <f>+'Operating Report'!G135</f>
        <v>22725279.309999999</v>
      </c>
      <c r="F27" s="50"/>
      <c r="G27" s="51"/>
      <c r="H27" s="51">
        <f>+'Exh MCP-5 - Summary of Adj'!R30</f>
        <v>2139073.5021910747</v>
      </c>
      <c r="I27" s="50"/>
      <c r="J27" s="51"/>
      <c r="K27" s="52">
        <f t="shared" si="0"/>
        <v>24864352.812191073</v>
      </c>
      <c r="L27" s="50"/>
      <c r="M27" s="51"/>
      <c r="N27" s="63"/>
      <c r="O27" s="63"/>
      <c r="P27" s="50"/>
      <c r="Q27" s="53">
        <f t="shared" si="1"/>
        <v>24864352.812191073</v>
      </c>
    </row>
    <row r="28" spans="2:21">
      <c r="B28" s="846">
        <v>14</v>
      </c>
      <c r="C28" s="60" t="s">
        <v>37</v>
      </c>
      <c r="D28" s="49"/>
      <c r="E28" s="859"/>
      <c r="F28" s="50"/>
      <c r="G28" s="51"/>
      <c r="H28" s="51">
        <f>+'Exh MCP-5 - Summary of Adj'!R31</f>
        <v>0</v>
      </c>
      <c r="I28" s="50"/>
      <c r="J28" s="51"/>
      <c r="K28" s="52">
        <f t="shared" si="0"/>
        <v>0</v>
      </c>
      <c r="L28" s="50"/>
      <c r="M28" s="51"/>
      <c r="N28" s="51"/>
      <c r="O28" s="51"/>
      <c r="P28" s="50"/>
      <c r="Q28" s="53">
        <f t="shared" si="1"/>
        <v>0</v>
      </c>
    </row>
    <row r="29" spans="2:21">
      <c r="B29" s="846">
        <v>15</v>
      </c>
      <c r="C29" s="60" t="s">
        <v>38</v>
      </c>
      <c r="D29" s="49"/>
      <c r="E29" s="855">
        <f>+'Operating Report'!G140</f>
        <v>4268627.3600000003</v>
      </c>
      <c r="F29" s="50"/>
      <c r="G29" s="51"/>
      <c r="H29" s="51">
        <f>+'Exh MCP-5 - Summary of Adj'!R32</f>
        <v>490764.14677770052</v>
      </c>
      <c r="I29" s="50"/>
      <c r="J29" s="51"/>
      <c r="K29" s="52">
        <f t="shared" si="0"/>
        <v>4759391.506777701</v>
      </c>
      <c r="L29" s="50"/>
      <c r="M29" s="51"/>
      <c r="N29" s="51"/>
      <c r="O29" s="51"/>
      <c r="P29" s="50"/>
      <c r="Q29" s="53">
        <f t="shared" si="1"/>
        <v>4759391.506777701</v>
      </c>
    </row>
    <row r="30" spans="2:21">
      <c r="B30" s="846">
        <v>16</v>
      </c>
      <c r="C30" s="60" t="s">
        <v>39</v>
      </c>
      <c r="D30" s="49"/>
      <c r="E30" s="855">
        <f>+'Operating Report'!G149</f>
        <v>360752.88000000047</v>
      </c>
      <c r="F30" s="50"/>
      <c r="G30" s="51"/>
      <c r="H30" s="51">
        <f>+'Exh MCP-5 - Summary of Adj'!R33</f>
        <v>-337100.40218202106</v>
      </c>
      <c r="I30" s="50"/>
      <c r="J30" s="51"/>
      <c r="K30" s="52">
        <f t="shared" si="0"/>
        <v>23652.477817979408</v>
      </c>
      <c r="L30" s="50"/>
      <c r="M30" s="51"/>
      <c r="N30" s="51">
        <f>(+N16-N20-N23)*0.21</f>
        <v>2552388.0989842983</v>
      </c>
      <c r="O30" s="51"/>
      <c r="P30" s="50"/>
      <c r="Q30" s="53">
        <f t="shared" si="1"/>
        <v>2576040.5768022779</v>
      </c>
    </row>
    <row r="31" spans="2:21" ht="16.5" thickBot="1">
      <c r="B31" s="846">
        <v>17</v>
      </c>
      <c r="C31" s="64" t="s">
        <v>40</v>
      </c>
      <c r="D31" s="39"/>
      <c r="E31" s="65">
        <f>SUM(E19:E30)</f>
        <v>202869586.87000003</v>
      </c>
      <c r="F31" s="50"/>
      <c r="G31" s="51"/>
      <c r="H31" s="66">
        <f>SUM(H19:H30)</f>
        <v>4003535.3818003209</v>
      </c>
      <c r="I31" s="50"/>
      <c r="J31" s="51"/>
      <c r="K31" s="66">
        <f>SUM(K19:K30)</f>
        <v>206873122.2518003</v>
      </c>
      <c r="L31" s="50"/>
      <c r="M31" s="51"/>
      <c r="N31" s="66">
        <f>SUM(N19:N30)</f>
        <v>3106687.7883557067</v>
      </c>
      <c r="O31" s="67"/>
      <c r="P31" s="50"/>
      <c r="Q31" s="68">
        <f>SUM(Q19:Q30)</f>
        <v>209979810.04015601</v>
      </c>
    </row>
    <row r="32" spans="2:21" ht="17.25" thickTop="1" thickBot="1">
      <c r="B32" s="846">
        <v>18</v>
      </c>
      <c r="C32" s="64" t="s">
        <v>17</v>
      </c>
      <c r="D32" s="39"/>
      <c r="E32" s="65">
        <f>+E16-E31</f>
        <v>21615054.029999942</v>
      </c>
      <c r="F32" s="50"/>
      <c r="G32" s="51"/>
      <c r="H32" s="66">
        <f>+H16-H31</f>
        <v>93492.618154508062</v>
      </c>
      <c r="I32" s="66"/>
      <c r="J32" s="51"/>
      <c r="K32" s="66">
        <f>+K16-K31</f>
        <v>21708546.648154497</v>
      </c>
      <c r="L32" s="50"/>
      <c r="M32" s="51"/>
      <c r="N32" s="66">
        <f>+N16-N31</f>
        <v>9601840.9437980764</v>
      </c>
      <c r="O32" s="67"/>
      <c r="P32" s="50"/>
      <c r="Q32" s="68">
        <f>+Q16-Q31</f>
        <v>31310387.591952562</v>
      </c>
      <c r="S32" s="69"/>
    </row>
    <row r="33" spans="2:19" ht="16.5" thickTop="1">
      <c r="B33" s="846"/>
      <c r="C33" s="64"/>
      <c r="D33" s="39"/>
      <c r="E33" s="860"/>
      <c r="F33" s="50"/>
      <c r="G33" s="51"/>
      <c r="H33" s="67"/>
      <c r="I33" s="67"/>
      <c r="J33" s="51"/>
      <c r="K33" s="67"/>
      <c r="L33" s="50"/>
      <c r="M33" s="51"/>
      <c r="N33" s="67"/>
      <c r="O33" s="67"/>
      <c r="P33" s="50"/>
      <c r="Q33" s="70"/>
      <c r="S33" s="69"/>
    </row>
    <row r="34" spans="2:19">
      <c r="B34" s="846"/>
      <c r="C34" s="64" t="s">
        <v>41</v>
      </c>
      <c r="D34" s="49"/>
      <c r="E34" s="861"/>
      <c r="F34" s="50"/>
      <c r="G34" s="51"/>
      <c r="H34" s="51"/>
      <c r="I34" s="50"/>
      <c r="J34" s="51"/>
      <c r="K34" s="51"/>
      <c r="L34" s="50"/>
      <c r="M34" s="51"/>
      <c r="N34" s="51"/>
      <c r="O34" s="51"/>
      <c r="P34" s="50"/>
      <c r="Q34" s="71"/>
    </row>
    <row r="35" spans="2:19">
      <c r="B35" s="846">
        <v>19</v>
      </c>
      <c r="C35" s="48" t="s">
        <v>43</v>
      </c>
      <c r="D35" s="49"/>
      <c r="E35" s="854">
        <f>+'Rate Base'!D13</f>
        <v>780280560.97563207</v>
      </c>
      <c r="F35" s="50"/>
      <c r="G35" s="51"/>
      <c r="H35" s="51">
        <f>+'Exh MCP-5 - Summary of Adj'!R38</f>
        <v>69733607.767729819</v>
      </c>
      <c r="I35" s="50"/>
      <c r="J35" s="51"/>
      <c r="K35" s="52">
        <f t="shared" ref="K35:K39" si="2">+E35+H35</f>
        <v>850014168.74336195</v>
      </c>
      <c r="L35" s="50"/>
      <c r="M35" s="51"/>
      <c r="N35" s="52"/>
      <c r="O35" s="52"/>
      <c r="P35" s="50"/>
      <c r="Q35" s="53">
        <f t="shared" ref="Q35:Q39" si="3">+K35+N35</f>
        <v>850014168.74336195</v>
      </c>
    </row>
    <row r="36" spans="2:19">
      <c r="B36" s="846">
        <v>20</v>
      </c>
      <c r="C36" s="48" t="s">
        <v>44</v>
      </c>
      <c r="D36" s="49"/>
      <c r="E36" s="855">
        <f>+'Rate Base'!D14</f>
        <v>-379049328.05385643</v>
      </c>
      <c r="F36" s="50"/>
      <c r="G36" s="51"/>
      <c r="H36" s="51">
        <f>+'Exh MCP-5 - Summary of Adj'!R39</f>
        <v>-2482660.4374430813</v>
      </c>
      <c r="I36" s="50"/>
      <c r="J36" s="51"/>
      <c r="K36" s="52">
        <f t="shared" si="2"/>
        <v>-381531988.49129951</v>
      </c>
      <c r="L36" s="50"/>
      <c r="M36" s="51"/>
      <c r="N36" s="52"/>
      <c r="O36" s="52"/>
      <c r="P36" s="50"/>
      <c r="Q36" s="53">
        <f t="shared" si="3"/>
        <v>-381531988.49129951</v>
      </c>
    </row>
    <row r="37" spans="2:19">
      <c r="B37" s="846">
        <v>21</v>
      </c>
      <c r="C37" s="55" t="s">
        <v>18</v>
      </c>
      <c r="D37" s="55"/>
      <c r="E37" s="855">
        <f>+'Rate Base'!D16</f>
        <v>-3984824.2262500008</v>
      </c>
      <c r="F37" s="50"/>
      <c r="G37" s="51"/>
      <c r="H37" s="51">
        <f>+'Exh MCP-5 - Summary of Adj'!R40</f>
        <v>79441.336250000633</v>
      </c>
      <c r="I37" s="50"/>
      <c r="J37" s="51"/>
      <c r="K37" s="52">
        <f t="shared" si="2"/>
        <v>-3905382.89</v>
      </c>
      <c r="L37" s="50"/>
      <c r="M37" s="51"/>
      <c r="N37" s="52"/>
      <c r="O37" s="52"/>
      <c r="P37" s="50"/>
      <c r="Q37" s="53">
        <f t="shared" si="3"/>
        <v>-3905382.89</v>
      </c>
    </row>
    <row r="38" spans="2:19">
      <c r="B38" s="846">
        <v>22</v>
      </c>
      <c r="C38" s="55" t="s">
        <v>45</v>
      </c>
      <c r="D38" s="49"/>
      <c r="E38" s="855">
        <f>+'Rate Base'!D17</f>
        <v>-75831769.320000008</v>
      </c>
      <c r="F38" s="50"/>
      <c r="G38" s="51"/>
      <c r="H38" s="51">
        <f>+'Exh MCP-5 - Summary of Adj'!R41</f>
        <v>-574846.30024923291</v>
      </c>
      <c r="I38" s="50"/>
      <c r="J38" s="51"/>
      <c r="K38" s="52">
        <f t="shared" si="2"/>
        <v>-76406615.620249242</v>
      </c>
      <c r="L38" s="50"/>
      <c r="M38" s="51"/>
      <c r="N38" s="52"/>
      <c r="O38" s="52"/>
      <c r="P38" s="50"/>
      <c r="Q38" s="53">
        <f t="shared" si="3"/>
        <v>-76406615.620249242</v>
      </c>
    </row>
    <row r="39" spans="2:19">
      <c r="B39" s="846">
        <v>23</v>
      </c>
      <c r="C39" s="55" t="s">
        <v>46</v>
      </c>
      <c r="D39" s="49"/>
      <c r="E39" s="855">
        <f>+'Rate Base'!D18</f>
        <v>16984937.20167252</v>
      </c>
      <c r="F39" s="50"/>
      <c r="G39" s="51"/>
      <c r="H39" s="51">
        <f>+'Exh MCP-5 - Summary of Adj'!R42</f>
        <v>0</v>
      </c>
      <c r="I39" s="50"/>
      <c r="J39" s="51"/>
      <c r="K39" s="52">
        <f t="shared" si="2"/>
        <v>16984937.20167252</v>
      </c>
      <c r="L39" s="50"/>
      <c r="M39" s="51"/>
      <c r="N39" s="52"/>
      <c r="O39" s="52"/>
      <c r="P39" s="50"/>
      <c r="Q39" s="53">
        <f t="shared" si="3"/>
        <v>16984937.20167252</v>
      </c>
    </row>
    <row r="40" spans="2:19" ht="16.5" thickBot="1">
      <c r="B40" s="846">
        <v>24</v>
      </c>
      <c r="C40" s="64" t="s">
        <v>42</v>
      </c>
      <c r="D40" s="35"/>
      <c r="E40" s="72">
        <f>SUM(E35:E39)</f>
        <v>338399576.57719815</v>
      </c>
      <c r="F40" s="50"/>
      <c r="G40" s="51"/>
      <c r="H40" s="72">
        <f>SUM(H35:H39)</f>
        <v>66755542.366287515</v>
      </c>
      <c r="I40" s="50"/>
      <c r="J40" s="51"/>
      <c r="K40" s="72">
        <f>SUM(K35:K39)</f>
        <v>405155118.94348568</v>
      </c>
      <c r="L40" s="50"/>
      <c r="M40" s="51"/>
      <c r="N40" s="72">
        <f>SUM(N35:N39)</f>
        <v>0</v>
      </c>
      <c r="O40" s="860"/>
      <c r="P40" s="50"/>
      <c r="Q40" s="72">
        <f>SUM(Q35:Q39)</f>
        <v>405155118.94348568</v>
      </c>
    </row>
    <row r="41" spans="2:19" ht="16.5" thickTop="1">
      <c r="B41" s="846">
        <v>25</v>
      </c>
      <c r="C41" s="64" t="s">
        <v>19</v>
      </c>
      <c r="D41" s="49"/>
      <c r="E41" s="862">
        <f>+E32/E40</f>
        <v>6.3874353061044567E-2</v>
      </c>
      <c r="F41" s="39"/>
      <c r="G41" s="35"/>
      <c r="H41" s="35"/>
      <c r="I41" s="39"/>
      <c r="J41" s="35"/>
      <c r="K41" s="73">
        <f>+K32/K40</f>
        <v>5.3580827769777191E-2</v>
      </c>
      <c r="L41" s="39"/>
      <c r="M41" s="35"/>
      <c r="N41" s="74"/>
      <c r="O41" s="74"/>
      <c r="P41" s="39"/>
      <c r="Q41" s="75">
        <f>+Q32/Q40</f>
        <v>7.7279999999999974E-2</v>
      </c>
    </row>
    <row r="42" spans="2:19">
      <c r="B42" s="847"/>
      <c r="C42" s="863"/>
      <c r="D42" s="864"/>
      <c r="E42" s="865"/>
      <c r="F42" s="851"/>
      <c r="G42" s="852"/>
      <c r="H42" s="852"/>
      <c r="I42" s="851"/>
      <c r="J42" s="852"/>
      <c r="K42" s="866"/>
      <c r="L42" s="851"/>
      <c r="M42" s="852"/>
      <c r="N42" s="852"/>
      <c r="O42" s="852"/>
      <c r="P42" s="852"/>
      <c r="Q42" s="867"/>
    </row>
    <row r="43" spans="2:19">
      <c r="B43" s="36"/>
      <c r="C43" s="36"/>
      <c r="D43" s="36"/>
      <c r="E43" s="36"/>
      <c r="F43" s="36"/>
      <c r="G43" s="36"/>
      <c r="H43" s="36"/>
      <c r="I43" s="36"/>
      <c r="J43" s="36"/>
      <c r="K43" s="36"/>
      <c r="L43" s="36"/>
      <c r="M43" s="36"/>
      <c r="N43" s="36"/>
      <c r="O43" s="36"/>
      <c r="P43" s="36"/>
      <c r="Q43" s="36"/>
    </row>
    <row r="45" spans="2:19">
      <c r="N45" s="76"/>
    </row>
    <row r="47" spans="2:19">
      <c r="N47" s="62"/>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UG-19____
Exhibit _____ (MCP-2)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36"/>
  <sheetViews>
    <sheetView workbookViewId="0">
      <selection activeCell="D30" sqref="D30:D32"/>
    </sheetView>
  </sheetViews>
  <sheetFormatPr defaultRowHeight="15.75"/>
  <cols>
    <col min="1" max="16384" width="9.140625" style="4"/>
  </cols>
  <sheetData>
    <row r="1" spans="1:10">
      <c r="A1" s="884" t="s">
        <v>60</v>
      </c>
      <c r="B1" s="884"/>
      <c r="C1" s="884"/>
      <c r="D1" s="884"/>
      <c r="E1" s="884"/>
      <c r="F1" s="884"/>
      <c r="G1" s="884"/>
      <c r="H1" s="884"/>
      <c r="I1" s="884"/>
    </row>
    <row r="2" spans="1:10">
      <c r="A2" s="884" t="s">
        <v>1390</v>
      </c>
      <c r="B2" s="884"/>
      <c r="C2" s="884"/>
      <c r="D2" s="884"/>
      <c r="E2" s="884"/>
      <c r="F2" s="884"/>
      <c r="G2" s="884"/>
      <c r="H2" s="884"/>
      <c r="I2" s="884"/>
    </row>
    <row r="3" spans="1:10">
      <c r="A3" s="884" t="s">
        <v>1655</v>
      </c>
      <c r="B3" s="884"/>
      <c r="C3" s="884"/>
      <c r="D3" s="884"/>
      <c r="E3" s="884"/>
      <c r="F3" s="884"/>
      <c r="G3" s="884"/>
      <c r="H3" s="884"/>
      <c r="I3" s="884"/>
    </row>
    <row r="4" spans="1:10">
      <c r="A4" s="884"/>
      <c r="B4" s="884"/>
      <c r="C4" s="884"/>
      <c r="D4" s="884"/>
      <c r="E4" s="884"/>
      <c r="F4" s="884"/>
      <c r="G4" s="884"/>
      <c r="H4" s="884"/>
      <c r="I4" s="884"/>
    </row>
    <row r="5" spans="1:10">
      <c r="A5" s="884"/>
      <c r="B5" s="884"/>
      <c r="C5" s="884"/>
      <c r="D5" s="884"/>
      <c r="E5" s="884"/>
      <c r="F5" s="884"/>
      <c r="G5" s="884"/>
      <c r="H5" s="884"/>
      <c r="I5" s="884"/>
    </row>
    <row r="10" spans="1:10">
      <c r="G10" s="16"/>
    </row>
    <row r="13" spans="1:10">
      <c r="A13" s="887" t="s">
        <v>876</v>
      </c>
      <c r="B13" s="887"/>
      <c r="C13" s="887"/>
      <c r="D13" s="887"/>
      <c r="E13" s="887"/>
      <c r="F13" s="887"/>
      <c r="G13" s="887"/>
      <c r="H13" s="887"/>
      <c r="I13" s="887"/>
      <c r="J13" s="887"/>
    </row>
    <row r="36" spans="4:4">
      <c r="D36" s="26"/>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K30" sqref="K30"/>
    </sheetView>
  </sheetViews>
  <sheetFormatPr defaultRowHeight="15"/>
  <cols>
    <col min="1" max="1" width="6.7109375" style="742" bestFit="1" customWidth="1"/>
    <col min="2" max="2" width="24.42578125" bestFit="1" customWidth="1"/>
    <col min="3" max="3" width="3.5703125" style="793" customWidth="1"/>
    <col min="4" max="4" width="15.7109375" bestFit="1" customWidth="1"/>
    <col min="5" max="5" width="3.7109375" customWidth="1"/>
  </cols>
  <sheetData>
    <row r="1" spans="1:13" ht="15.75">
      <c r="B1" s="884" t="s">
        <v>60</v>
      </c>
      <c r="C1" s="884"/>
      <c r="D1" s="884"/>
      <c r="E1" s="884"/>
      <c r="F1" s="884"/>
      <c r="G1" s="884"/>
      <c r="H1" s="884"/>
      <c r="I1" s="3"/>
      <c r="J1" s="3"/>
      <c r="K1" s="3"/>
      <c r="L1" s="3"/>
      <c r="M1" s="3"/>
    </row>
    <row r="2" spans="1:13" ht="15.75">
      <c r="B2" s="884" t="s">
        <v>1390</v>
      </c>
      <c r="C2" s="884"/>
      <c r="D2" s="884"/>
      <c r="E2" s="884"/>
      <c r="F2" s="884"/>
      <c r="G2" s="884"/>
      <c r="H2" s="884"/>
      <c r="I2" s="3"/>
      <c r="J2" s="3"/>
      <c r="K2" s="3"/>
      <c r="L2" s="3"/>
      <c r="M2" s="3"/>
    </row>
    <row r="3" spans="1:13" ht="15.75">
      <c r="B3" s="884" t="s">
        <v>1392</v>
      </c>
      <c r="C3" s="884"/>
      <c r="D3" s="884"/>
      <c r="E3" s="884"/>
      <c r="F3" s="884"/>
      <c r="G3" s="884"/>
      <c r="H3" s="884"/>
      <c r="I3" s="3"/>
      <c r="J3" s="3"/>
      <c r="K3" s="3"/>
      <c r="L3" s="3"/>
      <c r="M3" s="3"/>
    </row>
    <row r="4" spans="1:13" ht="15.75">
      <c r="B4" s="927" t="s">
        <v>2149</v>
      </c>
      <c r="C4" s="927"/>
      <c r="D4" s="927"/>
      <c r="E4" s="927"/>
      <c r="F4" s="927"/>
      <c r="G4" s="927"/>
      <c r="H4" s="927"/>
      <c r="I4" s="792"/>
      <c r="J4" s="792"/>
      <c r="K4" s="792"/>
      <c r="L4" s="792"/>
      <c r="M4" s="792"/>
    </row>
    <row r="5" spans="1:13" ht="15.75">
      <c r="B5" s="884" t="s">
        <v>1376</v>
      </c>
      <c r="C5" s="884"/>
      <c r="D5" s="884"/>
      <c r="E5" s="884"/>
      <c r="F5" s="884"/>
      <c r="G5" s="884"/>
      <c r="H5" s="884"/>
      <c r="I5" s="3"/>
      <c r="J5" s="3"/>
      <c r="K5" s="3"/>
      <c r="L5" s="3"/>
      <c r="M5" s="3"/>
    </row>
    <row r="8" spans="1:13">
      <c r="A8" s="742" t="s">
        <v>2181</v>
      </c>
    </row>
    <row r="9" spans="1:13" ht="15.75">
      <c r="A9" s="742">
        <v>1</v>
      </c>
      <c r="B9" s="823" t="s">
        <v>2146</v>
      </c>
      <c r="C9" s="823"/>
      <c r="D9" s="824">
        <v>3665082.1399548231</v>
      </c>
      <c r="F9" s="4" t="s">
        <v>2150</v>
      </c>
      <c r="G9" s="4"/>
    </row>
    <row r="10" spans="1:13" ht="15.75">
      <c r="A10" s="742">
        <v>2</v>
      </c>
      <c r="B10" s="825" t="s">
        <v>2147</v>
      </c>
      <c r="C10" s="825"/>
      <c r="D10" s="826">
        <v>2980735.8</v>
      </c>
      <c r="F10" s="4" t="s">
        <v>2151</v>
      </c>
      <c r="G10" s="4"/>
    </row>
    <row r="11" spans="1:13" ht="16.5" thickBot="1">
      <c r="A11" s="742">
        <v>3</v>
      </c>
      <c r="B11" s="825" t="s">
        <v>2148</v>
      </c>
      <c r="C11" s="825"/>
      <c r="D11" s="827">
        <f>+D9-D10</f>
        <v>684346.33995482326</v>
      </c>
      <c r="F11" s="4" t="s">
        <v>2152</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75"/>
  <sheetViews>
    <sheetView showGridLines="0" view="pageBreakPreview" topLeftCell="A19" zoomScale="60" zoomScaleNormal="100" workbookViewId="0">
      <selection activeCell="D30" sqref="D30:D32"/>
    </sheetView>
  </sheetViews>
  <sheetFormatPr defaultRowHeight="15.75"/>
  <cols>
    <col min="1" max="1" width="9.28515625" style="28" bestFit="1" customWidth="1"/>
    <col min="2" max="2" width="35.42578125" style="26" bestFit="1" customWidth="1"/>
    <col min="3" max="3" width="32.5703125" style="26" bestFit="1" customWidth="1"/>
    <col min="4" max="5" width="14" style="26" bestFit="1" customWidth="1"/>
    <col min="6" max="6" width="14.42578125" style="26" bestFit="1" customWidth="1"/>
    <col min="7" max="7" width="5.85546875" style="26" bestFit="1" customWidth="1"/>
    <col min="8" max="8" width="9.140625" style="26"/>
    <col min="9" max="16384" width="9.140625" style="4"/>
  </cols>
  <sheetData>
    <row r="1" spans="1:7">
      <c r="B1" s="928" t="s">
        <v>60</v>
      </c>
      <c r="C1" s="928"/>
      <c r="D1" s="928"/>
      <c r="E1" s="928"/>
      <c r="F1" s="928"/>
      <c r="G1" s="928"/>
    </row>
    <row r="2" spans="1:7">
      <c r="B2" s="324"/>
      <c r="C2" s="324" t="s">
        <v>2171</v>
      </c>
      <c r="D2" s="324"/>
      <c r="E2" s="324"/>
      <c r="F2" s="324"/>
      <c r="G2" s="324"/>
    </row>
    <row r="3" spans="1:7">
      <c r="B3" s="324"/>
      <c r="C3" s="324" t="s">
        <v>1385</v>
      </c>
      <c r="D3" s="324"/>
      <c r="E3" s="324"/>
      <c r="F3" s="324"/>
      <c r="G3" s="324"/>
    </row>
    <row r="4" spans="1:7">
      <c r="B4" s="928" t="s">
        <v>81</v>
      </c>
      <c r="C4" s="928"/>
      <c r="D4" s="928"/>
      <c r="E4" s="928"/>
      <c r="F4" s="928"/>
      <c r="G4" s="928"/>
    </row>
    <row r="5" spans="1:7">
      <c r="B5" s="928" t="s">
        <v>1376</v>
      </c>
      <c r="C5" s="928"/>
      <c r="D5" s="928"/>
      <c r="E5" s="928"/>
      <c r="F5" s="928"/>
      <c r="G5" s="928"/>
    </row>
    <row r="6" spans="1:7">
      <c r="B6" s="324"/>
      <c r="C6" s="324"/>
      <c r="D6" s="324"/>
      <c r="E6" s="324"/>
      <c r="F6" s="324"/>
      <c r="G6" s="324"/>
    </row>
    <row r="7" spans="1:7">
      <c r="B7" s="294" t="s">
        <v>885</v>
      </c>
      <c r="C7" s="294" t="s">
        <v>883</v>
      </c>
      <c r="D7" s="294" t="s">
        <v>884</v>
      </c>
      <c r="E7" s="294" t="s">
        <v>887</v>
      </c>
      <c r="F7" s="294" t="s">
        <v>888</v>
      </c>
      <c r="G7" s="572" t="s">
        <v>889</v>
      </c>
    </row>
    <row r="8" spans="1:7">
      <c r="B8" s="295"/>
      <c r="C8" s="295"/>
      <c r="D8" s="295"/>
      <c r="E8" s="929" t="s">
        <v>770</v>
      </c>
      <c r="F8" s="295"/>
      <c r="G8" s="295"/>
    </row>
    <row r="9" spans="1:7">
      <c r="A9" s="560" t="s">
        <v>683</v>
      </c>
      <c r="B9" s="295"/>
      <c r="C9" s="295"/>
      <c r="D9" s="294" t="s">
        <v>769</v>
      </c>
      <c r="E9" s="930"/>
      <c r="F9" s="294" t="s">
        <v>771</v>
      </c>
      <c r="G9" s="295"/>
    </row>
    <row r="10" spans="1:7">
      <c r="A10" s="28">
        <v>1</v>
      </c>
      <c r="B10" s="296" t="s">
        <v>1459</v>
      </c>
      <c r="C10" s="296" t="s">
        <v>1467</v>
      </c>
      <c r="D10" s="322">
        <v>250</v>
      </c>
      <c r="E10" s="322"/>
      <c r="F10" s="322">
        <f>+D10</f>
        <v>250</v>
      </c>
      <c r="G10" s="296">
        <v>913</v>
      </c>
    </row>
    <row r="11" spans="1:7">
      <c r="A11" s="28">
        <v>2</v>
      </c>
      <c r="B11" s="296" t="s">
        <v>1459</v>
      </c>
      <c r="C11" s="296" t="s">
        <v>1468</v>
      </c>
      <c r="D11" s="322">
        <v>250</v>
      </c>
      <c r="E11" s="322"/>
      <c r="F11" s="322">
        <f>+D11</f>
        <v>250</v>
      </c>
      <c r="G11" s="296">
        <v>913</v>
      </c>
    </row>
    <row r="12" spans="1:7">
      <c r="A12" s="28">
        <v>3</v>
      </c>
      <c r="B12" s="296" t="s">
        <v>766</v>
      </c>
      <c r="C12" s="296" t="s">
        <v>1469</v>
      </c>
      <c r="D12" s="322">
        <v>23.77</v>
      </c>
      <c r="E12" s="322"/>
      <c r="F12" s="322"/>
      <c r="G12" s="296">
        <v>913</v>
      </c>
    </row>
    <row r="13" spans="1:7">
      <c r="A13" s="28">
        <v>4</v>
      </c>
      <c r="B13" s="296" t="s">
        <v>767</v>
      </c>
      <c r="C13" s="296" t="s">
        <v>1470</v>
      </c>
      <c r="D13" s="322">
        <v>200</v>
      </c>
      <c r="E13" s="322"/>
      <c r="F13" s="322"/>
      <c r="G13" s="296">
        <v>913</v>
      </c>
    </row>
    <row r="14" spans="1:7">
      <c r="A14" s="28">
        <v>5</v>
      </c>
      <c r="B14" s="296" t="s">
        <v>1460</v>
      </c>
      <c r="C14" s="296" t="s">
        <v>1471</v>
      </c>
      <c r="D14" s="322">
        <v>125</v>
      </c>
      <c r="E14" s="322"/>
      <c r="F14" s="322"/>
      <c r="G14" s="296">
        <v>913</v>
      </c>
    </row>
    <row r="15" spans="1:7">
      <c r="A15" s="28">
        <v>6</v>
      </c>
      <c r="B15" s="296" t="s">
        <v>766</v>
      </c>
      <c r="C15" s="296" t="s">
        <v>773</v>
      </c>
      <c r="D15" s="322">
        <v>32.35</v>
      </c>
      <c r="E15" s="322"/>
      <c r="F15" s="322"/>
      <c r="G15" s="296">
        <v>913</v>
      </c>
    </row>
    <row r="16" spans="1:7">
      <c r="A16" s="28">
        <v>7</v>
      </c>
      <c r="B16" s="296" t="s">
        <v>1461</v>
      </c>
      <c r="C16" s="296" t="s">
        <v>1472</v>
      </c>
      <c r="D16" s="322">
        <v>100</v>
      </c>
      <c r="E16" s="322"/>
      <c r="F16" s="322"/>
      <c r="G16" s="296">
        <v>913</v>
      </c>
    </row>
    <row r="17" spans="1:7">
      <c r="A17" s="28">
        <v>8</v>
      </c>
      <c r="B17" s="296" t="s">
        <v>1462</v>
      </c>
      <c r="C17" s="296" t="s">
        <v>1473</v>
      </c>
      <c r="D17" s="322">
        <v>100</v>
      </c>
      <c r="E17" s="322"/>
      <c r="F17" s="322"/>
      <c r="G17" s="296">
        <v>913</v>
      </c>
    </row>
    <row r="18" spans="1:7">
      <c r="A18" s="28">
        <v>9</v>
      </c>
      <c r="B18" s="296" t="s">
        <v>1463</v>
      </c>
      <c r="C18" s="296" t="s">
        <v>1474</v>
      </c>
      <c r="D18" s="322">
        <v>100</v>
      </c>
      <c r="E18" s="322"/>
      <c r="F18" s="322"/>
      <c r="G18" s="296">
        <v>913</v>
      </c>
    </row>
    <row r="19" spans="1:7">
      <c r="A19" s="28">
        <v>10</v>
      </c>
      <c r="B19" s="296" t="s">
        <v>1462</v>
      </c>
      <c r="C19" s="296" t="s">
        <v>1473</v>
      </c>
      <c r="D19" s="322">
        <v>100</v>
      </c>
      <c r="E19" s="322"/>
      <c r="F19" s="322"/>
      <c r="G19" s="296">
        <v>913</v>
      </c>
    </row>
    <row r="20" spans="1:7">
      <c r="A20" s="28">
        <v>11</v>
      </c>
      <c r="B20" s="296" t="s">
        <v>1464</v>
      </c>
      <c r="C20" s="296" t="s">
        <v>1475</v>
      </c>
      <c r="D20" s="322">
        <v>60</v>
      </c>
      <c r="E20" s="322"/>
      <c r="F20" s="322"/>
      <c r="G20" s="296">
        <v>913</v>
      </c>
    </row>
    <row r="21" spans="1:7">
      <c r="A21" s="28">
        <v>12</v>
      </c>
      <c r="B21" s="296" t="s">
        <v>767</v>
      </c>
      <c r="C21" s="296" t="s">
        <v>1474</v>
      </c>
      <c r="D21" s="322">
        <v>100</v>
      </c>
      <c r="E21" s="322"/>
      <c r="F21" s="322"/>
      <c r="G21" s="296">
        <v>913</v>
      </c>
    </row>
    <row r="22" spans="1:7">
      <c r="A22" s="28">
        <v>13</v>
      </c>
      <c r="B22" s="296" t="s">
        <v>1465</v>
      </c>
      <c r="C22" s="296" t="s">
        <v>1476</v>
      </c>
      <c r="D22" s="322">
        <v>2.5</v>
      </c>
      <c r="E22" s="322">
        <f>+D22*'State Allocation Formulas'!C21</f>
        <v>1.8712500000000001</v>
      </c>
      <c r="F22" s="322"/>
      <c r="G22" s="296">
        <v>913</v>
      </c>
    </row>
    <row r="23" spans="1:7">
      <c r="A23" s="28">
        <v>14</v>
      </c>
      <c r="B23" s="296" t="s">
        <v>768</v>
      </c>
      <c r="C23" s="296" t="s">
        <v>1477</v>
      </c>
      <c r="D23" s="322">
        <v>1000</v>
      </c>
      <c r="E23" s="322">
        <f>+D23*'State Allocation Formulas'!C21</f>
        <v>748.5</v>
      </c>
      <c r="F23" s="322"/>
      <c r="G23" s="296">
        <v>913</v>
      </c>
    </row>
    <row r="24" spans="1:7">
      <c r="A24" s="28">
        <v>15</v>
      </c>
      <c r="B24" s="296" t="s">
        <v>768</v>
      </c>
      <c r="C24" s="296" t="s">
        <v>1478</v>
      </c>
      <c r="D24" s="322">
        <v>791.67</v>
      </c>
      <c r="E24" s="322">
        <f>+D24*'State Allocation Formulas'!C21</f>
        <v>592.56499500000007</v>
      </c>
      <c r="F24" s="322"/>
      <c r="G24" s="296">
        <v>913</v>
      </c>
    </row>
    <row r="25" spans="1:7">
      <c r="A25" s="28">
        <v>16</v>
      </c>
      <c r="B25" s="296" t="s">
        <v>1466</v>
      </c>
      <c r="C25" s="296" t="s">
        <v>1479</v>
      </c>
      <c r="D25" s="322">
        <v>-395.83</v>
      </c>
      <c r="E25" s="322">
        <f>+D25*'State Allocation Formulas'!C21</f>
        <v>-296.27875499999999</v>
      </c>
      <c r="F25" s="322"/>
      <c r="G25" s="296">
        <v>913</v>
      </c>
    </row>
    <row r="26" spans="1:7">
      <c r="A26" s="28">
        <v>17</v>
      </c>
      <c r="B26" s="296"/>
      <c r="C26" s="296"/>
      <c r="D26" s="322"/>
      <c r="E26" s="322"/>
      <c r="F26" s="322"/>
      <c r="G26" s="296"/>
    </row>
    <row r="27" spans="1:7">
      <c r="B27" s="295"/>
      <c r="C27" s="295"/>
      <c r="D27" s="295"/>
      <c r="E27" s="295"/>
      <c r="F27" s="295"/>
      <c r="G27" s="295"/>
    </row>
    <row r="28" spans="1:7">
      <c r="A28" s="297">
        <v>18</v>
      </c>
      <c r="B28" s="295"/>
      <c r="C28" s="295"/>
      <c r="D28" s="295"/>
      <c r="E28" s="327">
        <f>SUM(E10:E26)</f>
        <v>1046.6574900000001</v>
      </c>
      <c r="F28" s="327">
        <f>SUM(F10:F26)</f>
        <v>500</v>
      </c>
      <c r="G28" s="295"/>
    </row>
    <row r="29" spans="1:7">
      <c r="A29" s="297">
        <v>19</v>
      </c>
      <c r="B29" s="295" t="s">
        <v>697</v>
      </c>
      <c r="C29" s="295"/>
      <c r="D29" s="295"/>
      <c r="E29" s="295"/>
      <c r="F29" s="327">
        <f>+F28+E28</f>
        <v>1546.6574900000001</v>
      </c>
      <c r="G29" s="295"/>
    </row>
    <row r="30" spans="1:7">
      <c r="B30" s="295"/>
      <c r="C30" s="295"/>
      <c r="D30" s="295"/>
      <c r="E30" s="295"/>
      <c r="F30" s="295"/>
      <c r="G30" s="295"/>
    </row>
    <row r="32" spans="1:7">
      <c r="B32" s="294" t="s">
        <v>885</v>
      </c>
      <c r="C32" s="294" t="s">
        <v>883</v>
      </c>
      <c r="D32" s="294" t="s">
        <v>884</v>
      </c>
      <c r="E32" s="294" t="s">
        <v>887</v>
      </c>
      <c r="F32" s="294" t="s">
        <v>888</v>
      </c>
      <c r="G32" s="572" t="s">
        <v>889</v>
      </c>
    </row>
    <row r="33" spans="1:7">
      <c r="A33" s="560" t="s">
        <v>683</v>
      </c>
      <c r="D33" s="294" t="s">
        <v>769</v>
      </c>
      <c r="E33" s="294" t="s">
        <v>770</v>
      </c>
      <c r="F33" s="294" t="s">
        <v>771</v>
      </c>
    </row>
    <row r="34" spans="1:7">
      <c r="A34" s="28">
        <v>20</v>
      </c>
      <c r="B34" s="296" t="s">
        <v>1480</v>
      </c>
      <c r="C34" s="296" t="s">
        <v>1500</v>
      </c>
      <c r="D34" s="322">
        <v>102.56</v>
      </c>
      <c r="E34" s="322"/>
      <c r="F34" s="322">
        <f>+D34</f>
        <v>102.56</v>
      </c>
      <c r="G34" s="296">
        <v>930.1</v>
      </c>
    </row>
    <row r="35" spans="1:7">
      <c r="A35" s="28">
        <v>21</v>
      </c>
      <c r="B35" s="296" t="s">
        <v>1459</v>
      </c>
      <c r="C35" s="296" t="s">
        <v>1501</v>
      </c>
      <c r="D35" s="322">
        <v>250</v>
      </c>
      <c r="E35" s="322"/>
      <c r="F35" s="322">
        <f t="shared" ref="F35:F43" si="0">+D35</f>
        <v>250</v>
      </c>
      <c r="G35" s="296">
        <v>930.1</v>
      </c>
    </row>
    <row r="36" spans="1:7">
      <c r="A36" s="28">
        <v>22</v>
      </c>
      <c r="B36" s="296" t="s">
        <v>692</v>
      </c>
      <c r="C36" s="296" t="s">
        <v>1502</v>
      </c>
      <c r="D36" s="322">
        <v>135</v>
      </c>
      <c r="E36" s="322"/>
      <c r="F36" s="322">
        <f t="shared" si="0"/>
        <v>135</v>
      </c>
      <c r="G36" s="296">
        <v>930.1</v>
      </c>
    </row>
    <row r="37" spans="1:7">
      <c r="A37" s="28">
        <v>23</v>
      </c>
      <c r="B37" s="296" t="s">
        <v>693</v>
      </c>
      <c r="C37" s="296" t="s">
        <v>1503</v>
      </c>
      <c r="D37" s="322">
        <v>250</v>
      </c>
      <c r="E37" s="322"/>
      <c r="F37" s="322">
        <f t="shared" si="0"/>
        <v>250</v>
      </c>
      <c r="G37" s="296">
        <v>930.1</v>
      </c>
    </row>
    <row r="38" spans="1:7">
      <c r="A38" s="28">
        <v>24</v>
      </c>
      <c r="B38" s="296" t="s">
        <v>694</v>
      </c>
      <c r="C38" s="296" t="s">
        <v>1504</v>
      </c>
      <c r="D38" s="322">
        <v>200</v>
      </c>
      <c r="E38" s="322"/>
      <c r="F38" s="322">
        <f t="shared" si="0"/>
        <v>200</v>
      </c>
      <c r="G38" s="296">
        <v>930.1</v>
      </c>
    </row>
    <row r="39" spans="1:7">
      <c r="A39" s="28">
        <v>25</v>
      </c>
      <c r="B39" s="296" t="s">
        <v>1481</v>
      </c>
      <c r="C39" s="296" t="s">
        <v>1505</v>
      </c>
      <c r="D39" s="322">
        <v>400</v>
      </c>
      <c r="E39" s="322"/>
      <c r="F39" s="322">
        <f t="shared" si="0"/>
        <v>400</v>
      </c>
      <c r="G39" s="296">
        <v>930.1</v>
      </c>
    </row>
    <row r="40" spans="1:7">
      <c r="A40" s="28">
        <v>26</v>
      </c>
      <c r="B40" s="296" t="s">
        <v>1482</v>
      </c>
      <c r="C40" s="296" t="s">
        <v>1506</v>
      </c>
      <c r="D40" s="322">
        <v>150</v>
      </c>
      <c r="E40" s="322"/>
      <c r="F40" s="322">
        <f t="shared" si="0"/>
        <v>150</v>
      </c>
      <c r="G40" s="296">
        <v>930.1</v>
      </c>
    </row>
    <row r="41" spans="1:7">
      <c r="A41" s="28">
        <v>27</v>
      </c>
      <c r="B41" s="296" t="s">
        <v>1483</v>
      </c>
      <c r="C41" s="296" t="s">
        <v>1507</v>
      </c>
      <c r="D41" s="322">
        <v>250</v>
      </c>
      <c r="E41" s="322"/>
      <c r="F41" s="322">
        <f t="shared" si="0"/>
        <v>250</v>
      </c>
      <c r="G41" s="296">
        <v>930.1</v>
      </c>
    </row>
    <row r="42" spans="1:7">
      <c r="A42" s="28">
        <v>28</v>
      </c>
      <c r="B42" s="296" t="s">
        <v>692</v>
      </c>
      <c r="C42" s="296" t="s">
        <v>1508</v>
      </c>
      <c r="D42" s="322">
        <v>135</v>
      </c>
      <c r="E42" s="322"/>
      <c r="F42" s="322">
        <f t="shared" si="0"/>
        <v>135</v>
      </c>
      <c r="G42" s="296">
        <v>930.1</v>
      </c>
    </row>
    <row r="43" spans="1:7">
      <c r="A43" s="28">
        <v>29</v>
      </c>
      <c r="B43" s="296" t="s">
        <v>1484</v>
      </c>
      <c r="C43" s="296" t="s">
        <v>1509</v>
      </c>
      <c r="D43" s="322">
        <v>150</v>
      </c>
      <c r="E43" s="322"/>
      <c r="F43" s="322">
        <f t="shared" si="0"/>
        <v>150</v>
      </c>
      <c r="G43" s="296">
        <v>930.1</v>
      </c>
    </row>
    <row r="44" spans="1:7">
      <c r="A44" s="28">
        <v>30</v>
      </c>
      <c r="B44" s="296" t="s">
        <v>1485</v>
      </c>
      <c r="C44" s="296" t="s">
        <v>1510</v>
      </c>
      <c r="D44" s="322">
        <v>975</v>
      </c>
      <c r="E44" s="322"/>
      <c r="F44" s="322"/>
      <c r="G44" s="296">
        <v>930.1</v>
      </c>
    </row>
    <row r="45" spans="1:7">
      <c r="A45" s="28">
        <v>31</v>
      </c>
      <c r="B45" s="296" t="s">
        <v>772</v>
      </c>
      <c r="C45" s="296" t="s">
        <v>1511</v>
      </c>
      <c r="D45" s="322">
        <v>72</v>
      </c>
      <c r="E45" s="322"/>
      <c r="F45" s="322"/>
      <c r="G45" s="296">
        <v>930.1</v>
      </c>
    </row>
    <row r="46" spans="1:7">
      <c r="A46" s="28">
        <v>32</v>
      </c>
      <c r="B46" s="296" t="s">
        <v>772</v>
      </c>
      <c r="C46" s="296" t="s">
        <v>1512</v>
      </c>
      <c r="D46" s="322">
        <v>72</v>
      </c>
      <c r="E46" s="322"/>
      <c r="F46" s="322"/>
      <c r="G46" s="296">
        <v>930.1</v>
      </c>
    </row>
    <row r="47" spans="1:7">
      <c r="A47" s="28">
        <v>33</v>
      </c>
      <c r="B47" s="296" t="s">
        <v>772</v>
      </c>
      <c r="C47" s="296" t="s">
        <v>1511</v>
      </c>
      <c r="D47" s="322">
        <v>72</v>
      </c>
      <c r="E47" s="322"/>
      <c r="F47" s="322"/>
      <c r="G47" s="296">
        <v>930.1</v>
      </c>
    </row>
    <row r="48" spans="1:7">
      <c r="A48" s="28">
        <v>34</v>
      </c>
      <c r="B48" s="296" t="s">
        <v>772</v>
      </c>
      <c r="C48" s="296" t="s">
        <v>1511</v>
      </c>
      <c r="D48" s="322">
        <v>72</v>
      </c>
      <c r="E48" s="322"/>
      <c r="F48" s="322"/>
      <c r="G48" s="296">
        <v>930.1</v>
      </c>
    </row>
    <row r="49" spans="1:7">
      <c r="A49" s="28">
        <v>35</v>
      </c>
      <c r="B49" s="296" t="s">
        <v>772</v>
      </c>
      <c r="C49" s="296" t="s">
        <v>1513</v>
      </c>
      <c r="D49" s="322">
        <v>72</v>
      </c>
      <c r="E49" s="322"/>
      <c r="F49" s="322"/>
      <c r="G49" s="296">
        <v>930.1</v>
      </c>
    </row>
    <row r="50" spans="1:7">
      <c r="A50" s="28">
        <v>36</v>
      </c>
      <c r="B50" s="296" t="s">
        <v>766</v>
      </c>
      <c r="C50" s="296" t="s">
        <v>1469</v>
      </c>
      <c r="D50" s="322">
        <v>0.63</v>
      </c>
      <c r="E50" s="322"/>
      <c r="F50" s="322"/>
      <c r="G50" s="296">
        <v>930.1</v>
      </c>
    </row>
    <row r="51" spans="1:7">
      <c r="A51" s="28">
        <v>37</v>
      </c>
      <c r="B51" s="296" t="s">
        <v>1486</v>
      </c>
      <c r="C51" s="296" t="s">
        <v>695</v>
      </c>
      <c r="D51" s="322">
        <v>6763.52</v>
      </c>
      <c r="E51" s="322">
        <f>+D51*'State Allocation Formulas'!$C$21</f>
        <v>5062.4947200000006</v>
      </c>
      <c r="F51" s="322"/>
      <c r="G51" s="296">
        <v>930.1</v>
      </c>
    </row>
    <row r="52" spans="1:7">
      <c r="A52" s="28">
        <v>38</v>
      </c>
      <c r="B52" s="296" t="s">
        <v>1487</v>
      </c>
      <c r="C52" s="296" t="s">
        <v>695</v>
      </c>
      <c r="D52" s="322">
        <v>502.26</v>
      </c>
      <c r="E52" s="322">
        <f>+D52*'State Allocation Formulas'!$C$21</f>
        <v>375.94161000000003</v>
      </c>
      <c r="F52" s="322"/>
      <c r="G52" s="296">
        <v>930.1</v>
      </c>
    </row>
    <row r="53" spans="1:7">
      <c r="A53" s="28">
        <v>39</v>
      </c>
      <c r="B53" s="296" t="s">
        <v>1488</v>
      </c>
      <c r="C53" s="296" t="s">
        <v>695</v>
      </c>
      <c r="D53" s="322">
        <v>1770.63</v>
      </c>
      <c r="E53" s="322">
        <f>+D53*'State Allocation Formulas'!$C$21</f>
        <v>1325.3165550000001</v>
      </c>
      <c r="F53" s="322"/>
      <c r="G53" s="296">
        <v>930.1</v>
      </c>
    </row>
    <row r="54" spans="1:7">
      <c r="A54" s="28">
        <v>40</v>
      </c>
      <c r="B54" s="296" t="s">
        <v>1489</v>
      </c>
      <c r="C54" s="296" t="s">
        <v>695</v>
      </c>
      <c r="D54" s="322">
        <v>159.49</v>
      </c>
      <c r="E54" s="322">
        <f>+D54*'State Allocation Formulas'!$C$21</f>
        <v>119.37826500000001</v>
      </c>
      <c r="F54" s="322"/>
      <c r="G54" s="296">
        <v>930.1</v>
      </c>
    </row>
    <row r="55" spans="1:7">
      <c r="A55" s="28">
        <v>41</v>
      </c>
      <c r="B55" s="296" t="s">
        <v>1490</v>
      </c>
      <c r="C55" s="296" t="s">
        <v>695</v>
      </c>
      <c r="D55" s="322">
        <v>795.76</v>
      </c>
      <c r="E55" s="322">
        <f>+D55*'State Allocation Formulas'!$C$21</f>
        <v>595.62636000000009</v>
      </c>
      <c r="F55" s="322"/>
      <c r="G55" s="296">
        <v>930.1</v>
      </c>
    </row>
    <row r="56" spans="1:7">
      <c r="A56" s="28">
        <v>42</v>
      </c>
      <c r="B56" s="296" t="s">
        <v>1491</v>
      </c>
      <c r="C56" s="296" t="s">
        <v>695</v>
      </c>
      <c r="D56" s="322">
        <v>1293.08</v>
      </c>
      <c r="E56" s="322">
        <f>+D56*'State Allocation Formulas'!$C$21</f>
        <v>967.87038000000007</v>
      </c>
      <c r="F56" s="322"/>
      <c r="G56" s="296">
        <v>930.1</v>
      </c>
    </row>
    <row r="57" spans="1:7">
      <c r="A57" s="28">
        <v>43</v>
      </c>
      <c r="B57" s="296" t="s">
        <v>1492</v>
      </c>
      <c r="C57" s="296" t="s">
        <v>695</v>
      </c>
      <c r="D57" s="322">
        <v>820.99</v>
      </c>
      <c r="E57" s="322">
        <f>+D57*'State Allocation Formulas'!$C$21</f>
        <v>614.51101500000004</v>
      </c>
      <c r="F57" s="322"/>
      <c r="G57" s="296">
        <v>930.1</v>
      </c>
    </row>
    <row r="58" spans="1:7">
      <c r="A58" s="28">
        <v>44</v>
      </c>
      <c r="B58" s="296" t="s">
        <v>1493</v>
      </c>
      <c r="C58" s="296" t="s">
        <v>695</v>
      </c>
      <c r="D58" s="322">
        <v>1488.84</v>
      </c>
      <c r="E58" s="322">
        <f>+D58*'State Allocation Formulas'!$C$21</f>
        <v>1114.3967399999999</v>
      </c>
      <c r="F58" s="322"/>
      <c r="G58" s="296">
        <v>930.1</v>
      </c>
    </row>
    <row r="59" spans="1:7">
      <c r="A59" s="28">
        <v>45</v>
      </c>
      <c r="B59" s="296" t="s">
        <v>1494</v>
      </c>
      <c r="C59" s="296" t="s">
        <v>695</v>
      </c>
      <c r="D59" s="322">
        <v>3200.36</v>
      </c>
      <c r="E59" s="322">
        <f>+D59*'State Allocation Formulas'!$C$21</f>
        <v>2395.4694600000003</v>
      </c>
      <c r="F59" s="322"/>
      <c r="G59" s="296">
        <v>930.1</v>
      </c>
    </row>
    <row r="60" spans="1:7">
      <c r="A60" s="28">
        <v>46</v>
      </c>
      <c r="B60" s="296" t="s">
        <v>1495</v>
      </c>
      <c r="C60" s="296" t="s">
        <v>695</v>
      </c>
      <c r="D60" s="322">
        <v>2427.14</v>
      </c>
      <c r="E60" s="322">
        <f>+D60*'State Allocation Formulas'!$C$21</f>
        <v>1816.7142900000001</v>
      </c>
      <c r="F60" s="322"/>
      <c r="G60" s="296">
        <v>930.1</v>
      </c>
    </row>
    <row r="61" spans="1:7">
      <c r="A61" s="28">
        <v>47</v>
      </c>
      <c r="B61" s="296" t="s">
        <v>1496</v>
      </c>
      <c r="C61" s="296" t="s">
        <v>695</v>
      </c>
      <c r="D61" s="322">
        <v>2161.38</v>
      </c>
      <c r="E61" s="322">
        <f>+D61*'State Allocation Formulas'!$C$21</f>
        <v>1617.7929300000003</v>
      </c>
      <c r="F61" s="322"/>
      <c r="G61" s="296">
        <v>930.1</v>
      </c>
    </row>
    <row r="62" spans="1:7">
      <c r="A62" s="28">
        <v>48</v>
      </c>
      <c r="B62" s="296" t="s">
        <v>1497</v>
      </c>
      <c r="C62" s="296" t="s">
        <v>695</v>
      </c>
      <c r="D62" s="322">
        <v>2856.36</v>
      </c>
      <c r="E62" s="322">
        <f>+D62*'State Allocation Formulas'!$C$21</f>
        <v>2137.9854600000003</v>
      </c>
      <c r="F62" s="322"/>
      <c r="G62" s="296">
        <v>930.1</v>
      </c>
    </row>
    <row r="63" spans="1:7">
      <c r="A63" s="28">
        <v>49</v>
      </c>
      <c r="B63" s="296" t="s">
        <v>1498</v>
      </c>
      <c r="C63" s="296" t="s">
        <v>1514</v>
      </c>
      <c r="D63" s="322">
        <v>500</v>
      </c>
      <c r="E63" s="322">
        <f>+D63*'State Allocation Formulas'!$C$21</f>
        <v>374.25</v>
      </c>
      <c r="F63" s="322"/>
      <c r="G63" s="296">
        <v>930.1</v>
      </c>
    </row>
    <row r="64" spans="1:7">
      <c r="A64" s="28">
        <v>50</v>
      </c>
      <c r="B64" s="296" t="s">
        <v>1499</v>
      </c>
      <c r="C64" s="296" t="s">
        <v>1515</v>
      </c>
      <c r="D64" s="322">
        <v>678.11</v>
      </c>
      <c r="E64" s="322">
        <f>+D64*'State Allocation Formulas'!$C$21</f>
        <v>507.56533500000006</v>
      </c>
      <c r="F64" s="322"/>
      <c r="G64" s="296">
        <v>930.1</v>
      </c>
    </row>
    <row r="65" spans="1:7">
      <c r="A65" s="28">
        <v>51</v>
      </c>
      <c r="B65" s="296" t="s">
        <v>1466</v>
      </c>
      <c r="C65" s="296" t="s">
        <v>1479</v>
      </c>
      <c r="D65" s="322">
        <v>395.83</v>
      </c>
      <c r="E65" s="322">
        <f>+D65*'State Allocation Formulas'!$C$21</f>
        <v>296.27875499999999</v>
      </c>
      <c r="F65" s="322"/>
      <c r="G65" s="296">
        <v>930.1</v>
      </c>
    </row>
    <row r="66" spans="1:7">
      <c r="A66" s="28">
        <v>52</v>
      </c>
      <c r="B66" s="296" t="s">
        <v>768</v>
      </c>
      <c r="C66" s="296" t="s">
        <v>1516</v>
      </c>
      <c r="D66" s="322">
        <v>791.67</v>
      </c>
      <c r="E66" s="322">
        <f>+D66*'State Allocation Formulas'!$C$21</f>
        <v>592.56499500000007</v>
      </c>
      <c r="F66" s="322"/>
      <c r="G66" s="296">
        <v>930.1</v>
      </c>
    </row>
    <row r="67" spans="1:7">
      <c r="A67" s="28">
        <v>53</v>
      </c>
      <c r="B67" s="296" t="s">
        <v>696</v>
      </c>
      <c r="C67" s="296" t="s">
        <v>1517</v>
      </c>
      <c r="D67" s="322">
        <v>665</v>
      </c>
      <c r="E67" s="322">
        <f>+D67*'State Allocation Formulas'!$C$21</f>
        <v>497.75250000000005</v>
      </c>
      <c r="F67" s="322"/>
      <c r="G67" s="296">
        <v>930.1</v>
      </c>
    </row>
    <row r="68" spans="1:7">
      <c r="A68" s="28">
        <v>54</v>
      </c>
      <c r="B68" s="296"/>
      <c r="C68" s="296" t="s">
        <v>691</v>
      </c>
      <c r="D68" s="322"/>
      <c r="E68" s="322"/>
      <c r="F68" s="322"/>
      <c r="G68" s="296">
        <v>930.1</v>
      </c>
    </row>
    <row r="69" spans="1:7">
      <c r="A69" s="28">
        <v>55</v>
      </c>
      <c r="B69" s="296"/>
      <c r="C69" s="296"/>
      <c r="D69" s="322"/>
      <c r="E69" s="322"/>
      <c r="F69" s="322"/>
      <c r="G69" s="296">
        <v>930.1</v>
      </c>
    </row>
    <row r="70" spans="1:7">
      <c r="A70" s="28">
        <v>56</v>
      </c>
      <c r="B70" s="296"/>
      <c r="C70" s="296"/>
      <c r="D70" s="322"/>
      <c r="E70" s="322"/>
      <c r="F70" s="322"/>
      <c r="G70" s="296">
        <v>930.1</v>
      </c>
    </row>
    <row r="71" spans="1:7">
      <c r="A71" s="28">
        <v>57</v>
      </c>
      <c r="B71" s="296"/>
      <c r="C71" s="296"/>
      <c r="D71" s="322"/>
      <c r="E71" s="322"/>
      <c r="F71" s="322"/>
      <c r="G71" s="296">
        <v>930.1</v>
      </c>
    </row>
    <row r="72" spans="1:7">
      <c r="A72" s="28">
        <v>58</v>
      </c>
      <c r="B72" s="296"/>
      <c r="C72" s="296"/>
      <c r="D72" s="322"/>
      <c r="E72" s="322"/>
      <c r="F72" s="322"/>
      <c r="G72" s="296"/>
    </row>
    <row r="74" spans="1:7">
      <c r="A74" s="297">
        <v>59</v>
      </c>
      <c r="E74" s="488">
        <f>SUM(E34:E72)</f>
        <v>20411.909370000001</v>
      </c>
      <c r="F74" s="488">
        <f>SUM(F34:F72)</f>
        <v>2022.56</v>
      </c>
    </row>
    <row r="75" spans="1:7">
      <c r="A75" s="297">
        <v>60</v>
      </c>
      <c r="B75" s="26" t="s">
        <v>698</v>
      </c>
      <c r="F75" s="488">
        <f>+E74+F74</f>
        <v>22434.469370000003</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D30" sqref="D30:D32"/>
    </sheetView>
  </sheetViews>
  <sheetFormatPr defaultRowHeight="15"/>
  <cols>
    <col min="1" max="1" width="9.28515625" style="793" bestFit="1" customWidth="1"/>
    <col min="8" max="8" width="16.85546875" bestFit="1" customWidth="1"/>
    <col min="12" max="12" width="14.28515625" bestFit="1" customWidth="1"/>
  </cols>
  <sheetData>
    <row r="1" spans="1:16" ht="15.75">
      <c r="B1" s="4"/>
      <c r="C1" s="887"/>
      <c r="D1" s="887"/>
      <c r="E1" s="887"/>
      <c r="F1" s="887"/>
      <c r="G1" s="887"/>
      <c r="H1" s="887"/>
      <c r="I1" s="4"/>
      <c r="J1" s="4"/>
      <c r="K1" s="4"/>
      <c r="L1" s="4"/>
      <c r="M1" s="4"/>
    </row>
    <row r="2" spans="1:16" ht="15.75">
      <c r="A2" s="884" t="s">
        <v>60</v>
      </c>
      <c r="B2" s="884"/>
      <c r="C2" s="884"/>
      <c r="D2" s="884"/>
      <c r="E2" s="884"/>
      <c r="F2" s="884"/>
      <c r="G2" s="884"/>
      <c r="H2" s="884"/>
      <c r="I2" s="884"/>
      <c r="J2" s="3"/>
      <c r="K2" s="3"/>
      <c r="L2" s="3"/>
      <c r="M2" s="3"/>
    </row>
    <row r="3" spans="1:16" ht="15.75">
      <c r="A3" s="884" t="s">
        <v>1390</v>
      </c>
      <c r="B3" s="884"/>
      <c r="C3" s="884"/>
      <c r="D3" s="884"/>
      <c r="E3" s="884"/>
      <c r="F3" s="884"/>
      <c r="G3" s="884"/>
      <c r="H3" s="884"/>
      <c r="I3" s="884"/>
      <c r="J3" s="3"/>
      <c r="K3" s="3"/>
      <c r="L3" s="3"/>
      <c r="M3" s="3"/>
    </row>
    <row r="4" spans="1:16" ht="15.75">
      <c r="A4" s="884" t="s">
        <v>1386</v>
      </c>
      <c r="B4" s="884"/>
      <c r="C4" s="884"/>
      <c r="D4" s="884"/>
      <c r="E4" s="884"/>
      <c r="F4" s="884"/>
      <c r="G4" s="884"/>
      <c r="H4" s="884"/>
      <c r="I4" s="884"/>
      <c r="J4" s="3"/>
      <c r="K4" s="3"/>
      <c r="L4" s="3"/>
      <c r="M4" s="3"/>
    </row>
    <row r="5" spans="1:16" ht="15.75">
      <c r="A5" s="927" t="s">
        <v>2172</v>
      </c>
      <c r="B5" s="927"/>
      <c r="C5" s="927"/>
      <c r="D5" s="927"/>
      <c r="E5" s="927"/>
      <c r="F5" s="927"/>
      <c r="G5" s="927"/>
      <c r="H5" s="927"/>
      <c r="I5" s="927"/>
      <c r="J5" s="792"/>
      <c r="K5" s="792"/>
      <c r="L5" s="792"/>
      <c r="M5" s="792"/>
    </row>
    <row r="6" spans="1:16" ht="15.75">
      <c r="A6" s="884" t="s">
        <v>1376</v>
      </c>
      <c r="B6" s="884"/>
      <c r="C6" s="884"/>
      <c r="D6" s="884"/>
      <c r="E6" s="884"/>
      <c r="F6" s="884"/>
      <c r="G6" s="884"/>
      <c r="H6" s="884"/>
      <c r="I6" s="884"/>
      <c r="J6" s="3"/>
      <c r="K6" s="3"/>
      <c r="L6" s="3"/>
      <c r="M6" s="3"/>
    </row>
    <row r="7" spans="1:16" s="793" customFormat="1" ht="15.75">
      <c r="B7" s="4"/>
      <c r="C7" s="815"/>
      <c r="D7" s="815"/>
      <c r="E7" s="815"/>
      <c r="F7" s="815"/>
      <c r="G7" s="815"/>
      <c r="H7" s="815"/>
      <c r="I7" s="815"/>
      <c r="J7" s="815"/>
      <c r="K7" s="815"/>
      <c r="L7" s="815"/>
      <c r="M7" s="815"/>
    </row>
    <row r="8" spans="1:16">
      <c r="C8" s="819"/>
      <c r="D8" s="819"/>
      <c r="E8" s="819"/>
      <c r="F8" s="819"/>
      <c r="G8" s="793"/>
      <c r="H8" s="793"/>
      <c r="I8" s="793"/>
      <c r="J8" s="793"/>
    </row>
    <row r="9" spans="1:16" ht="15.75">
      <c r="A9" s="560" t="s">
        <v>683</v>
      </c>
      <c r="B9" s="4"/>
      <c r="C9" s="4"/>
      <c r="D9" s="4"/>
      <c r="E9" s="4"/>
      <c r="F9" s="4"/>
      <c r="G9" s="4"/>
      <c r="H9" s="4"/>
      <c r="I9" s="4"/>
      <c r="J9" s="4"/>
      <c r="K9" s="4"/>
      <c r="L9" s="4"/>
      <c r="M9" s="4"/>
      <c r="N9" s="4"/>
      <c r="O9" s="4"/>
      <c r="P9" s="4"/>
    </row>
    <row r="10" spans="1:16" ht="27" customHeight="1">
      <c r="A10" s="28">
        <v>1</v>
      </c>
      <c r="B10" s="931" t="s">
        <v>2174</v>
      </c>
      <c r="C10" s="931"/>
      <c r="D10" s="931"/>
      <c r="E10" s="931"/>
      <c r="F10" s="931"/>
      <c r="G10" s="931"/>
      <c r="H10" s="4"/>
      <c r="I10" s="4"/>
      <c r="J10" s="4"/>
      <c r="K10" s="4"/>
      <c r="L10" s="4"/>
      <c r="M10" s="4"/>
      <c r="N10" s="4"/>
      <c r="O10" s="4"/>
      <c r="P10" s="4"/>
    </row>
    <row r="11" spans="1:16" ht="15.75">
      <c r="A11" s="28">
        <v>2</v>
      </c>
      <c r="B11" s="4"/>
      <c r="C11" s="932" t="s">
        <v>2178</v>
      </c>
      <c r="D11" s="932"/>
      <c r="E11" s="932"/>
      <c r="F11" s="932"/>
      <c r="G11" s="932"/>
      <c r="H11" s="821">
        <v>95624401.219999999</v>
      </c>
      <c r="I11" s="4"/>
      <c r="J11" s="4"/>
      <c r="K11" s="4"/>
      <c r="M11" s="4"/>
      <c r="N11" s="4"/>
      <c r="O11" s="4"/>
      <c r="P11" s="4"/>
    </row>
    <row r="12" spans="1:16" ht="15.75">
      <c r="A12" s="28">
        <v>3</v>
      </c>
      <c r="B12" s="4"/>
      <c r="C12" s="4"/>
      <c r="D12" s="4"/>
      <c r="E12" s="4"/>
      <c r="F12" s="4"/>
      <c r="G12" s="4"/>
      <c r="H12" s="207"/>
      <c r="I12" s="4"/>
      <c r="J12" s="4"/>
      <c r="K12" s="4"/>
      <c r="M12" s="4"/>
      <c r="N12" s="4"/>
      <c r="O12" s="4"/>
      <c r="P12" s="4"/>
    </row>
    <row r="13" spans="1:16" ht="15.75">
      <c r="A13" s="28">
        <v>4</v>
      </c>
      <c r="B13" s="4" t="s">
        <v>2173</v>
      </c>
      <c r="C13" s="4"/>
      <c r="D13" s="4"/>
      <c r="E13" s="4"/>
      <c r="F13" s="4"/>
      <c r="G13" s="4"/>
      <c r="H13" s="207"/>
      <c r="I13" s="4"/>
      <c r="J13" s="4"/>
      <c r="K13" s="4"/>
      <c r="M13" s="4"/>
      <c r="N13" s="4"/>
      <c r="O13" s="4"/>
      <c r="P13" s="4"/>
    </row>
    <row r="14" spans="1:16" ht="16.5" thickBot="1">
      <c r="A14" s="28">
        <v>5</v>
      </c>
      <c r="B14" s="4"/>
      <c r="C14" s="4" t="s">
        <v>2177</v>
      </c>
      <c r="D14" s="4"/>
      <c r="E14" s="4"/>
      <c r="F14" s="4"/>
      <c r="G14" s="4"/>
      <c r="H14" s="820">
        <v>93428701.319999993</v>
      </c>
      <c r="I14" s="4"/>
      <c r="J14" s="4"/>
      <c r="K14" s="4"/>
      <c r="M14" s="4"/>
      <c r="N14" s="4"/>
      <c r="O14" s="4"/>
      <c r="P14" s="4"/>
    </row>
    <row r="15" spans="1:16" ht="15.75">
      <c r="A15" s="28">
        <v>6</v>
      </c>
      <c r="B15" s="4"/>
      <c r="C15" s="4"/>
      <c r="D15" s="4"/>
      <c r="E15" s="4"/>
      <c r="F15" s="4"/>
      <c r="G15" s="4"/>
      <c r="H15" s="4"/>
      <c r="I15" s="4"/>
      <c r="J15" s="4"/>
      <c r="K15" s="4"/>
      <c r="M15" s="4"/>
      <c r="N15" s="4"/>
      <c r="O15" s="4"/>
      <c r="P15" s="4"/>
    </row>
    <row r="16" spans="1:16" ht="15.75">
      <c r="A16" s="28">
        <v>7</v>
      </c>
      <c r="B16" s="4" t="s">
        <v>2143</v>
      </c>
      <c r="C16" s="4"/>
      <c r="D16" s="4"/>
      <c r="E16" s="4"/>
      <c r="F16" s="4"/>
      <c r="G16" s="4"/>
      <c r="H16" s="207">
        <f>+H11-H14</f>
        <v>2195699.900000006</v>
      </c>
      <c r="I16" s="4"/>
      <c r="J16" s="4"/>
      <c r="K16" s="4"/>
      <c r="M16" s="4"/>
      <c r="N16" s="4"/>
      <c r="O16" s="4"/>
      <c r="P16" s="4"/>
    </row>
    <row r="17" spans="1:16" ht="15.75">
      <c r="A17" s="28">
        <v>8</v>
      </c>
      <c r="B17" s="4"/>
      <c r="C17" s="4"/>
      <c r="D17" s="4"/>
      <c r="E17" s="4"/>
      <c r="F17" s="4"/>
      <c r="G17" s="4"/>
      <c r="H17" s="4"/>
      <c r="I17" s="4"/>
      <c r="J17" s="4"/>
      <c r="K17" s="4"/>
      <c r="M17" s="4"/>
      <c r="N17" s="4"/>
      <c r="O17" s="4"/>
      <c r="P17" s="4"/>
    </row>
    <row r="18" spans="1:16" ht="15.75">
      <c r="A18" s="28">
        <v>9</v>
      </c>
      <c r="B18" s="4" t="s">
        <v>2175</v>
      </c>
      <c r="C18" s="4"/>
      <c r="D18" s="4"/>
      <c r="E18" s="4"/>
      <c r="F18" s="4"/>
      <c r="G18" s="4"/>
      <c r="H18" s="207"/>
      <c r="I18" s="4"/>
      <c r="J18" s="4"/>
      <c r="K18" s="4"/>
      <c r="M18" s="4"/>
      <c r="N18" s="4"/>
      <c r="O18" s="4"/>
      <c r="P18" s="4"/>
    </row>
    <row r="19" spans="1:16" ht="16.5" thickBot="1">
      <c r="A19" s="28">
        <v>10</v>
      </c>
      <c r="B19" s="4"/>
      <c r="C19" s="4" t="s">
        <v>2176</v>
      </c>
      <c r="D19" s="4"/>
      <c r="E19" s="4"/>
      <c r="F19" s="4"/>
      <c r="G19" s="4"/>
      <c r="H19" s="820">
        <v>1044211.12</v>
      </c>
      <c r="I19" s="4"/>
      <c r="J19" s="4"/>
      <c r="K19" s="4"/>
      <c r="M19" s="4"/>
      <c r="N19" s="4"/>
      <c r="O19" s="4"/>
      <c r="P19" s="4"/>
    </row>
    <row r="20" spans="1:16" ht="15.75">
      <c r="A20" s="28">
        <v>11</v>
      </c>
      <c r="B20" s="4"/>
      <c r="C20" s="4"/>
      <c r="D20" s="4"/>
      <c r="E20" s="4"/>
      <c r="F20" s="4"/>
      <c r="G20" s="4"/>
      <c r="H20" s="207"/>
      <c r="I20" s="4"/>
      <c r="J20" s="4"/>
      <c r="K20" s="4"/>
      <c r="M20" s="4"/>
      <c r="N20" s="4"/>
      <c r="O20" s="4"/>
      <c r="P20" s="4"/>
    </row>
    <row r="21" spans="1:16" ht="15.75">
      <c r="A21" s="28">
        <v>12</v>
      </c>
      <c r="B21" s="4"/>
      <c r="C21" s="4"/>
      <c r="D21" s="4"/>
      <c r="E21" s="4"/>
      <c r="F21" s="4"/>
      <c r="G21" s="4"/>
      <c r="H21" s="207">
        <f>+H16-H19</f>
        <v>1151488.7800000058</v>
      </c>
      <c r="I21" s="4"/>
      <c r="J21" s="4"/>
      <c r="K21" s="4"/>
      <c r="M21" s="4"/>
      <c r="N21" s="4"/>
      <c r="O21" s="4"/>
      <c r="P21" s="4"/>
    </row>
    <row r="22" spans="1:16" ht="15.75">
      <c r="A22" s="28">
        <v>13</v>
      </c>
      <c r="B22" s="4" t="s">
        <v>2179</v>
      </c>
      <c r="C22" s="4"/>
      <c r="D22" s="4"/>
      <c r="E22" s="4"/>
      <c r="F22" s="4"/>
      <c r="G22" s="4"/>
      <c r="H22" s="207"/>
      <c r="I22" s="4"/>
      <c r="J22" s="4"/>
      <c r="K22" s="4"/>
      <c r="M22" s="4"/>
      <c r="N22" s="4"/>
      <c r="O22" s="4"/>
      <c r="P22" s="4"/>
    </row>
    <row r="23" spans="1:16" ht="16.5" thickBot="1">
      <c r="A23" s="28">
        <v>14</v>
      </c>
      <c r="C23" s="4" t="s">
        <v>2180</v>
      </c>
      <c r="D23" s="4"/>
      <c r="E23" s="4"/>
      <c r="F23" s="4"/>
      <c r="G23" s="4"/>
      <c r="H23" s="820">
        <v>1582282.88</v>
      </c>
      <c r="I23" s="4"/>
      <c r="J23" s="4"/>
      <c r="K23" s="4"/>
      <c r="M23" s="4"/>
      <c r="N23" s="4"/>
      <c r="O23" s="4"/>
      <c r="P23" s="4"/>
    </row>
    <row r="24" spans="1:16" ht="15.75">
      <c r="A24" s="28">
        <v>15</v>
      </c>
      <c r="B24" s="4"/>
      <c r="C24" s="4"/>
      <c r="D24" s="4"/>
      <c r="E24" s="4"/>
      <c r="F24" s="4"/>
      <c r="G24" s="4"/>
      <c r="H24" s="207"/>
      <c r="I24" s="4"/>
      <c r="J24" s="4"/>
      <c r="K24" s="4"/>
      <c r="M24" s="4"/>
      <c r="N24" s="4"/>
      <c r="O24" s="4"/>
      <c r="P24" s="4"/>
    </row>
    <row r="25" spans="1:16" ht="16.5" thickBot="1">
      <c r="A25" s="28">
        <v>16</v>
      </c>
      <c r="B25" s="4" t="s">
        <v>2144</v>
      </c>
      <c r="C25" s="4"/>
      <c r="D25" s="4"/>
      <c r="E25" s="4"/>
      <c r="F25" s="4"/>
      <c r="G25" s="4"/>
      <c r="H25" s="822">
        <f>+H23+H21</f>
        <v>2733771.6600000057</v>
      </c>
      <c r="I25" s="4"/>
      <c r="J25" s="4"/>
      <c r="K25" s="4"/>
      <c r="M25" s="4"/>
      <c r="N25" s="4"/>
      <c r="O25" s="4"/>
      <c r="P25" s="4"/>
    </row>
    <row r="26" spans="1:16" ht="16.5" thickTop="1">
      <c r="A26" s="28"/>
      <c r="B26" s="4"/>
      <c r="C26" s="4"/>
      <c r="D26" s="4"/>
      <c r="E26" s="4"/>
      <c r="F26" s="4"/>
      <c r="G26" s="4"/>
      <c r="H26" s="4"/>
      <c r="I26" s="4"/>
      <c r="J26" s="4"/>
      <c r="K26" s="4"/>
      <c r="L26" s="207"/>
      <c r="M26" s="4"/>
      <c r="N26" s="4"/>
      <c r="O26" s="4"/>
      <c r="P26" s="4"/>
    </row>
    <row r="27" spans="1:16" ht="15.75">
      <c r="A27" s="4"/>
      <c r="B27" s="4"/>
      <c r="C27" s="4"/>
      <c r="D27" s="4"/>
      <c r="E27" s="4"/>
      <c r="F27" s="4"/>
      <c r="G27" s="4"/>
      <c r="H27" s="4"/>
      <c r="I27" s="4"/>
      <c r="J27" s="4"/>
      <c r="K27" s="4"/>
      <c r="L27" s="207"/>
      <c r="M27" s="4"/>
      <c r="N27" s="4"/>
      <c r="O27" s="4"/>
      <c r="P27" s="4"/>
    </row>
    <row r="28" spans="1:16" ht="15.75">
      <c r="A28" s="4"/>
      <c r="B28" s="4"/>
      <c r="C28" s="4"/>
      <c r="D28" s="4"/>
      <c r="E28" s="4"/>
      <c r="F28" s="4"/>
      <c r="G28" s="4"/>
      <c r="H28" s="4"/>
      <c r="I28" s="4"/>
      <c r="J28" s="4"/>
      <c r="K28" s="4"/>
      <c r="L28" s="4"/>
      <c r="M28" s="4"/>
      <c r="N28" s="4"/>
      <c r="O28" s="4"/>
      <c r="P28" s="4"/>
    </row>
    <row r="29" spans="1:16" ht="15.75">
      <c r="A29" s="4"/>
      <c r="B29" s="4"/>
      <c r="C29" s="4"/>
      <c r="D29" s="4"/>
      <c r="E29" s="4"/>
      <c r="F29" s="4"/>
      <c r="G29" s="4"/>
      <c r="H29" s="4"/>
      <c r="I29" s="4"/>
      <c r="J29" s="4"/>
      <c r="K29" s="4"/>
      <c r="L29" s="4"/>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30" sqref="D30:D32"/>
    </sheetView>
  </sheetViews>
  <sheetFormatPr defaultRowHeight="15"/>
  <cols>
    <col min="4" max="4" width="15" customWidth="1"/>
    <col min="5" max="5" width="2.5703125" style="793" customWidth="1"/>
    <col min="6" max="6" width="12.5703125" bestFit="1" customWidth="1"/>
    <col min="7" max="7" width="1.5703125" style="793" customWidth="1"/>
    <col min="8" max="8" width="12.5703125" bestFit="1" customWidth="1"/>
  </cols>
  <sheetData>
    <row r="1" spans="1:13" ht="15.75">
      <c r="A1" s="884" t="s">
        <v>60</v>
      </c>
      <c r="B1" s="884"/>
      <c r="C1" s="884"/>
      <c r="D1" s="884"/>
      <c r="E1" s="884"/>
      <c r="F1" s="884"/>
      <c r="G1" s="3"/>
      <c r="H1" s="3"/>
      <c r="I1" s="3"/>
      <c r="J1" s="3"/>
      <c r="K1" s="3"/>
      <c r="L1" s="3"/>
      <c r="M1" s="3"/>
    </row>
    <row r="2" spans="1:13" ht="15.75">
      <c r="A2" s="884" t="s">
        <v>1390</v>
      </c>
      <c r="B2" s="884"/>
      <c r="C2" s="884"/>
      <c r="D2" s="884"/>
      <c r="E2" s="884"/>
      <c r="F2" s="884"/>
      <c r="G2" s="3"/>
      <c r="H2" s="3"/>
      <c r="I2" s="3"/>
      <c r="J2" s="3"/>
      <c r="K2" s="3"/>
      <c r="L2" s="3"/>
      <c r="M2" s="3"/>
    </row>
    <row r="3" spans="1:13" ht="15.75">
      <c r="A3" s="884" t="s">
        <v>1387</v>
      </c>
      <c r="B3" s="884"/>
      <c r="C3" s="884"/>
      <c r="D3" s="884"/>
      <c r="E3" s="884"/>
      <c r="F3" s="884"/>
      <c r="G3" s="3"/>
      <c r="H3" s="3"/>
      <c r="I3" s="3"/>
      <c r="J3" s="3"/>
      <c r="K3" s="3"/>
      <c r="L3" s="3"/>
      <c r="M3" s="3"/>
    </row>
    <row r="4" spans="1:13" ht="15.75">
      <c r="A4" s="927" t="s">
        <v>2154</v>
      </c>
      <c r="B4" s="927"/>
      <c r="C4" s="927"/>
      <c r="D4" s="927"/>
      <c r="E4" s="927"/>
      <c r="F4" s="927"/>
      <c r="G4" s="792"/>
      <c r="H4" s="792"/>
      <c r="I4" s="792"/>
      <c r="J4" s="792"/>
      <c r="K4" s="792"/>
      <c r="L4" s="792"/>
      <c r="M4" s="792"/>
    </row>
    <row r="5" spans="1:13" ht="15.75">
      <c r="A5" s="884" t="s">
        <v>1376</v>
      </c>
      <c r="B5" s="884"/>
      <c r="C5" s="884"/>
      <c r="D5" s="884"/>
      <c r="E5" s="884"/>
      <c r="F5" s="884"/>
      <c r="G5" s="3"/>
      <c r="H5" s="3"/>
      <c r="I5" s="3"/>
      <c r="J5" s="3"/>
      <c r="K5" s="3"/>
      <c r="L5" s="3"/>
      <c r="M5" s="3"/>
    </row>
    <row r="8" spans="1:13">
      <c r="A8" s="933" t="s">
        <v>2154</v>
      </c>
      <c r="B8" s="933"/>
      <c r="C8" s="933"/>
      <c r="D8" s="933"/>
    </row>
    <row r="9" spans="1:13" ht="15.75" thickBot="1">
      <c r="B9" t="s">
        <v>2153</v>
      </c>
      <c r="E9" s="760"/>
      <c r="F9" s="814">
        <v>678910</v>
      </c>
      <c r="G9" s="828"/>
    </row>
    <row r="10"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90" zoomScaleNormal="100" zoomScaleSheetLayoutView="90" workbookViewId="0">
      <selection activeCell="D30" sqref="D30:D32"/>
    </sheetView>
  </sheetViews>
  <sheetFormatPr defaultRowHeight="15"/>
  <cols>
    <col min="1" max="1" width="38.85546875" style="2" bestFit="1" customWidth="1"/>
    <col min="2" max="2" width="15" style="2" bestFit="1" customWidth="1"/>
    <col min="3" max="3" width="16.85546875" style="2" bestFit="1" customWidth="1"/>
    <col min="4" max="4" width="19.28515625" style="742" bestFit="1" customWidth="1"/>
    <col min="5" max="5" width="15" style="2" bestFit="1" customWidth="1"/>
    <col min="6" max="16384" width="9.140625" style="2"/>
  </cols>
  <sheetData>
    <row r="1" spans="1:12" ht="15.75">
      <c r="A1" s="884" t="s">
        <v>60</v>
      </c>
      <c r="B1" s="884"/>
      <c r="C1" s="884"/>
      <c r="D1" s="884"/>
      <c r="E1" s="3"/>
      <c r="F1" s="3"/>
      <c r="G1" s="3"/>
      <c r="H1" s="3"/>
      <c r="I1" s="3"/>
      <c r="J1" s="3"/>
      <c r="K1" s="3"/>
      <c r="L1" s="3"/>
    </row>
    <row r="2" spans="1:12" ht="15.75">
      <c r="A2" s="884" t="s">
        <v>1390</v>
      </c>
      <c r="B2" s="884"/>
      <c r="C2" s="884"/>
      <c r="D2" s="884"/>
      <c r="E2" s="3"/>
      <c r="F2" s="3"/>
      <c r="G2" s="3"/>
      <c r="H2" s="3"/>
      <c r="I2" s="3"/>
      <c r="J2" s="3"/>
      <c r="K2" s="3"/>
      <c r="L2" s="3"/>
    </row>
    <row r="3" spans="1:12" ht="15.75">
      <c r="A3" s="884" t="s">
        <v>1643</v>
      </c>
      <c r="B3" s="884"/>
      <c r="C3" s="884"/>
      <c r="D3" s="884"/>
      <c r="E3" s="3"/>
      <c r="F3" s="3"/>
      <c r="G3" s="3"/>
      <c r="H3" s="3"/>
      <c r="I3" s="3"/>
      <c r="J3" s="3"/>
      <c r="K3" s="3"/>
      <c r="L3" s="3"/>
    </row>
    <row r="4" spans="1:12" ht="15.75">
      <c r="A4" s="927" t="s">
        <v>2164</v>
      </c>
      <c r="B4" s="927"/>
      <c r="C4" s="927"/>
      <c r="D4" s="927"/>
      <c r="E4" s="792"/>
      <c r="F4" s="792"/>
      <c r="G4" s="792"/>
      <c r="H4" s="792"/>
      <c r="I4" s="792"/>
      <c r="J4" s="792"/>
      <c r="K4" s="792"/>
      <c r="L4" s="792"/>
    </row>
    <row r="5" spans="1:12" ht="15.75">
      <c r="A5" s="884" t="s">
        <v>1376</v>
      </c>
      <c r="B5" s="884"/>
      <c r="C5" s="884"/>
      <c r="D5" s="884"/>
      <c r="E5" s="3"/>
      <c r="F5" s="3"/>
      <c r="G5" s="3"/>
      <c r="H5" s="3"/>
      <c r="I5" s="3"/>
      <c r="J5" s="3"/>
      <c r="K5" s="3"/>
      <c r="L5" s="3"/>
    </row>
    <row r="6" spans="1:12" ht="15.75">
      <c r="A6" s="934"/>
      <c r="B6" s="934"/>
      <c r="C6" s="934"/>
      <c r="D6" s="934"/>
    </row>
    <row r="7" spans="1:12">
      <c r="A7" s="743"/>
      <c r="B7" s="513"/>
      <c r="C7" s="513"/>
      <c r="D7" s="744"/>
      <c r="E7" s="513"/>
    </row>
    <row r="8" spans="1:12">
      <c r="A8" s="745" t="s">
        <v>905</v>
      </c>
      <c r="B8" s="746">
        <v>43466</v>
      </c>
      <c r="C8" s="747"/>
      <c r="D8" s="744"/>
      <c r="E8" s="513"/>
    </row>
    <row r="9" spans="1:12">
      <c r="A9" s="748" t="s">
        <v>106</v>
      </c>
      <c r="B9" s="749"/>
    </row>
    <row r="10" spans="1:12">
      <c r="A10" s="750" t="s">
        <v>1738</v>
      </c>
      <c r="B10" s="751">
        <v>0</v>
      </c>
    </row>
    <row r="11" spans="1:12">
      <c r="A11" s="752" t="s">
        <v>1739</v>
      </c>
      <c r="B11" s="751">
        <v>214187.9</v>
      </c>
    </row>
    <row r="12" spans="1:12">
      <c r="A12" s="753" t="s">
        <v>1740</v>
      </c>
      <c r="B12" s="751">
        <v>0</v>
      </c>
    </row>
    <row r="13" spans="1:12">
      <c r="A13" s="753" t="s">
        <v>1741</v>
      </c>
      <c r="B13" s="751">
        <v>1340.89</v>
      </c>
    </row>
    <row r="14" spans="1:12">
      <c r="A14" s="753" t="s">
        <v>1742</v>
      </c>
      <c r="B14" s="751">
        <v>24218.41</v>
      </c>
    </row>
    <row r="15" spans="1:12">
      <c r="A15" s="753" t="s">
        <v>1743</v>
      </c>
      <c r="B15" s="751">
        <v>49.43</v>
      </c>
    </row>
    <row r="16" spans="1:12">
      <c r="A16" s="753" t="s">
        <v>1744</v>
      </c>
      <c r="B16" s="751">
        <v>3011.64</v>
      </c>
    </row>
    <row r="17" spans="1:2">
      <c r="A17" s="753" t="s">
        <v>1745</v>
      </c>
      <c r="B17" s="751">
        <v>0</v>
      </c>
    </row>
    <row r="18" spans="1:2">
      <c r="A18" s="754" t="s">
        <v>1746</v>
      </c>
      <c r="B18" s="751">
        <v>0</v>
      </c>
    </row>
    <row r="19" spans="1:2">
      <c r="A19" s="753" t="s">
        <v>1747</v>
      </c>
      <c r="B19" s="751">
        <v>714.64</v>
      </c>
    </row>
    <row r="20" spans="1:2">
      <c r="A20" s="753" t="s">
        <v>1748</v>
      </c>
      <c r="B20" s="751">
        <v>158417.82999999999</v>
      </c>
    </row>
    <row r="21" spans="1:2">
      <c r="A21" s="753" t="s">
        <v>1749</v>
      </c>
      <c r="B21" s="751">
        <v>468384.47</v>
      </c>
    </row>
    <row r="22" spans="1:2">
      <c r="A22" s="753" t="s">
        <v>1750</v>
      </c>
      <c r="B22" s="751">
        <v>213699.15</v>
      </c>
    </row>
    <row r="23" spans="1:2">
      <c r="A23" s="760" t="s">
        <v>1776</v>
      </c>
      <c r="B23" s="751">
        <v>3111.69</v>
      </c>
    </row>
    <row r="24" spans="1:2">
      <c r="A24" s="753" t="s">
        <v>1751</v>
      </c>
      <c r="B24" s="751">
        <v>35897.760000000002</v>
      </c>
    </row>
    <row r="25" spans="1:2">
      <c r="A25" s="753" t="s">
        <v>1752</v>
      </c>
      <c r="B25" s="751">
        <v>423319.64</v>
      </c>
    </row>
    <row r="26" spans="1:2">
      <c r="A26" s="753" t="s">
        <v>1753</v>
      </c>
      <c r="B26" s="751">
        <v>172812.23</v>
      </c>
    </row>
    <row r="27" spans="1:2">
      <c r="A27" s="750" t="s">
        <v>1754</v>
      </c>
      <c r="B27" s="751">
        <v>72614.16</v>
      </c>
    </row>
    <row r="28" spans="1:2">
      <c r="A28" s="753" t="s">
        <v>1755</v>
      </c>
      <c r="B28" s="751">
        <v>67463.149999999994</v>
      </c>
    </row>
    <row r="29" spans="1:2">
      <c r="A29" s="753" t="s">
        <v>1756</v>
      </c>
      <c r="B29" s="751">
        <v>37193.35</v>
      </c>
    </row>
    <row r="30" spans="1:2">
      <c r="A30" s="753" t="s">
        <v>1757</v>
      </c>
      <c r="B30" s="751">
        <v>16031.59</v>
      </c>
    </row>
    <row r="31" spans="1:2">
      <c r="A31" s="753" t="s">
        <v>1758</v>
      </c>
      <c r="B31" s="751">
        <v>17152.84</v>
      </c>
    </row>
    <row r="32" spans="1:2">
      <c r="A32" s="754" t="s">
        <v>1759</v>
      </c>
      <c r="B32" s="751">
        <v>0</v>
      </c>
    </row>
    <row r="33" spans="1:6">
      <c r="A33" s="753" t="s">
        <v>1760</v>
      </c>
      <c r="B33" s="751">
        <v>0</v>
      </c>
    </row>
    <row r="34" spans="1:6">
      <c r="A34" s="754" t="s">
        <v>1761</v>
      </c>
      <c r="B34" s="751">
        <v>0</v>
      </c>
    </row>
    <row r="35" spans="1:6">
      <c r="A35" s="753" t="s">
        <v>1762</v>
      </c>
      <c r="B35" s="751">
        <v>14491.73</v>
      </c>
    </row>
    <row r="36" spans="1:6">
      <c r="A36" s="753" t="s">
        <v>1763</v>
      </c>
      <c r="B36" s="751">
        <v>3203.71</v>
      </c>
    </row>
    <row r="37" spans="1:6">
      <c r="A37" s="753" t="s">
        <v>1764</v>
      </c>
      <c r="B37" s="751">
        <v>5841.51</v>
      </c>
    </row>
    <row r="38" spans="1:6">
      <c r="A38" s="750" t="s">
        <v>1765</v>
      </c>
      <c r="B38" s="751">
        <v>31836.25</v>
      </c>
    </row>
    <row r="39" spans="1:6">
      <c r="A39" s="754" t="s">
        <v>1766</v>
      </c>
      <c r="B39" s="751">
        <v>250.2</v>
      </c>
    </row>
    <row r="40" spans="1:6">
      <c r="A40" s="750" t="s">
        <v>1767</v>
      </c>
      <c r="B40" s="751">
        <v>19911</v>
      </c>
    </row>
    <row r="41" spans="1:6">
      <c r="A41" s="750" t="s">
        <v>1777</v>
      </c>
      <c r="B41" s="751">
        <v>201.22</v>
      </c>
    </row>
    <row r="42" spans="1:6">
      <c r="A42" s="753" t="s">
        <v>1768</v>
      </c>
      <c r="B42" s="751">
        <v>373.39</v>
      </c>
    </row>
    <row r="43" spans="1:6">
      <c r="A43" s="750" t="s">
        <v>1769</v>
      </c>
      <c r="B43" s="751">
        <v>739.93</v>
      </c>
    </row>
    <row r="44" spans="1:6">
      <c r="A44" s="750" t="s">
        <v>1770</v>
      </c>
      <c r="B44" s="751">
        <v>7339.8</v>
      </c>
    </row>
    <row r="45" spans="1:6">
      <c r="A45" s="750" t="s">
        <v>1771</v>
      </c>
      <c r="B45" s="751">
        <v>408.44</v>
      </c>
    </row>
    <row r="46" spans="1:6">
      <c r="A46" s="753" t="s">
        <v>1772</v>
      </c>
      <c r="B46" s="751">
        <v>3237.02</v>
      </c>
    </row>
    <row r="47" spans="1:6">
      <c r="A47" s="750" t="s">
        <v>1773</v>
      </c>
      <c r="B47" s="751">
        <v>516.65</v>
      </c>
    </row>
    <row r="48" spans="1:6">
      <c r="B48" s="755">
        <f>SUM(B10:B47)</f>
        <v>2017971.6199999994</v>
      </c>
      <c r="C48" s="758">
        <f>+B48*12</f>
        <v>24215659.439999994</v>
      </c>
      <c r="D48" s="759">
        <f>+'Exh MCP-2 - ROO Summary Sheet'!E27</f>
        <v>22725279.309999999</v>
      </c>
      <c r="E48" s="757"/>
      <c r="F48" s="513"/>
    </row>
    <row r="49" spans="2:6">
      <c r="B49" s="756"/>
      <c r="C49" s="757">
        <f>+C48-D48</f>
        <v>1490380.1299999952</v>
      </c>
      <c r="D49" s="744"/>
      <c r="E49" s="513"/>
      <c r="F49" s="513"/>
    </row>
    <row r="50" spans="2:6">
      <c r="C50" s="513"/>
      <c r="D50" s="744"/>
      <c r="E50" s="513"/>
      <c r="F50" s="513"/>
    </row>
    <row r="51" spans="2:6">
      <c r="C51" s="513"/>
      <c r="D51" s="744"/>
      <c r="E51" s="513"/>
      <c r="F51" s="513"/>
    </row>
    <row r="52" spans="2:6">
      <c r="C52" s="513"/>
      <c r="D52" s="744"/>
      <c r="E52" s="513"/>
      <c r="F52" s="513"/>
    </row>
  </sheetData>
  <mergeCells count="6">
    <mergeCell ref="A6:D6"/>
    <mergeCell ref="A1:D1"/>
    <mergeCell ref="A2:D2"/>
    <mergeCell ref="A3:D3"/>
    <mergeCell ref="A4:D4"/>
    <mergeCell ref="A5:D5"/>
  </mergeCells>
  <printOptions horizontalCentered="1"/>
  <pageMargins left="0.7" right="0.7" top="0.75" bottom="0.75" header="0.3" footer="0.3"/>
  <pageSetup scale="93"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Q101"/>
  <sheetViews>
    <sheetView view="pageBreakPreview" zoomScale="80" zoomScaleNormal="100" zoomScaleSheetLayoutView="80" workbookViewId="0">
      <pane xSplit="3" topLeftCell="D1" activePane="topRight" state="frozen"/>
      <selection activeCell="D30" sqref="D30:D32"/>
      <selection pane="topRight" activeCell="D30" sqref="D30:D32"/>
    </sheetView>
  </sheetViews>
  <sheetFormatPr defaultRowHeight="15.75"/>
  <cols>
    <col min="1" max="1" width="10.140625" style="6" customWidth="1"/>
    <col min="2" max="2" width="43.85546875" style="4" bestFit="1" customWidth="1"/>
    <col min="3" max="3" width="12.140625" style="4" customWidth="1"/>
    <col min="4" max="4" width="18.425781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66"/>
      <c r="D1" s="266"/>
      <c r="E1" s="884" t="s">
        <v>60</v>
      </c>
      <c r="F1" s="884"/>
      <c r="G1" s="884"/>
      <c r="H1" s="884"/>
      <c r="I1" s="884"/>
      <c r="J1" s="884"/>
      <c r="K1" s="884"/>
      <c r="L1" s="884"/>
      <c r="N1" s="266"/>
      <c r="O1" s="266"/>
      <c r="P1" s="266"/>
      <c r="Q1" s="266"/>
    </row>
    <row r="2" spans="1:17">
      <c r="C2" s="307"/>
      <c r="D2" s="307"/>
      <c r="E2" s="884" t="s">
        <v>1390</v>
      </c>
      <c r="F2" s="884"/>
      <c r="G2" s="884"/>
      <c r="H2" s="884"/>
      <c r="I2" s="884"/>
      <c r="J2" s="884"/>
      <c r="K2" s="884"/>
      <c r="L2" s="884"/>
      <c r="N2" s="307"/>
      <c r="O2" s="307"/>
      <c r="P2" s="307"/>
      <c r="Q2" s="307"/>
    </row>
    <row r="3" spans="1:17">
      <c r="C3" s="307"/>
      <c r="D3" s="307"/>
      <c r="E3" s="884" t="s">
        <v>1518</v>
      </c>
      <c r="F3" s="884"/>
      <c r="G3" s="884"/>
      <c r="H3" s="884"/>
      <c r="I3" s="884"/>
      <c r="J3" s="884"/>
      <c r="K3" s="884"/>
      <c r="L3" s="884"/>
      <c r="N3" s="307"/>
      <c r="O3" s="307"/>
      <c r="P3" s="307"/>
      <c r="Q3" s="307"/>
    </row>
    <row r="4" spans="1:17">
      <c r="C4" s="307"/>
      <c r="D4" s="307"/>
      <c r="E4" s="884" t="s">
        <v>2160</v>
      </c>
      <c r="F4" s="884"/>
      <c r="G4" s="884"/>
      <c r="H4" s="884"/>
      <c r="I4" s="884"/>
      <c r="J4" s="884"/>
      <c r="K4" s="884"/>
      <c r="L4" s="884"/>
      <c r="N4" s="307"/>
      <c r="O4" s="307"/>
      <c r="P4" s="307"/>
      <c r="Q4" s="307"/>
    </row>
    <row r="5" spans="1:17">
      <c r="C5" s="308"/>
      <c r="D5" s="308"/>
      <c r="E5" s="884" t="s">
        <v>1376</v>
      </c>
      <c r="F5" s="884"/>
      <c r="G5" s="884"/>
      <c r="H5" s="884"/>
      <c r="I5" s="884"/>
      <c r="J5" s="884"/>
      <c r="K5" s="884"/>
      <c r="L5" s="884"/>
      <c r="N5" s="309"/>
      <c r="O5" s="309"/>
      <c r="P5" s="309"/>
      <c r="Q5" s="309"/>
    </row>
    <row r="6" spans="1:17">
      <c r="C6" s="308"/>
      <c r="D6" s="308"/>
      <c r="E6" s="308"/>
      <c r="F6" s="570"/>
      <c r="G6" s="570"/>
      <c r="H6" s="570"/>
      <c r="I6" s="570"/>
      <c r="J6" s="570"/>
      <c r="K6" s="570"/>
      <c r="L6" s="570"/>
      <c r="M6" s="32"/>
      <c r="N6" s="309"/>
      <c r="O6" s="309"/>
      <c r="P6" s="309"/>
      <c r="Q6" s="309"/>
    </row>
    <row r="7" spans="1:17" s="6" customFormat="1">
      <c r="B7" s="6" t="s">
        <v>885</v>
      </c>
      <c r="C7" s="6" t="s">
        <v>883</v>
      </c>
      <c r="D7" s="6" t="s">
        <v>884</v>
      </c>
      <c r="E7" s="6" t="s">
        <v>887</v>
      </c>
      <c r="F7" s="6" t="s">
        <v>888</v>
      </c>
      <c r="G7" s="6" t="s">
        <v>889</v>
      </c>
      <c r="H7" s="6" t="s">
        <v>890</v>
      </c>
      <c r="I7" s="310" t="s">
        <v>891</v>
      </c>
      <c r="J7" s="310" t="s">
        <v>892</v>
      </c>
      <c r="K7" s="310" t="s">
        <v>893</v>
      </c>
      <c r="L7" s="310" t="s">
        <v>894</v>
      </c>
      <c r="M7" s="310" t="s">
        <v>895</v>
      </c>
      <c r="N7" s="310" t="s">
        <v>896</v>
      </c>
      <c r="O7" s="310" t="s">
        <v>897</v>
      </c>
      <c r="P7" s="310" t="s">
        <v>898</v>
      </c>
      <c r="Q7" s="310" t="s">
        <v>1373</v>
      </c>
    </row>
    <row r="8" spans="1:17">
      <c r="D8" s="26" t="s">
        <v>708</v>
      </c>
      <c r="E8" s="26" t="s">
        <v>709</v>
      </c>
      <c r="F8" s="26" t="s">
        <v>710</v>
      </c>
      <c r="G8" s="28"/>
      <c r="H8" s="26" t="s">
        <v>711</v>
      </c>
      <c r="I8" s="26"/>
      <c r="J8" s="26"/>
      <c r="K8" s="26"/>
      <c r="L8" s="26"/>
      <c r="M8" s="26"/>
      <c r="N8" s="26"/>
      <c r="O8" s="26"/>
      <c r="P8" s="26" t="s">
        <v>58</v>
      </c>
      <c r="Q8" s="26" t="s">
        <v>58</v>
      </c>
    </row>
    <row r="9" spans="1:17">
      <c r="C9" s="4" t="s">
        <v>82</v>
      </c>
      <c r="D9" s="28" t="s">
        <v>1378</v>
      </c>
      <c r="E9" s="26" t="s">
        <v>70</v>
      </c>
      <c r="F9" s="26" t="s">
        <v>1187</v>
      </c>
      <c r="G9" s="28" t="s">
        <v>1188</v>
      </c>
      <c r="H9" s="26" t="s">
        <v>1380</v>
      </c>
      <c r="I9" s="26" t="s">
        <v>105</v>
      </c>
      <c r="J9" s="26" t="s">
        <v>1381</v>
      </c>
      <c r="K9" s="26" t="s">
        <v>1381</v>
      </c>
      <c r="L9" s="26" t="s">
        <v>1382</v>
      </c>
      <c r="M9" s="26"/>
      <c r="N9" s="26" t="s">
        <v>1383</v>
      </c>
      <c r="O9" s="26" t="s">
        <v>1383</v>
      </c>
      <c r="P9" s="26" t="s">
        <v>1374</v>
      </c>
      <c r="Q9" s="26" t="s">
        <v>1373</v>
      </c>
    </row>
    <row r="10" spans="1:17">
      <c r="A10" s="12" t="s">
        <v>881</v>
      </c>
      <c r="C10" s="4" t="s">
        <v>712</v>
      </c>
      <c r="D10" s="26" t="s">
        <v>713</v>
      </c>
      <c r="E10" s="26" t="s">
        <v>714</v>
      </c>
      <c r="F10" s="26" t="s">
        <v>715</v>
      </c>
      <c r="G10" s="26"/>
      <c r="H10" s="26" t="s">
        <v>716</v>
      </c>
      <c r="I10" s="26"/>
      <c r="J10" s="26" t="s">
        <v>1189</v>
      </c>
      <c r="K10" s="26" t="s">
        <v>70</v>
      </c>
      <c r="L10" s="26" t="s">
        <v>108</v>
      </c>
      <c r="M10" s="26"/>
      <c r="N10" s="26" t="s">
        <v>70</v>
      </c>
      <c r="O10" s="26" t="s">
        <v>108</v>
      </c>
      <c r="P10" s="26" t="s">
        <v>62</v>
      </c>
      <c r="Q10" s="26" t="s">
        <v>62</v>
      </c>
    </row>
    <row r="11" spans="1:17">
      <c r="A11" s="6">
        <v>1</v>
      </c>
      <c r="B11" s="4" t="s">
        <v>717</v>
      </c>
      <c r="D11" s="479">
        <f>+D39</f>
        <v>6885725.0599999987</v>
      </c>
      <c r="E11" s="26" t="s">
        <v>1379</v>
      </c>
      <c r="F11" s="479">
        <v>0</v>
      </c>
      <c r="G11" s="312">
        <v>0.04</v>
      </c>
      <c r="H11" s="479">
        <f>+F11*G11</f>
        <v>0</v>
      </c>
      <c r="I11" s="479">
        <f>+D11+H11</f>
        <v>6885725.0599999987</v>
      </c>
      <c r="J11" s="312">
        <f>K39/I39</f>
        <v>0.04</v>
      </c>
      <c r="K11" s="479">
        <f>+I11*J11</f>
        <v>275429.00239999994</v>
      </c>
      <c r="L11" s="479">
        <f>+I11+K11</f>
        <v>7161154.0623999983</v>
      </c>
      <c r="M11" s="312">
        <f>N39/L39</f>
        <v>0.04</v>
      </c>
      <c r="N11" s="480">
        <f>+L11*M11</f>
        <v>286446.16249599995</v>
      </c>
      <c r="O11" s="480">
        <f>+L11+N11</f>
        <v>7447600.2248959979</v>
      </c>
      <c r="P11" s="480">
        <f>+H11</f>
        <v>0</v>
      </c>
      <c r="Q11" s="479">
        <f>+N11+K11</f>
        <v>561875.16489599994</v>
      </c>
    </row>
    <row r="12" spans="1:17">
      <c r="A12" s="6">
        <v>2</v>
      </c>
      <c r="D12" s="479"/>
      <c r="E12" s="26"/>
      <c r="F12" s="479"/>
      <c r="G12" s="312"/>
      <c r="H12" s="479"/>
      <c r="I12" s="479"/>
      <c r="J12" s="312"/>
      <c r="K12" s="479"/>
      <c r="L12" s="479"/>
      <c r="M12" s="312"/>
      <c r="N12" s="480"/>
      <c r="O12" s="26"/>
      <c r="P12" s="26"/>
      <c r="Q12" s="26"/>
    </row>
    <row r="13" spans="1:17" ht="16.5" thickBot="1">
      <c r="A13" s="6">
        <v>3</v>
      </c>
      <c r="B13" s="4" t="s">
        <v>718</v>
      </c>
      <c r="D13" s="481">
        <f>+D62</f>
        <v>9739827.5299999993</v>
      </c>
      <c r="E13" s="482" t="s">
        <v>1529</v>
      </c>
      <c r="F13" s="481">
        <f>+F62</f>
        <v>2609759.88</v>
      </c>
      <c r="G13" s="483">
        <v>0.03</v>
      </c>
      <c r="H13" s="481">
        <f>+F13*G13</f>
        <v>78292.796399999992</v>
      </c>
      <c r="I13" s="481">
        <f>+D13+H13</f>
        <v>9818120.3263999987</v>
      </c>
      <c r="J13" s="483">
        <v>0.03</v>
      </c>
      <c r="K13" s="481">
        <f>+I13*J13</f>
        <v>294543.60979199997</v>
      </c>
      <c r="L13" s="481">
        <f>+I13+K13</f>
        <v>10112663.936191998</v>
      </c>
      <c r="M13" s="483">
        <v>0.03</v>
      </c>
      <c r="N13" s="484">
        <f>+L13*M13</f>
        <v>303379.91808575991</v>
      </c>
      <c r="O13" s="484">
        <f>+L13+N13</f>
        <v>10416043.854277758</v>
      </c>
      <c r="P13" s="484">
        <f>+H13</f>
        <v>78292.796399999992</v>
      </c>
      <c r="Q13" s="481">
        <f>+N13+K13</f>
        <v>597923.52787775989</v>
      </c>
    </row>
    <row r="14" spans="1:17">
      <c r="A14" s="6">
        <v>4</v>
      </c>
      <c r="D14" s="479"/>
      <c r="E14" s="26"/>
      <c r="F14" s="479"/>
      <c r="G14" s="312"/>
      <c r="H14" s="479"/>
      <c r="I14" s="479"/>
      <c r="J14" s="312"/>
      <c r="K14" s="479"/>
      <c r="L14" s="479"/>
      <c r="M14" s="312"/>
      <c r="N14" s="480"/>
      <c r="O14" s="26"/>
      <c r="P14" s="26"/>
      <c r="Q14" s="26"/>
    </row>
    <row r="15" spans="1:17" ht="16.5" thickBot="1">
      <c r="A15" s="6">
        <v>5</v>
      </c>
      <c r="D15" s="479">
        <v>13816265.910830002</v>
      </c>
      <c r="E15" s="26"/>
      <c r="F15" s="479">
        <v>8816575.5899999999</v>
      </c>
      <c r="G15" s="312"/>
      <c r="H15" s="485">
        <f>+H11+H13</f>
        <v>78292.796399999992</v>
      </c>
      <c r="I15" s="479">
        <f>+I11+I13</f>
        <v>16703845.386399997</v>
      </c>
      <c r="J15" s="312"/>
      <c r="K15" s="485">
        <f>+K11+K13</f>
        <v>569972.61219199991</v>
      </c>
      <c r="L15" s="479">
        <f>+L11+L13</f>
        <v>17273817.998591997</v>
      </c>
      <c r="M15" s="26"/>
      <c r="N15" s="485">
        <f>+N11+N13</f>
        <v>589826.0805817598</v>
      </c>
      <c r="O15" s="26"/>
      <c r="P15" s="486">
        <f>+P11+P13</f>
        <v>78292.796399999992</v>
      </c>
      <c r="Q15" s="486">
        <f>+Q11+Q13</f>
        <v>1159798.6927737598</v>
      </c>
    </row>
    <row r="16" spans="1:17" ht="16.5" thickTop="1">
      <c r="A16" s="6">
        <v>6</v>
      </c>
      <c r="D16" s="479"/>
      <c r="E16" s="26"/>
      <c r="F16" s="479"/>
      <c r="G16" s="312"/>
      <c r="H16" s="485"/>
      <c r="I16" s="479"/>
      <c r="J16" s="312"/>
      <c r="K16" s="485"/>
      <c r="L16" s="479"/>
      <c r="M16" s="26"/>
      <c r="N16" s="485"/>
      <c r="O16" s="26"/>
      <c r="P16" s="26"/>
      <c r="Q16" s="487"/>
    </row>
    <row r="17" spans="1:17">
      <c r="A17" s="6">
        <v>7</v>
      </c>
      <c r="B17" s="4" t="s">
        <v>740</v>
      </c>
      <c r="D17" s="479"/>
      <c r="E17" s="26"/>
      <c r="F17" s="479"/>
      <c r="G17" s="312"/>
      <c r="H17" s="485"/>
      <c r="I17" s="479"/>
      <c r="J17" s="312"/>
      <c r="K17" s="485"/>
      <c r="L17" s="479"/>
      <c r="M17" s="26"/>
      <c r="N17" s="485"/>
      <c r="O17" s="312">
        <v>7.6499999999999999E-2</v>
      </c>
      <c r="P17" s="487">
        <f>+P15*O17</f>
        <v>5989.3989245999992</v>
      </c>
      <c r="Q17" s="487">
        <f>+Q15*O17</f>
        <v>88724.599997192621</v>
      </c>
    </row>
    <row r="18" spans="1:17">
      <c r="A18" s="6">
        <v>8</v>
      </c>
      <c r="D18" s="208"/>
      <c r="G18" s="218"/>
      <c r="K18" s="208"/>
      <c r="L18" s="208"/>
      <c r="N18" s="288"/>
    </row>
    <row r="19" spans="1:17">
      <c r="A19" s="6">
        <v>9</v>
      </c>
      <c r="B19" s="4" t="s">
        <v>717</v>
      </c>
    </row>
    <row r="20" spans="1:17" s="26" customFormat="1">
      <c r="A20" s="28">
        <v>10</v>
      </c>
      <c r="B20" s="26" t="s">
        <v>1539</v>
      </c>
      <c r="C20" s="311" t="s">
        <v>719</v>
      </c>
      <c r="D20" s="488">
        <v>94623.83</v>
      </c>
      <c r="G20" s="312"/>
      <c r="H20" s="479">
        <f t="shared" ref="H20:H38" si="0">+F20*G20</f>
        <v>0</v>
      </c>
      <c r="I20" s="479">
        <f t="shared" ref="I20:I38" si="1">+D20+H20</f>
        <v>94623.83</v>
      </c>
      <c r="J20" s="312">
        <v>0.04</v>
      </c>
      <c r="K20" s="479">
        <f>+I20*J20</f>
        <v>3784.9531999999999</v>
      </c>
      <c r="L20" s="479">
        <f>+I20+K20</f>
        <v>98408.783200000005</v>
      </c>
      <c r="M20" s="312">
        <v>0.04</v>
      </c>
      <c r="N20" s="480">
        <f t="shared" ref="N20:N38" si="2">+L20*M20</f>
        <v>3936.3513280000002</v>
      </c>
      <c r="O20" s="479">
        <f>+N20+L20</f>
        <v>102345.13452800001</v>
      </c>
      <c r="P20" s="479">
        <f>+H20</f>
        <v>0</v>
      </c>
      <c r="Q20" s="479">
        <f>+N20+K20</f>
        <v>7721.3045280000006</v>
      </c>
    </row>
    <row r="21" spans="1:17" s="26" customFormat="1">
      <c r="A21" s="28">
        <v>11</v>
      </c>
      <c r="B21" s="26" t="s">
        <v>1538</v>
      </c>
      <c r="C21" s="311" t="s">
        <v>720</v>
      </c>
      <c r="D21" s="488">
        <v>1680864.52</v>
      </c>
      <c r="G21" s="312"/>
      <c r="H21" s="479">
        <f t="shared" si="0"/>
        <v>0</v>
      </c>
      <c r="I21" s="479">
        <f t="shared" si="1"/>
        <v>1680864.52</v>
      </c>
      <c r="J21" s="312">
        <f>+J20</f>
        <v>0.04</v>
      </c>
      <c r="K21" s="479">
        <f t="shared" ref="K21:K38" si="3">+I21*J21</f>
        <v>67234.580799999996</v>
      </c>
      <c r="L21" s="479">
        <f t="shared" ref="L21:L38" si="4">+I21+K21</f>
        <v>1748099.1008000001</v>
      </c>
      <c r="M21" s="312">
        <f>+M20</f>
        <v>0.04</v>
      </c>
      <c r="N21" s="480">
        <f t="shared" si="2"/>
        <v>69923.964032000003</v>
      </c>
      <c r="O21" s="479">
        <f t="shared" ref="O21:O38" si="5">+N21+L21</f>
        <v>1818023.0648320001</v>
      </c>
      <c r="P21" s="479">
        <f t="shared" ref="P21:P38" si="6">+H21</f>
        <v>0</v>
      </c>
      <c r="Q21" s="479">
        <f t="shared" ref="Q21:Q38" si="7">+N21+K21</f>
        <v>137158.54483199999</v>
      </c>
    </row>
    <row r="22" spans="1:17" s="26" customFormat="1">
      <c r="A22" s="28">
        <v>12</v>
      </c>
      <c r="B22" s="26" t="s">
        <v>195</v>
      </c>
      <c r="C22" s="311" t="s">
        <v>721</v>
      </c>
      <c r="D22" s="488">
        <v>199288.97</v>
      </c>
      <c r="G22" s="312"/>
      <c r="H22" s="479">
        <f t="shared" si="0"/>
        <v>0</v>
      </c>
      <c r="I22" s="479">
        <f t="shared" si="1"/>
        <v>199288.97</v>
      </c>
      <c r="J22" s="312">
        <f t="shared" ref="J22:J38" si="8">+J21</f>
        <v>0.04</v>
      </c>
      <c r="K22" s="479">
        <f t="shared" si="3"/>
        <v>7971.5587999999998</v>
      </c>
      <c r="L22" s="479">
        <f t="shared" si="4"/>
        <v>207260.5288</v>
      </c>
      <c r="M22" s="312">
        <f t="shared" ref="M22:M38" si="9">+M21</f>
        <v>0.04</v>
      </c>
      <c r="N22" s="480">
        <f t="shared" si="2"/>
        <v>8290.4211520000008</v>
      </c>
      <c r="O22" s="479">
        <f t="shared" si="5"/>
        <v>215550.949952</v>
      </c>
      <c r="P22" s="479">
        <f t="shared" si="6"/>
        <v>0</v>
      </c>
      <c r="Q22" s="479">
        <f t="shared" si="7"/>
        <v>16261.979952000002</v>
      </c>
    </row>
    <row r="23" spans="1:17" s="26" customFormat="1">
      <c r="A23" s="28">
        <v>13</v>
      </c>
      <c r="B23" s="26" t="s">
        <v>1531</v>
      </c>
      <c r="C23" s="311" t="s">
        <v>722</v>
      </c>
      <c r="D23" s="488">
        <v>335278.13</v>
      </c>
      <c r="G23" s="312"/>
      <c r="H23" s="479">
        <f t="shared" si="0"/>
        <v>0</v>
      </c>
      <c r="I23" s="479">
        <f t="shared" si="1"/>
        <v>335278.13</v>
      </c>
      <c r="J23" s="312">
        <f t="shared" si="8"/>
        <v>0.04</v>
      </c>
      <c r="K23" s="479">
        <f t="shared" si="3"/>
        <v>13411.1252</v>
      </c>
      <c r="L23" s="479">
        <f t="shared" si="4"/>
        <v>348689.25520000001</v>
      </c>
      <c r="M23" s="312">
        <f t="shared" si="9"/>
        <v>0.04</v>
      </c>
      <c r="N23" s="480">
        <f t="shared" si="2"/>
        <v>13947.570208000001</v>
      </c>
      <c r="O23" s="479">
        <f t="shared" si="5"/>
        <v>362636.82540800003</v>
      </c>
      <c r="P23" s="479">
        <f t="shared" si="6"/>
        <v>0</v>
      </c>
      <c r="Q23" s="479">
        <f t="shared" si="7"/>
        <v>27358.695408</v>
      </c>
    </row>
    <row r="24" spans="1:17" s="26" customFormat="1">
      <c r="A24" s="28">
        <v>14</v>
      </c>
      <c r="B24" s="26" t="s">
        <v>1532</v>
      </c>
      <c r="C24" s="311" t="s">
        <v>725</v>
      </c>
      <c r="D24" s="488">
        <v>394517.23</v>
      </c>
      <c r="G24" s="312"/>
      <c r="H24" s="479">
        <f t="shared" si="0"/>
        <v>0</v>
      </c>
      <c r="I24" s="479">
        <f t="shared" si="1"/>
        <v>394517.23</v>
      </c>
      <c r="J24" s="312">
        <f t="shared" si="8"/>
        <v>0.04</v>
      </c>
      <c r="K24" s="479">
        <f t="shared" si="3"/>
        <v>15780.689199999999</v>
      </c>
      <c r="L24" s="479">
        <f t="shared" si="4"/>
        <v>410297.9192</v>
      </c>
      <c r="M24" s="312">
        <f t="shared" si="9"/>
        <v>0.04</v>
      </c>
      <c r="N24" s="480">
        <f t="shared" si="2"/>
        <v>16411.916767999999</v>
      </c>
      <c r="O24" s="479">
        <f t="shared" si="5"/>
        <v>426709.835968</v>
      </c>
      <c r="P24" s="479">
        <f t="shared" si="6"/>
        <v>0</v>
      </c>
      <c r="Q24" s="479">
        <f t="shared" si="7"/>
        <v>32192.605967999996</v>
      </c>
    </row>
    <row r="25" spans="1:17" s="26" customFormat="1">
      <c r="A25" s="28">
        <v>15</v>
      </c>
      <c r="B25" s="26" t="s">
        <v>1540</v>
      </c>
      <c r="C25" s="311">
        <v>28850</v>
      </c>
      <c r="D25" s="488">
        <v>818055.35</v>
      </c>
      <c r="G25" s="312"/>
      <c r="H25" s="479">
        <f t="shared" si="0"/>
        <v>0</v>
      </c>
      <c r="I25" s="479">
        <f t="shared" si="1"/>
        <v>818055.35</v>
      </c>
      <c r="J25" s="312">
        <f t="shared" si="8"/>
        <v>0.04</v>
      </c>
      <c r="K25" s="479">
        <f t="shared" si="3"/>
        <v>32722.214</v>
      </c>
      <c r="L25" s="479">
        <f t="shared" si="4"/>
        <v>850777.56400000001</v>
      </c>
      <c r="M25" s="312">
        <f t="shared" si="9"/>
        <v>0.04</v>
      </c>
      <c r="N25" s="480">
        <f t="shared" si="2"/>
        <v>34031.102559999999</v>
      </c>
      <c r="O25" s="479">
        <f t="shared" si="5"/>
        <v>884808.66656000004</v>
      </c>
      <c r="P25" s="479">
        <f t="shared" si="6"/>
        <v>0</v>
      </c>
      <c r="Q25" s="479">
        <f t="shared" si="7"/>
        <v>66753.316560000007</v>
      </c>
    </row>
    <row r="26" spans="1:17" s="26" customFormat="1">
      <c r="A26" s="28">
        <v>16</v>
      </c>
      <c r="B26" s="26" t="s">
        <v>1533</v>
      </c>
      <c r="C26" s="311" t="s">
        <v>726</v>
      </c>
      <c r="D26" s="488">
        <v>7391.23</v>
      </c>
      <c r="G26" s="312"/>
      <c r="H26" s="479">
        <f t="shared" si="0"/>
        <v>0</v>
      </c>
      <c r="I26" s="479">
        <f t="shared" si="1"/>
        <v>7391.23</v>
      </c>
      <c r="J26" s="312">
        <f t="shared" si="8"/>
        <v>0.04</v>
      </c>
      <c r="K26" s="479">
        <f t="shared" si="3"/>
        <v>295.64920000000001</v>
      </c>
      <c r="L26" s="479">
        <f t="shared" si="4"/>
        <v>7686.8791999999994</v>
      </c>
      <c r="M26" s="312">
        <f t="shared" si="9"/>
        <v>0.04</v>
      </c>
      <c r="N26" s="480">
        <f t="shared" si="2"/>
        <v>307.475168</v>
      </c>
      <c r="O26" s="479">
        <f t="shared" si="5"/>
        <v>7994.3543679999993</v>
      </c>
      <c r="P26" s="479">
        <f t="shared" si="6"/>
        <v>0</v>
      </c>
      <c r="Q26" s="479">
        <f t="shared" si="7"/>
        <v>603.124368</v>
      </c>
    </row>
    <row r="27" spans="1:17" s="26" customFormat="1">
      <c r="A27" s="28">
        <v>17</v>
      </c>
      <c r="B27" s="26" t="s">
        <v>1534</v>
      </c>
      <c r="C27" s="311">
        <v>28890</v>
      </c>
      <c r="D27" s="488">
        <v>716.61</v>
      </c>
      <c r="G27" s="312"/>
      <c r="H27" s="479">
        <f t="shared" si="0"/>
        <v>0</v>
      </c>
      <c r="I27" s="479">
        <f t="shared" si="1"/>
        <v>716.61</v>
      </c>
      <c r="J27" s="312">
        <f t="shared" si="8"/>
        <v>0.04</v>
      </c>
      <c r="K27" s="479">
        <f t="shared" si="3"/>
        <v>28.664400000000001</v>
      </c>
      <c r="L27" s="479">
        <f t="shared" si="4"/>
        <v>745.27440000000001</v>
      </c>
      <c r="M27" s="312">
        <f t="shared" si="9"/>
        <v>0.04</v>
      </c>
      <c r="N27" s="480">
        <f t="shared" si="2"/>
        <v>29.810976</v>
      </c>
      <c r="O27" s="479">
        <f t="shared" si="5"/>
        <v>775.085376</v>
      </c>
      <c r="P27" s="479">
        <f t="shared" si="6"/>
        <v>0</v>
      </c>
      <c r="Q27" s="479">
        <f t="shared" si="7"/>
        <v>58.475375999999997</v>
      </c>
    </row>
    <row r="28" spans="1:17" s="26" customFormat="1">
      <c r="A28" s="28">
        <v>18</v>
      </c>
      <c r="B28" s="26" t="s">
        <v>1550</v>
      </c>
      <c r="C28" s="311">
        <v>28900</v>
      </c>
      <c r="D28" s="488">
        <v>1091.43</v>
      </c>
      <c r="G28" s="312"/>
      <c r="H28" s="479">
        <f t="shared" si="0"/>
        <v>0</v>
      </c>
      <c r="I28" s="479">
        <f t="shared" si="1"/>
        <v>1091.43</v>
      </c>
      <c r="J28" s="312">
        <f t="shared" si="8"/>
        <v>0.04</v>
      </c>
      <c r="K28" s="479">
        <f t="shared" si="3"/>
        <v>43.657200000000003</v>
      </c>
      <c r="L28" s="479">
        <f t="shared" si="4"/>
        <v>1135.0872000000002</v>
      </c>
      <c r="M28" s="312">
        <f t="shared" si="9"/>
        <v>0.04</v>
      </c>
      <c r="N28" s="480">
        <f t="shared" si="2"/>
        <v>45.40348800000001</v>
      </c>
      <c r="O28" s="479">
        <f t="shared" si="5"/>
        <v>1180.4906880000001</v>
      </c>
      <c r="P28" s="479">
        <f t="shared" si="6"/>
        <v>0</v>
      </c>
      <c r="Q28" s="479">
        <f t="shared" si="7"/>
        <v>89.060688000000013</v>
      </c>
    </row>
    <row r="29" spans="1:17" s="26" customFormat="1">
      <c r="A29" s="28">
        <v>19</v>
      </c>
      <c r="B29" s="26" t="s">
        <v>1548</v>
      </c>
      <c r="C29" s="311" t="s">
        <v>729</v>
      </c>
      <c r="D29" s="488">
        <v>48791.62</v>
      </c>
      <c r="G29" s="312"/>
      <c r="H29" s="479">
        <f t="shared" si="0"/>
        <v>0</v>
      </c>
      <c r="I29" s="479">
        <f t="shared" si="1"/>
        <v>48791.62</v>
      </c>
      <c r="J29" s="312">
        <f t="shared" si="8"/>
        <v>0.04</v>
      </c>
      <c r="K29" s="479">
        <f t="shared" si="3"/>
        <v>1951.6648000000002</v>
      </c>
      <c r="L29" s="479">
        <f t="shared" si="4"/>
        <v>50743.284800000001</v>
      </c>
      <c r="M29" s="312">
        <f t="shared" si="9"/>
        <v>0.04</v>
      </c>
      <c r="N29" s="480">
        <f t="shared" si="2"/>
        <v>2029.7313920000001</v>
      </c>
      <c r="O29" s="479">
        <f t="shared" si="5"/>
        <v>52773.016192000003</v>
      </c>
      <c r="P29" s="479">
        <f t="shared" si="6"/>
        <v>0</v>
      </c>
      <c r="Q29" s="479">
        <f t="shared" si="7"/>
        <v>3981.3961920000002</v>
      </c>
    </row>
    <row r="30" spans="1:17" s="26" customFormat="1">
      <c r="A30" s="28">
        <v>20</v>
      </c>
      <c r="B30" s="26" t="s">
        <v>1542</v>
      </c>
      <c r="C30" s="311" t="s">
        <v>730</v>
      </c>
      <c r="D30" s="488">
        <v>12723.49</v>
      </c>
      <c r="G30" s="312"/>
      <c r="H30" s="479">
        <f t="shared" si="0"/>
        <v>0</v>
      </c>
      <c r="I30" s="479">
        <f t="shared" si="1"/>
        <v>12723.49</v>
      </c>
      <c r="J30" s="312">
        <f t="shared" si="8"/>
        <v>0.04</v>
      </c>
      <c r="K30" s="479">
        <f t="shared" si="3"/>
        <v>508.93959999999998</v>
      </c>
      <c r="L30" s="479">
        <f t="shared" si="4"/>
        <v>13232.429599999999</v>
      </c>
      <c r="M30" s="312">
        <f t="shared" si="9"/>
        <v>0.04</v>
      </c>
      <c r="N30" s="480">
        <f t="shared" si="2"/>
        <v>529.29718400000002</v>
      </c>
      <c r="O30" s="479">
        <f t="shared" si="5"/>
        <v>13761.726783999999</v>
      </c>
      <c r="P30" s="479">
        <f t="shared" si="6"/>
        <v>0</v>
      </c>
      <c r="Q30" s="479">
        <f t="shared" si="7"/>
        <v>1038.2367839999999</v>
      </c>
    </row>
    <row r="31" spans="1:17" s="26" customFormat="1">
      <c r="A31" s="28">
        <v>21</v>
      </c>
      <c r="B31" s="26" t="s">
        <v>1543</v>
      </c>
      <c r="C31" s="311">
        <v>28940</v>
      </c>
      <c r="D31" s="488">
        <v>38183.769999999997</v>
      </c>
      <c r="G31" s="312"/>
      <c r="H31" s="479">
        <f t="shared" si="0"/>
        <v>0</v>
      </c>
      <c r="I31" s="479">
        <f t="shared" si="1"/>
        <v>38183.769999999997</v>
      </c>
      <c r="J31" s="312">
        <f t="shared" si="8"/>
        <v>0.04</v>
      </c>
      <c r="K31" s="479">
        <f t="shared" si="3"/>
        <v>1527.3507999999999</v>
      </c>
      <c r="L31" s="479">
        <f t="shared" si="4"/>
        <v>39711.120799999997</v>
      </c>
      <c r="M31" s="312">
        <f t="shared" si="9"/>
        <v>0.04</v>
      </c>
      <c r="N31" s="480">
        <f t="shared" si="2"/>
        <v>1588.4448319999999</v>
      </c>
      <c r="O31" s="479">
        <f t="shared" si="5"/>
        <v>41299.565631999998</v>
      </c>
      <c r="P31" s="479">
        <f t="shared" si="6"/>
        <v>0</v>
      </c>
      <c r="Q31" s="479">
        <f t="shared" si="7"/>
        <v>3115.7956319999998</v>
      </c>
    </row>
    <row r="32" spans="1:17" s="26" customFormat="1">
      <c r="A32" s="28">
        <v>22</v>
      </c>
      <c r="B32" s="26" t="s">
        <v>1541</v>
      </c>
      <c r="C32" s="311">
        <v>29010</v>
      </c>
      <c r="D32" s="488">
        <v>68794.55</v>
      </c>
      <c r="G32" s="312"/>
      <c r="H32" s="479">
        <f t="shared" si="0"/>
        <v>0</v>
      </c>
      <c r="I32" s="479">
        <f t="shared" si="1"/>
        <v>68794.55</v>
      </c>
      <c r="J32" s="312">
        <f t="shared" si="8"/>
        <v>0.04</v>
      </c>
      <c r="K32" s="479">
        <f t="shared" si="3"/>
        <v>2751.7820000000002</v>
      </c>
      <c r="L32" s="479">
        <f t="shared" si="4"/>
        <v>71546.332000000009</v>
      </c>
      <c r="M32" s="312">
        <f t="shared" si="9"/>
        <v>0.04</v>
      </c>
      <c r="N32" s="480">
        <f t="shared" si="2"/>
        <v>2861.8532800000003</v>
      </c>
      <c r="O32" s="479">
        <f t="shared" si="5"/>
        <v>74408.185280000005</v>
      </c>
      <c r="P32" s="479">
        <f t="shared" si="6"/>
        <v>0</v>
      </c>
      <c r="Q32" s="479">
        <f t="shared" si="7"/>
        <v>5613.6352800000004</v>
      </c>
    </row>
    <row r="33" spans="1:17" s="26" customFormat="1">
      <c r="A33" s="28">
        <v>23</v>
      </c>
      <c r="B33" s="26" t="s">
        <v>1535</v>
      </c>
      <c r="C33" s="311">
        <v>29020</v>
      </c>
      <c r="D33" s="488">
        <v>21551.27</v>
      </c>
      <c r="G33" s="312"/>
      <c r="H33" s="479">
        <f t="shared" si="0"/>
        <v>0</v>
      </c>
      <c r="I33" s="479">
        <f t="shared" si="1"/>
        <v>21551.27</v>
      </c>
      <c r="J33" s="312">
        <f t="shared" si="8"/>
        <v>0.04</v>
      </c>
      <c r="K33" s="479">
        <f t="shared" si="3"/>
        <v>862.05079999999998</v>
      </c>
      <c r="L33" s="479">
        <f t="shared" si="4"/>
        <v>22413.320800000001</v>
      </c>
      <c r="M33" s="312">
        <f t="shared" si="9"/>
        <v>0.04</v>
      </c>
      <c r="N33" s="480">
        <f t="shared" si="2"/>
        <v>896.5328320000001</v>
      </c>
      <c r="O33" s="479">
        <f t="shared" si="5"/>
        <v>23309.853632000002</v>
      </c>
      <c r="P33" s="479">
        <f t="shared" si="6"/>
        <v>0</v>
      </c>
      <c r="Q33" s="479">
        <f t="shared" si="7"/>
        <v>1758.5836320000001</v>
      </c>
    </row>
    <row r="34" spans="1:17" s="26" customFormat="1">
      <c r="A34" s="28">
        <v>24</v>
      </c>
      <c r="B34" s="26" t="s">
        <v>1536</v>
      </c>
      <c r="C34" s="311" t="s">
        <v>732</v>
      </c>
      <c r="D34" s="489">
        <v>606979.62</v>
      </c>
      <c r="G34" s="312"/>
      <c r="H34" s="479">
        <f t="shared" si="0"/>
        <v>0</v>
      </c>
      <c r="I34" s="479">
        <f t="shared" si="1"/>
        <v>606979.62</v>
      </c>
      <c r="J34" s="312">
        <f t="shared" si="8"/>
        <v>0.04</v>
      </c>
      <c r="K34" s="479">
        <f t="shared" si="3"/>
        <v>24279.184799999999</v>
      </c>
      <c r="L34" s="479">
        <f t="shared" si="4"/>
        <v>631258.80480000004</v>
      </c>
      <c r="M34" s="312">
        <f t="shared" si="9"/>
        <v>0.04</v>
      </c>
      <c r="N34" s="480">
        <f t="shared" si="2"/>
        <v>25250.352192000002</v>
      </c>
      <c r="O34" s="479">
        <f t="shared" si="5"/>
        <v>656509.15699200006</v>
      </c>
      <c r="P34" s="479">
        <f t="shared" si="6"/>
        <v>0</v>
      </c>
      <c r="Q34" s="479">
        <f t="shared" si="7"/>
        <v>49529.536992000001</v>
      </c>
    </row>
    <row r="35" spans="1:17" s="26" customFormat="1">
      <c r="A35" s="28">
        <v>25</v>
      </c>
      <c r="B35" s="26" t="s">
        <v>1551</v>
      </c>
      <c r="C35" s="311">
        <v>29080</v>
      </c>
      <c r="D35" s="489">
        <v>420514.47</v>
      </c>
      <c r="G35" s="312"/>
      <c r="H35" s="479">
        <f t="shared" si="0"/>
        <v>0</v>
      </c>
      <c r="I35" s="479">
        <f t="shared" si="1"/>
        <v>420514.47</v>
      </c>
      <c r="J35" s="312">
        <f t="shared" si="8"/>
        <v>0.04</v>
      </c>
      <c r="K35" s="479">
        <f t="shared" si="3"/>
        <v>16820.578799999999</v>
      </c>
      <c r="L35" s="479">
        <f t="shared" si="4"/>
        <v>437335.04879999999</v>
      </c>
      <c r="M35" s="312">
        <f t="shared" si="9"/>
        <v>0.04</v>
      </c>
      <c r="N35" s="480">
        <f t="shared" si="2"/>
        <v>17493.401952</v>
      </c>
      <c r="O35" s="479">
        <f t="shared" si="5"/>
        <v>454828.45075199998</v>
      </c>
      <c r="P35" s="479">
        <f t="shared" si="6"/>
        <v>0</v>
      </c>
      <c r="Q35" s="479">
        <f t="shared" si="7"/>
        <v>34313.980752000003</v>
      </c>
    </row>
    <row r="36" spans="1:17" s="26" customFormat="1">
      <c r="A36" s="28">
        <v>26</v>
      </c>
      <c r="B36" s="26" t="s">
        <v>1549</v>
      </c>
      <c r="C36" s="311">
        <v>29100</v>
      </c>
      <c r="D36" s="489">
        <v>220424.81</v>
      </c>
      <c r="G36" s="312"/>
      <c r="H36" s="479">
        <f t="shared" si="0"/>
        <v>0</v>
      </c>
      <c r="I36" s="479">
        <f t="shared" si="1"/>
        <v>220424.81</v>
      </c>
      <c r="J36" s="312">
        <f t="shared" si="8"/>
        <v>0.04</v>
      </c>
      <c r="K36" s="479">
        <f t="shared" si="3"/>
        <v>8816.992400000001</v>
      </c>
      <c r="L36" s="479">
        <f t="shared" si="4"/>
        <v>229241.80239999999</v>
      </c>
      <c r="M36" s="312">
        <f t="shared" si="9"/>
        <v>0.04</v>
      </c>
      <c r="N36" s="480">
        <f t="shared" si="2"/>
        <v>9169.6720960000002</v>
      </c>
      <c r="O36" s="479">
        <f t="shared" si="5"/>
        <v>238411.47449599998</v>
      </c>
      <c r="P36" s="479">
        <f t="shared" si="6"/>
        <v>0</v>
      </c>
      <c r="Q36" s="479">
        <f t="shared" si="7"/>
        <v>17986.664496000001</v>
      </c>
    </row>
    <row r="37" spans="1:17" s="26" customFormat="1">
      <c r="A37" s="28">
        <v>27</v>
      </c>
      <c r="B37" s="26" t="s">
        <v>1537</v>
      </c>
      <c r="C37" s="311" t="s">
        <v>733</v>
      </c>
      <c r="D37" s="489">
        <v>1908570.14</v>
      </c>
      <c r="G37" s="312"/>
      <c r="H37" s="479">
        <f t="shared" si="0"/>
        <v>0</v>
      </c>
      <c r="I37" s="479">
        <f t="shared" si="1"/>
        <v>1908570.14</v>
      </c>
      <c r="J37" s="312">
        <f t="shared" si="8"/>
        <v>0.04</v>
      </c>
      <c r="K37" s="479">
        <f t="shared" si="3"/>
        <v>76342.805599999992</v>
      </c>
      <c r="L37" s="479">
        <f t="shared" si="4"/>
        <v>1984912.9456</v>
      </c>
      <c r="M37" s="312">
        <f t="shared" si="9"/>
        <v>0.04</v>
      </c>
      <c r="N37" s="480">
        <f t="shared" si="2"/>
        <v>79396.517823999995</v>
      </c>
      <c r="O37" s="479">
        <f t="shared" si="5"/>
        <v>2064309.463424</v>
      </c>
      <c r="P37" s="479">
        <f t="shared" si="6"/>
        <v>0</v>
      </c>
      <c r="Q37" s="479">
        <f t="shared" si="7"/>
        <v>155739.323424</v>
      </c>
    </row>
    <row r="38" spans="1:17">
      <c r="A38" s="6">
        <v>28</v>
      </c>
      <c r="B38" s="26" t="s">
        <v>1552</v>
      </c>
      <c r="C38" s="311">
        <v>29260</v>
      </c>
      <c r="D38" s="531">
        <v>7364.02</v>
      </c>
      <c r="E38" s="26"/>
      <c r="F38" s="26"/>
      <c r="G38" s="312"/>
      <c r="H38" s="479">
        <f t="shared" si="0"/>
        <v>0</v>
      </c>
      <c r="I38" s="493">
        <f t="shared" si="1"/>
        <v>7364.02</v>
      </c>
      <c r="J38" s="312">
        <f t="shared" si="8"/>
        <v>0.04</v>
      </c>
      <c r="K38" s="493">
        <f t="shared" si="3"/>
        <v>294.56080000000003</v>
      </c>
      <c r="L38" s="493">
        <f t="shared" si="4"/>
        <v>7658.5808000000006</v>
      </c>
      <c r="M38" s="312">
        <f t="shared" si="9"/>
        <v>0.04</v>
      </c>
      <c r="N38" s="494">
        <f t="shared" si="2"/>
        <v>306.34323200000006</v>
      </c>
      <c r="O38" s="493">
        <f t="shared" si="5"/>
        <v>7964.9240320000008</v>
      </c>
      <c r="P38" s="479">
        <f t="shared" si="6"/>
        <v>0</v>
      </c>
      <c r="Q38" s="479">
        <f t="shared" si="7"/>
        <v>600.90403200000014</v>
      </c>
    </row>
    <row r="39" spans="1:17">
      <c r="A39" s="6">
        <v>30</v>
      </c>
      <c r="C39" s="26"/>
      <c r="D39" s="490">
        <f>SUM(D20:D38)</f>
        <v>6885725.0599999987</v>
      </c>
      <c r="E39" s="26"/>
      <c r="F39" s="490">
        <f>SUM(F20:F38)</f>
        <v>0</v>
      </c>
      <c r="G39" s="26"/>
      <c r="H39" s="490">
        <f>SUM(H20:H38)</f>
        <v>0</v>
      </c>
      <c r="I39" s="490">
        <f>SUM(I20:I38)</f>
        <v>6885725.0599999987</v>
      </c>
      <c r="J39" s="26"/>
      <c r="K39" s="490">
        <f>SUM(K20:K38)</f>
        <v>275429.00239999994</v>
      </c>
      <c r="L39" s="490">
        <f>SUM(L20:L38)</f>
        <v>7161154.0624000002</v>
      </c>
      <c r="M39" s="26"/>
      <c r="N39" s="490">
        <f>SUM(N20:N38)</f>
        <v>286446.162496</v>
      </c>
      <c r="O39" s="490">
        <f>SUM(O20:O38)</f>
        <v>7447600.2248960007</v>
      </c>
      <c r="P39" s="490">
        <f>SUM(P20:P38)</f>
        <v>0</v>
      </c>
      <c r="Q39" s="490">
        <f>SUM(Q20:Q38)</f>
        <v>561875.16489600006</v>
      </c>
    </row>
    <row r="40" spans="1:17">
      <c r="A40" s="6" t="s">
        <v>881</v>
      </c>
      <c r="B40" s="4" t="s">
        <v>718</v>
      </c>
      <c r="C40" s="26"/>
      <c r="D40" s="26"/>
      <c r="E40" s="26"/>
      <c r="F40" s="26"/>
      <c r="G40" s="26"/>
      <c r="H40" s="26"/>
      <c r="I40" s="26"/>
      <c r="J40" s="26"/>
      <c r="K40" s="26"/>
      <c r="L40" s="26"/>
      <c r="M40" s="26"/>
      <c r="N40" s="26"/>
      <c r="O40" s="26"/>
      <c r="P40" s="26"/>
      <c r="Q40" s="26"/>
    </row>
    <row r="41" spans="1:17" s="26" customFormat="1">
      <c r="A41" s="28">
        <v>31</v>
      </c>
      <c r="B41" s="26" t="s">
        <v>1538</v>
      </c>
      <c r="C41" s="491">
        <v>28700</v>
      </c>
      <c r="D41" s="490">
        <v>314</v>
      </c>
      <c r="F41" s="26">
        <v>0</v>
      </c>
      <c r="G41" s="312">
        <v>0.03</v>
      </c>
      <c r="H41" s="479">
        <f t="shared" ref="H41:H46" si="10">+F41*G41</f>
        <v>0</v>
      </c>
      <c r="I41" s="479">
        <f t="shared" ref="I41" si="11">+D41+H41</f>
        <v>314</v>
      </c>
      <c r="J41" s="312">
        <v>0.03</v>
      </c>
      <c r="K41" s="479">
        <f t="shared" ref="K41" si="12">+I41*J41</f>
        <v>9.42</v>
      </c>
      <c r="L41" s="479">
        <f t="shared" ref="L41" si="13">+I41+K41</f>
        <v>323.42</v>
      </c>
      <c r="M41" s="312">
        <v>0.03</v>
      </c>
      <c r="N41" s="480">
        <f t="shared" ref="N41" si="14">+L41*M41</f>
        <v>9.7026000000000003</v>
      </c>
      <c r="O41" s="480">
        <f>+L41+N41</f>
        <v>333.12260000000003</v>
      </c>
      <c r="P41" s="479">
        <f t="shared" ref="P41" si="15">+H41</f>
        <v>0</v>
      </c>
      <c r="Q41" s="479">
        <f>+N41+K41</f>
        <v>19.122599999999998</v>
      </c>
    </row>
    <row r="42" spans="1:17" s="26" customFormat="1">
      <c r="A42" s="28">
        <v>32</v>
      </c>
      <c r="B42" s="26" t="s">
        <v>195</v>
      </c>
      <c r="C42" s="491" t="s">
        <v>721</v>
      </c>
      <c r="D42" s="488">
        <v>53056.71</v>
      </c>
      <c r="F42" s="327">
        <v>15084.68</v>
      </c>
      <c r="G42" s="312">
        <v>0.03</v>
      </c>
      <c r="H42" s="479">
        <f t="shared" si="10"/>
        <v>452.54039999999998</v>
      </c>
      <c r="I42" s="479">
        <f t="shared" ref="I42:I61" si="16">+D42+H42</f>
        <v>53509.250399999997</v>
      </c>
      <c r="J42" s="312">
        <v>0.03</v>
      </c>
      <c r="K42" s="479">
        <f t="shared" ref="K42:K61" si="17">+I42*J42</f>
        <v>1605.2775119999999</v>
      </c>
      <c r="L42" s="479">
        <f t="shared" ref="L42:L60" si="18">+I42+K42</f>
        <v>55114.527911999998</v>
      </c>
      <c r="M42" s="312">
        <v>0.03</v>
      </c>
      <c r="N42" s="480">
        <f t="shared" ref="N42:N60" si="19">+L42*M42</f>
        <v>1653.4358373599998</v>
      </c>
      <c r="O42" s="480">
        <f>+L42+N42</f>
        <v>56767.963749359995</v>
      </c>
      <c r="P42" s="479">
        <f t="shared" ref="P42:P61" si="20">+H42</f>
        <v>452.54039999999998</v>
      </c>
      <c r="Q42" s="479">
        <f>+N42+K42</f>
        <v>3258.7133493599995</v>
      </c>
    </row>
    <row r="43" spans="1:17" s="26" customFormat="1">
      <c r="A43" s="28">
        <v>33</v>
      </c>
      <c r="B43" s="26" t="s">
        <v>1554</v>
      </c>
      <c r="C43" s="491" t="s">
        <v>734</v>
      </c>
      <c r="D43" s="488">
        <v>24849.87</v>
      </c>
      <c r="F43" s="327">
        <v>6870.6099999999988</v>
      </c>
      <c r="G43" s="312">
        <f>+G42</f>
        <v>0.03</v>
      </c>
      <c r="H43" s="479">
        <f t="shared" si="10"/>
        <v>206.11829999999995</v>
      </c>
      <c r="I43" s="479">
        <f t="shared" si="16"/>
        <v>25055.988299999997</v>
      </c>
      <c r="J43" s="312">
        <f>+J42</f>
        <v>0.03</v>
      </c>
      <c r="K43" s="479">
        <f t="shared" si="17"/>
        <v>751.67964899999993</v>
      </c>
      <c r="L43" s="479">
        <f t="shared" si="18"/>
        <v>25807.667948999999</v>
      </c>
      <c r="M43" s="312">
        <v>0.03</v>
      </c>
      <c r="N43" s="480">
        <f t="shared" si="19"/>
        <v>774.23003846999995</v>
      </c>
      <c r="O43" s="480">
        <f t="shared" ref="O43:O58" si="21">+L43+N43</f>
        <v>26581.897987469998</v>
      </c>
      <c r="P43" s="479">
        <f t="shared" si="20"/>
        <v>206.11829999999995</v>
      </c>
      <c r="Q43" s="479">
        <f t="shared" ref="Q43:Q61" si="22">+N43+K43</f>
        <v>1525.9096874699999</v>
      </c>
    </row>
    <row r="44" spans="1:17" s="26" customFormat="1">
      <c r="A44" s="28">
        <v>34</v>
      </c>
      <c r="B44" s="26" t="str">
        <f>+B23</f>
        <v>Routine Main/Service Operation</v>
      </c>
      <c r="C44" s="491" t="s">
        <v>722</v>
      </c>
      <c r="D44" s="488">
        <v>1903248.87</v>
      </c>
      <c r="F44" s="327">
        <v>415720.86999999726</v>
      </c>
      <c r="G44" s="312">
        <f t="shared" ref="G44:G61" si="23">+G43</f>
        <v>0.03</v>
      </c>
      <c r="H44" s="479">
        <f t="shared" si="10"/>
        <v>12471.626099999918</v>
      </c>
      <c r="I44" s="479">
        <f t="shared" si="16"/>
        <v>1915720.4961000001</v>
      </c>
      <c r="J44" s="312">
        <f t="shared" ref="J44:J61" si="24">+J43</f>
        <v>0.03</v>
      </c>
      <c r="K44" s="479">
        <f t="shared" si="17"/>
        <v>57471.614883000002</v>
      </c>
      <c r="L44" s="479">
        <f t="shared" si="18"/>
        <v>1973192.1109830001</v>
      </c>
      <c r="M44" s="312">
        <v>0.03</v>
      </c>
      <c r="N44" s="480">
        <f t="shared" si="19"/>
        <v>59195.763329490001</v>
      </c>
      <c r="O44" s="480">
        <f t="shared" si="21"/>
        <v>2032387.8743124902</v>
      </c>
      <c r="P44" s="479">
        <f t="shared" si="20"/>
        <v>12471.626099999918</v>
      </c>
      <c r="Q44" s="479">
        <f t="shared" si="22"/>
        <v>116667.37821249</v>
      </c>
    </row>
    <row r="45" spans="1:17" s="26" customFormat="1">
      <c r="A45" s="28">
        <v>35</v>
      </c>
      <c r="B45" s="26" t="s">
        <v>1544</v>
      </c>
      <c r="C45" s="491" t="s">
        <v>735</v>
      </c>
      <c r="D45" s="488">
        <v>228105.23</v>
      </c>
      <c r="F45" s="327">
        <v>65709.300000000061</v>
      </c>
      <c r="G45" s="312">
        <f t="shared" si="23"/>
        <v>0.03</v>
      </c>
      <c r="H45" s="479">
        <f t="shared" si="10"/>
        <v>1971.2790000000018</v>
      </c>
      <c r="I45" s="479">
        <f t="shared" si="16"/>
        <v>230076.50900000002</v>
      </c>
      <c r="J45" s="312">
        <f t="shared" si="24"/>
        <v>0.03</v>
      </c>
      <c r="K45" s="479">
        <f t="shared" si="17"/>
        <v>6902.2952700000005</v>
      </c>
      <c r="L45" s="479">
        <f t="shared" si="18"/>
        <v>236978.80427000002</v>
      </c>
      <c r="M45" s="312">
        <v>0.03</v>
      </c>
      <c r="N45" s="480">
        <f t="shared" si="19"/>
        <v>7109.3641281</v>
      </c>
      <c r="O45" s="480">
        <f t="shared" si="21"/>
        <v>244088.16839810001</v>
      </c>
      <c r="P45" s="479">
        <f t="shared" si="20"/>
        <v>1971.2790000000018</v>
      </c>
      <c r="Q45" s="479">
        <f t="shared" si="22"/>
        <v>14011.659398100001</v>
      </c>
    </row>
    <row r="46" spans="1:17" s="26" customFormat="1">
      <c r="A46" s="28">
        <v>36</v>
      </c>
      <c r="B46" s="26" t="s">
        <v>1545</v>
      </c>
      <c r="C46" s="491" t="s">
        <v>736</v>
      </c>
      <c r="D46" s="488">
        <v>94539.56</v>
      </c>
      <c r="F46" s="327">
        <v>29244.789999999994</v>
      </c>
      <c r="G46" s="312">
        <f t="shared" si="23"/>
        <v>0.03</v>
      </c>
      <c r="H46" s="479">
        <f t="shared" si="10"/>
        <v>877.34369999999979</v>
      </c>
      <c r="I46" s="479">
        <f t="shared" si="16"/>
        <v>95416.903699999995</v>
      </c>
      <c r="J46" s="312">
        <f t="shared" si="24"/>
        <v>0.03</v>
      </c>
      <c r="K46" s="479">
        <f t="shared" si="17"/>
        <v>2862.5071109999999</v>
      </c>
      <c r="L46" s="479">
        <f t="shared" si="18"/>
        <v>98279.410810999994</v>
      </c>
      <c r="M46" s="312">
        <v>0.03</v>
      </c>
      <c r="N46" s="480">
        <f t="shared" si="19"/>
        <v>2948.3823243299998</v>
      </c>
      <c r="O46" s="480">
        <f t="shared" si="21"/>
        <v>101227.79313532999</v>
      </c>
      <c r="P46" s="479">
        <f t="shared" si="20"/>
        <v>877.34369999999979</v>
      </c>
      <c r="Q46" s="479">
        <f t="shared" si="22"/>
        <v>5810.8894353300002</v>
      </c>
    </row>
    <row r="47" spans="1:17" s="26" customFormat="1">
      <c r="A47" s="28">
        <v>37</v>
      </c>
      <c r="B47" s="26" t="s">
        <v>1546</v>
      </c>
      <c r="C47" s="491" t="s">
        <v>723</v>
      </c>
      <c r="D47" s="488">
        <v>890442.83</v>
      </c>
      <c r="F47" s="327">
        <v>207210.78000000076</v>
      </c>
      <c r="G47" s="312">
        <f t="shared" si="23"/>
        <v>0.03</v>
      </c>
      <c r="H47" s="479">
        <f t="shared" ref="H47:H61" si="25">+F47*G47</f>
        <v>6216.323400000022</v>
      </c>
      <c r="I47" s="479">
        <f t="shared" si="16"/>
        <v>896659.15339999995</v>
      </c>
      <c r="J47" s="312">
        <f t="shared" si="24"/>
        <v>0.03</v>
      </c>
      <c r="K47" s="479">
        <f t="shared" si="17"/>
        <v>26899.774601999998</v>
      </c>
      <c r="L47" s="479">
        <f t="shared" si="18"/>
        <v>923558.92800199997</v>
      </c>
      <c r="M47" s="312">
        <v>0.03</v>
      </c>
      <c r="N47" s="480">
        <f t="shared" si="19"/>
        <v>27706.767840059998</v>
      </c>
      <c r="O47" s="480">
        <f t="shared" si="21"/>
        <v>951265.69584206003</v>
      </c>
      <c r="P47" s="479">
        <f t="shared" si="20"/>
        <v>6216.323400000022</v>
      </c>
      <c r="Q47" s="479">
        <f t="shared" si="22"/>
        <v>54606.542442059996</v>
      </c>
    </row>
    <row r="48" spans="1:17" s="26" customFormat="1">
      <c r="A48" s="28">
        <v>38</v>
      </c>
      <c r="B48" s="26" t="s">
        <v>1547</v>
      </c>
      <c r="C48" s="491" t="s">
        <v>724</v>
      </c>
      <c r="D48" s="488">
        <v>695334.78</v>
      </c>
      <c r="F48" s="327">
        <v>211277.62000000189</v>
      </c>
      <c r="G48" s="312">
        <f t="shared" si="23"/>
        <v>0.03</v>
      </c>
      <c r="H48" s="479">
        <f t="shared" si="25"/>
        <v>6338.3286000000562</v>
      </c>
      <c r="I48" s="479">
        <f t="shared" si="16"/>
        <v>701673.10860000004</v>
      </c>
      <c r="J48" s="312">
        <f t="shared" si="24"/>
        <v>0.03</v>
      </c>
      <c r="K48" s="479">
        <f t="shared" si="17"/>
        <v>21050.193257999999</v>
      </c>
      <c r="L48" s="479">
        <f t="shared" si="18"/>
        <v>722723.30185799999</v>
      </c>
      <c r="M48" s="312">
        <v>0.03</v>
      </c>
      <c r="N48" s="480">
        <f t="shared" si="19"/>
        <v>21681.699055739999</v>
      </c>
      <c r="O48" s="480">
        <f t="shared" si="21"/>
        <v>744405.00091374002</v>
      </c>
      <c r="P48" s="479">
        <f t="shared" si="20"/>
        <v>6338.3286000000562</v>
      </c>
      <c r="Q48" s="479">
        <f t="shared" si="22"/>
        <v>42731.892313739998</v>
      </c>
    </row>
    <row r="49" spans="1:17" s="26" customFormat="1">
      <c r="A49" s="28">
        <v>39</v>
      </c>
      <c r="B49" s="26" t="s">
        <v>1532</v>
      </c>
      <c r="C49" s="491" t="s">
        <v>725</v>
      </c>
      <c r="D49" s="488">
        <v>2363868.34</v>
      </c>
      <c r="F49" s="327">
        <v>683763.34000000125</v>
      </c>
      <c r="G49" s="312">
        <f t="shared" si="23"/>
        <v>0.03</v>
      </c>
      <c r="H49" s="479">
        <f t="shared" si="25"/>
        <v>20512.900200000036</v>
      </c>
      <c r="I49" s="479">
        <f t="shared" si="16"/>
        <v>2384381.2401999999</v>
      </c>
      <c r="J49" s="312">
        <f t="shared" si="24"/>
        <v>0.03</v>
      </c>
      <c r="K49" s="479">
        <f t="shared" si="17"/>
        <v>71531.437205999988</v>
      </c>
      <c r="L49" s="479">
        <f t="shared" si="18"/>
        <v>2455912.677406</v>
      </c>
      <c r="M49" s="312">
        <v>0.03</v>
      </c>
      <c r="N49" s="480">
        <f t="shared" si="19"/>
        <v>73677.38032217999</v>
      </c>
      <c r="O49" s="480">
        <f t="shared" si="21"/>
        <v>2529590.0577281797</v>
      </c>
      <c r="P49" s="479">
        <f t="shared" si="20"/>
        <v>20512.900200000036</v>
      </c>
      <c r="Q49" s="479">
        <f t="shared" si="22"/>
        <v>145208.81752817996</v>
      </c>
    </row>
    <row r="50" spans="1:17" s="26" customFormat="1">
      <c r="A50" s="28">
        <v>40</v>
      </c>
      <c r="B50" s="26" t="str">
        <f>+B26</f>
        <v>Mains-Maintenance</v>
      </c>
      <c r="C50" s="491" t="s">
        <v>726</v>
      </c>
      <c r="D50" s="488">
        <v>474721.85</v>
      </c>
      <c r="F50" s="327">
        <v>133821.39999999962</v>
      </c>
      <c r="G50" s="312">
        <f t="shared" si="23"/>
        <v>0.03</v>
      </c>
      <c r="H50" s="479">
        <f t="shared" si="25"/>
        <v>4014.6419999999885</v>
      </c>
      <c r="I50" s="479">
        <f t="shared" si="16"/>
        <v>478736.49199999997</v>
      </c>
      <c r="J50" s="312">
        <f t="shared" si="24"/>
        <v>0.03</v>
      </c>
      <c r="K50" s="479">
        <f t="shared" si="17"/>
        <v>14362.094759999998</v>
      </c>
      <c r="L50" s="479">
        <f t="shared" si="18"/>
        <v>493098.58675999998</v>
      </c>
      <c r="M50" s="312">
        <v>0.03</v>
      </c>
      <c r="N50" s="480">
        <f t="shared" si="19"/>
        <v>14792.957602799999</v>
      </c>
      <c r="O50" s="480">
        <f t="shared" si="21"/>
        <v>507891.54436279996</v>
      </c>
      <c r="P50" s="479">
        <f t="shared" si="20"/>
        <v>4014.6419999999885</v>
      </c>
      <c r="Q50" s="479">
        <f t="shared" si="22"/>
        <v>29155.052362799997</v>
      </c>
    </row>
    <row r="51" spans="1:17" s="26" customFormat="1">
      <c r="A51" s="28">
        <v>41</v>
      </c>
      <c r="B51" s="26" t="s">
        <v>1553</v>
      </c>
      <c r="C51" s="491" t="s">
        <v>737</v>
      </c>
      <c r="D51" s="488">
        <v>41774.29</v>
      </c>
      <c r="F51" s="327">
        <v>10997.130000000006</v>
      </c>
      <c r="G51" s="312">
        <f t="shared" si="23"/>
        <v>0.03</v>
      </c>
      <c r="H51" s="479">
        <f t="shared" si="25"/>
        <v>329.91390000000018</v>
      </c>
      <c r="I51" s="479">
        <f t="shared" si="16"/>
        <v>42104.2039</v>
      </c>
      <c r="J51" s="312">
        <f t="shared" si="24"/>
        <v>0.03</v>
      </c>
      <c r="K51" s="479">
        <f t="shared" si="17"/>
        <v>1263.126117</v>
      </c>
      <c r="L51" s="479">
        <f t="shared" si="18"/>
        <v>43367.330017</v>
      </c>
      <c r="M51" s="312">
        <v>0.03</v>
      </c>
      <c r="N51" s="480">
        <f t="shared" si="19"/>
        <v>1301.0199005100001</v>
      </c>
      <c r="O51" s="480">
        <f t="shared" si="21"/>
        <v>44668.349917510001</v>
      </c>
      <c r="P51" s="479">
        <f t="shared" si="20"/>
        <v>329.91390000000018</v>
      </c>
      <c r="Q51" s="479">
        <f t="shared" si="22"/>
        <v>2564.1460175100001</v>
      </c>
    </row>
    <row r="52" spans="1:17" s="26" customFormat="1">
      <c r="A52" s="28">
        <v>42</v>
      </c>
      <c r="B52" s="26" t="str">
        <f>+B27</f>
        <v>Station &amp; Odorizer Station</v>
      </c>
      <c r="C52" s="491" t="s">
        <v>727</v>
      </c>
      <c r="D52" s="488">
        <v>239769.18</v>
      </c>
      <c r="F52" s="327">
        <v>54263.490000000071</v>
      </c>
      <c r="G52" s="312">
        <f t="shared" si="23"/>
        <v>0.03</v>
      </c>
      <c r="H52" s="479">
        <f t="shared" si="25"/>
        <v>1627.9047000000021</v>
      </c>
      <c r="I52" s="479">
        <f t="shared" si="16"/>
        <v>241397.08470000001</v>
      </c>
      <c r="J52" s="312">
        <f t="shared" si="24"/>
        <v>0.03</v>
      </c>
      <c r="K52" s="479">
        <f t="shared" si="17"/>
        <v>7241.9125409999997</v>
      </c>
      <c r="L52" s="479">
        <f t="shared" si="18"/>
        <v>248638.997241</v>
      </c>
      <c r="M52" s="312">
        <v>0.03</v>
      </c>
      <c r="N52" s="480">
        <f t="shared" si="19"/>
        <v>7459.1699172299996</v>
      </c>
      <c r="O52" s="480">
        <f t="shared" si="21"/>
        <v>256098.16715823</v>
      </c>
      <c r="P52" s="479">
        <f t="shared" si="20"/>
        <v>1627.9047000000021</v>
      </c>
      <c r="Q52" s="479">
        <f t="shared" si="22"/>
        <v>14701.082458229999</v>
      </c>
    </row>
    <row r="53" spans="1:17" s="26" customFormat="1">
      <c r="A53" s="28">
        <v>43</v>
      </c>
      <c r="B53" s="26" t="str">
        <f>+B28</f>
        <v>Maintenance of Measuring &amp; Regulating</v>
      </c>
      <c r="C53" s="491" t="s">
        <v>728</v>
      </c>
      <c r="D53" s="488">
        <v>9587.4500000000007</v>
      </c>
      <c r="F53" s="327">
        <v>1927.9899999999998</v>
      </c>
      <c r="G53" s="312">
        <f t="shared" si="23"/>
        <v>0.03</v>
      </c>
      <c r="H53" s="479">
        <f t="shared" si="25"/>
        <v>57.839699999999993</v>
      </c>
      <c r="I53" s="479">
        <f t="shared" si="16"/>
        <v>9645.2897000000012</v>
      </c>
      <c r="J53" s="312">
        <f t="shared" si="24"/>
        <v>0.03</v>
      </c>
      <c r="K53" s="479">
        <f t="shared" si="17"/>
        <v>289.35869100000002</v>
      </c>
      <c r="L53" s="479">
        <f t="shared" si="18"/>
        <v>9934.6483910000006</v>
      </c>
      <c r="M53" s="312">
        <v>0.03</v>
      </c>
      <c r="N53" s="480">
        <f t="shared" si="19"/>
        <v>298.03945173</v>
      </c>
      <c r="O53" s="480">
        <f t="shared" si="21"/>
        <v>10232.68784273</v>
      </c>
      <c r="P53" s="479">
        <f t="shared" si="20"/>
        <v>57.839699999999993</v>
      </c>
      <c r="Q53" s="479">
        <f t="shared" si="22"/>
        <v>587.39814273000002</v>
      </c>
    </row>
    <row r="54" spans="1:17" s="26" customFormat="1">
      <c r="A54" s="28">
        <v>44</v>
      </c>
      <c r="B54" s="26" t="str">
        <f>+B29</f>
        <v>Service</v>
      </c>
      <c r="C54" s="491" t="s">
        <v>729</v>
      </c>
      <c r="D54" s="488">
        <v>792839.82</v>
      </c>
      <c r="F54" s="327">
        <v>234759.70999999953</v>
      </c>
      <c r="G54" s="312">
        <f t="shared" si="23"/>
        <v>0.03</v>
      </c>
      <c r="H54" s="479">
        <f t="shared" si="25"/>
        <v>7042.7912999999853</v>
      </c>
      <c r="I54" s="479">
        <f t="shared" si="16"/>
        <v>799882.61129999999</v>
      </c>
      <c r="J54" s="312">
        <f t="shared" si="24"/>
        <v>0.03</v>
      </c>
      <c r="K54" s="479">
        <f t="shared" si="17"/>
        <v>23996.478338999998</v>
      </c>
      <c r="L54" s="479">
        <f t="shared" si="18"/>
        <v>823879.08963900001</v>
      </c>
      <c r="M54" s="312">
        <v>0.03</v>
      </c>
      <c r="N54" s="480">
        <f t="shared" si="19"/>
        <v>24716.372689169999</v>
      </c>
      <c r="O54" s="480">
        <f t="shared" si="21"/>
        <v>848595.46232816996</v>
      </c>
      <c r="P54" s="479">
        <f t="shared" si="20"/>
        <v>7042.7912999999853</v>
      </c>
      <c r="Q54" s="479">
        <f t="shared" si="22"/>
        <v>48712.85102817</v>
      </c>
    </row>
    <row r="55" spans="1:17" s="26" customFormat="1">
      <c r="A55" s="28">
        <v>45</v>
      </c>
      <c r="B55" s="26" t="str">
        <f>+B30</f>
        <v>Meter/Regulator Maintenance</v>
      </c>
      <c r="C55" s="491" t="s">
        <v>730</v>
      </c>
      <c r="D55" s="488">
        <v>780305.16</v>
      </c>
      <c r="F55" s="327">
        <v>227309.37999999887</v>
      </c>
      <c r="G55" s="312">
        <f t="shared" si="23"/>
        <v>0.03</v>
      </c>
      <c r="H55" s="479">
        <f t="shared" si="25"/>
        <v>6819.2813999999662</v>
      </c>
      <c r="I55" s="479">
        <f t="shared" si="16"/>
        <v>787124.44140000001</v>
      </c>
      <c r="J55" s="312">
        <f t="shared" si="24"/>
        <v>0.03</v>
      </c>
      <c r="K55" s="479">
        <f t="shared" si="17"/>
        <v>23613.733241999998</v>
      </c>
      <c r="L55" s="479">
        <f t="shared" si="18"/>
        <v>810738.174642</v>
      </c>
      <c r="M55" s="312">
        <v>0.03</v>
      </c>
      <c r="N55" s="480">
        <f t="shared" si="19"/>
        <v>24322.14523926</v>
      </c>
      <c r="O55" s="480">
        <f t="shared" si="21"/>
        <v>835060.31988126005</v>
      </c>
      <c r="P55" s="479">
        <f t="shared" si="20"/>
        <v>6819.2813999999662</v>
      </c>
      <c r="Q55" s="479">
        <f t="shared" si="22"/>
        <v>47935.878481259999</v>
      </c>
    </row>
    <row r="56" spans="1:17" s="26" customFormat="1">
      <c r="A56" s="28">
        <v>46</v>
      </c>
      <c r="B56" s="26" t="str">
        <f>+B31</f>
        <v>Maintenance of Other</v>
      </c>
      <c r="C56" s="491" t="s">
        <v>738</v>
      </c>
      <c r="D56" s="488">
        <v>654083.17000000004</v>
      </c>
      <c r="F56" s="327">
        <v>187051.90000000049</v>
      </c>
      <c r="G56" s="312">
        <f t="shared" si="23"/>
        <v>0.03</v>
      </c>
      <c r="H56" s="479">
        <f t="shared" si="25"/>
        <v>5611.5570000000143</v>
      </c>
      <c r="I56" s="479">
        <f t="shared" si="16"/>
        <v>659694.72700000007</v>
      </c>
      <c r="J56" s="312">
        <f t="shared" si="24"/>
        <v>0.03</v>
      </c>
      <c r="K56" s="479">
        <f t="shared" si="17"/>
        <v>19790.841810000002</v>
      </c>
      <c r="L56" s="479">
        <f t="shared" si="18"/>
        <v>679485.56881000008</v>
      </c>
      <c r="M56" s="312">
        <v>0.03</v>
      </c>
      <c r="N56" s="480">
        <f t="shared" si="19"/>
        <v>20384.567064300001</v>
      </c>
      <c r="O56" s="480">
        <f t="shared" si="21"/>
        <v>699870.13587430003</v>
      </c>
      <c r="P56" s="479">
        <f t="shared" si="20"/>
        <v>5611.5570000000143</v>
      </c>
      <c r="Q56" s="479">
        <f t="shared" si="22"/>
        <v>40175.408874300003</v>
      </c>
    </row>
    <row r="57" spans="1:17" s="26" customFormat="1">
      <c r="A57" s="28">
        <v>47</v>
      </c>
      <c r="B57" s="26" t="str">
        <f>+B33</f>
        <v>Routine Meter Reading</v>
      </c>
      <c r="C57" s="491" t="s">
        <v>731</v>
      </c>
      <c r="D57" s="488">
        <v>350836.51</v>
      </c>
      <c r="F57" s="327">
        <v>98168.039999999819</v>
      </c>
      <c r="G57" s="312">
        <f t="shared" si="23"/>
        <v>0.03</v>
      </c>
      <c r="H57" s="479">
        <f t="shared" si="25"/>
        <v>2945.0411999999947</v>
      </c>
      <c r="I57" s="479">
        <f t="shared" si="16"/>
        <v>353781.55119999999</v>
      </c>
      <c r="J57" s="312">
        <f t="shared" si="24"/>
        <v>0.03</v>
      </c>
      <c r="K57" s="479">
        <f t="shared" si="17"/>
        <v>10613.446535999999</v>
      </c>
      <c r="L57" s="479">
        <f t="shared" si="18"/>
        <v>364394.99773599999</v>
      </c>
      <c r="M57" s="312">
        <v>0.03</v>
      </c>
      <c r="N57" s="480">
        <f t="shared" si="19"/>
        <v>10931.84993208</v>
      </c>
      <c r="O57" s="480">
        <f t="shared" si="21"/>
        <v>375326.84766808001</v>
      </c>
      <c r="P57" s="479">
        <f t="shared" si="20"/>
        <v>2945.0411999999947</v>
      </c>
      <c r="Q57" s="479">
        <f t="shared" si="22"/>
        <v>21545.29646808</v>
      </c>
    </row>
    <row r="58" spans="1:17" s="26" customFormat="1">
      <c r="A58" s="28">
        <v>48</v>
      </c>
      <c r="B58" s="26" t="str">
        <f>+B34</f>
        <v>Customer Collection</v>
      </c>
      <c r="C58" s="491" t="s">
        <v>732</v>
      </c>
      <c r="D58" s="488">
        <v>85919.23</v>
      </c>
      <c r="F58" s="327">
        <v>23500.869999999992</v>
      </c>
      <c r="G58" s="312">
        <f t="shared" si="23"/>
        <v>0.03</v>
      </c>
      <c r="H58" s="479">
        <f t="shared" si="25"/>
        <v>705.0260999999997</v>
      </c>
      <c r="I58" s="479">
        <f t="shared" si="16"/>
        <v>86624.256099999999</v>
      </c>
      <c r="J58" s="312">
        <f t="shared" si="24"/>
        <v>0.03</v>
      </c>
      <c r="K58" s="479">
        <f t="shared" si="17"/>
        <v>2598.7276830000001</v>
      </c>
      <c r="L58" s="479">
        <f t="shared" si="18"/>
        <v>89222.983783000003</v>
      </c>
      <c r="M58" s="312">
        <v>0.03</v>
      </c>
      <c r="N58" s="480">
        <f t="shared" si="19"/>
        <v>2676.6895134900001</v>
      </c>
      <c r="O58" s="480">
        <f t="shared" si="21"/>
        <v>91899.67329649</v>
      </c>
      <c r="P58" s="479">
        <f t="shared" si="20"/>
        <v>705.0260999999997</v>
      </c>
      <c r="Q58" s="479">
        <f t="shared" si="22"/>
        <v>5275.4171964899997</v>
      </c>
    </row>
    <row r="59" spans="1:17" s="26" customFormat="1">
      <c r="A59" s="28">
        <v>49</v>
      </c>
      <c r="B59" s="26" t="str">
        <f>+B37</f>
        <v>Administration &amp; General</v>
      </c>
      <c r="C59" s="491" t="s">
        <v>733</v>
      </c>
      <c r="D59" s="488">
        <v>6895.02</v>
      </c>
      <c r="F59" s="327">
        <v>2381.4299999999998</v>
      </c>
      <c r="G59" s="312">
        <f t="shared" si="23"/>
        <v>0.03</v>
      </c>
      <c r="H59" s="479">
        <f t="shared" si="25"/>
        <v>71.442899999999995</v>
      </c>
      <c r="I59" s="479">
        <f t="shared" si="16"/>
        <v>6966.4629000000004</v>
      </c>
      <c r="J59" s="312">
        <f t="shared" si="24"/>
        <v>0.03</v>
      </c>
      <c r="K59" s="479">
        <f t="shared" si="17"/>
        <v>208.993887</v>
      </c>
      <c r="L59" s="479">
        <f t="shared" si="18"/>
        <v>7175.4567870000001</v>
      </c>
      <c r="M59" s="312">
        <v>0.03</v>
      </c>
      <c r="N59" s="480">
        <f t="shared" si="19"/>
        <v>215.26370360999999</v>
      </c>
      <c r="O59" s="480">
        <f>+L59+N59</f>
        <v>7390.7204906099996</v>
      </c>
      <c r="P59" s="479">
        <f t="shared" si="20"/>
        <v>71.442899999999995</v>
      </c>
      <c r="Q59" s="479">
        <f t="shared" si="22"/>
        <v>424.25759060999997</v>
      </c>
    </row>
    <row r="60" spans="1:17">
      <c r="A60" s="6">
        <v>50</v>
      </c>
      <c r="B60" s="26" t="str">
        <f>+B38</f>
        <v>Employee Pensions and Benefits</v>
      </c>
      <c r="C60" s="491">
        <v>29260</v>
      </c>
      <c r="D60" s="488">
        <v>47674.84</v>
      </c>
      <c r="E60" s="26"/>
      <c r="F60" s="327">
        <v>0</v>
      </c>
      <c r="G60" s="312">
        <f t="shared" si="23"/>
        <v>0.03</v>
      </c>
      <c r="H60" s="479">
        <f t="shared" si="25"/>
        <v>0</v>
      </c>
      <c r="I60" s="479">
        <f t="shared" si="16"/>
        <v>47674.84</v>
      </c>
      <c r="J60" s="312">
        <f t="shared" si="24"/>
        <v>0.03</v>
      </c>
      <c r="K60" s="479">
        <f t="shared" si="17"/>
        <v>1430.2451999999998</v>
      </c>
      <c r="L60" s="479">
        <f t="shared" si="18"/>
        <v>49105.085199999994</v>
      </c>
      <c r="M60" s="312">
        <v>0.03</v>
      </c>
      <c r="N60" s="480">
        <f t="shared" si="19"/>
        <v>1473.1525559999998</v>
      </c>
      <c r="O60" s="480">
        <f>+L60+N60</f>
        <v>50578.237755999995</v>
      </c>
      <c r="P60" s="479">
        <f t="shared" si="20"/>
        <v>0</v>
      </c>
      <c r="Q60" s="479">
        <f t="shared" si="22"/>
        <v>2903.3977559999994</v>
      </c>
    </row>
    <row r="61" spans="1:17">
      <c r="A61" s="6">
        <v>51</v>
      </c>
      <c r="B61" s="4" t="s">
        <v>283</v>
      </c>
      <c r="C61" s="491" t="s">
        <v>739</v>
      </c>
      <c r="D61" s="531">
        <v>1660.82</v>
      </c>
      <c r="E61" s="321"/>
      <c r="F61" s="492">
        <v>696.55</v>
      </c>
      <c r="G61" s="312">
        <f t="shared" si="23"/>
        <v>0.03</v>
      </c>
      <c r="H61" s="493">
        <f t="shared" si="25"/>
        <v>20.8965</v>
      </c>
      <c r="I61" s="493">
        <f t="shared" si="16"/>
        <v>1681.7165</v>
      </c>
      <c r="J61" s="312">
        <f t="shared" si="24"/>
        <v>0.03</v>
      </c>
      <c r="K61" s="493">
        <f t="shared" si="17"/>
        <v>50.451495000000001</v>
      </c>
      <c r="L61" s="493">
        <f>+I61+K61</f>
        <v>1732.167995</v>
      </c>
      <c r="M61" s="312">
        <v>0.03</v>
      </c>
      <c r="N61" s="494">
        <f>+L61*M61</f>
        <v>51.965039849999997</v>
      </c>
      <c r="O61" s="494">
        <f>+L61+N61</f>
        <v>1784.1330348500001</v>
      </c>
      <c r="P61" s="493">
        <f t="shared" si="20"/>
        <v>20.8965</v>
      </c>
      <c r="Q61" s="493">
        <f t="shared" si="22"/>
        <v>102.41653485000001</v>
      </c>
    </row>
    <row r="62" spans="1:17">
      <c r="A62" s="6">
        <v>52</v>
      </c>
      <c r="C62" s="26"/>
      <c r="D62" s="490">
        <f>SUM(D41:D61)</f>
        <v>9739827.5299999993</v>
      </c>
      <c r="E62" s="26"/>
      <c r="F62" s="490">
        <f>SUM(F41:F61)</f>
        <v>2609759.88</v>
      </c>
      <c r="G62" s="26"/>
      <c r="H62" s="490">
        <f>SUM(H41:H61)</f>
        <v>78292.796399999977</v>
      </c>
      <c r="I62" s="490">
        <f>SUM(I41:I61)</f>
        <v>9818120.3263999987</v>
      </c>
      <c r="J62" s="26"/>
      <c r="K62" s="490">
        <f>SUM(K41:K61)</f>
        <v>294543.60979199997</v>
      </c>
      <c r="L62" s="490">
        <f>SUM(L41:L61)</f>
        <v>10112663.936191998</v>
      </c>
      <c r="M62" s="26"/>
      <c r="N62" s="490">
        <f>SUM(N41:N61)</f>
        <v>303379.91808575997</v>
      </c>
      <c r="O62" s="490">
        <f>SUM(O41:O61)</f>
        <v>10416043.854277762</v>
      </c>
      <c r="P62" s="490">
        <f>SUM(P41:P61)</f>
        <v>78292.796399999977</v>
      </c>
      <c r="Q62" s="490">
        <f>SUM(Q41:Q61)</f>
        <v>597923.52787776</v>
      </c>
    </row>
    <row r="63" spans="1:17">
      <c r="C63" s="26"/>
      <c r="D63" s="26"/>
      <c r="E63" s="26"/>
      <c r="F63" s="26"/>
      <c r="G63" s="26"/>
      <c r="H63" s="26"/>
      <c r="I63" s="26"/>
      <c r="J63" s="26"/>
      <c r="K63" s="26"/>
      <c r="L63" s="26"/>
      <c r="M63" s="26"/>
      <c r="N63" s="26"/>
      <c r="O63" s="26"/>
      <c r="P63" s="26"/>
      <c r="Q63" s="26"/>
    </row>
    <row r="65" spans="1:17" ht="16.5" thickBot="1"/>
    <row r="66" spans="1:17">
      <c r="B66" s="935" t="s">
        <v>1598</v>
      </c>
      <c r="C66" s="936"/>
      <c r="D66" s="936"/>
      <c r="E66" s="937"/>
    </row>
    <row r="67" spans="1:17">
      <c r="B67" s="938"/>
      <c r="C67" s="939"/>
      <c r="D67" s="939"/>
      <c r="E67" s="940"/>
    </row>
    <row r="68" spans="1:17">
      <c r="B68" s="938"/>
      <c r="C68" s="939"/>
      <c r="D68" s="939"/>
      <c r="E68" s="940"/>
    </row>
    <row r="69" spans="1:17" ht="16.5" thickBot="1">
      <c r="B69" s="941"/>
      <c r="C69" s="942"/>
      <c r="D69" s="942"/>
      <c r="E69" s="943"/>
    </row>
    <row r="70" spans="1:17">
      <c r="A70" s="12" t="s">
        <v>683</v>
      </c>
    </row>
    <row r="71" spans="1:17">
      <c r="A71" s="6">
        <v>53</v>
      </c>
      <c r="B71" s="527" t="s">
        <v>777</v>
      </c>
      <c r="F71" s="528">
        <v>1678743.8</v>
      </c>
      <c r="J71" s="312">
        <v>0.04</v>
      </c>
      <c r="K71" s="495">
        <f>+F71*J71</f>
        <v>67149.752000000008</v>
      </c>
      <c r="L71" s="495">
        <f>+F71+K71</f>
        <v>1745893.5520000001</v>
      </c>
      <c r="M71" s="312">
        <v>0.04</v>
      </c>
      <c r="N71" s="528">
        <f>+L71*M71</f>
        <v>69835.742080000011</v>
      </c>
      <c r="O71" s="495">
        <f>+L71+N71</f>
        <v>1815729.2940800001</v>
      </c>
      <c r="P71" s="208">
        <f t="shared" ref="P71:P94" si="26">+H71</f>
        <v>0</v>
      </c>
      <c r="Q71" s="208">
        <f t="shared" ref="Q71:Q94" si="27">+N71+K71</f>
        <v>136985.49408000003</v>
      </c>
    </row>
    <row r="72" spans="1:17">
      <c r="A72" s="6">
        <v>54</v>
      </c>
      <c r="B72" s="527" t="s">
        <v>1586</v>
      </c>
      <c r="F72" s="528">
        <v>62580.29</v>
      </c>
      <c r="J72" s="312">
        <f>+J71</f>
        <v>0.04</v>
      </c>
      <c r="K72" s="495">
        <f>+F72*J72</f>
        <v>2503.2116000000001</v>
      </c>
      <c r="L72" s="495">
        <f t="shared" ref="L72:L94" si="28">+F72+K72</f>
        <v>65083.501600000003</v>
      </c>
      <c r="M72" s="312">
        <f>+M71</f>
        <v>0.04</v>
      </c>
      <c r="N72" s="528">
        <f t="shared" ref="N72:N94" si="29">+L72*M72</f>
        <v>2603.340064</v>
      </c>
      <c r="O72" s="495">
        <f t="shared" ref="O72:O94" si="30">+L72+N72</f>
        <v>67686.841664000007</v>
      </c>
      <c r="P72" s="208">
        <f t="shared" si="26"/>
        <v>0</v>
      </c>
      <c r="Q72" s="208">
        <f t="shared" si="27"/>
        <v>5106.5516640000005</v>
      </c>
    </row>
    <row r="73" spans="1:17">
      <c r="A73" s="6">
        <v>55</v>
      </c>
      <c r="B73" s="527" t="s">
        <v>1587</v>
      </c>
      <c r="F73" s="528">
        <v>60567.26</v>
      </c>
      <c r="J73" s="312">
        <f t="shared" ref="J73:J94" si="31">+J72</f>
        <v>0.04</v>
      </c>
      <c r="K73" s="495">
        <f t="shared" ref="K73:K94" si="32">+F73*J73</f>
        <v>2422.6904</v>
      </c>
      <c r="L73" s="495">
        <f t="shared" si="28"/>
        <v>62989.950400000002</v>
      </c>
      <c r="M73" s="312">
        <f t="shared" ref="M73:M94" si="33">+M72</f>
        <v>0.04</v>
      </c>
      <c r="N73" s="528">
        <f t="shared" si="29"/>
        <v>2519.5980159999999</v>
      </c>
      <c r="O73" s="495">
        <f t="shared" si="30"/>
        <v>65509.548416000005</v>
      </c>
      <c r="P73" s="208">
        <f t="shared" si="26"/>
        <v>0</v>
      </c>
      <c r="Q73" s="208">
        <f t="shared" si="27"/>
        <v>4942.2884159999994</v>
      </c>
    </row>
    <row r="74" spans="1:17">
      <c r="A74" s="6">
        <v>56</v>
      </c>
      <c r="B74" s="527" t="s">
        <v>1588</v>
      </c>
      <c r="F74" s="528">
        <v>97155.96</v>
      </c>
      <c r="J74" s="312">
        <f t="shared" si="31"/>
        <v>0.04</v>
      </c>
      <c r="K74" s="495">
        <f t="shared" si="32"/>
        <v>3886.2384000000002</v>
      </c>
      <c r="L74" s="495">
        <f t="shared" si="28"/>
        <v>101042.19840000001</v>
      </c>
      <c r="M74" s="312">
        <f t="shared" si="33"/>
        <v>0.04</v>
      </c>
      <c r="N74" s="528">
        <f t="shared" si="29"/>
        <v>4041.6879360000003</v>
      </c>
      <c r="O74" s="495">
        <f t="shared" si="30"/>
        <v>105083.88633600001</v>
      </c>
      <c r="P74" s="208">
        <f t="shared" si="26"/>
        <v>0</v>
      </c>
      <c r="Q74" s="208">
        <f t="shared" si="27"/>
        <v>7927.9263360000004</v>
      </c>
    </row>
    <row r="75" spans="1:17">
      <c r="A75" s="6">
        <v>57</v>
      </c>
      <c r="B75" s="527" t="s">
        <v>1589</v>
      </c>
      <c r="F75" s="528">
        <v>42027.35</v>
      </c>
      <c r="J75" s="312">
        <f t="shared" si="31"/>
        <v>0.04</v>
      </c>
      <c r="K75" s="495">
        <f t="shared" si="32"/>
        <v>1681.0940000000001</v>
      </c>
      <c r="L75" s="495">
        <f t="shared" si="28"/>
        <v>43708.443999999996</v>
      </c>
      <c r="M75" s="312">
        <f t="shared" si="33"/>
        <v>0.04</v>
      </c>
      <c r="N75" s="528">
        <f t="shared" si="29"/>
        <v>1748.3377599999999</v>
      </c>
      <c r="O75" s="495">
        <f t="shared" si="30"/>
        <v>45456.781759999998</v>
      </c>
      <c r="P75" s="208">
        <f t="shared" si="26"/>
        <v>0</v>
      </c>
      <c r="Q75" s="208">
        <f t="shared" si="27"/>
        <v>3429.4317599999999</v>
      </c>
    </row>
    <row r="76" spans="1:17">
      <c r="A76" s="6">
        <v>58</v>
      </c>
      <c r="B76" s="527" t="s">
        <v>778</v>
      </c>
      <c r="F76" s="528">
        <v>2987.79</v>
      </c>
      <c r="J76" s="312">
        <f t="shared" si="31"/>
        <v>0.04</v>
      </c>
      <c r="K76" s="495">
        <f t="shared" si="32"/>
        <v>119.5116</v>
      </c>
      <c r="L76" s="529">
        <f>+F76+K76</f>
        <v>3107.3015999999998</v>
      </c>
      <c r="M76" s="312">
        <f t="shared" si="33"/>
        <v>0.04</v>
      </c>
      <c r="N76" s="528">
        <f t="shared" si="29"/>
        <v>124.292064</v>
      </c>
      <c r="O76" s="495">
        <f t="shared" si="30"/>
        <v>3231.593664</v>
      </c>
      <c r="P76" s="208">
        <f t="shared" si="26"/>
        <v>0</v>
      </c>
      <c r="Q76" s="208">
        <f t="shared" si="27"/>
        <v>243.803664</v>
      </c>
    </row>
    <row r="77" spans="1:17">
      <c r="A77" s="6">
        <v>59</v>
      </c>
      <c r="B77" s="527" t="s">
        <v>1590</v>
      </c>
      <c r="F77" s="528">
        <v>5699.68</v>
      </c>
      <c r="J77" s="312">
        <f t="shared" si="31"/>
        <v>0.04</v>
      </c>
      <c r="K77" s="495">
        <f t="shared" si="32"/>
        <v>227.98720000000003</v>
      </c>
      <c r="L77" s="495">
        <f t="shared" si="28"/>
        <v>5927.6671999999999</v>
      </c>
      <c r="M77" s="312">
        <f t="shared" si="33"/>
        <v>0.04</v>
      </c>
      <c r="N77" s="528">
        <f t="shared" si="29"/>
        <v>237.10668799999999</v>
      </c>
      <c r="O77" s="495">
        <f t="shared" si="30"/>
        <v>6164.7738879999997</v>
      </c>
      <c r="P77" s="208">
        <f t="shared" si="26"/>
        <v>0</v>
      </c>
      <c r="Q77" s="208">
        <f t="shared" si="27"/>
        <v>465.09388799999999</v>
      </c>
    </row>
    <row r="78" spans="1:17">
      <c r="A78" s="6">
        <v>60</v>
      </c>
      <c r="B78" s="527" t="s">
        <v>779</v>
      </c>
      <c r="F78" s="528">
        <v>183958.9</v>
      </c>
      <c r="J78" s="312">
        <f t="shared" si="31"/>
        <v>0.04</v>
      </c>
      <c r="K78" s="495">
        <f t="shared" si="32"/>
        <v>7358.3559999999998</v>
      </c>
      <c r="L78" s="495">
        <f t="shared" si="28"/>
        <v>191317.25599999999</v>
      </c>
      <c r="M78" s="312">
        <f t="shared" si="33"/>
        <v>0.04</v>
      </c>
      <c r="N78" s="528">
        <f t="shared" si="29"/>
        <v>7652.6902399999999</v>
      </c>
      <c r="O78" s="495">
        <f t="shared" si="30"/>
        <v>198969.94623999999</v>
      </c>
      <c r="P78" s="208">
        <f t="shared" si="26"/>
        <v>0</v>
      </c>
      <c r="Q78" s="208">
        <f t="shared" si="27"/>
        <v>15011.04624</v>
      </c>
    </row>
    <row r="79" spans="1:17">
      <c r="A79" s="6">
        <v>61</v>
      </c>
      <c r="B79" s="527" t="s">
        <v>780</v>
      </c>
      <c r="F79" s="528">
        <v>80686.070000000007</v>
      </c>
      <c r="J79" s="312">
        <f t="shared" si="31"/>
        <v>0.04</v>
      </c>
      <c r="K79" s="495">
        <f t="shared" si="32"/>
        <v>3227.4428000000003</v>
      </c>
      <c r="L79" s="495">
        <f t="shared" si="28"/>
        <v>83913.512800000011</v>
      </c>
      <c r="M79" s="312">
        <f t="shared" si="33"/>
        <v>0.04</v>
      </c>
      <c r="N79" s="528">
        <f t="shared" si="29"/>
        <v>3356.5405120000005</v>
      </c>
      <c r="O79" s="495">
        <f t="shared" si="30"/>
        <v>87270.053312000018</v>
      </c>
      <c r="P79" s="208">
        <f t="shared" si="26"/>
        <v>0</v>
      </c>
      <c r="Q79" s="208">
        <f t="shared" si="27"/>
        <v>6583.9833120000003</v>
      </c>
    </row>
    <row r="80" spans="1:17">
      <c r="A80" s="6">
        <v>62</v>
      </c>
      <c r="B80" s="527" t="s">
        <v>781</v>
      </c>
      <c r="F80" s="528">
        <v>839662</v>
      </c>
      <c r="J80" s="312">
        <f t="shared" si="31"/>
        <v>0.04</v>
      </c>
      <c r="K80" s="495">
        <f t="shared" si="32"/>
        <v>33586.480000000003</v>
      </c>
      <c r="L80" s="495">
        <f t="shared" si="28"/>
        <v>873248.48</v>
      </c>
      <c r="M80" s="312">
        <f t="shared" si="33"/>
        <v>0.04</v>
      </c>
      <c r="N80" s="528">
        <f t="shared" si="29"/>
        <v>34929.939200000001</v>
      </c>
      <c r="O80" s="495">
        <f t="shared" si="30"/>
        <v>908178.4192</v>
      </c>
      <c r="P80" s="208">
        <f t="shared" si="26"/>
        <v>0</v>
      </c>
      <c r="Q80" s="208">
        <f t="shared" si="27"/>
        <v>68516.419200000004</v>
      </c>
    </row>
    <row r="81" spans="1:17">
      <c r="A81" s="6">
        <v>63</v>
      </c>
      <c r="B81" s="527" t="s">
        <v>782</v>
      </c>
      <c r="F81" s="528">
        <v>262601.15000000002</v>
      </c>
      <c r="J81" s="312">
        <f t="shared" si="31"/>
        <v>0.04</v>
      </c>
      <c r="K81" s="495">
        <f t="shared" si="32"/>
        <v>10504.046</v>
      </c>
      <c r="L81" s="495">
        <f t="shared" si="28"/>
        <v>273105.196</v>
      </c>
      <c r="M81" s="312">
        <f t="shared" si="33"/>
        <v>0.04</v>
      </c>
      <c r="N81" s="528">
        <f t="shared" si="29"/>
        <v>10924.207840000001</v>
      </c>
      <c r="O81" s="495">
        <f t="shared" si="30"/>
        <v>284029.40383999998</v>
      </c>
      <c r="P81" s="208">
        <f t="shared" si="26"/>
        <v>0</v>
      </c>
      <c r="Q81" s="208">
        <f t="shared" si="27"/>
        <v>21428.253840000001</v>
      </c>
    </row>
    <row r="82" spans="1:17">
      <c r="A82" s="6">
        <v>64</v>
      </c>
      <c r="B82" s="527" t="s">
        <v>783</v>
      </c>
      <c r="F82" s="528">
        <v>180742.96</v>
      </c>
      <c r="J82" s="312">
        <f t="shared" si="31"/>
        <v>0.04</v>
      </c>
      <c r="K82" s="495">
        <f t="shared" si="32"/>
        <v>7229.7183999999997</v>
      </c>
      <c r="L82" s="495">
        <f t="shared" si="28"/>
        <v>187972.6784</v>
      </c>
      <c r="M82" s="312">
        <f t="shared" si="33"/>
        <v>0.04</v>
      </c>
      <c r="N82" s="528">
        <f t="shared" si="29"/>
        <v>7518.9071360000007</v>
      </c>
      <c r="O82" s="495">
        <f t="shared" si="30"/>
        <v>195491.585536</v>
      </c>
      <c r="P82" s="208">
        <f t="shared" si="26"/>
        <v>0</v>
      </c>
      <c r="Q82" s="208">
        <f t="shared" si="27"/>
        <v>14748.625536</v>
      </c>
    </row>
    <row r="83" spans="1:17">
      <c r="A83" s="6">
        <v>65</v>
      </c>
      <c r="B83" s="527" t="s">
        <v>1591</v>
      </c>
      <c r="F83" s="528">
        <v>11649.62</v>
      </c>
      <c r="J83" s="312">
        <f t="shared" si="31"/>
        <v>0.04</v>
      </c>
      <c r="K83" s="495">
        <f t="shared" si="32"/>
        <v>465.98480000000006</v>
      </c>
      <c r="L83" s="495">
        <f t="shared" si="28"/>
        <v>12115.604800000001</v>
      </c>
      <c r="M83" s="312">
        <f t="shared" si="33"/>
        <v>0.04</v>
      </c>
      <c r="N83" s="528">
        <f t="shared" si="29"/>
        <v>484.62419200000005</v>
      </c>
      <c r="O83" s="495">
        <f t="shared" si="30"/>
        <v>12600.228992</v>
      </c>
      <c r="P83" s="208">
        <f t="shared" si="26"/>
        <v>0</v>
      </c>
      <c r="Q83" s="208">
        <f t="shared" si="27"/>
        <v>950.60899200000017</v>
      </c>
    </row>
    <row r="84" spans="1:17">
      <c r="A84" s="6">
        <v>66</v>
      </c>
      <c r="B84" s="527" t="s">
        <v>784</v>
      </c>
      <c r="F84" s="528">
        <v>35447.660000000003</v>
      </c>
      <c r="J84" s="312">
        <f t="shared" si="31"/>
        <v>0.04</v>
      </c>
      <c r="K84" s="495">
        <f t="shared" si="32"/>
        <v>1417.9064000000001</v>
      </c>
      <c r="L84" s="495">
        <f t="shared" si="28"/>
        <v>36865.566400000003</v>
      </c>
      <c r="M84" s="312">
        <f t="shared" si="33"/>
        <v>0.04</v>
      </c>
      <c r="N84" s="528">
        <f t="shared" si="29"/>
        <v>1474.6226560000002</v>
      </c>
      <c r="O84" s="495">
        <f t="shared" si="30"/>
        <v>38340.189056000003</v>
      </c>
      <c r="P84" s="208">
        <f t="shared" si="26"/>
        <v>0</v>
      </c>
      <c r="Q84" s="208">
        <f t="shared" si="27"/>
        <v>2892.5290560000003</v>
      </c>
    </row>
    <row r="85" spans="1:17">
      <c r="A85" s="6">
        <v>67</v>
      </c>
      <c r="B85" s="527" t="s">
        <v>785</v>
      </c>
      <c r="F85" s="528">
        <v>645.87</v>
      </c>
      <c r="J85" s="312">
        <f t="shared" si="31"/>
        <v>0.04</v>
      </c>
      <c r="K85" s="495">
        <f t="shared" si="32"/>
        <v>25.834800000000001</v>
      </c>
      <c r="L85" s="495">
        <f t="shared" si="28"/>
        <v>671.70479999999998</v>
      </c>
      <c r="M85" s="312">
        <f t="shared" si="33"/>
        <v>0.04</v>
      </c>
      <c r="N85" s="528">
        <f t="shared" si="29"/>
        <v>26.868192000000001</v>
      </c>
      <c r="O85" s="495">
        <f t="shared" si="30"/>
        <v>698.572992</v>
      </c>
      <c r="P85" s="208">
        <f t="shared" si="26"/>
        <v>0</v>
      </c>
      <c r="Q85" s="208">
        <f t="shared" si="27"/>
        <v>52.702992000000002</v>
      </c>
    </row>
    <row r="86" spans="1:17">
      <c r="A86" s="6">
        <v>68</v>
      </c>
      <c r="B86" s="527" t="s">
        <v>786</v>
      </c>
      <c r="F86" s="528">
        <v>113271.24</v>
      </c>
      <c r="J86" s="312">
        <f t="shared" si="31"/>
        <v>0.04</v>
      </c>
      <c r="K86" s="495">
        <f t="shared" si="32"/>
        <v>4530.8496000000005</v>
      </c>
      <c r="L86" s="495">
        <f t="shared" si="28"/>
        <v>117802.08960000001</v>
      </c>
      <c r="M86" s="312">
        <f t="shared" si="33"/>
        <v>0.04</v>
      </c>
      <c r="N86" s="528">
        <f t="shared" si="29"/>
        <v>4712.083584</v>
      </c>
      <c r="O86" s="495">
        <f t="shared" si="30"/>
        <v>122514.17318400001</v>
      </c>
      <c r="P86" s="208">
        <f t="shared" si="26"/>
        <v>0</v>
      </c>
      <c r="Q86" s="208">
        <f t="shared" si="27"/>
        <v>9242.9331840000013</v>
      </c>
    </row>
    <row r="87" spans="1:17">
      <c r="A87" s="6">
        <v>69</v>
      </c>
      <c r="B87" s="527" t="s">
        <v>787</v>
      </c>
      <c r="F87" s="528">
        <v>68454.820000000007</v>
      </c>
      <c r="J87" s="312">
        <f t="shared" si="31"/>
        <v>0.04</v>
      </c>
      <c r="K87" s="495">
        <f t="shared" si="32"/>
        <v>2738.1928000000003</v>
      </c>
      <c r="L87" s="495">
        <f t="shared" si="28"/>
        <v>71193.012800000011</v>
      </c>
      <c r="M87" s="312">
        <f t="shared" si="33"/>
        <v>0.04</v>
      </c>
      <c r="N87" s="528">
        <f t="shared" si="29"/>
        <v>2847.7205120000003</v>
      </c>
      <c r="O87" s="495">
        <f t="shared" si="30"/>
        <v>74040.733312000011</v>
      </c>
      <c r="P87" s="208">
        <f t="shared" si="26"/>
        <v>0</v>
      </c>
      <c r="Q87" s="208">
        <f t="shared" si="27"/>
        <v>5585.9133120000006</v>
      </c>
    </row>
    <row r="88" spans="1:17">
      <c r="A88" s="6">
        <v>70</v>
      </c>
      <c r="B88" s="527" t="s">
        <v>788</v>
      </c>
      <c r="F88" s="528">
        <v>-188.71</v>
      </c>
      <c r="J88" s="312">
        <f t="shared" si="31"/>
        <v>0.04</v>
      </c>
      <c r="K88" s="328">
        <f t="shared" si="32"/>
        <v>-7.5484000000000009</v>
      </c>
      <c r="L88" s="328">
        <f t="shared" si="28"/>
        <v>-196.25839999999999</v>
      </c>
      <c r="M88" s="312">
        <f t="shared" si="33"/>
        <v>0.04</v>
      </c>
      <c r="N88" s="528">
        <f t="shared" si="29"/>
        <v>-7.8503359999999995</v>
      </c>
      <c r="O88" s="328">
        <f t="shared" si="30"/>
        <v>-204.10873599999999</v>
      </c>
      <c r="P88" s="208">
        <f t="shared" si="26"/>
        <v>0</v>
      </c>
      <c r="Q88" s="530">
        <f t="shared" si="27"/>
        <v>-15.398736</v>
      </c>
    </row>
    <row r="89" spans="1:17">
      <c r="A89" s="6">
        <v>71</v>
      </c>
      <c r="B89" s="527" t="s">
        <v>1592</v>
      </c>
      <c r="F89" s="528">
        <v>64102.39</v>
      </c>
      <c r="J89" s="312">
        <f t="shared" si="31"/>
        <v>0.04</v>
      </c>
      <c r="K89" s="495">
        <f t="shared" si="32"/>
        <v>2564.0956000000001</v>
      </c>
      <c r="L89" s="495">
        <f t="shared" si="28"/>
        <v>66666.4856</v>
      </c>
      <c r="M89" s="312">
        <f t="shared" si="33"/>
        <v>0.04</v>
      </c>
      <c r="N89" s="528">
        <f t="shared" si="29"/>
        <v>2666.6594239999999</v>
      </c>
      <c r="O89" s="495">
        <f t="shared" si="30"/>
        <v>69333.145023999998</v>
      </c>
      <c r="P89" s="208">
        <f t="shared" si="26"/>
        <v>0</v>
      </c>
      <c r="Q89" s="208">
        <f t="shared" si="27"/>
        <v>5230.755024</v>
      </c>
    </row>
    <row r="90" spans="1:17">
      <c r="A90" s="6">
        <v>72</v>
      </c>
      <c r="B90" s="527" t="s">
        <v>1593</v>
      </c>
      <c r="F90" s="528">
        <v>34660.699999999997</v>
      </c>
      <c r="J90" s="312">
        <f t="shared" si="31"/>
        <v>0.04</v>
      </c>
      <c r="K90" s="495">
        <f t="shared" si="32"/>
        <v>1386.4279999999999</v>
      </c>
      <c r="L90" s="495">
        <f t="shared" si="28"/>
        <v>36047.127999999997</v>
      </c>
      <c r="M90" s="312">
        <f t="shared" si="33"/>
        <v>0.04</v>
      </c>
      <c r="N90" s="528">
        <f t="shared" si="29"/>
        <v>1441.8851199999999</v>
      </c>
      <c r="O90" s="495">
        <f t="shared" si="30"/>
        <v>37489.013119999996</v>
      </c>
      <c r="P90" s="208">
        <f t="shared" si="26"/>
        <v>0</v>
      </c>
      <c r="Q90" s="208">
        <f t="shared" si="27"/>
        <v>2828.3131199999998</v>
      </c>
    </row>
    <row r="91" spans="1:17">
      <c r="A91" s="6">
        <v>73</v>
      </c>
      <c r="B91" s="527" t="s">
        <v>1594</v>
      </c>
      <c r="F91" s="528">
        <v>58187.94</v>
      </c>
      <c r="J91" s="312">
        <f t="shared" si="31"/>
        <v>0.04</v>
      </c>
      <c r="K91" s="495">
        <f t="shared" si="32"/>
        <v>2327.5176000000001</v>
      </c>
      <c r="L91" s="495">
        <f t="shared" si="28"/>
        <v>60515.457600000002</v>
      </c>
      <c r="M91" s="312">
        <f t="shared" si="33"/>
        <v>0.04</v>
      </c>
      <c r="N91" s="528">
        <f t="shared" si="29"/>
        <v>2420.6183040000001</v>
      </c>
      <c r="O91" s="495">
        <f t="shared" si="30"/>
        <v>62936.075904000005</v>
      </c>
      <c r="P91" s="208">
        <f t="shared" si="26"/>
        <v>0</v>
      </c>
      <c r="Q91" s="208">
        <f t="shared" si="27"/>
        <v>4748.1359040000007</v>
      </c>
    </row>
    <row r="92" spans="1:17">
      <c r="A92" s="6">
        <v>74</v>
      </c>
      <c r="B92" s="527" t="s">
        <v>1595</v>
      </c>
      <c r="F92" s="528">
        <v>132843.07</v>
      </c>
      <c r="J92" s="312">
        <f t="shared" si="31"/>
        <v>0.04</v>
      </c>
      <c r="K92" s="495">
        <f t="shared" si="32"/>
        <v>5313.7228000000005</v>
      </c>
      <c r="L92" s="495">
        <f t="shared" si="28"/>
        <v>138156.7928</v>
      </c>
      <c r="M92" s="312">
        <f t="shared" si="33"/>
        <v>0.04</v>
      </c>
      <c r="N92" s="528">
        <f t="shared" si="29"/>
        <v>5526.2717119999998</v>
      </c>
      <c r="O92" s="495">
        <f t="shared" si="30"/>
        <v>143683.06451199998</v>
      </c>
      <c r="P92" s="208">
        <f t="shared" si="26"/>
        <v>0</v>
      </c>
      <c r="Q92" s="208">
        <f t="shared" si="27"/>
        <v>10839.994512000001</v>
      </c>
    </row>
    <row r="93" spans="1:17">
      <c r="A93" s="6">
        <v>75</v>
      </c>
      <c r="B93" s="527" t="s">
        <v>1596</v>
      </c>
      <c r="F93" s="528">
        <v>215418.86</v>
      </c>
      <c r="J93" s="312">
        <f t="shared" si="31"/>
        <v>0.04</v>
      </c>
      <c r="K93" s="495">
        <f t="shared" si="32"/>
        <v>8616.7543999999998</v>
      </c>
      <c r="L93" s="495">
        <f t="shared" si="28"/>
        <v>224035.61439999999</v>
      </c>
      <c r="M93" s="312">
        <f t="shared" si="33"/>
        <v>0.04</v>
      </c>
      <c r="N93" s="528">
        <f t="shared" si="29"/>
        <v>8961.4245759999994</v>
      </c>
      <c r="O93" s="495">
        <f t="shared" si="30"/>
        <v>232997.03897599998</v>
      </c>
      <c r="P93" s="208">
        <f t="shared" si="26"/>
        <v>0</v>
      </c>
      <c r="Q93" s="208">
        <f t="shared" si="27"/>
        <v>17578.178975999999</v>
      </c>
    </row>
    <row r="94" spans="1:17">
      <c r="A94" s="6">
        <v>76</v>
      </c>
      <c r="B94" s="527" t="s">
        <v>1597</v>
      </c>
      <c r="F94" s="323">
        <v>91989.87</v>
      </c>
      <c r="J94" s="312">
        <f t="shared" si="31"/>
        <v>0.04</v>
      </c>
      <c r="K94" s="495">
        <f t="shared" si="32"/>
        <v>3679.5947999999999</v>
      </c>
      <c r="L94" s="495">
        <f t="shared" si="28"/>
        <v>95669.464800000002</v>
      </c>
      <c r="M94" s="312">
        <f t="shared" si="33"/>
        <v>0.04</v>
      </c>
      <c r="N94" s="528">
        <f t="shared" si="29"/>
        <v>3826.7785920000001</v>
      </c>
      <c r="O94" s="495">
        <f t="shared" si="30"/>
        <v>99496.243392000004</v>
      </c>
      <c r="P94" s="208">
        <f t="shared" si="26"/>
        <v>0</v>
      </c>
      <c r="Q94" s="208">
        <f t="shared" si="27"/>
        <v>7506.3733919999995</v>
      </c>
    </row>
    <row r="95" spans="1:17">
      <c r="A95" s="6">
        <v>77</v>
      </c>
      <c r="F95" s="496">
        <f>SUM(F71:F94)</f>
        <v>4323896.540000001</v>
      </c>
      <c r="J95" s="26"/>
      <c r="K95" s="496">
        <f>SUM(K71:K94)</f>
        <v>172955.86160000003</v>
      </c>
      <c r="L95" s="496">
        <f>SUM(L71:L94)</f>
        <v>4496852.4015999995</v>
      </c>
      <c r="M95" s="26"/>
      <c r="N95" s="496">
        <f>SUM(N71:N94)</f>
        <v>179874.09606399995</v>
      </c>
      <c r="O95" s="496">
        <f>SUM(O71:O94)</f>
        <v>4676726.497663999</v>
      </c>
      <c r="P95" s="313">
        <f>SUM(P71:P94)</f>
        <v>0</v>
      </c>
      <c r="Q95" s="313">
        <f>SUM(Q71:Q94)</f>
        <v>352829.95766400005</v>
      </c>
    </row>
    <row r="96" spans="1:17">
      <c r="J96" s="26"/>
      <c r="K96" s="495"/>
      <c r="L96" s="26"/>
      <c r="M96" s="26"/>
      <c r="N96" s="26"/>
      <c r="O96" s="26"/>
    </row>
    <row r="97" spans="1:15">
      <c r="A97" s="371" t="s">
        <v>853</v>
      </c>
      <c r="J97" s="26"/>
      <c r="K97" s="26"/>
      <c r="L97" s="26"/>
      <c r="M97" s="26"/>
      <c r="N97" s="26"/>
      <c r="O97" s="26"/>
    </row>
    <row r="98" spans="1:15">
      <c r="A98" s="371" t="s">
        <v>1186</v>
      </c>
      <c r="J98" s="26"/>
      <c r="K98" s="26"/>
      <c r="L98" s="26"/>
      <c r="M98" s="26"/>
      <c r="N98" s="26"/>
      <c r="O98" s="26"/>
    </row>
    <row r="99" spans="1:15">
      <c r="A99" s="497" t="s">
        <v>1530</v>
      </c>
      <c r="B99" s="26"/>
      <c r="C99" s="26"/>
      <c r="D99" s="26"/>
      <c r="E99" s="26"/>
      <c r="F99" s="26"/>
      <c r="G99" s="26"/>
      <c r="H99" s="26"/>
      <c r="I99" s="26"/>
      <c r="J99" s="26"/>
      <c r="K99" s="26"/>
      <c r="L99" s="26"/>
      <c r="M99" s="26"/>
      <c r="N99" s="26"/>
      <c r="O99" s="26"/>
    </row>
    <row r="100" spans="1:15">
      <c r="A100" s="28"/>
      <c r="B100" s="26"/>
      <c r="C100" s="26"/>
      <c r="D100" s="26"/>
      <c r="E100" s="26"/>
      <c r="F100" s="26"/>
      <c r="G100" s="26"/>
      <c r="H100" s="26"/>
      <c r="I100" s="26"/>
    </row>
    <row r="101" spans="1:15">
      <c r="A101" s="28"/>
      <c r="B101" s="26"/>
      <c r="C101" s="26"/>
      <c r="D101" s="26"/>
      <c r="E101" s="26"/>
      <c r="F101" s="26"/>
      <c r="G101" s="26"/>
      <c r="H101" s="26"/>
      <c r="I101" s="26"/>
    </row>
  </sheetData>
  <mergeCells count="6">
    <mergeCell ref="B66:E69"/>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39" max="15" man="1"/>
    <brk id="64"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30" sqref="D30:D32"/>
    </sheetView>
  </sheetViews>
  <sheetFormatPr defaultRowHeight="15"/>
  <cols>
    <col min="1" max="1" width="36.85546875" bestFit="1" customWidth="1"/>
    <col min="2" max="3" width="14.28515625" bestFit="1" customWidth="1"/>
  </cols>
  <sheetData>
    <row r="1" spans="1:6" ht="15.75">
      <c r="A1" s="884" t="s">
        <v>60</v>
      </c>
      <c r="B1" s="884"/>
      <c r="C1" s="884"/>
      <c r="D1" s="3"/>
      <c r="E1" s="3"/>
      <c r="F1" s="3"/>
    </row>
    <row r="2" spans="1:6" ht="15.75">
      <c r="A2" s="884" t="s">
        <v>1390</v>
      </c>
      <c r="B2" s="884"/>
      <c r="C2" s="884"/>
      <c r="D2" s="3"/>
      <c r="E2" s="3"/>
      <c r="F2" s="3"/>
    </row>
    <row r="3" spans="1:6" ht="15.75">
      <c r="A3" s="884" t="s">
        <v>1519</v>
      </c>
      <c r="B3" s="884"/>
      <c r="C3" s="884"/>
      <c r="D3" s="3"/>
      <c r="E3" s="3"/>
      <c r="F3" s="3"/>
    </row>
    <row r="4" spans="1:6" ht="15.75">
      <c r="A4" s="884" t="s">
        <v>1639</v>
      </c>
      <c r="B4" s="884"/>
      <c r="C4" s="884"/>
      <c r="D4" s="3"/>
      <c r="E4" s="3"/>
      <c r="F4" s="3"/>
    </row>
    <row r="5" spans="1:6" ht="15.75">
      <c r="A5" s="884" t="s">
        <v>1376</v>
      </c>
      <c r="B5" s="884"/>
      <c r="C5" s="884"/>
      <c r="D5" s="3"/>
      <c r="E5" s="3"/>
      <c r="F5" s="3"/>
    </row>
    <row r="10" spans="1:6">
      <c r="B10" t="s">
        <v>1625</v>
      </c>
      <c r="C10" s="532">
        <v>240472.32000000001</v>
      </c>
    </row>
    <row r="11" spans="1:6">
      <c r="B11" t="s">
        <v>1626</v>
      </c>
      <c r="C11" s="532">
        <v>366156.16</v>
      </c>
    </row>
    <row r="12" spans="1:6">
      <c r="B12" t="s">
        <v>1627</v>
      </c>
      <c r="C12" s="532">
        <v>27102.46</v>
      </c>
    </row>
    <row r="13" spans="1:6">
      <c r="B13" t="s">
        <v>1628</v>
      </c>
      <c r="C13" s="532">
        <v>478845</v>
      </c>
    </row>
    <row r="14" spans="1:6">
      <c r="B14" t="s">
        <v>1629</v>
      </c>
      <c r="C14" s="532">
        <v>687029.05</v>
      </c>
    </row>
    <row r="15" spans="1:6" ht="15.75" thickBot="1">
      <c r="C15" s="533">
        <f>SUM(C10:C14)</f>
        <v>1799604.99</v>
      </c>
    </row>
    <row r="16" spans="1:6" ht="15.75" thickTop="1"/>
    <row r="18" spans="1:2">
      <c r="A18" t="s">
        <v>1630</v>
      </c>
      <c r="B18" s="532">
        <v>500170.15</v>
      </c>
    </row>
    <row r="19" spans="1:2">
      <c r="A19" t="s">
        <v>1631</v>
      </c>
      <c r="B19" s="532">
        <v>186858.9</v>
      </c>
    </row>
    <row r="20" spans="1:2">
      <c r="A20" t="s">
        <v>1632</v>
      </c>
      <c r="B20" s="532">
        <v>322811.89</v>
      </c>
    </row>
    <row r="21" spans="1:2">
      <c r="A21" t="s">
        <v>1633</v>
      </c>
      <c r="B21" s="532">
        <v>156033.10999999999</v>
      </c>
    </row>
    <row r="22" spans="1:2">
      <c r="A22" t="s">
        <v>1634</v>
      </c>
      <c r="B22" s="532">
        <v>27102.46</v>
      </c>
    </row>
    <row r="23" spans="1:2">
      <c r="A23" t="s">
        <v>1635</v>
      </c>
      <c r="B23" s="532">
        <v>44305.82</v>
      </c>
    </row>
    <row r="24" spans="1:2">
      <c r="A24" t="s">
        <v>1636</v>
      </c>
      <c r="B24" s="532">
        <v>240472.32000000001</v>
      </c>
    </row>
    <row r="25" spans="1:2">
      <c r="A25" t="s">
        <v>1637</v>
      </c>
      <c r="B25" s="532">
        <v>321850.34000000003</v>
      </c>
    </row>
    <row r="26" spans="1:2" ht="15.75" thickBot="1">
      <c r="B26" s="534">
        <f>SUM(B18:B25)</f>
        <v>1799604.9900000002</v>
      </c>
    </row>
    <row r="27" spans="1:2" ht="15.75" thickTop="1"/>
    <row r="28" spans="1:2">
      <c r="A28" t="s">
        <v>1638</v>
      </c>
      <c r="B28" s="535">
        <f>+B18+B20+B22+B23</f>
        <v>894390.32</v>
      </c>
    </row>
    <row r="31" spans="1:2">
      <c r="A31" t="s">
        <v>1640</v>
      </c>
      <c r="B31" s="535">
        <f>-B28</f>
        <v>-894390.32</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1"/>
  <sheetViews>
    <sheetView workbookViewId="0">
      <selection activeCell="D30" sqref="D30:D32"/>
    </sheetView>
  </sheetViews>
  <sheetFormatPr defaultRowHeight="15.75"/>
  <cols>
    <col min="1" max="1" width="9.28515625" style="573" bestFit="1" customWidth="1"/>
    <col min="2" max="2" width="13.5703125" style="574" bestFit="1" customWidth="1"/>
    <col min="3" max="3" width="10.85546875" style="574" bestFit="1" customWidth="1"/>
    <col min="4" max="4" width="12" style="574" bestFit="1" customWidth="1"/>
    <col min="5" max="5" width="15.42578125" style="574" bestFit="1" customWidth="1"/>
    <col min="6" max="6" width="11.5703125" style="574" bestFit="1" customWidth="1"/>
    <col min="7" max="7" width="9.28515625" style="574" bestFit="1" customWidth="1"/>
    <col min="8" max="8" width="12.7109375" style="573" bestFit="1" customWidth="1"/>
    <col min="9" max="9" width="9.140625" style="574"/>
    <col min="10" max="16384" width="9.140625" style="103"/>
  </cols>
  <sheetData>
    <row r="1" spans="1:13">
      <c r="A1" s="884" t="s">
        <v>60</v>
      </c>
      <c r="B1" s="884"/>
      <c r="C1" s="884"/>
      <c r="D1" s="884"/>
      <c r="E1" s="884"/>
      <c r="F1" s="884"/>
      <c r="G1" s="884"/>
      <c r="H1" s="884"/>
      <c r="I1" s="3"/>
      <c r="J1" s="3"/>
      <c r="K1" s="298"/>
      <c r="L1" s="298"/>
      <c r="M1" s="298"/>
    </row>
    <row r="2" spans="1:13">
      <c r="A2" s="884" t="s">
        <v>1390</v>
      </c>
      <c r="B2" s="884"/>
      <c r="C2" s="884"/>
      <c r="D2" s="884"/>
      <c r="E2" s="884"/>
      <c r="F2" s="884"/>
      <c r="G2" s="884"/>
      <c r="H2" s="884"/>
      <c r="I2" s="3"/>
      <c r="J2" s="3"/>
      <c r="K2" s="298"/>
      <c r="L2" s="298"/>
      <c r="M2" s="298"/>
    </row>
    <row r="3" spans="1:13">
      <c r="A3" s="884" t="s">
        <v>1520</v>
      </c>
      <c r="B3" s="884"/>
      <c r="C3" s="884"/>
      <c r="D3" s="884"/>
      <c r="E3" s="884"/>
      <c r="F3" s="884"/>
      <c r="G3" s="884"/>
      <c r="H3" s="884"/>
      <c r="I3" s="3"/>
      <c r="J3" s="3"/>
      <c r="K3" s="298"/>
      <c r="L3" s="298"/>
      <c r="M3" s="298"/>
    </row>
    <row r="4" spans="1:13">
      <c r="A4" s="884" t="s">
        <v>84</v>
      </c>
      <c r="B4" s="884"/>
      <c r="C4" s="884"/>
      <c r="D4" s="884"/>
      <c r="E4" s="884"/>
      <c r="F4" s="884"/>
      <c r="G4" s="884"/>
      <c r="H4" s="884"/>
      <c r="I4" s="3"/>
      <c r="J4" s="3"/>
      <c r="K4" s="298"/>
      <c r="L4" s="298"/>
      <c r="M4" s="298"/>
    </row>
    <row r="5" spans="1:13">
      <c r="A5" s="884" t="s">
        <v>1376</v>
      </c>
      <c r="B5" s="884"/>
      <c r="C5" s="884"/>
      <c r="D5" s="884"/>
      <c r="E5" s="884"/>
      <c r="F5" s="884"/>
      <c r="G5" s="884"/>
      <c r="H5" s="884"/>
      <c r="I5" s="3"/>
      <c r="J5" s="3"/>
      <c r="K5" s="298"/>
      <c r="L5" s="298"/>
      <c r="M5" s="298"/>
    </row>
    <row r="6" spans="1:13">
      <c r="K6" s="298"/>
      <c r="L6" s="298"/>
      <c r="M6" s="298"/>
    </row>
    <row r="7" spans="1:13">
      <c r="K7" s="298"/>
      <c r="L7" s="298"/>
      <c r="M7" s="298"/>
    </row>
    <row r="8" spans="1:13">
      <c r="K8" s="298"/>
      <c r="L8" s="298"/>
      <c r="M8" s="298"/>
    </row>
    <row r="9" spans="1:13" s="299" customFormat="1">
      <c r="A9" s="573"/>
      <c r="B9" s="573" t="s">
        <v>885</v>
      </c>
      <c r="C9" s="573" t="s">
        <v>883</v>
      </c>
      <c r="D9" s="573" t="s">
        <v>884</v>
      </c>
      <c r="E9" s="573" t="s">
        <v>887</v>
      </c>
      <c r="F9" s="573" t="s">
        <v>888</v>
      </c>
      <c r="G9" s="573" t="s">
        <v>889</v>
      </c>
      <c r="H9" s="573" t="s">
        <v>890</v>
      </c>
      <c r="I9" s="573"/>
      <c r="K9" s="300"/>
      <c r="L9" s="300"/>
      <c r="M9" s="300"/>
    </row>
    <row r="10" spans="1:13">
      <c r="B10" s="575" t="s">
        <v>372</v>
      </c>
      <c r="C10" s="305"/>
      <c r="D10" s="305"/>
      <c r="E10" s="305"/>
      <c r="F10" s="305"/>
      <c r="G10" s="305"/>
      <c r="H10" s="302"/>
      <c r="I10" s="305"/>
      <c r="J10" s="298"/>
    </row>
    <row r="11" spans="1:13">
      <c r="B11" s="305"/>
      <c r="C11" s="305"/>
      <c r="D11" s="305"/>
      <c r="E11" s="576"/>
      <c r="F11" s="305"/>
      <c r="G11" s="305"/>
      <c r="H11" s="302"/>
      <c r="I11" s="305"/>
      <c r="J11" s="298"/>
    </row>
    <row r="12" spans="1:13">
      <c r="A12" s="573" t="s">
        <v>683</v>
      </c>
      <c r="B12" s="305" t="s">
        <v>90</v>
      </c>
      <c r="C12" s="302" t="s">
        <v>91</v>
      </c>
      <c r="D12" s="302"/>
      <c r="E12" s="302" t="s">
        <v>92</v>
      </c>
      <c r="F12" s="302"/>
      <c r="G12" s="302" t="s">
        <v>93</v>
      </c>
      <c r="H12" s="302"/>
      <c r="I12" s="305"/>
      <c r="J12" s="298"/>
    </row>
    <row r="13" spans="1:13">
      <c r="A13" s="573">
        <v>1</v>
      </c>
      <c r="B13" s="577">
        <v>43465</v>
      </c>
      <c r="C13" s="302" t="s">
        <v>94</v>
      </c>
      <c r="D13" s="302" t="s">
        <v>95</v>
      </c>
      <c r="E13" s="302" t="s">
        <v>96</v>
      </c>
      <c r="F13" s="302" t="s">
        <v>62</v>
      </c>
      <c r="G13" s="302" t="s">
        <v>97</v>
      </c>
      <c r="H13" s="301" t="s">
        <v>98</v>
      </c>
      <c r="I13" s="305"/>
      <c r="J13" s="298"/>
    </row>
    <row r="14" spans="1:13">
      <c r="B14" s="577"/>
      <c r="C14" s="302"/>
      <c r="D14" s="302"/>
      <c r="E14" s="302"/>
      <c r="F14" s="302"/>
      <c r="G14" s="578"/>
      <c r="H14" s="302"/>
    </row>
    <row r="15" spans="1:13">
      <c r="B15" s="305"/>
      <c r="C15" s="302"/>
      <c r="D15" s="302"/>
      <c r="E15" s="302"/>
      <c r="F15" s="302"/>
      <c r="G15" s="302"/>
      <c r="H15" s="302"/>
    </row>
    <row r="16" spans="1:13" ht="16.5" thickBot="1">
      <c r="A16" s="573">
        <v>2</v>
      </c>
      <c r="B16" s="303">
        <f>+'Exh MCP-2 - ROO Summary Sheet'!Q40</f>
        <v>405155118.94348568</v>
      </c>
      <c r="C16" s="579">
        <f>+'Capital Structure Calculation'!J11</f>
        <v>2.5780000000000001E-2</v>
      </c>
      <c r="D16" s="302">
        <f>B16*C16</f>
        <v>10444898.966363061</v>
      </c>
      <c r="E16" s="302">
        <f>+'Operating Report'!G160</f>
        <v>9083266.7399999984</v>
      </c>
      <c r="F16" s="302">
        <f>+D16-E16</f>
        <v>1361632.2263630629</v>
      </c>
      <c r="G16" s="304">
        <f>+'Exh MCP-4 - Conversion Factor'!C33</f>
        <v>0.21</v>
      </c>
      <c r="H16" s="808">
        <f>+F16*-G16</f>
        <v>-285942.76753624319</v>
      </c>
      <c r="K16" s="298"/>
      <c r="L16" s="298"/>
      <c r="M16" s="298"/>
    </row>
    <row r="17" spans="2:13" ht="16.5" thickTop="1">
      <c r="B17" s="305"/>
      <c r="C17" s="305"/>
      <c r="D17" s="305"/>
      <c r="E17" s="305"/>
      <c r="F17" s="305"/>
      <c r="G17" s="580"/>
      <c r="H17" s="302"/>
      <c r="K17" s="298"/>
      <c r="L17" s="306"/>
      <c r="M17" s="298"/>
    </row>
    <row r="18" spans="2:13">
      <c r="G18" s="305"/>
      <c r="H18" s="302"/>
      <c r="K18" s="298"/>
      <c r="L18" s="298"/>
      <c r="M18" s="298"/>
    </row>
    <row r="19" spans="2:13">
      <c r="B19" s="581"/>
      <c r="C19" s="305"/>
      <c r="D19" s="305"/>
      <c r="E19" s="305"/>
      <c r="F19" s="305"/>
      <c r="I19" s="305"/>
      <c r="J19" s="298"/>
      <c r="K19" s="298"/>
      <c r="L19" s="298"/>
      <c r="M19" s="298"/>
    </row>
    <row r="20" spans="2:13">
      <c r="B20" s="305"/>
      <c r="C20" s="305"/>
      <c r="D20" s="305"/>
      <c r="E20" s="305"/>
      <c r="F20" s="305"/>
      <c r="I20" s="305"/>
      <c r="J20" s="298"/>
      <c r="K20" s="298"/>
      <c r="L20" s="298"/>
      <c r="M20" s="300"/>
    </row>
    <row r="21" spans="2:13">
      <c r="G21" s="305"/>
      <c r="H21" s="302"/>
      <c r="I21" s="305"/>
      <c r="J21" s="298"/>
      <c r="K21" s="298"/>
      <c r="L21" s="298"/>
      <c r="M21" s="298"/>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34"/>
  <sheetViews>
    <sheetView view="pageBreakPreview" zoomScaleNormal="100" zoomScaleSheetLayoutView="100" workbookViewId="0">
      <selection activeCell="D30" sqref="D30:D32"/>
    </sheetView>
  </sheetViews>
  <sheetFormatPr defaultRowHeight="15.75"/>
  <cols>
    <col min="1" max="1" width="9.42578125" style="6" bestFit="1" customWidth="1"/>
    <col min="2" max="2" width="33" style="4" bestFit="1" customWidth="1"/>
    <col min="3" max="3" width="10.28515625" style="4" bestFit="1" customWidth="1"/>
    <col min="4" max="4" width="27.28515625" style="4" customWidth="1"/>
    <col min="5" max="5" width="18.140625" style="31"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6" customFormat="1">
      <c r="A1" s="28"/>
      <c r="B1" s="884" t="s">
        <v>60</v>
      </c>
      <c r="C1" s="884"/>
      <c r="D1" s="884"/>
      <c r="E1" s="884"/>
      <c r="F1" s="884"/>
      <c r="G1" s="3"/>
      <c r="H1" s="3"/>
      <c r="I1" s="3"/>
    </row>
    <row r="2" spans="1:9" s="26" customFormat="1">
      <c r="A2" s="28"/>
      <c r="B2" s="884" t="s">
        <v>1390</v>
      </c>
      <c r="C2" s="884"/>
      <c r="D2" s="884"/>
      <c r="E2" s="884"/>
      <c r="F2" s="884"/>
      <c r="G2" s="3"/>
      <c r="H2" s="3"/>
      <c r="I2" s="3"/>
    </row>
    <row r="3" spans="1:9" s="26" customFormat="1">
      <c r="A3" s="28"/>
      <c r="B3" s="884" t="s">
        <v>1524</v>
      </c>
      <c r="C3" s="884"/>
      <c r="D3" s="884"/>
      <c r="E3" s="884"/>
      <c r="F3" s="884"/>
      <c r="G3" s="3"/>
      <c r="H3" s="3"/>
      <c r="I3" s="3"/>
    </row>
    <row r="4" spans="1:9" s="26" customFormat="1">
      <c r="A4" s="28"/>
      <c r="B4" s="884" t="s">
        <v>747</v>
      </c>
      <c r="C4" s="884"/>
      <c r="D4" s="884"/>
      <c r="E4" s="884"/>
      <c r="F4" s="884"/>
      <c r="G4" s="3"/>
      <c r="H4" s="3"/>
      <c r="I4" s="3"/>
    </row>
    <row r="5" spans="1:9" s="26" customFormat="1">
      <c r="A5" s="28"/>
      <c r="B5" s="884" t="s">
        <v>1376</v>
      </c>
      <c r="C5" s="884"/>
      <c r="D5" s="884"/>
      <c r="E5" s="884"/>
      <c r="F5" s="884"/>
      <c r="G5" s="3"/>
      <c r="H5" s="3"/>
      <c r="I5" s="3"/>
    </row>
    <row r="6" spans="1:9" s="26" customFormat="1">
      <c r="A6" s="28"/>
      <c r="E6" s="559"/>
    </row>
    <row r="7" spans="1:9" s="28" customFormat="1">
      <c r="B7" s="28" t="s">
        <v>885</v>
      </c>
      <c r="C7" s="28" t="s">
        <v>883</v>
      </c>
      <c r="D7" s="28" t="s">
        <v>884</v>
      </c>
      <c r="E7" s="28" t="s">
        <v>887</v>
      </c>
      <c r="F7" s="28" t="s">
        <v>888</v>
      </c>
    </row>
    <row r="8" spans="1:9" s="26" customFormat="1">
      <c r="A8" s="560" t="s">
        <v>900</v>
      </c>
      <c r="E8" s="559"/>
    </row>
    <row r="9" spans="1:9" s="26" customFormat="1">
      <c r="A9" s="28">
        <v>1</v>
      </c>
      <c r="B9" s="26" t="s">
        <v>1521</v>
      </c>
      <c r="E9" s="561">
        <f>+'MCP-6 - Plant Additions'!H130</f>
        <v>32794040.464584999</v>
      </c>
    </row>
    <row r="10" spans="1:9" s="26" customFormat="1">
      <c r="A10" s="28"/>
    </row>
    <row r="11" spans="1:9" s="26" customFormat="1">
      <c r="A11" s="28">
        <v>2</v>
      </c>
      <c r="B11" s="69" t="s">
        <v>1528</v>
      </c>
      <c r="C11" s="562">
        <f>E30</f>
        <v>1.2076893918686571E-2</v>
      </c>
    </row>
    <row r="12" spans="1:9" s="26" customFormat="1">
      <c r="A12" s="28">
        <v>3</v>
      </c>
      <c r="B12" s="26" t="s">
        <v>742</v>
      </c>
      <c r="E12" s="490">
        <f>+E9*C11</f>
        <v>396050.14785590791</v>
      </c>
    </row>
    <row r="13" spans="1:9" s="26" customFormat="1">
      <c r="A13" s="28"/>
    </row>
    <row r="14" spans="1:9" s="26" customFormat="1">
      <c r="A14" s="28">
        <v>4</v>
      </c>
      <c r="E14" s="563"/>
    </row>
    <row r="15" spans="1:9" s="26" customFormat="1">
      <c r="A15" s="28"/>
    </row>
    <row r="16" spans="1:9" s="26" customFormat="1">
      <c r="A16" s="28">
        <v>5</v>
      </c>
      <c r="B16" s="26" t="s">
        <v>682</v>
      </c>
      <c r="D16" s="26" t="s">
        <v>899</v>
      </c>
      <c r="E16" s="495">
        <f>+E9</f>
        <v>32794040.464584999</v>
      </c>
      <c r="F16" s="495"/>
    </row>
    <row r="17" spans="1:7" s="26" customFormat="1">
      <c r="A17" s="28"/>
      <c r="E17" s="495"/>
      <c r="F17" s="495"/>
    </row>
    <row r="18" spans="1:7" s="26" customFormat="1">
      <c r="A18" s="28">
        <v>6</v>
      </c>
      <c r="B18" s="26" t="s">
        <v>290</v>
      </c>
      <c r="D18" s="26" t="s">
        <v>1774</v>
      </c>
      <c r="E18" s="495">
        <f>+'MCP-6 - Plant Additions'!J152</f>
        <v>648693.37219107943</v>
      </c>
      <c r="F18" s="495">
        <f>+E18</f>
        <v>648693.37219107943</v>
      </c>
    </row>
    <row r="19" spans="1:7" s="26" customFormat="1">
      <c r="A19" s="28">
        <v>7</v>
      </c>
      <c r="B19" s="26" t="s">
        <v>684</v>
      </c>
      <c r="D19" s="26" t="s">
        <v>901</v>
      </c>
      <c r="E19" s="495">
        <f>+E18/2</f>
        <v>324346.68609553971</v>
      </c>
      <c r="F19" s="495"/>
    </row>
    <row r="20" spans="1:7" s="26" customFormat="1">
      <c r="A20" s="28">
        <v>8</v>
      </c>
      <c r="B20" s="26" t="s">
        <v>685</v>
      </c>
      <c r="D20" s="26" t="s">
        <v>902</v>
      </c>
      <c r="E20" s="495">
        <f>+E16*0.0375</f>
        <v>1229776.5174219373</v>
      </c>
      <c r="F20" s="495"/>
    </row>
    <row r="21" spans="1:7" s="26" customFormat="1">
      <c r="A21" s="28">
        <v>9</v>
      </c>
      <c r="B21" s="26" t="s">
        <v>103</v>
      </c>
      <c r="D21" s="26" t="s">
        <v>1523</v>
      </c>
      <c r="E21" s="495">
        <f>(+E20-E18)*0.21</f>
        <v>122027.46049848016</v>
      </c>
      <c r="F21" s="495"/>
    </row>
    <row r="22" spans="1:7" s="26" customFormat="1">
      <c r="A22" s="28">
        <v>10</v>
      </c>
      <c r="B22" s="26" t="s">
        <v>686</v>
      </c>
      <c r="D22" s="26" t="s">
        <v>903</v>
      </c>
      <c r="E22" s="495">
        <f>+E21/2</f>
        <v>61013.730249240078</v>
      </c>
      <c r="F22" s="495"/>
    </row>
    <row r="23" spans="1:7" s="26" customFormat="1">
      <c r="A23" s="28">
        <v>11</v>
      </c>
      <c r="B23" s="26" t="s">
        <v>687</v>
      </c>
      <c r="D23" s="26" t="s">
        <v>1522</v>
      </c>
      <c r="E23" s="495"/>
      <c r="F23" s="495">
        <f>+F18*0.21</f>
        <v>136225.60816012666</v>
      </c>
    </row>
    <row r="24" spans="1:7" s="26" customFormat="1">
      <c r="A24" s="28"/>
      <c r="E24" s="495"/>
      <c r="F24" s="495"/>
    </row>
    <row r="25" spans="1:7" s="26" customFormat="1">
      <c r="A25" s="28">
        <v>12</v>
      </c>
      <c r="B25" s="26" t="s">
        <v>688</v>
      </c>
      <c r="E25" s="495">
        <f>+E16-E22-E19</f>
        <v>32408680.048240218</v>
      </c>
      <c r="F25" s="495"/>
    </row>
    <row r="26" spans="1:7" s="26" customFormat="1">
      <c r="A26" s="28"/>
      <c r="E26" s="559"/>
      <c r="F26" s="312"/>
      <c r="G26" s="495"/>
    </row>
    <row r="27" spans="1:7" s="26" customFormat="1">
      <c r="A27" s="28" t="s">
        <v>853</v>
      </c>
      <c r="E27" s="559"/>
      <c r="F27" s="495"/>
      <c r="G27" s="495"/>
    </row>
    <row r="28" spans="1:7" s="26" customFormat="1">
      <c r="A28" s="564" t="s">
        <v>1190</v>
      </c>
      <c r="B28" s="320" t="s">
        <v>1775</v>
      </c>
      <c r="C28" s="320"/>
      <c r="D28" s="320"/>
      <c r="E28" s="565">
        <v>226826000</v>
      </c>
      <c r="F28" s="495"/>
      <c r="G28" s="495"/>
    </row>
    <row r="29" spans="1:7" s="26" customFormat="1">
      <c r="A29" s="566"/>
      <c r="B29" s="69" t="s">
        <v>1527</v>
      </c>
      <c r="C29" s="69"/>
      <c r="D29" s="69"/>
      <c r="E29" s="567">
        <v>2739353.54</v>
      </c>
      <c r="F29" s="495"/>
      <c r="G29" s="495"/>
    </row>
    <row r="30" spans="1:7" s="26" customFormat="1" ht="27" customHeight="1">
      <c r="A30" s="568"/>
      <c r="B30" s="321" t="s">
        <v>1191</v>
      </c>
      <c r="C30" s="321"/>
      <c r="D30" s="321"/>
      <c r="E30" s="569">
        <f>E29/E28</f>
        <v>1.2076893918686571E-2</v>
      </c>
      <c r="F30" s="495"/>
      <c r="G30" s="495"/>
    </row>
    <row r="31" spans="1:7">
      <c r="E31" s="4"/>
      <c r="F31" s="207"/>
      <c r="G31" s="207"/>
    </row>
    <row r="32" spans="1:7">
      <c r="F32" s="207"/>
      <c r="G32" s="207"/>
    </row>
    <row r="33" spans="6:7">
      <c r="F33" s="207"/>
      <c r="G33" s="207"/>
    </row>
    <row r="34" spans="6:7">
      <c r="F34" s="207"/>
      <c r="G34" s="207"/>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workbookViewId="0">
      <selection activeCell="A3" sqref="A3"/>
    </sheetView>
  </sheetViews>
  <sheetFormatPr defaultRowHeight="15"/>
  <cols>
    <col min="1" max="1" width="98.7109375" style="2" customWidth="1"/>
    <col min="2" max="2" width="29.42578125" style="2" customWidth="1"/>
    <col min="3" max="16384" width="9.140625" style="2"/>
  </cols>
  <sheetData>
    <row r="1" spans="1:7" ht="15.75">
      <c r="A1" s="17" t="s">
        <v>2138</v>
      </c>
    </row>
    <row r="2" spans="1:7" ht="15.75">
      <c r="A2" s="17" t="s">
        <v>112</v>
      </c>
    </row>
    <row r="3" spans="1:7" ht="15.75">
      <c r="A3" s="17" t="s">
        <v>2135</v>
      </c>
    </row>
    <row r="4" spans="1:7" ht="15.75">
      <c r="A4" s="18"/>
    </row>
    <row r="5" spans="1:7" ht="15.75">
      <c r="A5" s="19"/>
    </row>
    <row r="6" spans="1:7" ht="15.75">
      <c r="A6" s="19"/>
    </row>
    <row r="7" spans="1:7" ht="15.75">
      <c r="A7" s="19"/>
    </row>
    <row r="8" spans="1:7" ht="15.75">
      <c r="A8" s="19" t="s">
        <v>1375</v>
      </c>
    </row>
    <row r="9" spans="1:7" ht="15.75">
      <c r="A9" s="19"/>
    </row>
    <row r="10" spans="1:7" ht="15.75">
      <c r="A10" s="19"/>
    </row>
    <row r="11" spans="1:7" ht="15.75">
      <c r="A11" s="19"/>
      <c r="G11" s="1"/>
    </row>
    <row r="12" spans="1:7" ht="15.75">
      <c r="A12" s="19"/>
    </row>
    <row r="13" spans="1:7" ht="15.75">
      <c r="A13" s="19"/>
      <c r="C13" s="23"/>
    </row>
    <row r="14" spans="1:7" ht="15.75">
      <c r="A14" s="19"/>
    </row>
    <row r="15" spans="1:7" ht="15.75">
      <c r="A15" s="19"/>
    </row>
    <row r="16" spans="1:7" ht="15.75">
      <c r="A16" s="20"/>
    </row>
    <row r="17" spans="1:1" ht="15.75">
      <c r="A17" s="20"/>
    </row>
    <row r="18" spans="1:1" ht="15.75">
      <c r="A18" s="19"/>
    </row>
    <row r="19" spans="1:1" ht="15.75">
      <c r="A19" s="20" t="s">
        <v>120</v>
      </c>
    </row>
    <row r="20" spans="1:1" ht="15.75">
      <c r="A20" s="20"/>
    </row>
    <row r="21" spans="1:1" ht="15.75">
      <c r="A21" s="20" t="s">
        <v>1384</v>
      </c>
    </row>
    <row r="22" spans="1:1" ht="15.75">
      <c r="A22" s="20"/>
    </row>
    <row r="23" spans="1:1" ht="15.75">
      <c r="A23" s="20"/>
    </row>
    <row r="24" spans="1:1" ht="15.75">
      <c r="A24" s="21" t="s">
        <v>866</v>
      </c>
    </row>
    <row r="25" spans="1:1" ht="15.75">
      <c r="A25" s="20"/>
    </row>
    <row r="26" spans="1:1" ht="15.75">
      <c r="A26" s="20"/>
    </row>
    <row r="27" spans="1:1" ht="15.75">
      <c r="A27" s="20"/>
    </row>
    <row r="28" spans="1:1" ht="15.75">
      <c r="A28" s="20"/>
    </row>
    <row r="29" spans="1:1" ht="15.75">
      <c r="A29" s="20"/>
    </row>
    <row r="30" spans="1:1" ht="15.75">
      <c r="A30" s="377" t="s">
        <v>1669</v>
      </c>
    </row>
    <row r="31" spans="1:1">
      <c r="A31" s="22"/>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
  <sheetViews>
    <sheetView workbookViewId="0">
      <selection activeCell="D30" sqref="D30:D32"/>
    </sheetView>
  </sheetViews>
  <sheetFormatPr defaultRowHeight="15.75"/>
  <cols>
    <col min="1" max="1" width="9.140625" style="103"/>
    <col min="2" max="2" width="35.140625" style="103" bestFit="1" customWidth="1"/>
    <col min="3" max="3" width="2.85546875" style="103" customWidth="1"/>
    <col min="4" max="4" width="11.28515625" style="103" bestFit="1" customWidth="1"/>
    <col min="5" max="5" width="9.140625" style="103"/>
    <col min="6" max="6" width="10.140625" style="103" bestFit="1" customWidth="1"/>
    <col min="7" max="16384" width="9.140625" style="103"/>
  </cols>
  <sheetData>
    <row r="1" spans="1:9">
      <c r="A1" s="884" t="s">
        <v>60</v>
      </c>
      <c r="B1" s="884"/>
      <c r="C1" s="884"/>
      <c r="D1" s="884"/>
      <c r="E1" s="884"/>
      <c r="F1" s="3"/>
      <c r="G1" s="3"/>
      <c r="H1" s="3"/>
      <c r="I1" s="3"/>
    </row>
    <row r="2" spans="1:9">
      <c r="A2" s="884" t="s">
        <v>1390</v>
      </c>
      <c r="B2" s="884"/>
      <c r="C2" s="884"/>
      <c r="D2" s="884"/>
      <c r="E2" s="884"/>
      <c r="F2" s="3"/>
      <c r="G2" s="3"/>
      <c r="H2" s="3"/>
      <c r="I2" s="3"/>
    </row>
    <row r="3" spans="1:9">
      <c r="A3" s="884" t="s">
        <v>1644</v>
      </c>
      <c r="B3" s="884"/>
      <c r="C3" s="884"/>
      <c r="D3" s="884"/>
      <c r="E3" s="884"/>
      <c r="F3" s="3"/>
      <c r="G3" s="3"/>
      <c r="H3" s="3"/>
      <c r="I3" s="3"/>
    </row>
    <row r="4" spans="1:9">
      <c r="A4" s="884" t="s">
        <v>765</v>
      </c>
      <c r="B4" s="884"/>
      <c r="C4" s="884"/>
      <c r="D4" s="884"/>
      <c r="E4" s="884"/>
      <c r="F4" s="3"/>
      <c r="G4" s="3"/>
      <c r="H4" s="3"/>
      <c r="I4" s="3"/>
    </row>
    <row r="5" spans="1:9">
      <c r="A5" s="884" t="s">
        <v>1376</v>
      </c>
      <c r="B5" s="884"/>
      <c r="C5" s="884"/>
      <c r="D5" s="884"/>
      <c r="E5" s="884"/>
      <c r="F5" s="3"/>
      <c r="G5" s="3"/>
      <c r="H5" s="3"/>
      <c r="I5" s="3"/>
    </row>
    <row r="7" spans="1:9">
      <c r="A7" s="315" t="s">
        <v>683</v>
      </c>
      <c r="B7" s="299" t="s">
        <v>885</v>
      </c>
      <c r="C7" s="299"/>
      <c r="D7" s="299" t="s">
        <v>883</v>
      </c>
    </row>
    <row r="8" spans="1:9">
      <c r="A8" s="299">
        <v>1</v>
      </c>
      <c r="B8" s="103" t="s">
        <v>1646</v>
      </c>
      <c r="D8" s="316">
        <v>5423017.3499999996</v>
      </c>
    </row>
    <row r="9" spans="1:9">
      <c r="A9" s="299">
        <v>2</v>
      </c>
      <c r="B9" s="103" t="s">
        <v>1647</v>
      </c>
      <c r="D9" s="571">
        <v>5432079.7599999998</v>
      </c>
    </row>
    <row r="10" spans="1:9">
      <c r="A10" s="299">
        <v>3</v>
      </c>
      <c r="D10" s="317">
        <v>0</v>
      </c>
    </row>
    <row r="11" spans="1:9">
      <c r="A11" s="299">
        <v>4</v>
      </c>
      <c r="B11" s="103" t="s">
        <v>1648</v>
      </c>
      <c r="D11" s="316">
        <f>+D8+D9+D10</f>
        <v>10855097.109999999</v>
      </c>
    </row>
    <row r="12" spans="1:9" ht="18">
      <c r="A12" s="299">
        <v>5</v>
      </c>
      <c r="B12" s="103" t="s">
        <v>1140</v>
      </c>
      <c r="D12" s="317">
        <v>10</v>
      </c>
    </row>
    <row r="13" spans="1:9" ht="16.5" thickBot="1">
      <c r="A13" s="299">
        <v>6</v>
      </c>
      <c r="B13" s="103" t="s">
        <v>761</v>
      </c>
      <c r="D13" s="318">
        <f>+D11/D12</f>
        <v>1085509.7109999999</v>
      </c>
    </row>
    <row r="14" spans="1:9" ht="16.5" thickTop="1">
      <c r="B14" s="103" t="s">
        <v>1649</v>
      </c>
      <c r="D14" s="319">
        <v>225959</v>
      </c>
    </row>
    <row r="15" spans="1:9">
      <c r="B15" s="103" t="s">
        <v>1653</v>
      </c>
      <c r="D15" s="319">
        <f>+D13-D14</f>
        <v>859550.71099999989</v>
      </c>
    </row>
    <row r="16" spans="1:9" ht="18">
      <c r="A16" s="103" t="s">
        <v>1141</v>
      </c>
    </row>
    <row r="19" spans="1:1">
      <c r="A19" s="299"/>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3"/>
  <sheetViews>
    <sheetView topLeftCell="J619" zoomScaleNormal="100" workbookViewId="0">
      <selection activeCell="V633" sqref="V633"/>
    </sheetView>
  </sheetViews>
  <sheetFormatPr defaultRowHeight="15"/>
  <cols>
    <col min="1" max="1" width="3.85546875" style="513" customWidth="1"/>
    <col min="2" max="2" width="13.5703125" style="513" customWidth="1"/>
    <col min="3" max="3" width="7.28515625" style="513" customWidth="1"/>
    <col min="4" max="4" width="5.85546875" style="513" customWidth="1"/>
    <col min="5" max="5" width="51" style="513" bestFit="1" customWidth="1"/>
    <col min="6" max="6" width="17.28515625" style="513" customWidth="1"/>
    <col min="7" max="16" width="16.5703125" style="513" customWidth="1"/>
    <col min="17" max="18" width="17.28515625" style="513" customWidth="1"/>
    <col min="19" max="19" width="20.42578125" style="513" customWidth="1"/>
    <col min="21" max="21" width="12.28515625" bestFit="1" customWidth="1"/>
    <col min="22" max="24" width="12.85546875" bestFit="1" customWidth="1"/>
    <col min="25" max="25" width="13.140625" customWidth="1"/>
    <col min="26" max="26" width="12.85546875" bestFit="1" customWidth="1"/>
    <col min="27" max="27" width="12.85546875" customWidth="1"/>
    <col min="28" max="28" width="11.85546875" bestFit="1" customWidth="1"/>
    <col min="29" max="29" width="15.5703125" customWidth="1"/>
    <col min="30" max="30" width="14.5703125" customWidth="1"/>
    <col min="31" max="31" width="92.85546875" customWidth="1"/>
  </cols>
  <sheetData>
    <row r="1" spans="1:32" ht="15.75">
      <c r="A1" s="381" t="s">
        <v>60</v>
      </c>
      <c r="B1" s="422"/>
      <c r="C1" s="422"/>
      <c r="D1" s="422"/>
      <c r="E1" s="779"/>
      <c r="F1" s="623" t="s">
        <v>789</v>
      </c>
      <c r="G1" s="623" t="s">
        <v>789</v>
      </c>
      <c r="H1" s="623" t="s">
        <v>789</v>
      </c>
      <c r="I1" s="623" t="s">
        <v>789</v>
      </c>
      <c r="J1" s="623" t="s">
        <v>789</v>
      </c>
      <c r="K1" s="623" t="s">
        <v>789</v>
      </c>
      <c r="L1" s="623" t="s">
        <v>789</v>
      </c>
      <c r="M1" s="623" t="s">
        <v>789</v>
      </c>
      <c r="N1" s="623" t="s">
        <v>789</v>
      </c>
      <c r="O1" s="623" t="s">
        <v>789</v>
      </c>
      <c r="P1" s="623" t="s">
        <v>789</v>
      </c>
      <c r="Q1" s="623" t="s">
        <v>789</v>
      </c>
      <c r="R1" s="623" t="s">
        <v>789</v>
      </c>
      <c r="S1" s="424"/>
      <c r="T1" s="382"/>
      <c r="U1" s="383"/>
      <c r="V1" s="383"/>
      <c r="W1" s="383"/>
      <c r="X1" s="383"/>
      <c r="Y1" s="383"/>
      <c r="Z1" s="383"/>
      <c r="AA1" s="383"/>
      <c r="AB1" s="383"/>
      <c r="AC1" s="382"/>
      <c r="AD1" s="382"/>
      <c r="AE1" s="382"/>
    </row>
    <row r="2" spans="1:32" ht="15.75">
      <c r="A2" s="381" t="s">
        <v>2162</v>
      </c>
      <c r="B2" s="422"/>
      <c r="C2" s="422"/>
      <c r="D2" s="422"/>
      <c r="E2" s="779"/>
      <c r="F2" s="623"/>
      <c r="G2" s="623"/>
      <c r="H2" s="623"/>
      <c r="I2" s="623"/>
      <c r="J2" s="623"/>
      <c r="K2" s="623"/>
      <c r="L2" s="623"/>
      <c r="M2" s="623"/>
      <c r="N2" s="623"/>
      <c r="O2" s="623"/>
      <c r="P2" s="623"/>
      <c r="Q2" s="623"/>
      <c r="R2" s="623"/>
      <c r="S2" s="424"/>
      <c r="T2" s="382"/>
      <c r="U2" s="383"/>
      <c r="V2" s="383"/>
      <c r="W2" s="383"/>
      <c r="X2" s="383"/>
      <c r="Y2" s="383"/>
      <c r="Z2" s="383"/>
      <c r="AA2" s="383"/>
      <c r="AB2" s="383"/>
      <c r="AC2" s="382"/>
      <c r="AD2" s="382"/>
      <c r="AE2" s="382"/>
    </row>
    <row r="3" spans="1:32" ht="15.75">
      <c r="A3" s="381" t="s">
        <v>2170</v>
      </c>
      <c r="B3" s="422"/>
      <c r="C3" s="422"/>
      <c r="D3" s="422"/>
      <c r="E3" s="779"/>
      <c r="F3" s="623"/>
      <c r="G3" s="623"/>
      <c r="H3" s="623"/>
      <c r="I3" s="623"/>
      <c r="J3" s="623"/>
      <c r="K3" s="623"/>
      <c r="L3" s="623"/>
      <c r="M3" s="623"/>
      <c r="N3" s="623"/>
      <c r="O3" s="623"/>
      <c r="P3" s="623"/>
      <c r="Q3" s="623"/>
      <c r="R3" s="623"/>
      <c r="S3" s="424"/>
      <c r="T3" s="382"/>
      <c r="U3" s="383"/>
      <c r="V3" s="383"/>
      <c r="W3" s="383"/>
      <c r="X3" s="383"/>
      <c r="Y3" s="383"/>
      <c r="Z3" s="383"/>
      <c r="AA3" s="383"/>
      <c r="AB3" s="383"/>
      <c r="AC3" s="382"/>
      <c r="AD3" s="382"/>
      <c r="AE3" s="382"/>
    </row>
    <row r="4" spans="1:32" ht="15.75">
      <c r="A4" s="381"/>
      <c r="B4" s="422"/>
      <c r="C4" s="422"/>
      <c r="D4" s="422"/>
      <c r="E4" s="779"/>
      <c r="F4" s="623"/>
      <c r="G4" s="623"/>
      <c r="H4" s="623"/>
      <c r="I4" s="623"/>
      <c r="J4" s="623"/>
      <c r="K4" s="623"/>
      <c r="L4" s="623"/>
      <c r="M4" s="623"/>
      <c r="N4" s="623"/>
      <c r="O4" s="623"/>
      <c r="P4" s="623"/>
      <c r="Q4" s="623"/>
      <c r="R4" s="623"/>
      <c r="S4" s="424"/>
      <c r="T4" s="382"/>
      <c r="U4" s="383"/>
      <c r="V4" s="383"/>
      <c r="W4" s="383"/>
      <c r="X4" s="383"/>
      <c r="Y4" s="383"/>
      <c r="Z4" s="383"/>
      <c r="AA4" s="383"/>
      <c r="AB4" s="383"/>
      <c r="AC4" s="382"/>
      <c r="AD4" s="382"/>
      <c r="AE4" s="382"/>
    </row>
    <row r="5" spans="1:32">
      <c r="A5" s="422"/>
      <c r="B5" s="422"/>
      <c r="C5" s="422"/>
      <c r="D5" s="422"/>
      <c r="E5" s="779"/>
      <c r="F5" s="623" t="s">
        <v>1556</v>
      </c>
      <c r="G5" s="623" t="s">
        <v>1556</v>
      </c>
      <c r="H5" s="623" t="s">
        <v>1557</v>
      </c>
      <c r="I5" s="623" t="s">
        <v>1557</v>
      </c>
      <c r="J5" s="623" t="s">
        <v>1557</v>
      </c>
      <c r="K5" s="623" t="s">
        <v>1557</v>
      </c>
      <c r="L5" s="623" t="s">
        <v>1557</v>
      </c>
      <c r="M5" s="623" t="s">
        <v>1557</v>
      </c>
      <c r="N5" s="623" t="s">
        <v>1557</v>
      </c>
      <c r="O5" s="623" t="s">
        <v>1557</v>
      </c>
      <c r="P5" s="623" t="s">
        <v>1557</v>
      </c>
      <c r="Q5" s="623" t="s">
        <v>1557</v>
      </c>
      <c r="R5" s="623" t="s">
        <v>1557</v>
      </c>
      <c r="S5" s="424"/>
      <c r="T5" s="382"/>
      <c r="U5" s="383"/>
      <c r="V5" s="383"/>
      <c r="W5" s="383"/>
      <c r="X5" s="383"/>
      <c r="Y5" s="383"/>
      <c r="Z5" s="383"/>
      <c r="AA5" s="383"/>
      <c r="AB5" s="383"/>
      <c r="AC5" s="382"/>
      <c r="AD5" s="382"/>
      <c r="AE5" s="382"/>
    </row>
    <row r="6" spans="1:32">
      <c r="A6" s="422"/>
      <c r="B6" s="422"/>
      <c r="C6" s="422"/>
      <c r="D6" s="422"/>
      <c r="E6" s="779"/>
      <c r="F6" s="623" t="s">
        <v>1049</v>
      </c>
      <c r="G6" s="623" t="s">
        <v>1049</v>
      </c>
      <c r="H6" s="623" t="s">
        <v>1049</v>
      </c>
      <c r="I6" s="623" t="s">
        <v>1049</v>
      </c>
      <c r="J6" s="623" t="s">
        <v>1049</v>
      </c>
      <c r="K6" s="623" t="s">
        <v>1049</v>
      </c>
      <c r="L6" s="623" t="s">
        <v>1049</v>
      </c>
      <c r="M6" s="623" t="s">
        <v>1049</v>
      </c>
      <c r="N6" s="623" t="s">
        <v>1049</v>
      </c>
      <c r="O6" s="623" t="s">
        <v>1049</v>
      </c>
      <c r="P6" s="623" t="s">
        <v>1049</v>
      </c>
      <c r="Q6" s="623" t="s">
        <v>1049</v>
      </c>
      <c r="R6" s="623" t="s">
        <v>1049</v>
      </c>
      <c r="S6" s="424"/>
      <c r="T6" s="779"/>
      <c r="U6" s="424"/>
      <c r="V6" s="829"/>
      <c r="W6" s="383"/>
      <c r="X6" s="383"/>
      <c r="Y6" s="617" t="s">
        <v>1197</v>
      </c>
      <c r="Z6" s="617"/>
      <c r="AA6" s="383"/>
      <c r="AB6" s="383"/>
      <c r="AC6" s="382"/>
      <c r="AD6" s="382"/>
      <c r="AE6" s="382"/>
    </row>
    <row r="7" spans="1:32">
      <c r="A7" s="422"/>
      <c r="B7" s="422"/>
      <c r="C7" s="422"/>
      <c r="D7" s="422"/>
      <c r="E7" s="779"/>
      <c r="F7" s="623" t="s">
        <v>1198</v>
      </c>
      <c r="G7" s="623" t="s">
        <v>1198</v>
      </c>
      <c r="H7" s="623" t="s">
        <v>1198</v>
      </c>
      <c r="I7" s="623" t="s">
        <v>1198</v>
      </c>
      <c r="J7" s="623" t="s">
        <v>1198</v>
      </c>
      <c r="K7" s="623" t="s">
        <v>1198</v>
      </c>
      <c r="L7" s="623" t="s">
        <v>1198</v>
      </c>
      <c r="M7" s="623" t="s">
        <v>1198</v>
      </c>
      <c r="N7" s="623" t="s">
        <v>1198</v>
      </c>
      <c r="O7" s="623" t="s">
        <v>1198</v>
      </c>
      <c r="P7" s="623" t="s">
        <v>1198</v>
      </c>
      <c r="Q7" s="623" t="s">
        <v>1198</v>
      </c>
      <c r="R7" s="623" t="s">
        <v>1198</v>
      </c>
      <c r="S7" s="424"/>
      <c r="T7" s="779"/>
      <c r="U7" s="424"/>
      <c r="V7" s="829"/>
      <c r="W7" s="383"/>
      <c r="X7" s="383"/>
      <c r="Y7" s="617" t="s">
        <v>106</v>
      </c>
      <c r="Z7" s="622">
        <f>+'State Allocation Formulas'!C21</f>
        <v>0.74850000000000005</v>
      </c>
      <c r="AA7" s="383"/>
      <c r="AB7" s="383"/>
      <c r="AC7" s="382"/>
      <c r="AD7" s="382"/>
      <c r="AE7" s="382"/>
    </row>
    <row r="8" spans="1:32">
      <c r="A8" s="422"/>
      <c r="B8" s="422"/>
      <c r="C8" s="422"/>
      <c r="D8" s="422"/>
      <c r="E8" s="385"/>
      <c r="F8" s="624" t="s">
        <v>482</v>
      </c>
      <c r="G8" s="624" t="s">
        <v>539</v>
      </c>
      <c r="H8" s="624" t="s">
        <v>573</v>
      </c>
      <c r="I8" s="624" t="s">
        <v>575</v>
      </c>
      <c r="J8" s="624" t="s">
        <v>1050</v>
      </c>
      <c r="K8" s="624" t="s">
        <v>1051</v>
      </c>
      <c r="L8" s="624" t="s">
        <v>1052</v>
      </c>
      <c r="M8" s="624" t="s">
        <v>1053</v>
      </c>
      <c r="N8" s="624" t="s">
        <v>390</v>
      </c>
      <c r="O8" s="624" t="s">
        <v>1054</v>
      </c>
      <c r="P8" s="624" t="s">
        <v>1055</v>
      </c>
      <c r="Q8" s="624" t="s">
        <v>1056</v>
      </c>
      <c r="R8" s="624" t="s">
        <v>482</v>
      </c>
      <c r="S8" s="424"/>
      <c r="T8" s="382"/>
      <c r="U8" s="383"/>
      <c r="V8" s="383"/>
      <c r="W8" s="383"/>
      <c r="X8" s="383"/>
      <c r="Y8" s="617" t="s">
        <v>83</v>
      </c>
      <c r="Z8" s="622">
        <f>+'State Allocation Formulas'!D21</f>
        <v>0.25146666666666667</v>
      </c>
      <c r="AA8" s="383"/>
      <c r="AB8" s="383"/>
      <c r="AC8" s="382"/>
      <c r="AD8" s="382"/>
      <c r="AE8" s="382"/>
    </row>
    <row r="9" spans="1:32">
      <c r="A9" s="422"/>
      <c r="B9" s="422"/>
      <c r="C9" s="422"/>
      <c r="D9" s="422"/>
      <c r="E9" s="385"/>
      <c r="F9" s="623" t="s">
        <v>750</v>
      </c>
      <c r="G9" s="623" t="s">
        <v>750</v>
      </c>
      <c r="H9" s="623" t="s">
        <v>750</v>
      </c>
      <c r="I9" s="623" t="s">
        <v>750</v>
      </c>
      <c r="J9" s="623" t="s">
        <v>750</v>
      </c>
      <c r="K9" s="623" t="s">
        <v>750</v>
      </c>
      <c r="L9" s="623" t="s">
        <v>750</v>
      </c>
      <c r="M9" s="623" t="s">
        <v>750</v>
      </c>
      <c r="N9" s="623" t="s">
        <v>750</v>
      </c>
      <c r="O9" s="623" t="s">
        <v>750</v>
      </c>
      <c r="P9" s="623" t="s">
        <v>750</v>
      </c>
      <c r="Q9" s="623" t="s">
        <v>750</v>
      </c>
      <c r="R9" s="623" t="s">
        <v>750</v>
      </c>
      <c r="S9" s="424"/>
      <c r="T9" s="382"/>
      <c r="U9" s="383"/>
      <c r="V9" s="383"/>
      <c r="W9" s="383"/>
      <c r="X9" s="383"/>
      <c r="Y9" s="383"/>
      <c r="Z9" s="383"/>
      <c r="AA9" s="383"/>
      <c r="AB9" s="383"/>
      <c r="AC9" s="382"/>
      <c r="AD9" s="382"/>
      <c r="AE9" s="382"/>
    </row>
    <row r="10" spans="1:32">
      <c r="A10" s="422"/>
      <c r="B10" s="422"/>
      <c r="C10" s="422"/>
      <c r="D10" s="422"/>
      <c r="E10" s="385"/>
      <c r="F10" s="623" t="s">
        <v>790</v>
      </c>
      <c r="G10" s="623" t="s">
        <v>790</v>
      </c>
      <c r="H10" s="623" t="s">
        <v>790</v>
      </c>
      <c r="I10" s="623" t="s">
        <v>790</v>
      </c>
      <c r="J10" s="623" t="s">
        <v>790</v>
      </c>
      <c r="K10" s="623" t="s">
        <v>790</v>
      </c>
      <c r="L10" s="623" t="s">
        <v>790</v>
      </c>
      <c r="M10" s="623" t="s">
        <v>790</v>
      </c>
      <c r="N10" s="623" t="s">
        <v>790</v>
      </c>
      <c r="O10" s="623" t="s">
        <v>790</v>
      </c>
      <c r="P10" s="623" t="s">
        <v>790</v>
      </c>
      <c r="Q10" s="623" t="s">
        <v>790</v>
      </c>
      <c r="R10" s="623" t="s">
        <v>790</v>
      </c>
      <c r="S10" s="424"/>
      <c r="T10" s="382"/>
      <c r="U10" s="383"/>
      <c r="V10" s="383"/>
      <c r="W10" s="383"/>
      <c r="X10" s="383"/>
      <c r="Y10" s="383"/>
      <c r="Z10" s="383"/>
      <c r="AA10" s="383"/>
      <c r="AB10" s="383"/>
      <c r="AC10" s="382"/>
      <c r="AD10" s="382"/>
      <c r="AE10" s="382"/>
    </row>
    <row r="11" spans="1:32">
      <c r="A11" s="422"/>
      <c r="B11" s="944" t="s">
        <v>1199</v>
      </c>
      <c r="C11" s="625"/>
      <c r="D11" s="944" t="s">
        <v>1200</v>
      </c>
      <c r="E11" s="779"/>
      <c r="F11" s="422"/>
      <c r="G11" s="422"/>
      <c r="H11" s="422"/>
      <c r="I11" s="422"/>
      <c r="J11" s="422"/>
      <c r="K11" s="422"/>
      <c r="L11" s="422"/>
      <c r="M11" s="422"/>
      <c r="N11" s="422"/>
      <c r="O11" s="422"/>
      <c r="P11" s="422"/>
      <c r="Q11" s="422"/>
      <c r="R11" s="422"/>
      <c r="S11" s="424"/>
      <c r="T11" s="382"/>
      <c r="U11" s="383"/>
      <c r="V11" s="383"/>
      <c r="W11" s="383"/>
      <c r="X11" s="383"/>
      <c r="Y11" s="386" t="s">
        <v>1201</v>
      </c>
      <c r="Z11" s="387"/>
      <c r="AA11" s="387"/>
      <c r="AB11" s="383"/>
      <c r="AC11" s="382"/>
      <c r="AD11" s="382"/>
      <c r="AE11" s="382"/>
    </row>
    <row r="12" spans="1:32">
      <c r="A12" s="626" t="s">
        <v>1202</v>
      </c>
      <c r="B12" s="944"/>
      <c r="C12" s="625" t="s">
        <v>858</v>
      </c>
      <c r="D12" s="944"/>
      <c r="E12" s="779"/>
      <c r="F12" s="422"/>
      <c r="G12" s="422"/>
      <c r="H12" s="422"/>
      <c r="I12" s="422"/>
      <c r="J12" s="422"/>
      <c r="K12" s="422"/>
      <c r="L12" s="422"/>
      <c r="M12" s="422"/>
      <c r="N12" s="422"/>
      <c r="O12" s="422"/>
      <c r="P12" s="422"/>
      <c r="Q12" s="422"/>
      <c r="R12" s="422"/>
      <c r="S12" s="424"/>
      <c r="T12" s="382"/>
      <c r="U12" s="388" t="s">
        <v>1203</v>
      </c>
      <c r="V12" s="388" t="s">
        <v>1203</v>
      </c>
      <c r="W12" s="388" t="s">
        <v>378</v>
      </c>
      <c r="X12" s="388" t="s">
        <v>58</v>
      </c>
      <c r="Y12" s="383"/>
      <c r="Z12" s="383"/>
      <c r="AA12" s="383"/>
      <c r="AB12" s="383"/>
      <c r="AC12" s="382"/>
      <c r="AD12" s="382"/>
      <c r="AE12" s="382"/>
    </row>
    <row r="13" spans="1:32">
      <c r="A13" s="626" t="s">
        <v>1204</v>
      </c>
      <c r="B13" s="625" t="s">
        <v>1205</v>
      </c>
      <c r="C13" s="625" t="s">
        <v>1204</v>
      </c>
      <c r="D13" s="625" t="s">
        <v>858</v>
      </c>
      <c r="E13" s="779"/>
      <c r="F13" s="389" t="s">
        <v>1670</v>
      </c>
      <c r="G13" s="627" t="s">
        <v>1671</v>
      </c>
      <c r="H13" s="389" t="s">
        <v>1672</v>
      </c>
      <c r="I13" s="389" t="s">
        <v>1673</v>
      </c>
      <c r="J13" s="389" t="s">
        <v>1674</v>
      </c>
      <c r="K13" s="389" t="s">
        <v>1675</v>
      </c>
      <c r="L13" s="389" t="s">
        <v>1676</v>
      </c>
      <c r="M13" s="389" t="s">
        <v>1677</v>
      </c>
      <c r="N13" s="389" t="s">
        <v>1678</v>
      </c>
      <c r="O13" s="389" t="s">
        <v>1679</v>
      </c>
      <c r="P13" s="389" t="s">
        <v>1680</v>
      </c>
      <c r="Q13" s="389" t="s">
        <v>1681</v>
      </c>
      <c r="R13" s="389" t="s">
        <v>1682</v>
      </c>
      <c r="S13" s="390" t="s">
        <v>904</v>
      </c>
      <c r="T13" s="382"/>
      <c r="U13" s="388" t="s">
        <v>1206</v>
      </c>
      <c r="V13" s="388" t="s">
        <v>1207</v>
      </c>
      <c r="W13" s="388" t="s">
        <v>379</v>
      </c>
      <c r="X13" s="388" t="s">
        <v>380</v>
      </c>
      <c r="Y13" s="388" t="s">
        <v>372</v>
      </c>
      <c r="Z13" s="388" t="s">
        <v>760</v>
      </c>
      <c r="AA13" s="388" t="s">
        <v>1208</v>
      </c>
      <c r="AB13" s="388" t="s">
        <v>1209</v>
      </c>
      <c r="AC13" s="382" t="s">
        <v>371</v>
      </c>
      <c r="AD13" s="382" t="s">
        <v>1210</v>
      </c>
      <c r="AE13" s="382"/>
    </row>
    <row r="14" spans="1:32">
      <c r="A14" s="626"/>
      <c r="B14" s="625"/>
      <c r="C14" s="625"/>
      <c r="D14" s="625"/>
      <c r="E14" s="779"/>
      <c r="F14" s="447"/>
      <c r="G14" s="628"/>
      <c r="H14" s="447"/>
      <c r="I14" s="447"/>
      <c r="J14" s="447"/>
      <c r="K14" s="447"/>
      <c r="L14" s="447"/>
      <c r="M14" s="447"/>
      <c r="N14" s="447"/>
      <c r="O14" s="447"/>
      <c r="P14" s="447"/>
      <c r="Q14" s="447"/>
      <c r="R14" s="447"/>
      <c r="S14" s="448" t="s">
        <v>110</v>
      </c>
      <c r="T14" s="382"/>
      <c r="U14" s="830" t="s">
        <v>111</v>
      </c>
      <c r="V14" s="830" t="s">
        <v>1211</v>
      </c>
      <c r="W14" s="830" t="s">
        <v>1212</v>
      </c>
      <c r="X14" s="830" t="s">
        <v>1213</v>
      </c>
      <c r="Y14" s="830" t="s">
        <v>1214</v>
      </c>
      <c r="Z14" s="830" t="s">
        <v>1215</v>
      </c>
      <c r="AA14" s="830"/>
      <c r="AB14" s="830" t="s">
        <v>1216</v>
      </c>
      <c r="AC14" s="831"/>
      <c r="AD14" s="831"/>
      <c r="AE14" s="831"/>
    </row>
    <row r="15" spans="1:32">
      <c r="A15" s="422">
        <v>1</v>
      </c>
      <c r="B15" s="423" t="s">
        <v>1063</v>
      </c>
      <c r="C15" s="423" t="s">
        <v>381</v>
      </c>
      <c r="D15" s="422" t="s">
        <v>382</v>
      </c>
      <c r="E15" s="777" t="s">
        <v>383</v>
      </c>
      <c r="F15" s="391">
        <v>954960214.52999997</v>
      </c>
      <c r="G15" s="391">
        <v>955271288.53999996</v>
      </c>
      <c r="H15" s="391">
        <v>958999807.75999999</v>
      </c>
      <c r="I15" s="391">
        <v>959271873.67999995</v>
      </c>
      <c r="J15" s="391">
        <v>961429978.09000003</v>
      </c>
      <c r="K15" s="391">
        <v>969168227.27999997</v>
      </c>
      <c r="L15" s="391">
        <v>983640654.03999996</v>
      </c>
      <c r="M15" s="391">
        <v>986426018.51999998</v>
      </c>
      <c r="N15" s="391">
        <v>991284385.44000006</v>
      </c>
      <c r="O15" s="391">
        <v>994724254.46000004</v>
      </c>
      <c r="P15" s="391">
        <v>996900436.60000002</v>
      </c>
      <c r="Q15" s="391">
        <v>998550390.24000001</v>
      </c>
      <c r="R15" s="391">
        <v>1054152346.6799999</v>
      </c>
      <c r="S15" s="618">
        <f>((F15+R15)+((G15+H15+I15+J15+K15+L15+M15+N15+O15+P15+Q15)*2))/24</f>
        <v>980018632.93791676</v>
      </c>
      <c r="T15" s="382"/>
      <c r="U15" s="832"/>
      <c r="V15" s="832"/>
      <c r="W15" s="832"/>
      <c r="X15" s="393">
        <f>+S15</f>
        <v>980018632.93791676</v>
      </c>
      <c r="Y15" s="833">
        <f>+'Plant in Serv &amp; Accum Depr'!AF159</f>
        <v>780280560.97563207</v>
      </c>
      <c r="Z15" s="832">
        <f>+X15-Y15</f>
        <v>199738071.96228468</v>
      </c>
      <c r="AA15" s="832"/>
      <c r="AB15" s="832"/>
      <c r="AC15" s="831"/>
      <c r="AD15" s="831"/>
      <c r="AE15" s="831" t="s">
        <v>1728</v>
      </c>
      <c r="AF15" s="781">
        <f t="shared" ref="AF15:AF78" si="0">+U15+V15-AD15</f>
        <v>0</v>
      </c>
    </row>
    <row r="16" spans="1:32">
      <c r="A16" s="422">
        <f>+A15+1</f>
        <v>2</v>
      </c>
      <c r="B16" s="423" t="s">
        <v>1063</v>
      </c>
      <c r="C16" s="423" t="s">
        <v>384</v>
      </c>
      <c r="D16" s="422" t="s">
        <v>382</v>
      </c>
      <c r="E16" s="777" t="s">
        <v>385</v>
      </c>
      <c r="F16" s="391">
        <v>42677267.270000003</v>
      </c>
      <c r="G16" s="391">
        <v>46181313.079999998</v>
      </c>
      <c r="H16" s="391">
        <v>44878818.090000004</v>
      </c>
      <c r="I16" s="391">
        <v>46850903.719999999</v>
      </c>
      <c r="J16" s="391">
        <v>48671668.939999998</v>
      </c>
      <c r="K16" s="391">
        <v>46504919.969999999</v>
      </c>
      <c r="L16" s="391">
        <v>37760264.009999998</v>
      </c>
      <c r="M16" s="391">
        <v>38935196.590000004</v>
      </c>
      <c r="N16" s="391">
        <v>41767099.710000001</v>
      </c>
      <c r="O16" s="391">
        <v>52068090.939999998</v>
      </c>
      <c r="P16" s="391">
        <v>61580081.479999997</v>
      </c>
      <c r="Q16" s="391">
        <v>66760540.119999997</v>
      </c>
      <c r="R16" s="391">
        <v>23074397.219999999</v>
      </c>
      <c r="S16" s="618">
        <f>((F16+R16)+((G16+H16+I16+J16+K16+L16+M16+N16+O16+P16+Q16)*2))/24</f>
        <v>47069560.741250001</v>
      </c>
      <c r="T16" s="382"/>
      <c r="U16" s="833"/>
      <c r="V16" s="833"/>
      <c r="W16" s="833"/>
      <c r="X16" s="425">
        <f>+S16</f>
        <v>47069560.741250001</v>
      </c>
      <c r="Y16" s="833">
        <f>+X16*Z7</f>
        <v>35231566.21482563</v>
      </c>
      <c r="Z16" s="833">
        <f>+X16*Z8</f>
        <v>11836425.541066334</v>
      </c>
      <c r="AA16" s="833"/>
      <c r="AB16" s="833"/>
      <c r="AC16" s="834"/>
      <c r="AD16" s="834"/>
      <c r="AE16" s="834"/>
      <c r="AF16" s="781">
        <f t="shared" si="0"/>
        <v>0</v>
      </c>
    </row>
    <row r="17" spans="1:32">
      <c r="A17" s="779">
        <f t="shared" ref="A17:A81" si="1">+A16+1</f>
        <v>3</v>
      </c>
      <c r="B17" s="423" t="s">
        <v>1063</v>
      </c>
      <c r="C17" s="423" t="s">
        <v>386</v>
      </c>
      <c r="D17" s="423" t="s">
        <v>382</v>
      </c>
      <c r="E17" s="777" t="s">
        <v>387</v>
      </c>
      <c r="F17" s="391">
        <v>8458803.8800000008</v>
      </c>
      <c r="G17" s="391">
        <v>8044239.9800000004</v>
      </c>
      <c r="H17" s="391">
        <v>9590430.0199999996</v>
      </c>
      <c r="I17" s="391">
        <v>9963218.9000000004</v>
      </c>
      <c r="J17" s="391">
        <v>10160924.32</v>
      </c>
      <c r="K17" s="391">
        <v>12665643.82</v>
      </c>
      <c r="L17" s="391">
        <v>11895074.75</v>
      </c>
      <c r="M17" s="391">
        <v>15896861.26</v>
      </c>
      <c r="N17" s="391">
        <v>15216784.77</v>
      </c>
      <c r="O17" s="391">
        <v>9364077.1099999994</v>
      </c>
      <c r="P17" s="391">
        <v>10015988.92</v>
      </c>
      <c r="Q17" s="391">
        <v>12165487.189999999</v>
      </c>
      <c r="R17" s="391">
        <v>12854207.49</v>
      </c>
      <c r="S17" s="618">
        <f>((F17+R17)+((G17+H17+I17+J17+K17+L17+M17+N17+O17+P17+Q17)*2))/24</f>
        <v>11302936.393749999</v>
      </c>
      <c r="T17" s="382"/>
      <c r="U17" s="833"/>
      <c r="V17" s="833"/>
      <c r="W17" s="833"/>
      <c r="X17" s="425">
        <f>+S17</f>
        <v>11302936.393749999</v>
      </c>
      <c r="Y17" s="833"/>
      <c r="Z17" s="833"/>
      <c r="AA17" s="833"/>
      <c r="AB17" s="833">
        <f>+S17</f>
        <v>11302936.393749999</v>
      </c>
      <c r="AC17" s="834"/>
      <c r="AD17" s="834"/>
      <c r="AE17" s="834"/>
      <c r="AF17" s="781">
        <f t="shared" si="0"/>
        <v>0</v>
      </c>
    </row>
    <row r="18" spans="1:32">
      <c r="A18" s="779">
        <f t="shared" si="1"/>
        <v>4</v>
      </c>
      <c r="B18" s="422"/>
      <c r="C18" s="422"/>
      <c r="D18" s="422"/>
      <c r="E18" s="777" t="s">
        <v>388</v>
      </c>
      <c r="F18" s="394">
        <f t="shared" ref="F18:S18" si="2">SUM(F15:F17)</f>
        <v>1006096285.6799999</v>
      </c>
      <c r="G18" s="394">
        <f t="shared" si="2"/>
        <v>1009496841.6</v>
      </c>
      <c r="H18" s="394">
        <f t="shared" si="2"/>
        <v>1013469055.87</v>
      </c>
      <c r="I18" s="394">
        <f t="shared" si="2"/>
        <v>1016085996.3</v>
      </c>
      <c r="J18" s="394">
        <f t="shared" si="2"/>
        <v>1020262571.35</v>
      </c>
      <c r="K18" s="394">
        <f t="shared" si="2"/>
        <v>1028338791.0700001</v>
      </c>
      <c r="L18" s="394">
        <f t="shared" si="2"/>
        <v>1033295992.8</v>
      </c>
      <c r="M18" s="394">
        <f t="shared" si="2"/>
        <v>1041258076.37</v>
      </c>
      <c r="N18" s="394">
        <f t="shared" si="2"/>
        <v>1048268269.9200001</v>
      </c>
      <c r="O18" s="394">
        <f t="shared" si="2"/>
        <v>1056156422.5100001</v>
      </c>
      <c r="P18" s="394">
        <f t="shared" si="2"/>
        <v>1068496507</v>
      </c>
      <c r="Q18" s="394">
        <f t="shared" si="2"/>
        <v>1077476417.55</v>
      </c>
      <c r="R18" s="394">
        <f t="shared" si="2"/>
        <v>1090080951.3899999</v>
      </c>
      <c r="S18" s="620">
        <f t="shared" si="2"/>
        <v>1038391130.0729167</v>
      </c>
      <c r="T18" s="382"/>
      <c r="U18" s="833"/>
      <c r="V18" s="833"/>
      <c r="W18" s="833"/>
      <c r="X18" s="425"/>
      <c r="Y18" s="833"/>
      <c r="Z18" s="833"/>
      <c r="AA18" s="833"/>
      <c r="AB18" s="833"/>
      <c r="AC18" s="834"/>
      <c r="AD18" s="834"/>
      <c r="AE18" s="834"/>
      <c r="AF18" s="781">
        <f t="shared" si="0"/>
        <v>0</v>
      </c>
    </row>
    <row r="19" spans="1:32">
      <c r="A19" s="779">
        <f t="shared" si="1"/>
        <v>5</v>
      </c>
      <c r="B19" s="422"/>
      <c r="C19" s="422"/>
      <c r="D19" s="422"/>
      <c r="E19" s="777"/>
      <c r="F19" s="396"/>
      <c r="G19" s="629"/>
      <c r="H19" s="397"/>
      <c r="I19" s="397"/>
      <c r="J19" s="398"/>
      <c r="K19" s="399"/>
      <c r="L19" s="400"/>
      <c r="M19" s="401"/>
      <c r="N19" s="402"/>
      <c r="O19" s="403"/>
      <c r="P19" s="404"/>
      <c r="Q19" s="630"/>
      <c r="R19" s="396"/>
      <c r="S19" s="392"/>
      <c r="T19" s="382"/>
      <c r="U19" s="833"/>
      <c r="V19" s="833"/>
      <c r="W19" s="833"/>
      <c r="X19" s="425"/>
      <c r="Y19" s="833"/>
      <c r="Z19" s="833"/>
      <c r="AA19" s="833"/>
      <c r="AB19" s="833"/>
      <c r="AC19" s="834"/>
      <c r="AD19" s="834"/>
      <c r="AE19" s="834"/>
      <c r="AF19" s="781">
        <f t="shared" si="0"/>
        <v>0</v>
      </c>
    </row>
    <row r="20" spans="1:32">
      <c r="A20" s="779">
        <f t="shared" si="1"/>
        <v>6</v>
      </c>
      <c r="B20" s="423" t="s">
        <v>1063</v>
      </c>
      <c r="C20" s="423" t="s">
        <v>389</v>
      </c>
      <c r="D20" s="423" t="s">
        <v>390</v>
      </c>
      <c r="E20" s="764" t="s">
        <v>391</v>
      </c>
      <c r="F20" s="391">
        <v>1304185.71</v>
      </c>
      <c r="G20" s="391">
        <v>1361456.93</v>
      </c>
      <c r="H20" s="391">
        <v>2470006.59</v>
      </c>
      <c r="I20" s="391">
        <v>2890499.7</v>
      </c>
      <c r="J20" s="391">
        <v>2916076.74</v>
      </c>
      <c r="K20" s="391">
        <v>2595455.38</v>
      </c>
      <c r="L20" s="391">
        <v>2112426.61</v>
      </c>
      <c r="M20" s="391">
        <v>1516892.97</v>
      </c>
      <c r="N20" s="391">
        <v>1900343.43</v>
      </c>
      <c r="O20" s="391">
        <v>1929091.96</v>
      </c>
      <c r="P20" s="391">
        <v>2080763.68</v>
      </c>
      <c r="Q20" s="391">
        <v>2130353.02</v>
      </c>
      <c r="R20" s="391">
        <v>205126.12</v>
      </c>
      <c r="S20" s="618">
        <f>((F20+R20)+((G20+H20+I20+J20+K20+L20+M20+N20+O20+P20+Q20)*2))/24</f>
        <v>2054835.2437500001</v>
      </c>
      <c r="T20" s="382"/>
      <c r="U20" s="833"/>
      <c r="V20" s="833"/>
      <c r="W20" s="833"/>
      <c r="X20" s="425">
        <f>+S20</f>
        <v>2054835.2437500001</v>
      </c>
      <c r="Y20" s="833">
        <f>+AA20*Z7</f>
        <v>1538044.1799468752</v>
      </c>
      <c r="Z20" s="833">
        <f>+X20-Y20</f>
        <v>516791.06380312494</v>
      </c>
      <c r="AA20" s="833">
        <f>+S20</f>
        <v>2054835.2437500001</v>
      </c>
      <c r="AB20" s="833"/>
      <c r="AC20" s="834"/>
      <c r="AD20" s="834"/>
      <c r="AE20" s="834"/>
      <c r="AF20" s="781">
        <f t="shared" si="0"/>
        <v>0</v>
      </c>
    </row>
    <row r="21" spans="1:32">
      <c r="A21" s="779">
        <f t="shared" si="1"/>
        <v>7</v>
      </c>
      <c r="B21" s="423" t="s">
        <v>1063</v>
      </c>
      <c r="C21" s="423" t="s">
        <v>389</v>
      </c>
      <c r="D21" s="423"/>
      <c r="E21" s="777" t="s">
        <v>392</v>
      </c>
      <c r="F21" s="391">
        <v>-326996779.68000001</v>
      </c>
      <c r="G21" s="391">
        <v>-327454425.81</v>
      </c>
      <c r="H21" s="391">
        <v>-330025838.31</v>
      </c>
      <c r="I21" s="391">
        <v>-330860579.06999999</v>
      </c>
      <c r="J21" s="391">
        <v>-330925264.75999999</v>
      </c>
      <c r="K21" s="391">
        <v>-332293772.66000003</v>
      </c>
      <c r="L21" s="391">
        <v>-333062091.58999997</v>
      </c>
      <c r="M21" s="391">
        <v>-334736388.06</v>
      </c>
      <c r="N21" s="391">
        <v>-335604241.25</v>
      </c>
      <c r="O21" s="391">
        <v>-337244544.37</v>
      </c>
      <c r="P21" s="391">
        <v>-338523698.99000001</v>
      </c>
      <c r="Q21" s="391">
        <v>-340190998</v>
      </c>
      <c r="R21" s="391">
        <v>-333307309.50999999</v>
      </c>
      <c r="S21" s="618">
        <f>((F21+R21)+((G21+H21+I21+J21+K21+L21+M21+N21+O21+P21+Q21)*2))/24</f>
        <v>-333422823.95541668</v>
      </c>
      <c r="T21" s="382"/>
      <c r="U21" s="833"/>
      <c r="V21" s="833"/>
      <c r="W21" s="833"/>
      <c r="X21" s="425"/>
      <c r="Y21" s="833"/>
      <c r="Z21" s="833"/>
      <c r="AA21" s="833"/>
      <c r="AB21" s="833"/>
      <c r="AC21" s="834"/>
      <c r="AD21" s="834"/>
      <c r="AE21" s="834"/>
      <c r="AF21" s="781">
        <f t="shared" si="0"/>
        <v>0</v>
      </c>
    </row>
    <row r="22" spans="1:32">
      <c r="A22" s="779">
        <f t="shared" si="1"/>
        <v>8</v>
      </c>
      <c r="B22" s="423" t="s">
        <v>1063</v>
      </c>
      <c r="C22" s="423" t="s">
        <v>393</v>
      </c>
      <c r="D22" s="423"/>
      <c r="E22" s="777" t="s">
        <v>394</v>
      </c>
      <c r="F22" s="391">
        <v>-13839974.779999999</v>
      </c>
      <c r="G22" s="391">
        <v>-14124777.689999999</v>
      </c>
      <c r="H22" s="391">
        <v>-14409696.48</v>
      </c>
      <c r="I22" s="391">
        <v>-14694726.68</v>
      </c>
      <c r="J22" s="391">
        <v>-14979836.73</v>
      </c>
      <c r="K22" s="391">
        <v>-15264783.689999999</v>
      </c>
      <c r="L22" s="391">
        <v>-15549730.65</v>
      </c>
      <c r="M22" s="391">
        <v>-15834895.51</v>
      </c>
      <c r="N22" s="391">
        <v>-16120060.58</v>
      </c>
      <c r="O22" s="391">
        <v>-16405242.960000001</v>
      </c>
      <c r="P22" s="391">
        <v>-16690426.619999999</v>
      </c>
      <c r="Q22" s="391">
        <v>-16975611.760000002</v>
      </c>
      <c r="R22" s="391">
        <v>-17326335.18</v>
      </c>
      <c r="S22" s="618">
        <f>((F22+R22)+((G22+H22+I22+J22+K22+L22+M22+N22+O22+P22+Q22)*2))/24</f>
        <v>-15552745.360833332</v>
      </c>
      <c r="T22" s="382"/>
      <c r="U22" s="833"/>
      <c r="V22" s="833"/>
      <c r="W22" s="833"/>
      <c r="X22" s="425"/>
      <c r="Y22" s="833"/>
      <c r="Z22" s="833"/>
      <c r="AA22" s="833"/>
      <c r="AB22" s="833"/>
      <c r="AC22" s="834"/>
      <c r="AD22" s="834"/>
      <c r="AE22" s="834"/>
      <c r="AF22" s="781">
        <f t="shared" si="0"/>
        <v>0</v>
      </c>
    </row>
    <row r="23" spans="1:32">
      <c r="A23" s="779">
        <f t="shared" si="1"/>
        <v>9</v>
      </c>
      <c r="B23" s="423" t="s">
        <v>1063</v>
      </c>
      <c r="C23" s="423" t="s">
        <v>395</v>
      </c>
      <c r="D23" s="423"/>
      <c r="E23" s="777" t="s">
        <v>396</v>
      </c>
      <c r="F23" s="405">
        <v>0</v>
      </c>
      <c r="G23" s="405">
        <v>0</v>
      </c>
      <c r="H23" s="405">
        <v>0</v>
      </c>
      <c r="I23" s="405">
        <v>0</v>
      </c>
      <c r="J23" s="405">
        <v>0</v>
      </c>
      <c r="K23" s="405">
        <v>0</v>
      </c>
      <c r="L23" s="405">
        <v>0</v>
      </c>
      <c r="M23" s="405">
        <v>0</v>
      </c>
      <c r="N23" s="405">
        <v>0</v>
      </c>
      <c r="O23" s="405">
        <v>0</v>
      </c>
      <c r="P23" s="405">
        <v>0</v>
      </c>
      <c r="Q23" s="405">
        <v>0</v>
      </c>
      <c r="R23" s="405">
        <v>0</v>
      </c>
      <c r="S23" s="406">
        <f>((F23+R23)+((G23+H23+I23+J23+K23+L23+M23+N23+O23+P23+Q23)*2))/24</f>
        <v>0</v>
      </c>
      <c r="T23" s="382"/>
      <c r="U23" s="833"/>
      <c r="V23" s="833"/>
      <c r="W23" s="833"/>
      <c r="X23" s="425"/>
      <c r="Y23" s="833"/>
      <c r="Z23" s="833"/>
      <c r="AA23" s="833"/>
      <c r="AB23" s="833"/>
      <c r="AC23" s="834"/>
      <c r="AD23" s="834"/>
      <c r="AE23" s="834"/>
      <c r="AF23" s="781">
        <f t="shared" si="0"/>
        <v>0</v>
      </c>
    </row>
    <row r="24" spans="1:32">
      <c r="A24" s="779">
        <f t="shared" si="1"/>
        <v>10</v>
      </c>
      <c r="B24" s="422"/>
      <c r="C24" s="422"/>
      <c r="D24" s="422"/>
      <c r="E24" s="777" t="s">
        <v>397</v>
      </c>
      <c r="F24" s="631">
        <f>SUM(F20:F23)</f>
        <v>-339532568.75</v>
      </c>
      <c r="G24" s="631">
        <f t="shared" ref="G24:R24" si="3">SUM(G20:G23)</f>
        <v>-340217746.56999999</v>
      </c>
      <c r="H24" s="631">
        <f t="shared" si="3"/>
        <v>-341965528.20000005</v>
      </c>
      <c r="I24" s="631">
        <f t="shared" si="3"/>
        <v>-342664806.05000001</v>
      </c>
      <c r="J24" s="631">
        <f t="shared" si="3"/>
        <v>-342989024.75</v>
      </c>
      <c r="K24" s="631">
        <f t="shared" si="3"/>
        <v>-344963100.97000003</v>
      </c>
      <c r="L24" s="631">
        <f t="shared" si="3"/>
        <v>-346499395.62999994</v>
      </c>
      <c r="M24" s="631">
        <f t="shared" si="3"/>
        <v>-349054390.59999996</v>
      </c>
      <c r="N24" s="631">
        <f t="shared" si="3"/>
        <v>-349823958.39999998</v>
      </c>
      <c r="O24" s="631">
        <f t="shared" si="3"/>
        <v>-351720695.37</v>
      </c>
      <c r="P24" s="631">
        <f t="shared" si="3"/>
        <v>-353133361.93000001</v>
      </c>
      <c r="Q24" s="631">
        <f t="shared" si="3"/>
        <v>-355036256.74000001</v>
      </c>
      <c r="R24" s="631">
        <f t="shared" si="3"/>
        <v>-350428518.56999999</v>
      </c>
      <c r="S24" s="618">
        <f>SUM(S20:S23)</f>
        <v>-346920734.07250005</v>
      </c>
      <c r="T24" s="382"/>
      <c r="U24" s="833"/>
      <c r="V24" s="833"/>
      <c r="W24" s="833"/>
      <c r="X24" s="425"/>
      <c r="Y24" s="833"/>
      <c r="Z24" s="833"/>
      <c r="AA24" s="833"/>
      <c r="AB24" s="833"/>
      <c r="AC24" s="834"/>
      <c r="AD24" s="834"/>
      <c r="AE24" s="834"/>
      <c r="AF24" s="781">
        <f t="shared" si="0"/>
        <v>0</v>
      </c>
    </row>
    <row r="25" spans="1:32">
      <c r="A25" s="422">
        <f t="shared" si="1"/>
        <v>11</v>
      </c>
      <c r="B25" s="422"/>
      <c r="C25" s="422"/>
      <c r="D25" s="422"/>
      <c r="E25" s="777"/>
      <c r="F25" s="396"/>
      <c r="G25" s="629"/>
      <c r="H25" s="397"/>
      <c r="I25" s="397"/>
      <c r="J25" s="398"/>
      <c r="K25" s="399"/>
      <c r="L25" s="400"/>
      <c r="M25" s="401"/>
      <c r="N25" s="402"/>
      <c r="O25" s="403"/>
      <c r="P25" s="404"/>
      <c r="Q25" s="630"/>
      <c r="R25" s="396"/>
      <c r="S25" s="392"/>
      <c r="T25" s="382"/>
      <c r="U25" s="833"/>
      <c r="V25" s="833"/>
      <c r="W25" s="833"/>
      <c r="X25" s="425"/>
      <c r="Y25" s="833"/>
      <c r="Z25" s="833"/>
      <c r="AA25" s="833"/>
      <c r="AB25" s="833"/>
      <c r="AC25" s="834"/>
      <c r="AD25" s="834"/>
      <c r="AE25" s="834"/>
      <c r="AF25" s="781">
        <f t="shared" si="0"/>
        <v>0</v>
      </c>
    </row>
    <row r="26" spans="1:32">
      <c r="A26" s="422">
        <f t="shared" si="1"/>
        <v>12</v>
      </c>
      <c r="B26" s="423" t="s">
        <v>1063</v>
      </c>
      <c r="C26" s="423" t="s">
        <v>398</v>
      </c>
      <c r="D26" s="423"/>
      <c r="E26" s="777" t="s">
        <v>399</v>
      </c>
      <c r="F26" s="391">
        <v>-3402276.42</v>
      </c>
      <c r="G26" s="391">
        <v>-3418783.51</v>
      </c>
      <c r="H26" s="391">
        <v>-3437290.37</v>
      </c>
      <c r="I26" s="391">
        <v>-3454067.11</v>
      </c>
      <c r="J26" s="391">
        <v>-3470598.76</v>
      </c>
      <c r="K26" s="391">
        <v>-3452136.47</v>
      </c>
      <c r="L26" s="391">
        <v>-3454880.55</v>
      </c>
      <c r="M26" s="391">
        <v>-3457729.76</v>
      </c>
      <c r="N26" s="391">
        <v>-3266102.9</v>
      </c>
      <c r="O26" s="391">
        <v>-3276360.38</v>
      </c>
      <c r="P26" s="391">
        <v>-3294259.08</v>
      </c>
      <c r="Q26" s="391">
        <v>-3311778.78</v>
      </c>
      <c r="R26" s="391">
        <v>-3052834.66</v>
      </c>
      <c r="S26" s="618">
        <f>((F26+R26)+((G26+H26+I26+J26+K26+L26+M26+N26+O26+P26+Q26)*2))/24</f>
        <v>-3376795.2675000001</v>
      </c>
      <c r="T26" s="382"/>
      <c r="U26" s="833"/>
      <c r="V26" s="833"/>
      <c r="W26" s="833"/>
      <c r="X26" s="425"/>
      <c r="Y26" s="833"/>
      <c r="Z26" s="833"/>
      <c r="AA26" s="833"/>
      <c r="AB26" s="833"/>
      <c r="AC26" s="834"/>
      <c r="AD26" s="834"/>
      <c r="AE26" s="834"/>
      <c r="AF26" s="781">
        <f t="shared" si="0"/>
        <v>0</v>
      </c>
    </row>
    <row r="27" spans="1:32">
      <c r="A27" s="422">
        <f t="shared" si="1"/>
        <v>13</v>
      </c>
      <c r="B27" s="423" t="s">
        <v>1063</v>
      </c>
      <c r="C27" s="423" t="s">
        <v>751</v>
      </c>
      <c r="D27" s="423"/>
      <c r="E27" s="778" t="s">
        <v>752</v>
      </c>
      <c r="F27" s="405">
        <v>-134206540.91</v>
      </c>
      <c r="G27" s="405">
        <v>-134643098.88</v>
      </c>
      <c r="H27" s="405">
        <v>-135132778.09</v>
      </c>
      <c r="I27" s="405">
        <v>-135518929.47</v>
      </c>
      <c r="J27" s="405">
        <v>-135813181.63999999</v>
      </c>
      <c r="K27" s="405">
        <v>-136015906.84999999</v>
      </c>
      <c r="L27" s="405">
        <v>-135780122.75</v>
      </c>
      <c r="M27" s="405">
        <v>-136242177.21000001</v>
      </c>
      <c r="N27" s="405">
        <v>-136391566.18000001</v>
      </c>
      <c r="O27" s="405">
        <v>-136761935.13999999</v>
      </c>
      <c r="P27" s="405">
        <v>-137091177.91999999</v>
      </c>
      <c r="Q27" s="405">
        <v>-137465061.97999999</v>
      </c>
      <c r="R27" s="405">
        <v>-137249402.78999999</v>
      </c>
      <c r="S27" s="618">
        <f>((F27+R27)+((G27+H27+I27+J27+K27+L27+M27+N27+O27+P27+Q27)*2))/24</f>
        <v>-136048658.99666667</v>
      </c>
      <c r="T27" s="382"/>
      <c r="U27" s="833"/>
      <c r="V27" s="833"/>
      <c r="W27" s="833"/>
      <c r="X27" s="425"/>
      <c r="Y27" s="833"/>
      <c r="Z27" s="833"/>
      <c r="AA27" s="833"/>
      <c r="AB27" s="833"/>
      <c r="AC27" s="834"/>
      <c r="AD27" s="834"/>
      <c r="AE27" s="834"/>
      <c r="AF27" s="781">
        <f t="shared" si="0"/>
        <v>0</v>
      </c>
    </row>
    <row r="28" spans="1:32">
      <c r="A28" s="422">
        <f t="shared" si="1"/>
        <v>14</v>
      </c>
      <c r="B28" s="422"/>
      <c r="C28" s="422"/>
      <c r="D28" s="422"/>
      <c r="E28" s="777" t="s">
        <v>400</v>
      </c>
      <c r="F28" s="632">
        <f>+F26+F27</f>
        <v>-137608817.32999998</v>
      </c>
      <c r="G28" s="632">
        <f t="shared" ref="G28:R28" si="4">+G26+G27</f>
        <v>-138061882.38999999</v>
      </c>
      <c r="H28" s="632">
        <f t="shared" si="4"/>
        <v>-138570068.46000001</v>
      </c>
      <c r="I28" s="632">
        <f t="shared" si="4"/>
        <v>-138972996.58000001</v>
      </c>
      <c r="J28" s="632">
        <f t="shared" si="4"/>
        <v>-139283780.39999998</v>
      </c>
      <c r="K28" s="632">
        <f t="shared" si="4"/>
        <v>-139468043.31999999</v>
      </c>
      <c r="L28" s="632">
        <f t="shared" si="4"/>
        <v>-139235003.30000001</v>
      </c>
      <c r="M28" s="632">
        <f t="shared" si="4"/>
        <v>-139699906.97</v>
      </c>
      <c r="N28" s="632">
        <f t="shared" si="4"/>
        <v>-139657669.08000001</v>
      </c>
      <c r="O28" s="632">
        <f t="shared" si="4"/>
        <v>-140038295.51999998</v>
      </c>
      <c r="P28" s="632">
        <f t="shared" si="4"/>
        <v>-140385437</v>
      </c>
      <c r="Q28" s="632">
        <f t="shared" si="4"/>
        <v>-140776840.75999999</v>
      </c>
      <c r="R28" s="632">
        <f t="shared" si="4"/>
        <v>-140302237.44999999</v>
      </c>
      <c r="S28" s="633">
        <f>+S26+S27</f>
        <v>-139425454.26416668</v>
      </c>
      <c r="T28" s="382"/>
      <c r="U28" s="833"/>
      <c r="V28" s="833"/>
      <c r="W28" s="833"/>
      <c r="X28" s="425"/>
      <c r="Y28" s="833"/>
      <c r="Z28" s="833"/>
      <c r="AA28" s="833"/>
      <c r="AB28" s="833"/>
      <c r="AC28" s="834"/>
      <c r="AD28" s="834"/>
      <c r="AE28" s="834"/>
      <c r="AF28" s="781">
        <f t="shared" si="0"/>
        <v>0</v>
      </c>
    </row>
    <row r="29" spans="1:32">
      <c r="A29" s="422">
        <f t="shared" si="1"/>
        <v>15</v>
      </c>
      <c r="B29" s="422"/>
      <c r="C29" s="422"/>
      <c r="D29" s="422"/>
      <c r="E29" s="777"/>
      <c r="F29" s="396"/>
      <c r="G29" s="629"/>
      <c r="H29" s="397"/>
      <c r="I29" s="397"/>
      <c r="J29" s="398"/>
      <c r="K29" s="399"/>
      <c r="L29" s="400"/>
      <c r="M29" s="401"/>
      <c r="N29" s="402"/>
      <c r="O29" s="403"/>
      <c r="P29" s="404"/>
      <c r="Q29" s="630"/>
      <c r="R29" s="396"/>
      <c r="S29" s="392"/>
      <c r="T29" s="382"/>
      <c r="U29" s="833"/>
      <c r="V29" s="833"/>
      <c r="W29" s="833"/>
      <c r="X29" s="425"/>
      <c r="Y29" s="833"/>
      <c r="Z29" s="833"/>
      <c r="AA29" s="833"/>
      <c r="AB29" s="833"/>
      <c r="AC29" s="834"/>
      <c r="AD29" s="834"/>
      <c r="AE29" s="834"/>
      <c r="AF29" s="781">
        <f t="shared" si="0"/>
        <v>0</v>
      </c>
    </row>
    <row r="30" spans="1:32">
      <c r="A30" s="422">
        <f t="shared" si="1"/>
        <v>16</v>
      </c>
      <c r="B30" s="422"/>
      <c r="C30" s="422"/>
      <c r="D30" s="422"/>
      <c r="E30" s="777" t="s">
        <v>401</v>
      </c>
      <c r="F30" s="634">
        <f>+F28+F24</f>
        <v>-477141386.07999998</v>
      </c>
      <c r="G30" s="634">
        <f t="shared" ref="G30:R30" si="5">+G28+G24</f>
        <v>-478279628.95999998</v>
      </c>
      <c r="H30" s="634">
        <f t="shared" si="5"/>
        <v>-480535596.66000009</v>
      </c>
      <c r="I30" s="634">
        <f t="shared" si="5"/>
        <v>-481637802.63</v>
      </c>
      <c r="J30" s="634">
        <f t="shared" si="5"/>
        <v>-482272805.14999998</v>
      </c>
      <c r="K30" s="634">
        <f t="shared" si="5"/>
        <v>-484431144.29000002</v>
      </c>
      <c r="L30" s="634">
        <f t="shared" si="5"/>
        <v>-485734398.92999995</v>
      </c>
      <c r="M30" s="634">
        <f t="shared" si="5"/>
        <v>-488754297.56999993</v>
      </c>
      <c r="N30" s="634">
        <f t="shared" si="5"/>
        <v>-489481627.48000002</v>
      </c>
      <c r="O30" s="634">
        <f t="shared" si="5"/>
        <v>-491758990.88999999</v>
      </c>
      <c r="P30" s="634">
        <f t="shared" si="5"/>
        <v>-493518798.93000001</v>
      </c>
      <c r="Q30" s="634">
        <f t="shared" si="5"/>
        <v>-495813097.5</v>
      </c>
      <c r="R30" s="634">
        <f t="shared" si="5"/>
        <v>-490730756.01999998</v>
      </c>
      <c r="S30" s="619">
        <f>+S28+S24</f>
        <v>-486346188.3366667</v>
      </c>
      <c r="T30" s="382"/>
      <c r="U30" s="833"/>
      <c r="V30" s="833"/>
      <c r="W30" s="833"/>
      <c r="X30" s="425">
        <f>+S30-S20</f>
        <v>-488401023.58041668</v>
      </c>
      <c r="Y30" s="833">
        <f>-'Plant in Serv &amp; Accum Depr'!AF165</f>
        <v>-379049328.05385643</v>
      </c>
      <c r="Z30" s="833">
        <f>+S30-S20-Y30</f>
        <v>-109351695.52656025</v>
      </c>
      <c r="AA30" s="833"/>
      <c r="AB30" s="833"/>
      <c r="AC30" s="834"/>
      <c r="AD30" s="834"/>
      <c r="AE30" s="834" t="s">
        <v>1727</v>
      </c>
      <c r="AF30" s="781">
        <f t="shared" si="0"/>
        <v>0</v>
      </c>
    </row>
    <row r="31" spans="1:32">
      <c r="A31" s="422">
        <f t="shared" si="1"/>
        <v>17</v>
      </c>
      <c r="B31" s="422"/>
      <c r="C31" s="422"/>
      <c r="D31" s="422"/>
      <c r="E31" s="763"/>
      <c r="F31" s="635"/>
      <c r="G31" s="636"/>
      <c r="H31" s="637"/>
      <c r="I31" s="637"/>
      <c r="J31" s="638"/>
      <c r="K31" s="639"/>
      <c r="L31" s="640"/>
      <c r="M31" s="641"/>
      <c r="N31" s="642"/>
      <c r="O31" s="643"/>
      <c r="P31" s="644"/>
      <c r="Q31" s="645"/>
      <c r="R31" s="635"/>
      <c r="S31" s="392"/>
      <c r="T31" s="382"/>
      <c r="U31" s="833"/>
      <c r="V31" s="833"/>
      <c r="W31" s="833"/>
      <c r="X31" s="425"/>
      <c r="Y31" s="833"/>
      <c r="Z31" s="833"/>
      <c r="AA31" s="833"/>
      <c r="AB31" s="833"/>
      <c r="AC31" s="834"/>
      <c r="AD31" s="834"/>
      <c r="AE31" s="834"/>
      <c r="AF31" s="781">
        <f t="shared" si="0"/>
        <v>0</v>
      </c>
    </row>
    <row r="32" spans="1:32">
      <c r="A32" s="422">
        <f t="shared" si="1"/>
        <v>18</v>
      </c>
      <c r="B32" s="422"/>
      <c r="C32" s="422"/>
      <c r="D32" s="422"/>
      <c r="E32" s="763" t="s">
        <v>402</v>
      </c>
      <c r="F32" s="646">
        <f>+F18+F30</f>
        <v>528954899.59999996</v>
      </c>
      <c r="G32" s="646">
        <f t="shared" ref="G32:S32" si="6">+G18+G30</f>
        <v>531217212.64000005</v>
      </c>
      <c r="H32" s="646">
        <f t="shared" si="6"/>
        <v>532933459.20999992</v>
      </c>
      <c r="I32" s="646">
        <f t="shared" si="6"/>
        <v>534448193.66999996</v>
      </c>
      <c r="J32" s="646">
        <f t="shared" si="6"/>
        <v>537989766.20000005</v>
      </c>
      <c r="K32" s="646">
        <f t="shared" si="6"/>
        <v>543907646.77999997</v>
      </c>
      <c r="L32" s="646">
        <f t="shared" si="6"/>
        <v>547561593.87</v>
      </c>
      <c r="M32" s="646">
        <f t="shared" si="6"/>
        <v>552503778.80000007</v>
      </c>
      <c r="N32" s="646">
        <f t="shared" si="6"/>
        <v>558786642.44000006</v>
      </c>
      <c r="O32" s="646">
        <f t="shared" si="6"/>
        <v>564397431.62000012</v>
      </c>
      <c r="P32" s="646">
        <f t="shared" si="6"/>
        <v>574977708.06999993</v>
      </c>
      <c r="Q32" s="646">
        <f t="shared" si="6"/>
        <v>581663320.04999995</v>
      </c>
      <c r="R32" s="646">
        <f t="shared" si="6"/>
        <v>599350195.36999989</v>
      </c>
      <c r="S32" s="618">
        <f t="shared" si="6"/>
        <v>552044941.73625004</v>
      </c>
      <c r="T32" s="382"/>
      <c r="U32" s="833"/>
      <c r="V32" s="833"/>
      <c r="W32" s="833"/>
      <c r="X32" s="425"/>
      <c r="Y32" s="833"/>
      <c r="Z32" s="833"/>
      <c r="AA32" s="833"/>
      <c r="AB32" s="833"/>
      <c r="AC32" s="834"/>
      <c r="AD32" s="834"/>
      <c r="AE32" s="834"/>
      <c r="AF32" s="781">
        <f t="shared" si="0"/>
        <v>0</v>
      </c>
    </row>
    <row r="33" spans="1:32">
      <c r="A33" s="422">
        <f t="shared" si="1"/>
        <v>19</v>
      </c>
      <c r="B33" s="422"/>
      <c r="C33" s="422"/>
      <c r="D33" s="422"/>
      <c r="E33" s="763"/>
      <c r="F33" s="396"/>
      <c r="G33" s="629"/>
      <c r="H33" s="397"/>
      <c r="I33" s="397"/>
      <c r="J33" s="398"/>
      <c r="K33" s="399"/>
      <c r="L33" s="400"/>
      <c r="M33" s="401"/>
      <c r="N33" s="402"/>
      <c r="O33" s="403"/>
      <c r="P33" s="404"/>
      <c r="Q33" s="630"/>
      <c r="R33" s="396"/>
      <c r="S33" s="392"/>
      <c r="T33" s="382"/>
      <c r="U33" s="833"/>
      <c r="V33" s="833"/>
      <c r="W33" s="833"/>
      <c r="X33" s="425"/>
      <c r="Y33" s="833"/>
      <c r="Z33" s="833"/>
      <c r="AA33" s="833"/>
      <c r="AB33" s="833"/>
      <c r="AC33" s="834"/>
      <c r="AD33" s="834"/>
      <c r="AE33" s="834"/>
      <c r="AF33" s="781">
        <f t="shared" si="0"/>
        <v>0</v>
      </c>
    </row>
    <row r="34" spans="1:32">
      <c r="A34" s="422">
        <f t="shared" si="1"/>
        <v>20</v>
      </c>
      <c r="B34" s="423" t="s">
        <v>1063</v>
      </c>
      <c r="C34" s="423" t="s">
        <v>403</v>
      </c>
      <c r="D34" s="423"/>
      <c r="E34" s="777" t="s">
        <v>404</v>
      </c>
      <c r="F34" s="405">
        <v>0</v>
      </c>
      <c r="G34" s="405">
        <v>0</v>
      </c>
      <c r="H34" s="405">
        <v>0</v>
      </c>
      <c r="I34" s="405">
        <v>0</v>
      </c>
      <c r="J34" s="405">
        <v>0</v>
      </c>
      <c r="K34" s="405">
        <v>0</v>
      </c>
      <c r="L34" s="405">
        <v>0</v>
      </c>
      <c r="M34" s="405">
        <v>0</v>
      </c>
      <c r="N34" s="405">
        <v>0</v>
      </c>
      <c r="O34" s="405">
        <v>0</v>
      </c>
      <c r="P34" s="405">
        <v>0</v>
      </c>
      <c r="Q34" s="405">
        <v>0</v>
      </c>
      <c r="R34" s="405">
        <v>0</v>
      </c>
      <c r="S34" s="392">
        <f>((F34+R34)+((G34+H34+I34+J34+K34+L34+M34+N34+O34+P34+Q34)*2))/24</f>
        <v>0</v>
      </c>
      <c r="T34" s="382"/>
      <c r="U34" s="833">
        <f>+S34</f>
        <v>0</v>
      </c>
      <c r="V34" s="833"/>
      <c r="W34" s="833"/>
      <c r="X34" s="425"/>
      <c r="Y34" s="833"/>
      <c r="Z34" s="833"/>
      <c r="AA34" s="833"/>
      <c r="AB34" s="833"/>
      <c r="AC34" s="834"/>
      <c r="AD34" s="834"/>
      <c r="AE34" s="834"/>
      <c r="AF34" s="781">
        <f t="shared" si="0"/>
        <v>0</v>
      </c>
    </row>
    <row r="35" spans="1:32">
      <c r="A35" s="422">
        <f t="shared" si="1"/>
        <v>21</v>
      </c>
      <c r="B35" s="422"/>
      <c r="C35" s="422"/>
      <c r="D35" s="422"/>
      <c r="E35" s="763" t="s">
        <v>405</v>
      </c>
      <c r="F35" s="394">
        <f>+F34</f>
        <v>0</v>
      </c>
      <c r="G35" s="647">
        <v>0</v>
      </c>
      <c r="H35" s="648">
        <v>0</v>
      </c>
      <c r="I35" s="648">
        <v>0</v>
      </c>
      <c r="J35" s="649">
        <v>0</v>
      </c>
      <c r="K35" s="650">
        <v>0</v>
      </c>
      <c r="L35" s="651">
        <v>0</v>
      </c>
      <c r="M35" s="652">
        <v>0</v>
      </c>
      <c r="N35" s="653">
        <v>0</v>
      </c>
      <c r="O35" s="654">
        <v>0</v>
      </c>
      <c r="P35" s="655">
        <v>0</v>
      </c>
      <c r="Q35" s="656">
        <v>0</v>
      </c>
      <c r="R35" s="394">
        <v>0</v>
      </c>
      <c r="S35" s="392">
        <f>((F35+R35)+((G35+H35+I35+J35+K35+L35+M35+N35+O35+P35+Q35)*2))/24</f>
        <v>0</v>
      </c>
      <c r="T35" s="382"/>
      <c r="U35" s="833"/>
      <c r="V35" s="833"/>
      <c r="W35" s="833"/>
      <c r="X35" s="425"/>
      <c r="Y35" s="833"/>
      <c r="Z35" s="833"/>
      <c r="AA35" s="833"/>
      <c r="AB35" s="833"/>
      <c r="AC35" s="834"/>
      <c r="AD35" s="834"/>
      <c r="AE35" s="834"/>
      <c r="AF35" s="781">
        <f t="shared" si="0"/>
        <v>0</v>
      </c>
    </row>
    <row r="36" spans="1:32">
      <c r="A36" s="422">
        <f t="shared" si="1"/>
        <v>22</v>
      </c>
      <c r="B36" s="422"/>
      <c r="C36" s="422"/>
      <c r="D36" s="422"/>
      <c r="E36" s="763"/>
      <c r="F36" s="391"/>
      <c r="G36" s="407"/>
      <c r="H36" s="408"/>
      <c r="I36" s="408"/>
      <c r="J36" s="409"/>
      <c r="K36" s="410"/>
      <c r="L36" s="411"/>
      <c r="M36" s="412"/>
      <c r="N36" s="413"/>
      <c r="O36" s="414"/>
      <c r="P36" s="415"/>
      <c r="Q36" s="416"/>
      <c r="R36" s="391"/>
      <c r="S36" s="392"/>
      <c r="T36" s="382"/>
      <c r="U36" s="833"/>
      <c r="V36" s="833"/>
      <c r="W36" s="833"/>
      <c r="X36" s="425"/>
      <c r="Y36" s="833"/>
      <c r="Z36" s="833"/>
      <c r="AA36" s="833"/>
      <c r="AB36" s="833"/>
      <c r="AC36" s="834"/>
      <c r="AD36" s="834"/>
      <c r="AE36" s="834"/>
      <c r="AF36" s="781">
        <f t="shared" si="0"/>
        <v>0</v>
      </c>
    </row>
    <row r="37" spans="1:32">
      <c r="A37" s="422">
        <f t="shared" si="1"/>
        <v>23</v>
      </c>
      <c r="B37" s="423" t="s">
        <v>1063</v>
      </c>
      <c r="C37" s="423" t="s">
        <v>1217</v>
      </c>
      <c r="D37" s="423" t="s">
        <v>472</v>
      </c>
      <c r="E37" s="777" t="s">
        <v>1778</v>
      </c>
      <c r="F37" s="391">
        <v>148792.91</v>
      </c>
      <c r="G37" s="391">
        <v>148939.26</v>
      </c>
      <c r="H37" s="391">
        <v>149076.48000000001</v>
      </c>
      <c r="I37" s="391">
        <v>1624913.09</v>
      </c>
      <c r="J37" s="391">
        <v>1626921.7</v>
      </c>
      <c r="K37" s="391">
        <v>1629103.54</v>
      </c>
      <c r="L37" s="391">
        <v>1631367.96</v>
      </c>
      <c r="M37" s="391">
        <v>1633821.98</v>
      </c>
      <c r="N37" s="391">
        <v>1636307.08</v>
      </c>
      <c r="O37" s="391">
        <v>1603384.25</v>
      </c>
      <c r="P37" s="391">
        <v>1616117.41</v>
      </c>
      <c r="Q37" s="391">
        <v>1644345.36</v>
      </c>
      <c r="R37" s="391">
        <v>1647363.37</v>
      </c>
      <c r="S37" s="618">
        <v>1320198.0208333333</v>
      </c>
      <c r="T37" s="382"/>
      <c r="U37" s="833"/>
      <c r="V37" s="833"/>
      <c r="W37" s="833"/>
      <c r="X37" s="425">
        <f>+S37</f>
        <v>1320198.0208333333</v>
      </c>
      <c r="Y37" s="833"/>
      <c r="Z37" s="833"/>
      <c r="AA37" s="833"/>
      <c r="AB37" s="833">
        <f>+S37</f>
        <v>1320198.0208333333</v>
      </c>
      <c r="AC37" s="834"/>
      <c r="AD37" s="834"/>
      <c r="AE37" s="834"/>
      <c r="AF37" s="781">
        <f t="shared" si="0"/>
        <v>0</v>
      </c>
    </row>
    <row r="38" spans="1:32">
      <c r="A38" s="422">
        <f t="shared" si="1"/>
        <v>24</v>
      </c>
      <c r="B38" s="423" t="s">
        <v>1063</v>
      </c>
      <c r="C38" s="423" t="s">
        <v>1217</v>
      </c>
      <c r="D38" s="423" t="s">
        <v>459</v>
      </c>
      <c r="E38" s="777" t="s">
        <v>1779</v>
      </c>
      <c r="F38" s="391">
        <v>11390212.779999999</v>
      </c>
      <c r="G38" s="391">
        <v>11455629.17</v>
      </c>
      <c r="H38" s="391">
        <v>11360583.09</v>
      </c>
      <c r="I38" s="391">
        <v>10541477.949999999</v>
      </c>
      <c r="J38" s="391">
        <v>10527536.859999999</v>
      </c>
      <c r="K38" s="391">
        <v>10595275.92</v>
      </c>
      <c r="L38" s="391">
        <v>10639794.699999999</v>
      </c>
      <c r="M38" s="391">
        <v>10671743.66</v>
      </c>
      <c r="N38" s="391">
        <v>10761004.279999999</v>
      </c>
      <c r="O38" s="391">
        <v>10880511.43</v>
      </c>
      <c r="P38" s="391">
        <v>10656799.140000001</v>
      </c>
      <c r="Q38" s="391">
        <v>10673596.33</v>
      </c>
      <c r="R38" s="391">
        <v>10584814.859999999</v>
      </c>
      <c r="S38" s="618">
        <v>10812622.195833333</v>
      </c>
      <c r="T38" s="382"/>
      <c r="U38" s="833"/>
      <c r="V38" s="833"/>
      <c r="W38" s="833"/>
      <c r="X38" s="425">
        <f>+S38</f>
        <v>10812622.195833333</v>
      </c>
      <c r="Y38" s="833"/>
      <c r="Z38" s="833"/>
      <c r="AA38" s="833"/>
      <c r="AB38" s="833">
        <f>+S38</f>
        <v>10812622.195833333</v>
      </c>
      <c r="AC38" s="834"/>
      <c r="AD38" s="834"/>
      <c r="AE38" s="834"/>
      <c r="AF38" s="781">
        <f t="shared" si="0"/>
        <v>0</v>
      </c>
    </row>
    <row r="39" spans="1:32">
      <c r="A39" s="422">
        <f t="shared" si="1"/>
        <v>25</v>
      </c>
      <c r="B39" s="423" t="s">
        <v>1063</v>
      </c>
      <c r="C39" s="423" t="s">
        <v>1217</v>
      </c>
      <c r="D39" s="423" t="s">
        <v>506</v>
      </c>
      <c r="E39" s="777" t="s">
        <v>1780</v>
      </c>
      <c r="F39" s="391">
        <v>153632.07999999999</v>
      </c>
      <c r="G39" s="391">
        <v>157143.48000000001</v>
      </c>
      <c r="H39" s="391">
        <v>150124.17000000001</v>
      </c>
      <c r="I39" s="391">
        <v>148310.60999999999</v>
      </c>
      <c r="J39" s="391">
        <v>148835.67000000001</v>
      </c>
      <c r="K39" s="391">
        <v>151047.26</v>
      </c>
      <c r="L39" s="391">
        <v>149968.1</v>
      </c>
      <c r="M39" s="391">
        <v>152978.67000000001</v>
      </c>
      <c r="N39" s="391">
        <v>154757.26</v>
      </c>
      <c r="O39" s="391">
        <v>154483.79999999999</v>
      </c>
      <c r="P39" s="391">
        <v>144731.20000000001</v>
      </c>
      <c r="Q39" s="391">
        <v>144980.03</v>
      </c>
      <c r="R39" s="391">
        <v>139136.91</v>
      </c>
      <c r="S39" s="618">
        <v>150312.06208333335</v>
      </c>
      <c r="T39" s="382"/>
      <c r="U39" s="833"/>
      <c r="V39" s="833"/>
      <c r="W39" s="833"/>
      <c r="X39" s="425">
        <f>+S39</f>
        <v>150312.06208333335</v>
      </c>
      <c r="Y39" s="833"/>
      <c r="Z39" s="833"/>
      <c r="AA39" s="833"/>
      <c r="AB39" s="833">
        <f>+S39</f>
        <v>150312.06208333335</v>
      </c>
      <c r="AC39" s="834"/>
      <c r="AD39" s="834"/>
      <c r="AE39" s="834"/>
      <c r="AF39" s="781">
        <f t="shared" si="0"/>
        <v>0</v>
      </c>
    </row>
    <row r="40" spans="1:32">
      <c r="A40" s="422">
        <f t="shared" si="1"/>
        <v>26</v>
      </c>
      <c r="B40" s="423" t="s">
        <v>1063</v>
      </c>
      <c r="C40" s="423" t="s">
        <v>406</v>
      </c>
      <c r="D40" s="423"/>
      <c r="E40" s="777" t="s">
        <v>407</v>
      </c>
      <c r="F40" s="391">
        <v>202030.18</v>
      </c>
      <c r="G40" s="391">
        <v>202030.18</v>
      </c>
      <c r="H40" s="391">
        <v>202030.18</v>
      </c>
      <c r="I40" s="391">
        <v>202030.18</v>
      </c>
      <c r="J40" s="391">
        <v>202030.18</v>
      </c>
      <c r="K40" s="391">
        <v>202030.18</v>
      </c>
      <c r="L40" s="391">
        <v>202030.18</v>
      </c>
      <c r="M40" s="391">
        <v>202030.18</v>
      </c>
      <c r="N40" s="391">
        <v>202030.18</v>
      </c>
      <c r="O40" s="391">
        <v>202030.18</v>
      </c>
      <c r="P40" s="391">
        <v>202030.18</v>
      </c>
      <c r="Q40" s="391">
        <v>202030.18</v>
      </c>
      <c r="R40" s="391">
        <v>202030.18</v>
      </c>
      <c r="S40" s="618">
        <v>202030.17999999996</v>
      </c>
      <c r="T40" s="382"/>
      <c r="U40" s="833"/>
      <c r="V40" s="833"/>
      <c r="W40" s="833"/>
      <c r="X40" s="425">
        <f>+S40</f>
        <v>202030.17999999996</v>
      </c>
      <c r="Y40" s="833"/>
      <c r="Z40" s="833"/>
      <c r="AA40" s="833"/>
      <c r="AB40" s="833">
        <f>+S40</f>
        <v>202030.17999999996</v>
      </c>
      <c r="AC40" s="834"/>
      <c r="AD40" s="834"/>
      <c r="AE40" s="834"/>
      <c r="AF40" s="781">
        <f t="shared" si="0"/>
        <v>0</v>
      </c>
    </row>
    <row r="41" spans="1:32">
      <c r="A41" s="422">
        <f t="shared" si="1"/>
        <v>27</v>
      </c>
      <c r="B41" s="423" t="s">
        <v>1063</v>
      </c>
      <c r="C41" s="423" t="s">
        <v>408</v>
      </c>
      <c r="D41" s="423"/>
      <c r="E41" s="777" t="s">
        <v>409</v>
      </c>
      <c r="F41" s="405">
        <v>0</v>
      </c>
      <c r="G41" s="405">
        <v>0</v>
      </c>
      <c r="H41" s="405">
        <v>0</v>
      </c>
      <c r="I41" s="405">
        <v>0</v>
      </c>
      <c r="J41" s="405">
        <v>0</v>
      </c>
      <c r="K41" s="405">
        <v>0</v>
      </c>
      <c r="L41" s="405">
        <v>0</v>
      </c>
      <c r="M41" s="405">
        <v>0</v>
      </c>
      <c r="N41" s="405">
        <v>0</v>
      </c>
      <c r="O41" s="405">
        <v>0</v>
      </c>
      <c r="P41" s="405">
        <v>0</v>
      </c>
      <c r="Q41" s="405">
        <v>0</v>
      </c>
      <c r="R41" s="405">
        <v>0</v>
      </c>
      <c r="S41" s="618">
        <v>0</v>
      </c>
      <c r="T41" s="382"/>
      <c r="U41" s="833">
        <f t="shared" ref="U41" si="7">+S41</f>
        <v>0</v>
      </c>
      <c r="V41" s="833"/>
      <c r="W41" s="833"/>
      <c r="X41" s="425"/>
      <c r="Y41" s="833"/>
      <c r="Z41" s="833"/>
      <c r="AA41" s="833"/>
      <c r="AB41" s="833">
        <f>+S41</f>
        <v>0</v>
      </c>
      <c r="AC41" s="834"/>
      <c r="AD41" s="834"/>
      <c r="AE41" s="834"/>
      <c r="AF41" s="781">
        <f t="shared" si="0"/>
        <v>0</v>
      </c>
    </row>
    <row r="42" spans="1:32">
      <c r="A42" s="422">
        <f t="shared" si="1"/>
        <v>28</v>
      </c>
      <c r="B42" s="422"/>
      <c r="C42" s="422"/>
      <c r="D42" s="422"/>
      <c r="E42" s="763" t="s">
        <v>410</v>
      </c>
      <c r="F42" s="394">
        <f t="shared" ref="F42:S42" si="8">SUM(F37:F41)</f>
        <v>11894667.949999999</v>
      </c>
      <c r="G42" s="394">
        <f t="shared" si="8"/>
        <v>11963742.09</v>
      </c>
      <c r="H42" s="394">
        <f t="shared" si="8"/>
        <v>11861813.92</v>
      </c>
      <c r="I42" s="394">
        <f t="shared" si="8"/>
        <v>12516731.829999998</v>
      </c>
      <c r="J42" s="394">
        <f t="shared" si="8"/>
        <v>12505324.409999998</v>
      </c>
      <c r="K42" s="394">
        <f t="shared" si="8"/>
        <v>12577456.9</v>
      </c>
      <c r="L42" s="394">
        <f t="shared" si="8"/>
        <v>12623160.939999999</v>
      </c>
      <c r="M42" s="394">
        <f t="shared" si="8"/>
        <v>12660574.49</v>
      </c>
      <c r="N42" s="394">
        <f t="shared" si="8"/>
        <v>12754098.799999999</v>
      </c>
      <c r="O42" s="394">
        <f t="shared" si="8"/>
        <v>12840409.66</v>
      </c>
      <c r="P42" s="394">
        <f t="shared" si="8"/>
        <v>12619677.93</v>
      </c>
      <c r="Q42" s="394">
        <f t="shared" si="8"/>
        <v>12664951.899999999</v>
      </c>
      <c r="R42" s="394">
        <f t="shared" si="8"/>
        <v>12573345.32</v>
      </c>
      <c r="S42" s="620">
        <f t="shared" si="8"/>
        <v>12485162.45875</v>
      </c>
      <c r="T42" s="382"/>
      <c r="U42" s="833"/>
      <c r="V42" s="833"/>
      <c r="W42" s="833"/>
      <c r="X42" s="425"/>
      <c r="Y42" s="833"/>
      <c r="Z42" s="833"/>
      <c r="AA42" s="833"/>
      <c r="AB42" s="833"/>
      <c r="AC42" s="834"/>
      <c r="AD42" s="834"/>
      <c r="AE42" s="834"/>
      <c r="AF42" s="781">
        <f t="shared" si="0"/>
        <v>0</v>
      </c>
    </row>
    <row r="43" spans="1:32">
      <c r="A43" s="422">
        <f t="shared" si="1"/>
        <v>29</v>
      </c>
      <c r="B43" s="422"/>
      <c r="C43" s="422"/>
      <c r="D43" s="422"/>
      <c r="E43" s="763"/>
      <c r="F43" s="391"/>
      <c r="G43" s="407"/>
      <c r="H43" s="408"/>
      <c r="I43" s="408"/>
      <c r="J43" s="409"/>
      <c r="K43" s="410"/>
      <c r="L43" s="411"/>
      <c r="M43" s="412"/>
      <c r="N43" s="413"/>
      <c r="O43" s="414"/>
      <c r="P43" s="415"/>
      <c r="Q43" s="416"/>
      <c r="R43" s="391"/>
      <c r="S43" s="392"/>
      <c r="T43" s="382"/>
      <c r="U43" s="833"/>
      <c r="V43" s="833"/>
      <c r="W43" s="833"/>
      <c r="X43" s="425"/>
      <c r="Y43" s="833"/>
      <c r="Z43" s="833"/>
      <c r="AA43" s="833"/>
      <c r="AB43" s="833"/>
      <c r="AC43" s="834"/>
      <c r="AD43" s="834"/>
      <c r="AE43" s="834"/>
      <c r="AF43" s="781">
        <f t="shared" si="0"/>
        <v>0</v>
      </c>
    </row>
    <row r="44" spans="1:32" s="2" customFormat="1">
      <c r="A44" s="779">
        <f t="shared" si="1"/>
        <v>30</v>
      </c>
      <c r="B44" s="422"/>
      <c r="C44" s="625">
        <v>1310</v>
      </c>
      <c r="D44" s="625">
        <v>2101</v>
      </c>
      <c r="E44" s="763" t="s">
        <v>1781</v>
      </c>
      <c r="F44" s="391">
        <v>0</v>
      </c>
      <c r="G44" s="407">
        <v>0</v>
      </c>
      <c r="H44" s="408">
        <v>0</v>
      </c>
      <c r="I44" s="408">
        <v>0</v>
      </c>
      <c r="J44" s="409">
        <v>0</v>
      </c>
      <c r="K44" s="410">
        <v>0</v>
      </c>
      <c r="L44" s="411">
        <v>0</v>
      </c>
      <c r="M44" s="412">
        <v>0</v>
      </c>
      <c r="N44" s="413">
        <v>185991.95</v>
      </c>
      <c r="O44" s="414">
        <v>0</v>
      </c>
      <c r="P44" s="415">
        <v>0</v>
      </c>
      <c r="Q44" s="416">
        <v>330096.89</v>
      </c>
      <c r="R44" s="391">
        <v>0</v>
      </c>
      <c r="S44" s="618">
        <f t="shared" ref="S44:S49" si="9">((F44+R44)+((G44+H44+I44+J44+K44+L44+M44+N44+O44+P44+Q44)*2))/24</f>
        <v>43007.403333333335</v>
      </c>
      <c r="T44" s="382"/>
      <c r="U44" s="833">
        <f t="shared" ref="U44:U56" si="10">+S44</f>
        <v>43007.403333333335</v>
      </c>
      <c r="V44" s="833"/>
      <c r="W44" s="833"/>
      <c r="X44" s="425"/>
      <c r="Y44" s="833"/>
      <c r="Z44" s="833"/>
      <c r="AA44" s="833"/>
      <c r="AB44" s="833"/>
      <c r="AC44" s="834"/>
      <c r="AD44" s="835">
        <f>+S44</f>
        <v>43007.403333333335</v>
      </c>
      <c r="AE44" s="834"/>
      <c r="AF44" s="781">
        <f t="shared" si="0"/>
        <v>0</v>
      </c>
    </row>
    <row r="45" spans="1:32">
      <c r="A45" s="779">
        <f t="shared" si="1"/>
        <v>31</v>
      </c>
      <c r="B45" s="423" t="s">
        <v>1063</v>
      </c>
      <c r="C45" s="423" t="s">
        <v>411</v>
      </c>
      <c r="D45" s="423" t="s">
        <v>1218</v>
      </c>
      <c r="E45" s="777" t="s">
        <v>1782</v>
      </c>
      <c r="F45" s="391">
        <v>1038440.97</v>
      </c>
      <c r="G45" s="391">
        <v>1891923.36</v>
      </c>
      <c r="H45" s="391">
        <v>1866613.08</v>
      </c>
      <c r="I45" s="391">
        <v>1253479.17</v>
      </c>
      <c r="J45" s="391">
        <v>1478154.04</v>
      </c>
      <c r="K45" s="391">
        <v>731492.4</v>
      </c>
      <c r="L45" s="391">
        <v>462315.82</v>
      </c>
      <c r="M45" s="391">
        <v>685838.07</v>
      </c>
      <c r="N45" s="391">
        <v>274269.96000000002</v>
      </c>
      <c r="O45" s="391">
        <v>358037.77</v>
      </c>
      <c r="P45" s="391">
        <v>597121.24</v>
      </c>
      <c r="Q45" s="391">
        <v>565043.81999999995</v>
      </c>
      <c r="R45" s="391">
        <v>2550120.08</v>
      </c>
      <c r="S45" s="618">
        <f t="shared" si="9"/>
        <v>996547.43791666685</v>
      </c>
      <c r="T45" s="382"/>
      <c r="U45" s="833">
        <f t="shared" si="10"/>
        <v>996547.43791666685</v>
      </c>
      <c r="V45" s="833"/>
      <c r="W45" s="833"/>
      <c r="X45" s="425"/>
      <c r="Y45" s="833"/>
      <c r="Z45" s="833"/>
      <c r="AA45" s="833"/>
      <c r="AB45" s="833"/>
      <c r="AC45" s="834"/>
      <c r="AD45" s="835">
        <f t="shared" ref="AD45:AD56" si="11">+U45</f>
        <v>996547.43791666685</v>
      </c>
      <c r="AE45" s="834"/>
      <c r="AF45" s="781">
        <f t="shared" si="0"/>
        <v>0</v>
      </c>
    </row>
    <row r="46" spans="1:32">
      <c r="A46" s="422">
        <f t="shared" si="1"/>
        <v>32</v>
      </c>
      <c r="B46" s="423" t="s">
        <v>1063</v>
      </c>
      <c r="C46" s="423" t="s">
        <v>411</v>
      </c>
      <c r="D46" s="423" t="s">
        <v>1219</v>
      </c>
      <c r="E46" s="777" t="s">
        <v>1783</v>
      </c>
      <c r="F46" s="391">
        <v>-996174.58</v>
      </c>
      <c r="G46" s="391">
        <v>-873910.08</v>
      </c>
      <c r="H46" s="391">
        <v>-801677.63</v>
      </c>
      <c r="I46" s="391">
        <v>-556051.32999999996</v>
      </c>
      <c r="J46" s="391">
        <v>-1860384.61</v>
      </c>
      <c r="K46" s="391">
        <v>-665615.02</v>
      </c>
      <c r="L46" s="391">
        <v>-571152.13</v>
      </c>
      <c r="M46" s="391">
        <v>-1188666.55</v>
      </c>
      <c r="N46" s="391">
        <v>-677981.84</v>
      </c>
      <c r="O46" s="391">
        <v>-658744.56000000006</v>
      </c>
      <c r="P46" s="391">
        <v>-715759.62</v>
      </c>
      <c r="Q46" s="391">
        <v>-899415.71</v>
      </c>
      <c r="R46" s="391">
        <v>-819556.52</v>
      </c>
      <c r="S46" s="618">
        <f t="shared" si="9"/>
        <v>-864768.71916666662</v>
      </c>
      <c r="T46" s="382"/>
      <c r="U46" s="833">
        <f t="shared" si="10"/>
        <v>-864768.71916666662</v>
      </c>
      <c r="V46" s="833"/>
      <c r="W46" s="833"/>
      <c r="X46" s="425"/>
      <c r="Y46" s="833"/>
      <c r="Z46" s="833"/>
      <c r="AA46" s="833"/>
      <c r="AB46" s="833"/>
      <c r="AC46" s="834"/>
      <c r="AD46" s="835">
        <f t="shared" si="11"/>
        <v>-864768.71916666662</v>
      </c>
      <c r="AE46" s="834"/>
      <c r="AF46" s="781">
        <f t="shared" si="0"/>
        <v>0</v>
      </c>
    </row>
    <row r="47" spans="1:32">
      <c r="A47" s="422">
        <f t="shared" si="1"/>
        <v>33</v>
      </c>
      <c r="B47" s="423" t="s">
        <v>1063</v>
      </c>
      <c r="C47" s="423" t="s">
        <v>411</v>
      </c>
      <c r="D47" s="423" t="s">
        <v>1220</v>
      </c>
      <c r="E47" s="777" t="s">
        <v>1784</v>
      </c>
      <c r="F47" s="391">
        <v>-4703.6499999999996</v>
      </c>
      <c r="G47" s="391">
        <v>-2145.94</v>
      </c>
      <c r="H47" s="391">
        <v>-115189.4</v>
      </c>
      <c r="I47" s="391">
        <v>-5149.8700000000099</v>
      </c>
      <c r="J47" s="391">
        <v>-13832.28</v>
      </c>
      <c r="K47" s="391">
        <v>-20337.62</v>
      </c>
      <c r="L47" s="391">
        <v>-1925.00000000001</v>
      </c>
      <c r="M47" s="391">
        <v>-11833.97</v>
      </c>
      <c r="N47" s="391">
        <v>-2300.00000000001</v>
      </c>
      <c r="O47" s="391">
        <v>-2150.00000000001</v>
      </c>
      <c r="P47" s="391">
        <v>-1400.00000000001</v>
      </c>
      <c r="Q47" s="391">
        <v>-725.00000000001103</v>
      </c>
      <c r="R47" s="391">
        <v>-500.00000000001103</v>
      </c>
      <c r="S47" s="618">
        <f t="shared" si="9"/>
        <v>-14965.908750000002</v>
      </c>
      <c r="T47" s="382"/>
      <c r="U47" s="833">
        <f t="shared" si="10"/>
        <v>-14965.908750000002</v>
      </c>
      <c r="V47" s="833"/>
      <c r="W47" s="833"/>
      <c r="X47" s="425"/>
      <c r="Y47" s="833"/>
      <c r="Z47" s="833"/>
      <c r="AA47" s="833"/>
      <c r="AB47" s="833"/>
      <c r="AC47" s="834"/>
      <c r="AD47" s="835">
        <f t="shared" si="11"/>
        <v>-14965.908750000002</v>
      </c>
      <c r="AE47" s="834"/>
      <c r="AF47" s="781">
        <f t="shared" si="0"/>
        <v>0</v>
      </c>
    </row>
    <row r="48" spans="1:32" s="513" customFormat="1">
      <c r="A48" s="422">
        <f t="shared" si="1"/>
        <v>34</v>
      </c>
      <c r="B48" s="423" t="s">
        <v>1063</v>
      </c>
      <c r="C48" s="423" t="s">
        <v>411</v>
      </c>
      <c r="D48" s="423" t="s">
        <v>1221</v>
      </c>
      <c r="E48" s="777" t="s">
        <v>1785</v>
      </c>
      <c r="F48" s="391">
        <v>2689567.34</v>
      </c>
      <c r="G48" s="391">
        <v>898854.94</v>
      </c>
      <c r="H48" s="391">
        <v>887580.26</v>
      </c>
      <c r="I48" s="391">
        <v>1780809.56</v>
      </c>
      <c r="J48" s="391">
        <v>504898.6</v>
      </c>
      <c r="K48" s="391">
        <v>510216.49</v>
      </c>
      <c r="L48" s="391">
        <v>1255939.2</v>
      </c>
      <c r="M48" s="391">
        <v>662785.5</v>
      </c>
      <c r="N48" s="391">
        <v>220019.93</v>
      </c>
      <c r="O48" s="391">
        <v>2048746.17</v>
      </c>
      <c r="P48" s="391">
        <v>5000.0000000002301</v>
      </c>
      <c r="Q48" s="391">
        <v>5000.0000000002301</v>
      </c>
      <c r="R48" s="391">
        <v>5000.0000000002301</v>
      </c>
      <c r="S48" s="618">
        <f t="shared" si="9"/>
        <v>843927.85999999987</v>
      </c>
      <c r="T48" s="422"/>
      <c r="U48" s="833">
        <f>+S48</f>
        <v>843927.85999999987</v>
      </c>
      <c r="V48" s="833"/>
      <c r="W48" s="833"/>
      <c r="X48" s="425">
        <f>+S48-U48</f>
        <v>0</v>
      </c>
      <c r="Y48" s="833"/>
      <c r="Z48" s="833"/>
      <c r="AA48" s="833"/>
      <c r="AB48" s="833">
        <f>+X48</f>
        <v>0</v>
      </c>
      <c r="AC48" s="834"/>
      <c r="AD48" s="835">
        <f t="shared" si="11"/>
        <v>843927.85999999987</v>
      </c>
      <c r="AE48" s="834"/>
      <c r="AF48" s="781">
        <f t="shared" si="0"/>
        <v>0</v>
      </c>
    </row>
    <row r="49" spans="1:32" s="513" customFormat="1">
      <c r="A49" s="422">
        <f t="shared" si="1"/>
        <v>35</v>
      </c>
      <c r="B49" s="423" t="s">
        <v>1063</v>
      </c>
      <c r="C49" s="423" t="s">
        <v>411</v>
      </c>
      <c r="D49" s="423" t="s">
        <v>1683</v>
      </c>
      <c r="E49" s="777" t="s">
        <v>1684</v>
      </c>
      <c r="F49" s="391">
        <v>0</v>
      </c>
      <c r="G49" s="391">
        <v>0</v>
      </c>
      <c r="H49" s="391">
        <v>0</v>
      </c>
      <c r="I49" s="391">
        <v>0</v>
      </c>
      <c r="J49" s="391">
        <v>0</v>
      </c>
      <c r="K49" s="391">
        <v>0</v>
      </c>
      <c r="L49" s="391">
        <v>0</v>
      </c>
      <c r="M49" s="391">
        <v>0</v>
      </c>
      <c r="N49" s="391">
        <v>0</v>
      </c>
      <c r="O49" s="391">
        <v>0</v>
      </c>
      <c r="P49" s="391">
        <v>0</v>
      </c>
      <c r="Q49" s="391">
        <v>0</v>
      </c>
      <c r="R49" s="391">
        <v>1468095.37</v>
      </c>
      <c r="S49" s="618">
        <f t="shared" si="9"/>
        <v>61170.640416666669</v>
      </c>
      <c r="T49" s="422"/>
      <c r="U49" s="833">
        <f t="shared" si="10"/>
        <v>61170.640416666669</v>
      </c>
      <c r="V49" s="833"/>
      <c r="W49" s="833"/>
      <c r="X49" s="425"/>
      <c r="Y49" s="833"/>
      <c r="Z49" s="833"/>
      <c r="AA49" s="833"/>
      <c r="AB49" s="833"/>
      <c r="AC49" s="834"/>
      <c r="AD49" s="835">
        <f t="shared" si="11"/>
        <v>61170.640416666669</v>
      </c>
      <c r="AE49" s="834"/>
      <c r="AF49" s="781">
        <f t="shared" si="0"/>
        <v>0</v>
      </c>
    </row>
    <row r="50" spans="1:32">
      <c r="A50" s="422">
        <f t="shared" si="1"/>
        <v>36</v>
      </c>
      <c r="B50" s="423" t="s">
        <v>1063</v>
      </c>
      <c r="C50" s="423" t="s">
        <v>413</v>
      </c>
      <c r="D50" s="423" t="s">
        <v>1222</v>
      </c>
      <c r="E50" s="777" t="s">
        <v>1786</v>
      </c>
      <c r="F50" s="391">
        <v>600</v>
      </c>
      <c r="G50" s="391">
        <v>600</v>
      </c>
      <c r="H50" s="391">
        <v>600</v>
      </c>
      <c r="I50" s="391">
        <v>600</v>
      </c>
      <c r="J50" s="391">
        <v>600</v>
      </c>
      <c r="K50" s="391">
        <v>600</v>
      </c>
      <c r="L50" s="391">
        <v>600</v>
      </c>
      <c r="M50" s="391">
        <v>600</v>
      </c>
      <c r="N50" s="391">
        <v>600</v>
      </c>
      <c r="O50" s="391">
        <v>600</v>
      </c>
      <c r="P50" s="391">
        <v>600</v>
      </c>
      <c r="Q50" s="391">
        <v>600</v>
      </c>
      <c r="R50" s="391">
        <v>600</v>
      </c>
      <c r="S50" s="618">
        <f t="shared" ref="S50:S55" si="12">((F50+R50)+((G50+H50+I50+J50+K50+L50+M50+N50+O50+P50+Q50)*2))/24</f>
        <v>600</v>
      </c>
      <c r="T50" s="382"/>
      <c r="U50" s="833">
        <f t="shared" si="10"/>
        <v>600</v>
      </c>
      <c r="V50" s="833"/>
      <c r="W50" s="833"/>
      <c r="X50" s="425"/>
      <c r="Y50" s="833"/>
      <c r="Z50" s="833"/>
      <c r="AA50" s="833"/>
      <c r="AB50" s="833"/>
      <c r="AC50" s="834"/>
      <c r="AD50" s="835">
        <f t="shared" si="11"/>
        <v>600</v>
      </c>
      <c r="AE50" s="834"/>
      <c r="AF50" s="781">
        <f t="shared" si="0"/>
        <v>0</v>
      </c>
    </row>
    <row r="51" spans="1:32">
      <c r="A51" s="422">
        <f t="shared" si="1"/>
        <v>37</v>
      </c>
      <c r="B51" s="423" t="s">
        <v>1063</v>
      </c>
      <c r="C51" s="423" t="s">
        <v>413</v>
      </c>
      <c r="D51" s="423" t="s">
        <v>1223</v>
      </c>
      <c r="E51" s="777" t="s">
        <v>1787</v>
      </c>
      <c r="F51" s="391">
        <v>300</v>
      </c>
      <c r="G51" s="391">
        <v>300</v>
      </c>
      <c r="H51" s="391">
        <v>300</v>
      </c>
      <c r="I51" s="391">
        <v>300</v>
      </c>
      <c r="J51" s="391">
        <v>300</v>
      </c>
      <c r="K51" s="391">
        <v>300</v>
      </c>
      <c r="L51" s="391">
        <v>300</v>
      </c>
      <c r="M51" s="391">
        <v>300</v>
      </c>
      <c r="N51" s="391">
        <v>300</v>
      </c>
      <c r="O51" s="391">
        <v>300</v>
      </c>
      <c r="P51" s="391">
        <v>300</v>
      </c>
      <c r="Q51" s="391">
        <v>300</v>
      </c>
      <c r="R51" s="391">
        <v>300</v>
      </c>
      <c r="S51" s="618">
        <f t="shared" si="12"/>
        <v>300</v>
      </c>
      <c r="T51" s="382"/>
      <c r="U51" s="833">
        <f t="shared" si="10"/>
        <v>300</v>
      </c>
      <c r="V51" s="833"/>
      <c r="W51" s="833"/>
      <c r="X51" s="425"/>
      <c r="Y51" s="833"/>
      <c r="Z51" s="833"/>
      <c r="AA51" s="833"/>
      <c r="AB51" s="833"/>
      <c r="AC51" s="834"/>
      <c r="AD51" s="835">
        <f t="shared" si="11"/>
        <v>300</v>
      </c>
      <c r="AE51" s="834"/>
      <c r="AF51" s="781">
        <f t="shared" si="0"/>
        <v>0</v>
      </c>
    </row>
    <row r="52" spans="1:32">
      <c r="A52" s="422">
        <f t="shared" si="1"/>
        <v>38</v>
      </c>
      <c r="B52" s="423" t="s">
        <v>1063</v>
      </c>
      <c r="C52" s="423" t="s">
        <v>413</v>
      </c>
      <c r="D52" s="423" t="s">
        <v>1224</v>
      </c>
      <c r="E52" s="777" t="s">
        <v>414</v>
      </c>
      <c r="F52" s="391">
        <v>0</v>
      </c>
      <c r="G52" s="391">
        <v>0</v>
      </c>
      <c r="H52" s="391">
        <v>0</v>
      </c>
      <c r="I52" s="391">
        <v>0</v>
      </c>
      <c r="J52" s="391">
        <v>0</v>
      </c>
      <c r="K52" s="391">
        <v>0</v>
      </c>
      <c r="L52" s="391">
        <v>0</v>
      </c>
      <c r="M52" s="391">
        <v>0</v>
      </c>
      <c r="N52" s="391">
        <v>0</v>
      </c>
      <c r="O52" s="391">
        <v>0</v>
      </c>
      <c r="P52" s="391">
        <v>0</v>
      </c>
      <c r="Q52" s="391">
        <v>0</v>
      </c>
      <c r="R52" s="391">
        <v>0</v>
      </c>
      <c r="S52" s="618">
        <f t="shared" si="12"/>
        <v>0</v>
      </c>
      <c r="T52" s="382"/>
      <c r="U52" s="833">
        <f t="shared" si="10"/>
        <v>0</v>
      </c>
      <c r="V52" s="833"/>
      <c r="W52" s="833"/>
      <c r="X52" s="425"/>
      <c r="Y52" s="833"/>
      <c r="Z52" s="833"/>
      <c r="AA52" s="833"/>
      <c r="AB52" s="833"/>
      <c r="AC52" s="834"/>
      <c r="AD52" s="835">
        <f t="shared" si="11"/>
        <v>0</v>
      </c>
      <c r="AE52" s="834"/>
      <c r="AF52" s="781">
        <f t="shared" si="0"/>
        <v>0</v>
      </c>
    </row>
    <row r="53" spans="1:32">
      <c r="A53" s="422">
        <f t="shared" si="1"/>
        <v>39</v>
      </c>
      <c r="B53" s="423" t="s">
        <v>1063</v>
      </c>
      <c r="C53" s="423" t="s">
        <v>413</v>
      </c>
      <c r="D53" s="657" t="s">
        <v>1225</v>
      </c>
      <c r="E53" s="777" t="s">
        <v>1788</v>
      </c>
      <c r="F53" s="391">
        <v>400</v>
      </c>
      <c r="G53" s="391">
        <v>400</v>
      </c>
      <c r="H53" s="391">
        <v>0</v>
      </c>
      <c r="I53" s="391">
        <v>0</v>
      </c>
      <c r="J53" s="391">
        <v>0</v>
      </c>
      <c r="K53" s="391">
        <v>0</v>
      </c>
      <c r="L53" s="391">
        <v>0</v>
      </c>
      <c r="M53" s="391">
        <v>0</v>
      </c>
      <c r="N53" s="391">
        <v>0</v>
      </c>
      <c r="O53" s="391">
        <v>0</v>
      </c>
      <c r="P53" s="391">
        <v>0</v>
      </c>
      <c r="Q53" s="391">
        <v>0</v>
      </c>
      <c r="R53" s="391">
        <v>0</v>
      </c>
      <c r="S53" s="618">
        <f t="shared" si="12"/>
        <v>50</v>
      </c>
      <c r="T53" s="382"/>
      <c r="U53" s="833">
        <f t="shared" si="10"/>
        <v>50</v>
      </c>
      <c r="V53" s="833"/>
      <c r="W53" s="833"/>
      <c r="X53" s="425"/>
      <c r="Y53" s="833"/>
      <c r="Z53" s="833"/>
      <c r="AA53" s="833"/>
      <c r="AB53" s="833"/>
      <c r="AC53" s="834"/>
      <c r="AD53" s="835">
        <f t="shared" si="11"/>
        <v>50</v>
      </c>
      <c r="AE53" s="834"/>
      <c r="AF53" s="781">
        <f t="shared" si="0"/>
        <v>0</v>
      </c>
    </row>
    <row r="54" spans="1:32">
      <c r="A54" s="422">
        <f t="shared" si="1"/>
        <v>40</v>
      </c>
      <c r="B54" s="423" t="s">
        <v>1063</v>
      </c>
      <c r="C54" s="423" t="s">
        <v>413</v>
      </c>
      <c r="D54" s="423" t="s">
        <v>1226</v>
      </c>
      <c r="E54" s="777" t="s">
        <v>1789</v>
      </c>
      <c r="F54" s="391">
        <v>250</v>
      </c>
      <c r="G54" s="391">
        <v>250</v>
      </c>
      <c r="H54" s="391">
        <v>250</v>
      </c>
      <c r="I54" s="391">
        <v>250</v>
      </c>
      <c r="J54" s="391">
        <v>250</v>
      </c>
      <c r="K54" s="391">
        <v>250</v>
      </c>
      <c r="L54" s="391">
        <v>250</v>
      </c>
      <c r="M54" s="391">
        <v>250</v>
      </c>
      <c r="N54" s="391">
        <v>250</v>
      </c>
      <c r="O54" s="391">
        <v>250</v>
      </c>
      <c r="P54" s="391">
        <v>250</v>
      </c>
      <c r="Q54" s="391">
        <v>250</v>
      </c>
      <c r="R54" s="391">
        <v>250</v>
      </c>
      <c r="S54" s="618">
        <f t="shared" si="12"/>
        <v>250</v>
      </c>
      <c r="T54" s="382"/>
      <c r="U54" s="833">
        <f t="shared" si="10"/>
        <v>250</v>
      </c>
      <c r="V54" s="833"/>
      <c r="W54" s="833"/>
      <c r="X54" s="425"/>
      <c r="Y54" s="833"/>
      <c r="Z54" s="833"/>
      <c r="AA54" s="833"/>
      <c r="AB54" s="833"/>
      <c r="AC54" s="834"/>
      <c r="AD54" s="835">
        <f t="shared" si="11"/>
        <v>250</v>
      </c>
      <c r="AE54" s="834"/>
      <c r="AF54" s="781">
        <f t="shared" si="0"/>
        <v>0</v>
      </c>
    </row>
    <row r="55" spans="1:32">
      <c r="A55" s="422">
        <f t="shared" si="1"/>
        <v>41</v>
      </c>
      <c r="B55" s="423" t="s">
        <v>1063</v>
      </c>
      <c r="C55" s="423" t="s">
        <v>413</v>
      </c>
      <c r="D55" s="423" t="s">
        <v>1227</v>
      </c>
      <c r="E55" s="777" t="s">
        <v>414</v>
      </c>
      <c r="F55" s="391">
        <v>0</v>
      </c>
      <c r="G55" s="391">
        <v>0</v>
      </c>
      <c r="H55" s="391">
        <v>0</v>
      </c>
      <c r="I55" s="391">
        <v>0</v>
      </c>
      <c r="J55" s="391">
        <v>0</v>
      </c>
      <c r="K55" s="391">
        <v>0</v>
      </c>
      <c r="L55" s="391">
        <v>0</v>
      </c>
      <c r="M55" s="391">
        <v>0</v>
      </c>
      <c r="N55" s="391">
        <v>0</v>
      </c>
      <c r="O55" s="391">
        <v>0</v>
      </c>
      <c r="P55" s="391">
        <v>0</v>
      </c>
      <c r="Q55" s="391">
        <v>0</v>
      </c>
      <c r="R55" s="391">
        <v>0</v>
      </c>
      <c r="S55" s="618">
        <f t="shared" si="12"/>
        <v>0</v>
      </c>
      <c r="T55" s="382"/>
      <c r="U55" s="833">
        <f t="shared" si="10"/>
        <v>0</v>
      </c>
      <c r="V55" s="833"/>
      <c r="W55" s="833"/>
      <c r="X55" s="425"/>
      <c r="Y55" s="833"/>
      <c r="Z55" s="833"/>
      <c r="AA55" s="833"/>
      <c r="AB55" s="833"/>
      <c r="AC55" s="834"/>
      <c r="AD55" s="835">
        <f t="shared" si="11"/>
        <v>0</v>
      </c>
      <c r="AE55" s="834"/>
      <c r="AF55" s="781">
        <f t="shared" si="0"/>
        <v>0</v>
      </c>
    </row>
    <row r="56" spans="1:32">
      <c r="A56" s="422">
        <f t="shared" si="1"/>
        <v>42</v>
      </c>
      <c r="B56" s="423" t="s">
        <v>1063</v>
      </c>
      <c r="C56" s="423" t="s">
        <v>413</v>
      </c>
      <c r="D56" s="423" t="s">
        <v>1228</v>
      </c>
      <c r="E56" s="777" t="s">
        <v>414</v>
      </c>
      <c r="F56" s="405">
        <v>0</v>
      </c>
      <c r="G56" s="405">
        <v>0</v>
      </c>
      <c r="H56" s="405">
        <v>0</v>
      </c>
      <c r="I56" s="405">
        <v>0</v>
      </c>
      <c r="J56" s="405">
        <v>0</v>
      </c>
      <c r="K56" s="405">
        <v>0</v>
      </c>
      <c r="L56" s="405">
        <v>0</v>
      </c>
      <c r="M56" s="405">
        <v>0</v>
      </c>
      <c r="N56" s="405">
        <v>0</v>
      </c>
      <c r="O56" s="405">
        <v>0</v>
      </c>
      <c r="P56" s="405">
        <v>0</v>
      </c>
      <c r="Q56" s="405">
        <v>0</v>
      </c>
      <c r="R56" s="405">
        <v>0</v>
      </c>
      <c r="S56" s="618">
        <f>((F56+R56)+((G56+H56+I56+J56+K56+L56+M56+N56+O56+P56+Q56)*2))/24</f>
        <v>0</v>
      </c>
      <c r="T56" s="382"/>
      <c r="U56" s="833">
        <f t="shared" si="10"/>
        <v>0</v>
      </c>
      <c r="V56" s="833"/>
      <c r="W56" s="833"/>
      <c r="X56" s="425"/>
      <c r="Y56" s="833"/>
      <c r="Z56" s="833"/>
      <c r="AA56" s="833"/>
      <c r="AB56" s="833"/>
      <c r="AC56" s="834"/>
      <c r="AD56" s="835">
        <f t="shared" si="11"/>
        <v>0</v>
      </c>
      <c r="AE56" s="834"/>
      <c r="AF56" s="781">
        <f t="shared" si="0"/>
        <v>0</v>
      </c>
    </row>
    <row r="57" spans="1:32">
      <c r="A57" s="422">
        <f t="shared" si="1"/>
        <v>43</v>
      </c>
      <c r="B57" s="422"/>
      <c r="C57" s="422"/>
      <c r="D57" s="422"/>
      <c r="E57" s="763" t="s">
        <v>415</v>
      </c>
      <c r="F57" s="394">
        <f t="shared" ref="F57:Q57" si="13">SUM(F44:F56)</f>
        <v>2728680.08</v>
      </c>
      <c r="G57" s="394">
        <f t="shared" si="13"/>
        <v>1916272.2800000003</v>
      </c>
      <c r="H57" s="394">
        <f t="shared" si="13"/>
        <v>1838476.31</v>
      </c>
      <c r="I57" s="394">
        <f t="shared" si="13"/>
        <v>2474237.5300000003</v>
      </c>
      <c r="J57" s="394">
        <f t="shared" si="13"/>
        <v>109985.74999999988</v>
      </c>
      <c r="K57" s="394">
        <f t="shared" si="13"/>
        <v>556906.25</v>
      </c>
      <c r="L57" s="394">
        <f t="shared" si="13"/>
        <v>1146327.8899999999</v>
      </c>
      <c r="M57" s="394">
        <f t="shared" si="13"/>
        <v>149273.04999999993</v>
      </c>
      <c r="N57" s="394">
        <f t="shared" si="13"/>
        <v>1150.0000000000582</v>
      </c>
      <c r="O57" s="394">
        <f t="shared" si="13"/>
        <v>1747039.38</v>
      </c>
      <c r="P57" s="394">
        <f t="shared" si="13"/>
        <v>-113888.37999999979</v>
      </c>
      <c r="Q57" s="394">
        <f t="shared" si="13"/>
        <v>1150.0000000002192</v>
      </c>
      <c r="R57" s="394">
        <f>SUM(R44:R56)</f>
        <v>3204308.9300000006</v>
      </c>
      <c r="S57" s="620">
        <f>SUM(S44:S56)</f>
        <v>1066118.7137500001</v>
      </c>
      <c r="T57" s="382"/>
      <c r="U57" s="833"/>
      <c r="V57" s="833"/>
      <c r="W57" s="833"/>
      <c r="X57" s="425"/>
      <c r="Y57" s="833"/>
      <c r="Z57" s="833"/>
      <c r="AA57" s="833"/>
      <c r="AB57" s="833"/>
      <c r="AC57" s="834"/>
      <c r="AD57" s="834"/>
      <c r="AE57" s="834"/>
      <c r="AF57" s="781">
        <f t="shared" si="0"/>
        <v>0</v>
      </c>
    </row>
    <row r="58" spans="1:32">
      <c r="A58" s="422">
        <f t="shared" si="1"/>
        <v>44</v>
      </c>
      <c r="B58" s="422"/>
      <c r="C58" s="422"/>
      <c r="D58" s="422"/>
      <c r="E58" s="763"/>
      <c r="F58" s="391"/>
      <c r="G58" s="407"/>
      <c r="H58" s="408"/>
      <c r="I58" s="408"/>
      <c r="J58" s="409"/>
      <c r="K58" s="410"/>
      <c r="L58" s="411"/>
      <c r="M58" s="412"/>
      <c r="N58" s="413"/>
      <c r="O58" s="414"/>
      <c r="P58" s="415"/>
      <c r="Q58" s="416"/>
      <c r="R58" s="391"/>
      <c r="S58" s="392"/>
      <c r="T58" s="382"/>
      <c r="U58" s="833"/>
      <c r="V58" s="833"/>
      <c r="W58" s="833"/>
      <c r="X58" s="425"/>
      <c r="Y58" s="833"/>
      <c r="Z58" s="833"/>
      <c r="AA58" s="833"/>
      <c r="AB58" s="833"/>
      <c r="AC58" s="834"/>
      <c r="AD58" s="834"/>
      <c r="AE58" s="834"/>
      <c r="AF58" s="781">
        <f t="shared" si="0"/>
        <v>0</v>
      </c>
    </row>
    <row r="59" spans="1:32">
      <c r="A59" s="422">
        <f t="shared" si="1"/>
        <v>45</v>
      </c>
      <c r="B59" s="423" t="s">
        <v>1063</v>
      </c>
      <c r="C59" s="423" t="s">
        <v>416</v>
      </c>
      <c r="D59" s="423">
        <v>2103</v>
      </c>
      <c r="E59" s="777" t="s">
        <v>417</v>
      </c>
      <c r="F59" s="405">
        <v>0</v>
      </c>
      <c r="G59" s="405">
        <v>0</v>
      </c>
      <c r="H59" s="405">
        <v>0</v>
      </c>
      <c r="I59" s="405">
        <v>0</v>
      </c>
      <c r="J59" s="405">
        <v>0</v>
      </c>
      <c r="K59" s="405">
        <v>0</v>
      </c>
      <c r="L59" s="405">
        <v>0</v>
      </c>
      <c r="M59" s="405">
        <v>0</v>
      </c>
      <c r="N59" s="405">
        <v>0</v>
      </c>
      <c r="O59" s="405">
        <v>0</v>
      </c>
      <c r="P59" s="405">
        <v>323765.93</v>
      </c>
      <c r="Q59" s="405">
        <v>197130.52</v>
      </c>
      <c r="R59" s="405">
        <v>0</v>
      </c>
      <c r="S59" s="618">
        <f>((F59+R59)+((G59+H59+I59+J59+K59+L59+M59+N59+O59+P59+Q59)*2))/24</f>
        <v>43408.037499999999</v>
      </c>
      <c r="T59" s="382"/>
      <c r="U59" s="833">
        <f>+S59</f>
        <v>43408.037499999999</v>
      </c>
      <c r="V59" s="833"/>
      <c r="W59" s="833"/>
      <c r="X59" s="425"/>
      <c r="Y59" s="833"/>
      <c r="Z59" s="833"/>
      <c r="AA59" s="833"/>
      <c r="AB59" s="833"/>
      <c r="AC59" s="834"/>
      <c r="AD59" s="836">
        <f>+U59</f>
        <v>43408.037499999999</v>
      </c>
      <c r="AE59" s="834"/>
      <c r="AF59" s="781">
        <f t="shared" si="0"/>
        <v>0</v>
      </c>
    </row>
    <row r="60" spans="1:32">
      <c r="A60" s="422">
        <f t="shared" si="1"/>
        <v>46</v>
      </c>
      <c r="B60" s="422"/>
      <c r="C60" s="422"/>
      <c r="D60" s="422"/>
      <c r="E60" s="763" t="s">
        <v>418</v>
      </c>
      <c r="F60" s="394">
        <f t="shared" ref="F60:S60" si="14">+F59</f>
        <v>0</v>
      </c>
      <c r="G60" s="394">
        <f t="shared" si="14"/>
        <v>0</v>
      </c>
      <c r="H60" s="394">
        <f t="shared" si="14"/>
        <v>0</v>
      </c>
      <c r="I60" s="394">
        <f t="shared" si="14"/>
        <v>0</v>
      </c>
      <c r="J60" s="394">
        <f t="shared" si="14"/>
        <v>0</v>
      </c>
      <c r="K60" s="394">
        <f t="shared" si="14"/>
        <v>0</v>
      </c>
      <c r="L60" s="394">
        <f t="shared" si="14"/>
        <v>0</v>
      </c>
      <c r="M60" s="394">
        <f t="shared" si="14"/>
        <v>0</v>
      </c>
      <c r="N60" s="394">
        <f t="shared" si="14"/>
        <v>0</v>
      </c>
      <c r="O60" s="394">
        <f t="shared" si="14"/>
        <v>0</v>
      </c>
      <c r="P60" s="394">
        <f t="shared" si="14"/>
        <v>323765.93</v>
      </c>
      <c r="Q60" s="394">
        <f t="shared" si="14"/>
        <v>197130.52</v>
      </c>
      <c r="R60" s="394">
        <f t="shared" si="14"/>
        <v>0</v>
      </c>
      <c r="S60" s="620">
        <f t="shared" si="14"/>
        <v>43408.037499999999</v>
      </c>
      <c r="T60" s="382"/>
      <c r="U60" s="833"/>
      <c r="V60" s="833"/>
      <c r="W60" s="833"/>
      <c r="X60" s="425"/>
      <c r="Y60" s="833"/>
      <c r="Z60" s="833"/>
      <c r="AA60" s="833"/>
      <c r="AB60" s="833"/>
      <c r="AC60" s="834"/>
      <c r="AD60" s="834"/>
      <c r="AE60" s="834"/>
      <c r="AF60" s="781">
        <f t="shared" si="0"/>
        <v>0</v>
      </c>
    </row>
    <row r="61" spans="1:32">
      <c r="A61" s="422">
        <f t="shared" si="1"/>
        <v>47</v>
      </c>
      <c r="B61" s="422"/>
      <c r="C61" s="422"/>
      <c r="D61" s="422"/>
      <c r="E61" s="763"/>
      <c r="F61" s="391"/>
      <c r="G61" s="407"/>
      <c r="H61" s="408"/>
      <c r="I61" s="408"/>
      <c r="J61" s="409"/>
      <c r="K61" s="410"/>
      <c r="L61" s="411"/>
      <c r="M61" s="412"/>
      <c r="N61" s="413"/>
      <c r="O61" s="414"/>
      <c r="P61" s="415"/>
      <c r="Q61" s="416"/>
      <c r="R61" s="391"/>
      <c r="S61" s="392"/>
      <c r="T61" s="382"/>
      <c r="U61" s="833"/>
      <c r="V61" s="833"/>
      <c r="W61" s="833"/>
      <c r="X61" s="425"/>
      <c r="Y61" s="833"/>
      <c r="Z61" s="833"/>
      <c r="AA61" s="833"/>
      <c r="AB61" s="833"/>
      <c r="AC61" s="834"/>
      <c r="AD61" s="834"/>
      <c r="AE61" s="834"/>
      <c r="AF61" s="781">
        <f t="shared" si="0"/>
        <v>0</v>
      </c>
    </row>
    <row r="62" spans="1:32">
      <c r="A62" s="422">
        <f t="shared" si="1"/>
        <v>48</v>
      </c>
      <c r="B62" s="423" t="s">
        <v>1063</v>
      </c>
      <c r="C62" s="423" t="s">
        <v>419</v>
      </c>
      <c r="D62" s="423" t="s">
        <v>539</v>
      </c>
      <c r="E62" s="777" t="s">
        <v>1790</v>
      </c>
      <c r="F62" s="391">
        <v>-32699.67</v>
      </c>
      <c r="G62" s="391">
        <v>284146.59999999998</v>
      </c>
      <c r="H62" s="391">
        <v>428727.33</v>
      </c>
      <c r="I62" s="391">
        <v>-104115</v>
      </c>
      <c r="J62" s="391">
        <v>654967.05000000005</v>
      </c>
      <c r="K62" s="391">
        <v>39350.070000000203</v>
      </c>
      <c r="L62" s="391">
        <v>45820.140000000203</v>
      </c>
      <c r="M62" s="391">
        <v>55770.240000000202</v>
      </c>
      <c r="N62" s="391">
        <v>36821.320000000203</v>
      </c>
      <c r="O62" s="391">
        <v>-809181.28</v>
      </c>
      <c r="P62" s="391">
        <v>140132.54</v>
      </c>
      <c r="Q62" s="391">
        <v>-33062.399999999798</v>
      </c>
      <c r="R62" s="391">
        <v>945100.14</v>
      </c>
      <c r="S62" s="618">
        <f>((F62+R62)+((G62+H62+I62+J62+K62+L62+M62+N62+O62+P62+Q62)*2))/24</f>
        <v>99631.4037500001</v>
      </c>
      <c r="T62" s="382"/>
      <c r="U62" s="833">
        <f t="shared" ref="U62:U73" si="15">+S62</f>
        <v>99631.4037500001</v>
      </c>
      <c r="V62" s="833"/>
      <c r="W62" s="833"/>
      <c r="X62" s="425"/>
      <c r="Y62" s="833"/>
      <c r="Z62" s="833"/>
      <c r="AA62" s="833"/>
      <c r="AB62" s="833"/>
      <c r="AC62" s="834"/>
      <c r="AD62" s="835">
        <f t="shared" ref="AD62:AD72" si="16">+U62</f>
        <v>99631.4037500001</v>
      </c>
      <c r="AE62" s="834"/>
      <c r="AF62" s="781">
        <f t="shared" si="0"/>
        <v>0</v>
      </c>
    </row>
    <row r="63" spans="1:32">
      <c r="A63" s="422">
        <f t="shared" si="1"/>
        <v>49</v>
      </c>
      <c r="B63" s="423" t="s">
        <v>1094</v>
      </c>
      <c r="C63" s="423" t="s">
        <v>419</v>
      </c>
      <c r="D63" s="423" t="s">
        <v>539</v>
      </c>
      <c r="E63" s="777" t="s">
        <v>1795</v>
      </c>
      <c r="F63" s="391">
        <v>2835993.36</v>
      </c>
      <c r="G63" s="391">
        <v>4090258.85</v>
      </c>
      <c r="H63" s="391">
        <v>3097363.41</v>
      </c>
      <c r="I63" s="391">
        <v>3966179.72</v>
      </c>
      <c r="J63" s="391">
        <v>2729190.11</v>
      </c>
      <c r="K63" s="391">
        <v>1507978.1</v>
      </c>
      <c r="L63" s="391">
        <v>838109.84999999905</v>
      </c>
      <c r="M63" s="391">
        <v>209053.75999999899</v>
      </c>
      <c r="N63" s="391">
        <v>-104040.680000001</v>
      </c>
      <c r="O63" s="391">
        <v>-265867.140000001</v>
      </c>
      <c r="P63" s="391">
        <v>53120.499999999403</v>
      </c>
      <c r="Q63" s="391">
        <v>571152.98999999894</v>
      </c>
      <c r="R63" s="391">
        <v>2449138.14</v>
      </c>
      <c r="S63" s="618">
        <f t="shared" ref="S63:S71" si="17">((F63+R63)+((G63+H63+I63+J63+K63+L63+M63+N63+O63+P63+Q63)*2))/24</f>
        <v>1611255.4349999996</v>
      </c>
      <c r="T63" s="382"/>
      <c r="U63" s="833">
        <f t="shared" si="15"/>
        <v>1611255.4349999996</v>
      </c>
      <c r="V63" s="833"/>
      <c r="W63" s="833"/>
      <c r="X63" s="425"/>
      <c r="Y63" s="833"/>
      <c r="Z63" s="833"/>
      <c r="AA63" s="833"/>
      <c r="AB63" s="833"/>
      <c r="AC63" s="834"/>
      <c r="AD63" s="835">
        <f t="shared" si="16"/>
        <v>1611255.4349999996</v>
      </c>
      <c r="AE63" s="834"/>
      <c r="AF63" s="781">
        <f t="shared" si="0"/>
        <v>0</v>
      </c>
    </row>
    <row r="64" spans="1:32">
      <c r="A64" s="422">
        <f t="shared" si="1"/>
        <v>50</v>
      </c>
      <c r="B64" s="423" t="s">
        <v>1066</v>
      </c>
      <c r="C64" s="423" t="s">
        <v>419</v>
      </c>
      <c r="D64" s="423" t="s">
        <v>539</v>
      </c>
      <c r="E64" s="777" t="s">
        <v>1795</v>
      </c>
      <c r="F64" s="391">
        <v>9640875.9800000004</v>
      </c>
      <c r="G64" s="391">
        <v>15211074.449999999</v>
      </c>
      <c r="H64" s="391">
        <v>12142832.08</v>
      </c>
      <c r="I64" s="391">
        <v>14657314.109999999</v>
      </c>
      <c r="J64" s="391">
        <v>10870701.210000001</v>
      </c>
      <c r="K64" s="391">
        <v>6281840.2000000002</v>
      </c>
      <c r="L64" s="391">
        <v>4086632.3</v>
      </c>
      <c r="M64" s="391">
        <v>1626340.06</v>
      </c>
      <c r="N64" s="391">
        <v>423547.82999999699</v>
      </c>
      <c r="O64" s="391">
        <v>70082.039999997301</v>
      </c>
      <c r="P64" s="391">
        <v>326053.78999999701</v>
      </c>
      <c r="Q64" s="391">
        <v>1819455.15</v>
      </c>
      <c r="R64" s="391">
        <v>7070459.8200000003</v>
      </c>
      <c r="S64" s="618">
        <f t="shared" si="17"/>
        <v>6322628.4266666668</v>
      </c>
      <c r="T64" s="382"/>
      <c r="U64" s="833">
        <f t="shared" si="15"/>
        <v>6322628.4266666668</v>
      </c>
      <c r="V64" s="833"/>
      <c r="W64" s="833"/>
      <c r="X64" s="425"/>
      <c r="Y64" s="833"/>
      <c r="Z64" s="833"/>
      <c r="AA64" s="833"/>
      <c r="AB64" s="833"/>
      <c r="AC64" s="834"/>
      <c r="AD64" s="835">
        <f t="shared" si="16"/>
        <v>6322628.4266666668</v>
      </c>
      <c r="AE64" s="834"/>
      <c r="AF64" s="781">
        <f t="shared" si="0"/>
        <v>0</v>
      </c>
    </row>
    <row r="65" spans="1:32">
      <c r="A65" s="422">
        <f t="shared" si="1"/>
        <v>51</v>
      </c>
      <c r="B65" s="423" t="s">
        <v>1094</v>
      </c>
      <c r="C65" s="423" t="s">
        <v>419</v>
      </c>
      <c r="D65" s="423" t="s">
        <v>573</v>
      </c>
      <c r="E65" s="777" t="s">
        <v>1796</v>
      </c>
      <c r="F65" s="391">
        <v>-8386.8500000000095</v>
      </c>
      <c r="G65" s="391">
        <v>35640.559999999998</v>
      </c>
      <c r="H65" s="391">
        <v>24896</v>
      </c>
      <c r="I65" s="391">
        <v>183937.79</v>
      </c>
      <c r="J65" s="391">
        <v>47582.27</v>
      </c>
      <c r="K65" s="391">
        <v>30323.85</v>
      </c>
      <c r="L65" s="391">
        <v>18262.11</v>
      </c>
      <c r="M65" s="391">
        <v>58462.66</v>
      </c>
      <c r="N65" s="391">
        <v>23924.43</v>
      </c>
      <c r="O65" s="391">
        <v>50253.01</v>
      </c>
      <c r="P65" s="391">
        <v>21029.56</v>
      </c>
      <c r="Q65" s="391">
        <v>43394.400000000001</v>
      </c>
      <c r="R65" s="391">
        <v>161397.89000000001</v>
      </c>
      <c r="S65" s="618">
        <f t="shared" si="17"/>
        <v>51184.346666666672</v>
      </c>
      <c r="T65" s="382"/>
      <c r="U65" s="833">
        <f t="shared" si="15"/>
        <v>51184.346666666672</v>
      </c>
      <c r="V65" s="833"/>
      <c r="W65" s="833"/>
      <c r="X65" s="425"/>
      <c r="Y65" s="833"/>
      <c r="Z65" s="833"/>
      <c r="AA65" s="833"/>
      <c r="AB65" s="833"/>
      <c r="AC65" s="834"/>
      <c r="AD65" s="835">
        <f t="shared" si="16"/>
        <v>51184.346666666672</v>
      </c>
      <c r="AE65" s="834"/>
      <c r="AF65" s="781">
        <f t="shared" si="0"/>
        <v>0</v>
      </c>
    </row>
    <row r="66" spans="1:32">
      <c r="A66" s="422">
        <f t="shared" si="1"/>
        <v>52</v>
      </c>
      <c r="B66" s="423" t="s">
        <v>1066</v>
      </c>
      <c r="C66" s="423" t="s">
        <v>419</v>
      </c>
      <c r="D66" s="423" t="s">
        <v>573</v>
      </c>
      <c r="E66" s="777" t="s">
        <v>1796</v>
      </c>
      <c r="F66" s="391">
        <v>113632.21</v>
      </c>
      <c r="G66" s="391">
        <v>97300.26</v>
      </c>
      <c r="H66" s="391">
        <v>405618.96</v>
      </c>
      <c r="I66" s="391">
        <v>231617.08</v>
      </c>
      <c r="J66" s="391">
        <v>352326.3</v>
      </c>
      <c r="K66" s="391">
        <v>76231.600000000006</v>
      </c>
      <c r="L66" s="391">
        <v>235283.31</v>
      </c>
      <c r="M66" s="391">
        <v>9825.9500000000407</v>
      </c>
      <c r="N66" s="391">
        <v>42721.3</v>
      </c>
      <c r="O66" s="391">
        <v>1058551.52</v>
      </c>
      <c r="P66" s="391">
        <v>95859.53</v>
      </c>
      <c r="Q66" s="391">
        <v>389537.99</v>
      </c>
      <c r="R66" s="391">
        <v>150854.79</v>
      </c>
      <c r="S66" s="618">
        <f t="shared" si="17"/>
        <v>260593.10833333331</v>
      </c>
      <c r="T66" s="382"/>
      <c r="U66" s="833">
        <f t="shared" si="15"/>
        <v>260593.10833333331</v>
      </c>
      <c r="V66" s="833"/>
      <c r="W66" s="833"/>
      <c r="X66" s="425"/>
      <c r="Y66" s="833"/>
      <c r="Z66" s="833"/>
      <c r="AA66" s="833"/>
      <c r="AB66" s="833"/>
      <c r="AC66" s="834"/>
      <c r="AD66" s="835">
        <f t="shared" si="16"/>
        <v>260593.10833333331</v>
      </c>
      <c r="AE66" s="834"/>
      <c r="AF66" s="781">
        <f t="shared" si="0"/>
        <v>0</v>
      </c>
    </row>
    <row r="67" spans="1:32">
      <c r="A67" s="422">
        <f t="shared" si="1"/>
        <v>53</v>
      </c>
      <c r="B67" s="423" t="s">
        <v>1094</v>
      </c>
      <c r="C67" s="423" t="s">
        <v>419</v>
      </c>
      <c r="D67" s="423" t="s">
        <v>1050</v>
      </c>
      <c r="E67" s="777" t="s">
        <v>1797</v>
      </c>
      <c r="F67" s="391">
        <v>1256279.2</v>
      </c>
      <c r="G67" s="391">
        <v>949324.88</v>
      </c>
      <c r="H67" s="391">
        <v>860646.37</v>
      </c>
      <c r="I67" s="391">
        <v>692162.99</v>
      </c>
      <c r="J67" s="391">
        <v>681410.04</v>
      </c>
      <c r="K67" s="391">
        <v>796488.24</v>
      </c>
      <c r="L67" s="391">
        <v>973382.76</v>
      </c>
      <c r="M67" s="391">
        <v>1186726.51</v>
      </c>
      <c r="N67" s="391">
        <v>1406361.31</v>
      </c>
      <c r="O67" s="391">
        <v>1607889.07</v>
      </c>
      <c r="P67" s="391">
        <v>1768131.37</v>
      </c>
      <c r="Q67" s="391">
        <v>1767276.97</v>
      </c>
      <c r="R67" s="391">
        <v>1518612.94</v>
      </c>
      <c r="S67" s="618">
        <f t="shared" si="17"/>
        <v>1173103.8816666666</v>
      </c>
      <c r="T67" s="382"/>
      <c r="U67" s="833">
        <f t="shared" si="15"/>
        <v>1173103.8816666666</v>
      </c>
      <c r="V67" s="833"/>
      <c r="W67" s="833"/>
      <c r="X67" s="425"/>
      <c r="Y67" s="833"/>
      <c r="Z67" s="833"/>
      <c r="AA67" s="833"/>
      <c r="AB67" s="833"/>
      <c r="AC67" s="834"/>
      <c r="AD67" s="835">
        <f t="shared" si="16"/>
        <v>1173103.8816666666</v>
      </c>
      <c r="AE67" s="834"/>
      <c r="AF67" s="781">
        <f t="shared" si="0"/>
        <v>0</v>
      </c>
    </row>
    <row r="68" spans="1:32">
      <c r="A68" s="422">
        <f t="shared" si="1"/>
        <v>54</v>
      </c>
      <c r="B68" s="423" t="s">
        <v>1066</v>
      </c>
      <c r="C68" s="423" t="s">
        <v>419</v>
      </c>
      <c r="D68" s="423" t="s">
        <v>1050</v>
      </c>
      <c r="E68" s="777" t="s">
        <v>1797</v>
      </c>
      <c r="F68" s="391">
        <v>4254314.09</v>
      </c>
      <c r="G68" s="391">
        <v>2993607.32</v>
      </c>
      <c r="H68" s="391">
        <v>2514876.98</v>
      </c>
      <c r="I68" s="391">
        <v>2017059.67</v>
      </c>
      <c r="J68" s="391">
        <v>1920120.96</v>
      </c>
      <c r="K68" s="391">
        <v>2201078.2799999998</v>
      </c>
      <c r="L68" s="391">
        <v>2678159.34</v>
      </c>
      <c r="M68" s="391">
        <v>3385501.36</v>
      </c>
      <c r="N68" s="391">
        <v>4123740.92</v>
      </c>
      <c r="O68" s="391">
        <v>4879511.5</v>
      </c>
      <c r="P68" s="391">
        <v>5690834.7599999998</v>
      </c>
      <c r="Q68" s="391">
        <v>5972637.8499999996</v>
      </c>
      <c r="R68" s="391">
        <v>5330310.5</v>
      </c>
      <c r="S68" s="618">
        <f t="shared" si="17"/>
        <v>3597453.4362499998</v>
      </c>
      <c r="T68" s="382"/>
      <c r="U68" s="833">
        <f t="shared" si="15"/>
        <v>3597453.4362499998</v>
      </c>
      <c r="V68" s="833"/>
      <c r="W68" s="833"/>
      <c r="X68" s="425"/>
      <c r="Y68" s="833"/>
      <c r="Z68" s="833"/>
      <c r="AA68" s="833"/>
      <c r="AB68" s="833"/>
      <c r="AC68" s="834"/>
      <c r="AD68" s="835">
        <f t="shared" si="16"/>
        <v>3597453.4362499998</v>
      </c>
      <c r="AE68" s="834"/>
      <c r="AF68" s="781">
        <f t="shared" si="0"/>
        <v>0</v>
      </c>
    </row>
    <row r="69" spans="1:32">
      <c r="A69" s="422">
        <f t="shared" si="1"/>
        <v>55</v>
      </c>
      <c r="B69" s="423" t="s">
        <v>1063</v>
      </c>
      <c r="C69" s="423" t="s">
        <v>420</v>
      </c>
      <c r="D69" s="423" t="s">
        <v>1229</v>
      </c>
      <c r="E69" s="777" t="s">
        <v>1791</v>
      </c>
      <c r="F69" s="391">
        <v>139413.53</v>
      </c>
      <c r="G69" s="391">
        <v>146253.79</v>
      </c>
      <c r="H69" s="391">
        <v>177095.55</v>
      </c>
      <c r="I69" s="391">
        <v>1500323.46</v>
      </c>
      <c r="J69" s="391">
        <v>199216.04</v>
      </c>
      <c r="K69" s="391">
        <v>429255.56</v>
      </c>
      <c r="L69" s="391">
        <v>296036.5</v>
      </c>
      <c r="M69" s="391">
        <v>286762.89</v>
      </c>
      <c r="N69" s="391">
        <v>1296809.08</v>
      </c>
      <c r="O69" s="391">
        <v>518771.56</v>
      </c>
      <c r="P69" s="391">
        <v>1815453.45</v>
      </c>
      <c r="Q69" s="391">
        <v>805976.77</v>
      </c>
      <c r="R69" s="391">
        <v>1902279.41</v>
      </c>
      <c r="S69" s="618">
        <f t="shared" si="17"/>
        <v>707733.42666666675</v>
      </c>
      <c r="T69" s="382"/>
      <c r="U69" s="833">
        <f t="shared" si="15"/>
        <v>707733.42666666675</v>
      </c>
      <c r="V69" s="833"/>
      <c r="W69" s="833"/>
      <c r="X69" s="425"/>
      <c r="Y69" s="833"/>
      <c r="Z69" s="833"/>
      <c r="AA69" s="833"/>
      <c r="AB69" s="833"/>
      <c r="AC69" s="834"/>
      <c r="AD69" s="835">
        <f t="shared" si="16"/>
        <v>707733.42666666675</v>
      </c>
      <c r="AE69" s="834"/>
      <c r="AF69" s="781">
        <f t="shared" si="0"/>
        <v>0</v>
      </c>
    </row>
    <row r="70" spans="1:32">
      <c r="A70" s="422">
        <f t="shared" si="1"/>
        <v>56</v>
      </c>
      <c r="B70" s="423" t="s">
        <v>1063</v>
      </c>
      <c r="C70" s="423" t="s">
        <v>420</v>
      </c>
      <c r="D70" s="423" t="s">
        <v>472</v>
      </c>
      <c r="E70" s="777" t="s">
        <v>1792</v>
      </c>
      <c r="F70" s="391">
        <v>15</v>
      </c>
      <c r="G70" s="391">
        <v>0</v>
      </c>
      <c r="H70" s="391">
        <v>0</v>
      </c>
      <c r="I70" s="391">
        <v>0</v>
      </c>
      <c r="J70" s="391">
        <v>0</v>
      </c>
      <c r="K70" s="391">
        <v>-10030.18</v>
      </c>
      <c r="L70" s="391">
        <v>0</v>
      </c>
      <c r="M70" s="391">
        <v>0</v>
      </c>
      <c r="N70" s="391">
        <v>0</v>
      </c>
      <c r="O70" s="391">
        <v>0</v>
      </c>
      <c r="P70" s="391">
        <v>0</v>
      </c>
      <c r="Q70" s="391">
        <v>17.760000000000002</v>
      </c>
      <c r="R70" s="391">
        <v>0</v>
      </c>
      <c r="S70" s="618">
        <f>((F70+R70)+((G70+H70+I70+J70+K70+L70+M70+N70+O70+P70+Q70)*2))/24</f>
        <v>-833.74333333333334</v>
      </c>
      <c r="T70" s="382"/>
      <c r="U70" s="833">
        <f t="shared" si="15"/>
        <v>-833.74333333333334</v>
      </c>
      <c r="V70" s="833"/>
      <c r="W70" s="833"/>
      <c r="X70" s="425"/>
      <c r="Y70" s="833"/>
      <c r="Z70" s="833"/>
      <c r="AA70" s="833"/>
      <c r="AB70" s="833"/>
      <c r="AC70" s="834"/>
      <c r="AD70" s="835">
        <f t="shared" si="16"/>
        <v>-833.74333333333334</v>
      </c>
      <c r="AE70" s="834"/>
      <c r="AF70" s="781">
        <f t="shared" si="0"/>
        <v>0</v>
      </c>
    </row>
    <row r="71" spans="1:32">
      <c r="A71" s="422">
        <f t="shared" si="1"/>
        <v>57</v>
      </c>
      <c r="B71" s="423" t="s">
        <v>1063</v>
      </c>
      <c r="C71" s="423" t="s">
        <v>420</v>
      </c>
      <c r="D71" s="423" t="s">
        <v>505</v>
      </c>
      <c r="E71" s="777" t="s">
        <v>1793</v>
      </c>
      <c r="F71" s="391">
        <v>370.83</v>
      </c>
      <c r="G71" s="391">
        <v>288.22000000000003</v>
      </c>
      <c r="H71" s="391">
        <v>190.62</v>
      </c>
      <c r="I71" s="391">
        <v>484.82</v>
      </c>
      <c r="J71" s="391">
        <v>346.5</v>
      </c>
      <c r="K71" s="391">
        <v>368.46</v>
      </c>
      <c r="L71" s="391">
        <v>228.98</v>
      </c>
      <c r="M71" s="391">
        <v>27619.9</v>
      </c>
      <c r="N71" s="391">
        <v>11302.74</v>
      </c>
      <c r="O71" s="391">
        <v>362.51999999999902</v>
      </c>
      <c r="P71" s="391">
        <v>400.83999999999901</v>
      </c>
      <c r="Q71" s="391">
        <v>417.43999999999897</v>
      </c>
      <c r="R71" s="391">
        <v>359.95999999999901</v>
      </c>
      <c r="S71" s="618">
        <f t="shared" si="17"/>
        <v>3531.3695833333327</v>
      </c>
      <c r="T71" s="382"/>
      <c r="U71" s="833">
        <f t="shared" si="15"/>
        <v>3531.3695833333327</v>
      </c>
      <c r="V71" s="833"/>
      <c r="W71" s="833"/>
      <c r="X71" s="425"/>
      <c r="Y71" s="833"/>
      <c r="Z71" s="833"/>
      <c r="AA71" s="833"/>
      <c r="AB71" s="833"/>
      <c r="AC71" s="834"/>
      <c r="AD71" s="835">
        <f t="shared" si="16"/>
        <v>3531.3695833333327</v>
      </c>
      <c r="AE71" s="834"/>
      <c r="AF71" s="781">
        <f t="shared" si="0"/>
        <v>0</v>
      </c>
    </row>
    <row r="72" spans="1:32">
      <c r="A72" s="422">
        <f t="shared" si="1"/>
        <v>58</v>
      </c>
      <c r="B72" s="423" t="s">
        <v>1063</v>
      </c>
      <c r="C72" s="423" t="s">
        <v>420</v>
      </c>
      <c r="D72" s="423" t="s">
        <v>506</v>
      </c>
      <c r="E72" s="777" t="s">
        <v>1794</v>
      </c>
      <c r="F72" s="391">
        <v>2115987.9</v>
      </c>
      <c r="G72" s="391">
        <v>2177234.81</v>
      </c>
      <c r="H72" s="391">
        <v>1837716.61</v>
      </c>
      <c r="I72" s="391">
        <v>1886078.7</v>
      </c>
      <c r="J72" s="391">
        <v>1935681</v>
      </c>
      <c r="K72" s="391">
        <v>1984043.09</v>
      </c>
      <c r="L72" s="391">
        <v>2035189.96</v>
      </c>
      <c r="M72" s="391">
        <v>2083604.36</v>
      </c>
      <c r="N72" s="391">
        <v>2131966.4500000002</v>
      </c>
      <c r="O72" s="391">
        <v>2180328.54</v>
      </c>
      <c r="P72" s="391">
        <v>2228832.44</v>
      </c>
      <c r="Q72" s="391">
        <v>2277316.44</v>
      </c>
      <c r="R72" s="391">
        <v>257648.3</v>
      </c>
      <c r="S72" s="618">
        <f>((F72+R72)+((G72+H72+I72+J72+K72+L72+M72+N72+O72+P72+Q72)*2))/24</f>
        <v>1995400.8750000002</v>
      </c>
      <c r="T72" s="382"/>
      <c r="U72" s="833">
        <f t="shared" si="15"/>
        <v>1995400.8750000002</v>
      </c>
      <c r="V72" s="833"/>
      <c r="W72" s="833"/>
      <c r="X72" s="425"/>
      <c r="Y72" s="833"/>
      <c r="Z72" s="833"/>
      <c r="AA72" s="833"/>
      <c r="AB72" s="833"/>
      <c r="AC72" s="834"/>
      <c r="AD72" s="835">
        <f t="shared" si="16"/>
        <v>1995400.8750000002</v>
      </c>
      <c r="AE72" s="834"/>
      <c r="AF72" s="781">
        <f t="shared" si="0"/>
        <v>0</v>
      </c>
    </row>
    <row r="73" spans="1:32">
      <c r="A73" s="422">
        <f t="shared" si="1"/>
        <v>59</v>
      </c>
      <c r="B73" s="423" t="s">
        <v>1063</v>
      </c>
      <c r="C73" s="423" t="s">
        <v>421</v>
      </c>
      <c r="D73" s="423"/>
      <c r="E73" s="777" t="s">
        <v>422</v>
      </c>
      <c r="F73" s="405">
        <v>0</v>
      </c>
      <c r="G73" s="405">
        <v>0</v>
      </c>
      <c r="H73" s="405">
        <v>0</v>
      </c>
      <c r="I73" s="405">
        <v>0</v>
      </c>
      <c r="J73" s="405">
        <v>0</v>
      </c>
      <c r="K73" s="405">
        <v>0</v>
      </c>
      <c r="L73" s="405">
        <v>0</v>
      </c>
      <c r="M73" s="405">
        <v>0</v>
      </c>
      <c r="N73" s="405">
        <v>0</v>
      </c>
      <c r="O73" s="405">
        <v>0</v>
      </c>
      <c r="P73" s="405">
        <v>0</v>
      </c>
      <c r="Q73" s="405">
        <v>0</v>
      </c>
      <c r="R73" s="405">
        <v>0</v>
      </c>
      <c r="S73" s="619">
        <f>((F73+R73)+((G73+H73+I73+J73+K73+L73+M73+N73+O73+P73+Q73)*2))/24</f>
        <v>0</v>
      </c>
      <c r="T73" s="382"/>
      <c r="U73" s="833">
        <f t="shared" si="15"/>
        <v>0</v>
      </c>
      <c r="V73" s="833"/>
      <c r="W73" s="833"/>
      <c r="X73" s="425"/>
      <c r="Y73" s="833"/>
      <c r="Z73" s="833"/>
      <c r="AA73" s="833"/>
      <c r="AB73" s="833"/>
      <c r="AC73" s="834"/>
      <c r="AD73" s="834"/>
      <c r="AE73" s="834"/>
      <c r="AF73" s="781">
        <f t="shared" si="0"/>
        <v>0</v>
      </c>
    </row>
    <row r="74" spans="1:32">
      <c r="A74" s="422">
        <f t="shared" si="1"/>
        <v>60</v>
      </c>
      <c r="B74" s="422"/>
      <c r="C74" s="422"/>
      <c r="D74" s="422"/>
      <c r="E74" s="763" t="s">
        <v>423</v>
      </c>
      <c r="F74" s="391">
        <f>SUM(F62:F73)</f>
        <v>20315795.579999998</v>
      </c>
      <c r="G74" s="391">
        <f t="shared" ref="G74:S74" si="18">SUM(G62:G73)</f>
        <v>25985129.739999995</v>
      </c>
      <c r="H74" s="391">
        <f t="shared" si="18"/>
        <v>21489963.910000004</v>
      </c>
      <c r="I74" s="391">
        <f t="shared" si="18"/>
        <v>25031043.339999992</v>
      </c>
      <c r="J74" s="391">
        <f t="shared" si="18"/>
        <v>19391541.48</v>
      </c>
      <c r="K74" s="391">
        <f t="shared" si="18"/>
        <v>13336927.270000001</v>
      </c>
      <c r="L74" s="391">
        <f t="shared" si="18"/>
        <v>11207105.25</v>
      </c>
      <c r="M74" s="391">
        <f t="shared" si="18"/>
        <v>8929667.6899999995</v>
      </c>
      <c r="N74" s="391">
        <f t="shared" si="18"/>
        <v>9393154.6999999955</v>
      </c>
      <c r="O74" s="391">
        <f t="shared" si="18"/>
        <v>9290701.3399999961</v>
      </c>
      <c r="P74" s="391">
        <f t="shared" si="18"/>
        <v>12139848.779999996</v>
      </c>
      <c r="Q74" s="391">
        <f t="shared" si="18"/>
        <v>13614121.359999998</v>
      </c>
      <c r="R74" s="391">
        <f t="shared" si="18"/>
        <v>19786161.890000001</v>
      </c>
      <c r="S74" s="618">
        <f t="shared" si="18"/>
        <v>15821681.966249999</v>
      </c>
      <c r="T74" s="382"/>
      <c r="U74" s="833"/>
      <c r="V74" s="833"/>
      <c r="W74" s="833"/>
      <c r="X74" s="425"/>
      <c r="Y74" s="833"/>
      <c r="Z74" s="833"/>
      <c r="AA74" s="833"/>
      <c r="AB74" s="833"/>
      <c r="AC74" s="834"/>
      <c r="AD74" s="834"/>
      <c r="AE74" s="834"/>
      <c r="AF74" s="781">
        <f t="shared" si="0"/>
        <v>0</v>
      </c>
    </row>
    <row r="75" spans="1:32">
      <c r="A75" s="422">
        <f t="shared" si="1"/>
        <v>61</v>
      </c>
      <c r="B75" s="422"/>
      <c r="C75" s="422"/>
      <c r="D75" s="422"/>
      <c r="E75" s="763" t="s">
        <v>104</v>
      </c>
      <c r="F75" s="391"/>
      <c r="G75" s="407"/>
      <c r="H75" s="408"/>
      <c r="I75" s="408"/>
      <c r="J75" s="409"/>
      <c r="K75" s="410"/>
      <c r="L75" s="411"/>
      <c r="M75" s="412"/>
      <c r="N75" s="413"/>
      <c r="O75" s="414"/>
      <c r="P75" s="415"/>
      <c r="Q75" s="416"/>
      <c r="R75" s="391"/>
      <c r="S75" s="392"/>
      <c r="T75" s="382"/>
      <c r="U75" s="833"/>
      <c r="V75" s="833"/>
      <c r="W75" s="833"/>
      <c r="X75" s="425"/>
      <c r="Y75" s="833"/>
      <c r="Z75" s="833"/>
      <c r="AA75" s="833"/>
      <c r="AB75" s="833"/>
      <c r="AC75" s="834"/>
      <c r="AD75" s="834"/>
      <c r="AE75" s="834"/>
      <c r="AF75" s="781">
        <f t="shared" si="0"/>
        <v>0</v>
      </c>
    </row>
    <row r="76" spans="1:32">
      <c r="A76" s="422">
        <f t="shared" si="1"/>
        <v>62</v>
      </c>
      <c r="B76" s="423" t="s">
        <v>1063</v>
      </c>
      <c r="C76" s="423" t="s">
        <v>424</v>
      </c>
      <c r="D76" s="423" t="s">
        <v>412</v>
      </c>
      <c r="E76" s="763" t="s">
        <v>425</v>
      </c>
      <c r="F76" s="391">
        <v>0</v>
      </c>
      <c r="G76" s="391">
        <v>0</v>
      </c>
      <c r="H76" s="391">
        <v>0</v>
      </c>
      <c r="I76" s="391">
        <v>0</v>
      </c>
      <c r="J76" s="391">
        <v>0</v>
      </c>
      <c r="K76" s="391">
        <v>0</v>
      </c>
      <c r="L76" s="391">
        <v>0</v>
      </c>
      <c r="M76" s="391">
        <v>0</v>
      </c>
      <c r="N76" s="391">
        <v>0</v>
      </c>
      <c r="O76" s="391">
        <v>0</v>
      </c>
      <c r="P76" s="391">
        <v>0</v>
      </c>
      <c r="Q76" s="391">
        <v>0</v>
      </c>
      <c r="R76" s="391">
        <v>0</v>
      </c>
      <c r="S76" s="618">
        <f>((F76+R76)+((G76+H76+I76+J76+K76+L76+M76+N76+O76+P76+Q76)*2))/24</f>
        <v>0</v>
      </c>
      <c r="T76" s="382"/>
      <c r="U76" s="833">
        <f t="shared" ref="U76:U77" si="19">+S76</f>
        <v>0</v>
      </c>
      <c r="V76" s="833"/>
      <c r="W76" s="833"/>
      <c r="X76" s="425"/>
      <c r="Y76" s="833"/>
      <c r="Z76" s="833"/>
      <c r="AA76" s="833"/>
      <c r="AB76" s="833"/>
      <c r="AC76" s="834"/>
      <c r="AD76" s="834"/>
      <c r="AE76" s="834"/>
      <c r="AF76" s="781">
        <f t="shared" si="0"/>
        <v>0</v>
      </c>
    </row>
    <row r="77" spans="1:32">
      <c r="A77" s="422">
        <f t="shared" si="1"/>
        <v>63</v>
      </c>
      <c r="B77" s="423" t="s">
        <v>1063</v>
      </c>
      <c r="C77" s="423" t="s">
        <v>424</v>
      </c>
      <c r="D77" s="423" t="s">
        <v>426</v>
      </c>
      <c r="E77" s="763" t="s">
        <v>427</v>
      </c>
      <c r="F77" s="391">
        <v>0</v>
      </c>
      <c r="G77" s="391">
        <v>0</v>
      </c>
      <c r="H77" s="391">
        <v>0</v>
      </c>
      <c r="I77" s="391">
        <v>0</v>
      </c>
      <c r="J77" s="391">
        <v>0</v>
      </c>
      <c r="K77" s="391">
        <v>0</v>
      </c>
      <c r="L77" s="391">
        <v>0</v>
      </c>
      <c r="M77" s="391">
        <v>0</v>
      </c>
      <c r="N77" s="391">
        <v>0</v>
      </c>
      <c r="O77" s="391">
        <v>0</v>
      </c>
      <c r="P77" s="391">
        <v>0</v>
      </c>
      <c r="Q77" s="391">
        <v>0</v>
      </c>
      <c r="R77" s="391">
        <v>0</v>
      </c>
      <c r="S77" s="618">
        <f>((F77+R77)+((G77+H77+I77+J77+K77+L77+M77+N77+O77+P77+Q77)*2))/24</f>
        <v>0</v>
      </c>
      <c r="T77" s="382"/>
      <c r="U77" s="833">
        <f t="shared" si="19"/>
        <v>0</v>
      </c>
      <c r="V77" s="833"/>
      <c r="W77" s="833"/>
      <c r="X77" s="425"/>
      <c r="Y77" s="833"/>
      <c r="Z77" s="833"/>
      <c r="AA77" s="833"/>
      <c r="AB77" s="833"/>
      <c r="AC77" s="834"/>
      <c r="AD77" s="834"/>
      <c r="AE77" s="834"/>
      <c r="AF77" s="781">
        <f t="shared" si="0"/>
        <v>0</v>
      </c>
    </row>
    <row r="78" spans="1:32">
      <c r="A78" s="422">
        <f t="shared" si="1"/>
        <v>64</v>
      </c>
      <c r="B78" s="422"/>
      <c r="C78" s="422"/>
      <c r="D78" s="422"/>
      <c r="E78" s="763"/>
      <c r="F78" s="391"/>
      <c r="G78" s="407"/>
      <c r="H78" s="408"/>
      <c r="I78" s="408"/>
      <c r="J78" s="409"/>
      <c r="K78" s="410"/>
      <c r="L78" s="411"/>
      <c r="M78" s="412"/>
      <c r="N78" s="413"/>
      <c r="O78" s="414"/>
      <c r="P78" s="415"/>
      <c r="Q78" s="416"/>
      <c r="R78" s="391"/>
      <c r="S78" s="618"/>
      <c r="T78" s="382"/>
      <c r="U78" s="833"/>
      <c r="V78" s="833"/>
      <c r="W78" s="833"/>
      <c r="X78" s="425">
        <f t="shared" ref="X78:X80" si="20">+S78</f>
        <v>0</v>
      </c>
      <c r="Y78" s="833"/>
      <c r="Z78" s="833"/>
      <c r="AA78" s="833"/>
      <c r="AB78" s="833"/>
      <c r="AC78" s="834"/>
      <c r="AD78" s="834"/>
      <c r="AE78" s="834"/>
      <c r="AF78" s="781">
        <f t="shared" si="0"/>
        <v>0</v>
      </c>
    </row>
    <row r="79" spans="1:32">
      <c r="A79" s="422">
        <f t="shared" si="1"/>
        <v>65</v>
      </c>
      <c r="B79" s="423" t="s">
        <v>1063</v>
      </c>
      <c r="C79" s="423" t="s">
        <v>428</v>
      </c>
      <c r="D79" s="423" t="s">
        <v>757</v>
      </c>
      <c r="E79" s="763" t="s">
        <v>429</v>
      </c>
      <c r="F79" s="391">
        <v>0</v>
      </c>
      <c r="G79" s="391">
        <v>0</v>
      </c>
      <c r="H79" s="391">
        <v>0</v>
      </c>
      <c r="I79" s="391">
        <v>0</v>
      </c>
      <c r="J79" s="391">
        <v>0</v>
      </c>
      <c r="K79" s="391">
        <v>0</v>
      </c>
      <c r="L79" s="391">
        <v>0</v>
      </c>
      <c r="M79" s="391">
        <v>0</v>
      </c>
      <c r="N79" s="391">
        <v>0</v>
      </c>
      <c r="O79" s="391">
        <v>0</v>
      </c>
      <c r="P79" s="391">
        <v>0</v>
      </c>
      <c r="Q79" s="391">
        <v>0</v>
      </c>
      <c r="R79" s="391">
        <v>109738.76</v>
      </c>
      <c r="S79" s="618">
        <f t="shared" ref="S79:S88" si="21">((F79+R79)+((G79+H79+I79+J79+K79+L79+M79+N79+O79+P79+Q79)*2))/24</f>
        <v>4572.4483333333328</v>
      </c>
      <c r="T79" s="382"/>
      <c r="U79" s="833"/>
      <c r="V79" s="833"/>
      <c r="W79" s="833"/>
      <c r="X79" s="425">
        <f t="shared" si="20"/>
        <v>4572.4483333333328</v>
      </c>
      <c r="Y79" s="833"/>
      <c r="Z79" s="833"/>
      <c r="AA79" s="833"/>
      <c r="AB79" s="833">
        <f t="shared" ref="AB79:AB88" si="22">+S79</f>
        <v>4572.4483333333328</v>
      </c>
      <c r="AC79" s="834"/>
      <c r="AD79" s="834"/>
      <c r="AE79" s="834"/>
      <c r="AF79" s="781">
        <f t="shared" ref="AF79:AF142" si="23">+U79+V79-AD79</f>
        <v>0</v>
      </c>
    </row>
    <row r="80" spans="1:32">
      <c r="A80" s="422">
        <f t="shared" si="1"/>
        <v>66</v>
      </c>
      <c r="B80" s="423" t="s">
        <v>1063</v>
      </c>
      <c r="C80" s="423" t="s">
        <v>428</v>
      </c>
      <c r="D80" s="423" t="s">
        <v>430</v>
      </c>
      <c r="E80" s="763" t="s">
        <v>1685</v>
      </c>
      <c r="F80" s="391">
        <v>0</v>
      </c>
      <c r="G80" s="391">
        <v>0</v>
      </c>
      <c r="H80" s="391">
        <v>0</v>
      </c>
      <c r="I80" s="391">
        <v>0</v>
      </c>
      <c r="J80" s="391">
        <v>0</v>
      </c>
      <c r="K80" s="391">
        <v>0</v>
      </c>
      <c r="L80" s="391">
        <v>0</v>
      </c>
      <c r="M80" s="391">
        <v>0</v>
      </c>
      <c r="N80" s="391">
        <v>0</v>
      </c>
      <c r="O80" s="391">
        <v>0</v>
      </c>
      <c r="P80" s="391">
        <v>0</v>
      </c>
      <c r="Q80" s="391">
        <v>0</v>
      </c>
      <c r="R80" s="391">
        <v>0</v>
      </c>
      <c r="S80" s="618">
        <f t="shared" si="21"/>
        <v>0</v>
      </c>
      <c r="T80" s="382"/>
      <c r="U80" s="833"/>
      <c r="V80" s="833"/>
      <c r="W80" s="833"/>
      <c r="X80" s="425">
        <f t="shared" si="20"/>
        <v>0</v>
      </c>
      <c r="Y80" s="833"/>
      <c r="Z80" s="833"/>
      <c r="AA80" s="833"/>
      <c r="AB80" s="833">
        <f t="shared" si="22"/>
        <v>0</v>
      </c>
      <c r="AC80" s="834"/>
      <c r="AD80" s="834"/>
      <c r="AE80" s="834"/>
      <c r="AF80" s="781">
        <f t="shared" si="23"/>
        <v>0</v>
      </c>
    </row>
    <row r="81" spans="1:32">
      <c r="A81" s="422">
        <f t="shared" si="1"/>
        <v>67</v>
      </c>
      <c r="B81" s="423" t="s">
        <v>1063</v>
      </c>
      <c r="C81" s="423" t="s">
        <v>428</v>
      </c>
      <c r="D81" s="423" t="s">
        <v>431</v>
      </c>
      <c r="E81" s="763" t="s">
        <v>1686</v>
      </c>
      <c r="F81" s="391">
        <v>0</v>
      </c>
      <c r="G81" s="391">
        <v>0</v>
      </c>
      <c r="H81" s="391">
        <v>0</v>
      </c>
      <c r="I81" s="391">
        <v>0</v>
      </c>
      <c r="J81" s="391">
        <v>0</v>
      </c>
      <c r="K81" s="391">
        <v>0</v>
      </c>
      <c r="L81" s="391">
        <v>0</v>
      </c>
      <c r="M81" s="391">
        <v>0</v>
      </c>
      <c r="N81" s="391">
        <v>0</v>
      </c>
      <c r="O81" s="391">
        <v>0</v>
      </c>
      <c r="P81" s="391">
        <v>0</v>
      </c>
      <c r="Q81" s="391">
        <v>0</v>
      </c>
      <c r="R81" s="391">
        <v>19792.61</v>
      </c>
      <c r="S81" s="618">
        <f t="shared" si="21"/>
        <v>824.69208333333336</v>
      </c>
      <c r="T81" s="382"/>
      <c r="U81" s="833"/>
      <c r="V81" s="833"/>
      <c r="W81" s="833"/>
      <c r="X81" s="425">
        <f t="shared" ref="X81:X88" si="24">+S81</f>
        <v>824.69208333333336</v>
      </c>
      <c r="Y81" s="833"/>
      <c r="Z81" s="833"/>
      <c r="AA81" s="833"/>
      <c r="AB81" s="833">
        <f t="shared" si="22"/>
        <v>824.69208333333336</v>
      </c>
      <c r="AC81" s="834"/>
      <c r="AD81" s="834"/>
      <c r="AE81" s="834"/>
      <c r="AF81" s="781">
        <f t="shared" si="23"/>
        <v>0</v>
      </c>
    </row>
    <row r="82" spans="1:32">
      <c r="A82" s="422">
        <f t="shared" ref="A82:A143" si="25">+A81+1</f>
        <v>68</v>
      </c>
      <c r="B82" s="423" t="s">
        <v>1063</v>
      </c>
      <c r="C82" s="423" t="s">
        <v>428</v>
      </c>
      <c r="D82" s="423" t="s">
        <v>432</v>
      </c>
      <c r="E82" s="763" t="s">
        <v>433</v>
      </c>
      <c r="F82" s="391">
        <v>0</v>
      </c>
      <c r="G82" s="391">
        <v>0</v>
      </c>
      <c r="H82" s="391">
        <v>0</v>
      </c>
      <c r="I82" s="391">
        <v>0</v>
      </c>
      <c r="J82" s="391">
        <v>0</v>
      </c>
      <c r="K82" s="391">
        <v>0</v>
      </c>
      <c r="L82" s="391">
        <v>3300</v>
      </c>
      <c r="M82" s="391">
        <v>0</v>
      </c>
      <c r="N82" s="391">
        <v>0</v>
      </c>
      <c r="O82" s="391">
        <v>0</v>
      </c>
      <c r="P82" s="391">
        <v>0</v>
      </c>
      <c r="Q82" s="391">
        <v>0</v>
      </c>
      <c r="R82" s="391">
        <v>0</v>
      </c>
      <c r="S82" s="618">
        <f t="shared" si="21"/>
        <v>275</v>
      </c>
      <c r="T82" s="382"/>
      <c r="U82" s="833"/>
      <c r="V82" s="833"/>
      <c r="W82" s="833"/>
      <c r="X82" s="425">
        <f t="shared" si="24"/>
        <v>275</v>
      </c>
      <c r="Y82" s="833"/>
      <c r="Z82" s="833"/>
      <c r="AA82" s="833"/>
      <c r="AB82" s="833">
        <f t="shared" si="22"/>
        <v>275</v>
      </c>
      <c r="AC82" s="834"/>
      <c r="AD82" s="834"/>
      <c r="AE82" s="834"/>
      <c r="AF82" s="781">
        <f t="shared" si="23"/>
        <v>0</v>
      </c>
    </row>
    <row r="83" spans="1:32">
      <c r="A83" s="422">
        <f t="shared" si="25"/>
        <v>69</v>
      </c>
      <c r="B83" s="423" t="s">
        <v>1063</v>
      </c>
      <c r="C83" s="423" t="s">
        <v>428</v>
      </c>
      <c r="D83" s="423" t="s">
        <v>434</v>
      </c>
      <c r="E83" s="763" t="s">
        <v>435</v>
      </c>
      <c r="F83" s="391">
        <v>0</v>
      </c>
      <c r="G83" s="391">
        <v>0</v>
      </c>
      <c r="H83" s="391">
        <v>0</v>
      </c>
      <c r="I83" s="391">
        <v>0</v>
      </c>
      <c r="J83" s="391">
        <v>0</v>
      </c>
      <c r="K83" s="391">
        <v>0</v>
      </c>
      <c r="L83" s="391">
        <v>0</v>
      </c>
      <c r="M83" s="391">
        <v>0</v>
      </c>
      <c r="N83" s="391">
        <v>0</v>
      </c>
      <c r="O83" s="391">
        <v>0</v>
      </c>
      <c r="P83" s="391">
        <v>0</v>
      </c>
      <c r="Q83" s="391">
        <v>0</v>
      </c>
      <c r="R83" s="391">
        <v>0</v>
      </c>
      <c r="S83" s="618">
        <f t="shared" si="21"/>
        <v>0</v>
      </c>
      <c r="T83" s="382"/>
      <c r="U83" s="833"/>
      <c r="V83" s="833"/>
      <c r="W83" s="833"/>
      <c r="X83" s="425">
        <f t="shared" si="24"/>
        <v>0</v>
      </c>
      <c r="Y83" s="833"/>
      <c r="Z83" s="833"/>
      <c r="AA83" s="833"/>
      <c r="AB83" s="833">
        <f t="shared" si="22"/>
        <v>0</v>
      </c>
      <c r="AC83" s="834"/>
      <c r="AD83" s="834"/>
      <c r="AE83" s="834"/>
      <c r="AF83" s="781">
        <f t="shared" si="23"/>
        <v>0</v>
      </c>
    </row>
    <row r="84" spans="1:32">
      <c r="A84" s="422">
        <f t="shared" si="25"/>
        <v>70</v>
      </c>
      <c r="B84" s="423" t="s">
        <v>1063</v>
      </c>
      <c r="C84" s="423" t="s">
        <v>428</v>
      </c>
      <c r="D84" s="423" t="s">
        <v>436</v>
      </c>
      <c r="E84" s="763" t="s">
        <v>437</v>
      </c>
      <c r="F84" s="391">
        <v>0</v>
      </c>
      <c r="G84" s="391">
        <v>0</v>
      </c>
      <c r="H84" s="391">
        <v>0</v>
      </c>
      <c r="I84" s="391">
        <v>0</v>
      </c>
      <c r="J84" s="391">
        <v>0</v>
      </c>
      <c r="K84" s="391">
        <v>0</v>
      </c>
      <c r="L84" s="391">
        <v>0</v>
      </c>
      <c r="M84" s="391">
        <v>0</v>
      </c>
      <c r="N84" s="391">
        <v>0</v>
      </c>
      <c r="O84" s="391">
        <v>0</v>
      </c>
      <c r="P84" s="391">
        <v>0</v>
      </c>
      <c r="Q84" s="391">
        <v>0</v>
      </c>
      <c r="R84" s="391">
        <v>0</v>
      </c>
      <c r="S84" s="618">
        <f t="shared" si="21"/>
        <v>0</v>
      </c>
      <c r="T84" s="382"/>
      <c r="U84" s="833"/>
      <c r="V84" s="833"/>
      <c r="W84" s="833"/>
      <c r="X84" s="425">
        <f t="shared" si="24"/>
        <v>0</v>
      </c>
      <c r="Y84" s="833"/>
      <c r="Z84" s="833"/>
      <c r="AA84" s="833"/>
      <c r="AB84" s="833">
        <f t="shared" si="22"/>
        <v>0</v>
      </c>
      <c r="AC84" s="834"/>
      <c r="AD84" s="834"/>
      <c r="AE84" s="834"/>
      <c r="AF84" s="781">
        <f t="shared" si="23"/>
        <v>0</v>
      </c>
    </row>
    <row r="85" spans="1:32">
      <c r="A85" s="422">
        <f t="shared" si="25"/>
        <v>71</v>
      </c>
      <c r="B85" s="423" t="s">
        <v>1063</v>
      </c>
      <c r="C85" s="423" t="s">
        <v>428</v>
      </c>
      <c r="D85" s="423" t="s">
        <v>438</v>
      </c>
      <c r="E85" s="763" t="s">
        <v>439</v>
      </c>
      <c r="F85" s="391">
        <v>0</v>
      </c>
      <c r="G85" s="391">
        <v>0</v>
      </c>
      <c r="H85" s="391">
        <v>0</v>
      </c>
      <c r="I85" s="391">
        <v>0</v>
      </c>
      <c r="J85" s="391">
        <v>0</v>
      </c>
      <c r="K85" s="391">
        <v>0</v>
      </c>
      <c r="L85" s="391">
        <v>0</v>
      </c>
      <c r="M85" s="391">
        <v>0</v>
      </c>
      <c r="N85" s="391">
        <v>0</v>
      </c>
      <c r="O85" s="391">
        <v>0</v>
      </c>
      <c r="P85" s="391">
        <v>0</v>
      </c>
      <c r="Q85" s="391">
        <v>0</v>
      </c>
      <c r="R85" s="391">
        <v>0</v>
      </c>
      <c r="S85" s="618">
        <f t="shared" si="21"/>
        <v>0</v>
      </c>
      <c r="T85" s="382"/>
      <c r="U85" s="833"/>
      <c r="V85" s="833"/>
      <c r="W85" s="833"/>
      <c r="X85" s="425">
        <f t="shared" si="24"/>
        <v>0</v>
      </c>
      <c r="Y85" s="833"/>
      <c r="Z85" s="833"/>
      <c r="AA85" s="833"/>
      <c r="AB85" s="833">
        <f t="shared" si="22"/>
        <v>0</v>
      </c>
      <c r="AC85" s="834"/>
      <c r="AD85" s="834"/>
      <c r="AE85" s="834"/>
      <c r="AF85" s="781">
        <f t="shared" si="23"/>
        <v>0</v>
      </c>
    </row>
    <row r="86" spans="1:32">
      <c r="A86" s="422">
        <f t="shared" si="25"/>
        <v>72</v>
      </c>
      <c r="B86" s="423" t="s">
        <v>1063</v>
      </c>
      <c r="C86" s="423" t="s">
        <v>428</v>
      </c>
      <c r="D86" s="423" t="s">
        <v>440</v>
      </c>
      <c r="E86" s="763" t="s">
        <v>441</v>
      </c>
      <c r="F86" s="391">
        <v>0</v>
      </c>
      <c r="G86" s="391">
        <v>0</v>
      </c>
      <c r="H86" s="391">
        <v>0</v>
      </c>
      <c r="I86" s="391">
        <v>0</v>
      </c>
      <c r="J86" s="391">
        <v>0</v>
      </c>
      <c r="K86" s="391">
        <v>0</v>
      </c>
      <c r="L86" s="391">
        <v>0</v>
      </c>
      <c r="M86" s="391">
        <v>0</v>
      </c>
      <c r="N86" s="391">
        <v>0</v>
      </c>
      <c r="O86" s="391">
        <v>0</v>
      </c>
      <c r="P86" s="391">
        <v>0</v>
      </c>
      <c r="Q86" s="391">
        <v>0</v>
      </c>
      <c r="R86" s="391">
        <v>0</v>
      </c>
      <c r="S86" s="618">
        <f t="shared" si="21"/>
        <v>0</v>
      </c>
      <c r="T86" s="382"/>
      <c r="U86" s="833"/>
      <c r="V86" s="833"/>
      <c r="W86" s="833"/>
      <c r="X86" s="425">
        <f t="shared" si="24"/>
        <v>0</v>
      </c>
      <c r="Y86" s="833"/>
      <c r="Z86" s="833"/>
      <c r="AA86" s="833"/>
      <c r="AB86" s="833">
        <f t="shared" si="22"/>
        <v>0</v>
      </c>
      <c r="AC86" s="834"/>
      <c r="AD86" s="834"/>
      <c r="AE86" s="834"/>
      <c r="AF86" s="781">
        <f t="shared" si="23"/>
        <v>0</v>
      </c>
    </row>
    <row r="87" spans="1:32">
      <c r="A87" s="422">
        <f t="shared" si="25"/>
        <v>73</v>
      </c>
      <c r="B87" s="423" t="s">
        <v>1063</v>
      </c>
      <c r="C87" s="423" t="s">
        <v>428</v>
      </c>
      <c r="D87" s="423" t="s">
        <v>442</v>
      </c>
      <c r="E87" s="763" t="s">
        <v>443</v>
      </c>
      <c r="F87" s="391">
        <v>0</v>
      </c>
      <c r="G87" s="391">
        <v>0</v>
      </c>
      <c r="H87" s="391">
        <v>0</v>
      </c>
      <c r="I87" s="391">
        <v>0</v>
      </c>
      <c r="J87" s="391">
        <v>0</v>
      </c>
      <c r="K87" s="391">
        <v>0</v>
      </c>
      <c r="L87" s="391">
        <v>0</v>
      </c>
      <c r="M87" s="391">
        <v>0</v>
      </c>
      <c r="N87" s="391">
        <v>0</v>
      </c>
      <c r="O87" s="391">
        <v>0</v>
      </c>
      <c r="P87" s="391">
        <v>0</v>
      </c>
      <c r="Q87" s="391">
        <v>0</v>
      </c>
      <c r="R87" s="391">
        <v>0</v>
      </c>
      <c r="S87" s="618">
        <f t="shared" si="21"/>
        <v>0</v>
      </c>
      <c r="T87" s="382"/>
      <c r="U87" s="833"/>
      <c r="V87" s="833"/>
      <c r="W87" s="833"/>
      <c r="X87" s="425">
        <f t="shared" si="24"/>
        <v>0</v>
      </c>
      <c r="Y87" s="833"/>
      <c r="Z87" s="833"/>
      <c r="AA87" s="833"/>
      <c r="AB87" s="833">
        <f t="shared" si="22"/>
        <v>0</v>
      </c>
      <c r="AC87" s="834"/>
      <c r="AD87" s="834"/>
      <c r="AE87" s="834"/>
      <c r="AF87" s="781">
        <f t="shared" si="23"/>
        <v>0</v>
      </c>
    </row>
    <row r="88" spans="1:32">
      <c r="A88" s="422">
        <f t="shared" si="25"/>
        <v>74</v>
      </c>
      <c r="B88" s="423" t="s">
        <v>1063</v>
      </c>
      <c r="C88" s="423" t="s">
        <v>428</v>
      </c>
      <c r="D88" s="423" t="s">
        <v>444</v>
      </c>
      <c r="E88" s="763" t="s">
        <v>445</v>
      </c>
      <c r="F88" s="405">
        <v>0</v>
      </c>
      <c r="G88" s="405">
        <v>0</v>
      </c>
      <c r="H88" s="405">
        <v>0</v>
      </c>
      <c r="I88" s="405">
        <v>0</v>
      </c>
      <c r="J88" s="405">
        <v>0</v>
      </c>
      <c r="K88" s="405">
        <v>171.65</v>
      </c>
      <c r="L88" s="405">
        <v>0</v>
      </c>
      <c r="M88" s="405">
        <v>0</v>
      </c>
      <c r="N88" s="405">
        <v>0</v>
      </c>
      <c r="O88" s="405">
        <v>0</v>
      </c>
      <c r="P88" s="405">
        <v>0</v>
      </c>
      <c r="Q88" s="405">
        <v>17559.13</v>
      </c>
      <c r="R88" s="405">
        <v>0</v>
      </c>
      <c r="S88" s="618">
        <f t="shared" si="21"/>
        <v>1477.5650000000003</v>
      </c>
      <c r="T88" s="382"/>
      <c r="U88" s="833"/>
      <c r="V88" s="833"/>
      <c r="W88" s="833"/>
      <c r="X88" s="425">
        <f t="shared" si="24"/>
        <v>1477.5650000000003</v>
      </c>
      <c r="Y88" s="833"/>
      <c r="Z88" s="833"/>
      <c r="AA88" s="833"/>
      <c r="AB88" s="833">
        <f t="shared" si="22"/>
        <v>1477.5650000000003</v>
      </c>
      <c r="AC88" s="834"/>
      <c r="AD88" s="834"/>
      <c r="AE88" s="834"/>
      <c r="AF88" s="781">
        <f t="shared" si="23"/>
        <v>0</v>
      </c>
    </row>
    <row r="89" spans="1:32">
      <c r="A89" s="422">
        <f t="shared" si="25"/>
        <v>75</v>
      </c>
      <c r="B89" s="422"/>
      <c r="C89" s="422"/>
      <c r="D89" s="422"/>
      <c r="E89" s="763" t="s">
        <v>446</v>
      </c>
      <c r="F89" s="394">
        <f>SUM(F76:F88)</f>
        <v>0</v>
      </c>
      <c r="G89" s="394">
        <f t="shared" ref="G89:S89" si="26">SUM(G76:G88)</f>
        <v>0</v>
      </c>
      <c r="H89" s="394">
        <f t="shared" si="26"/>
        <v>0</v>
      </c>
      <c r="I89" s="394">
        <f t="shared" si="26"/>
        <v>0</v>
      </c>
      <c r="J89" s="394">
        <f t="shared" si="26"/>
        <v>0</v>
      </c>
      <c r="K89" s="394">
        <f t="shared" si="26"/>
        <v>171.65</v>
      </c>
      <c r="L89" s="394">
        <f t="shared" si="26"/>
        <v>3300</v>
      </c>
      <c r="M89" s="394">
        <f t="shared" si="26"/>
        <v>0</v>
      </c>
      <c r="N89" s="394">
        <f t="shared" si="26"/>
        <v>0</v>
      </c>
      <c r="O89" s="394">
        <f t="shared" si="26"/>
        <v>0</v>
      </c>
      <c r="P89" s="394">
        <f t="shared" si="26"/>
        <v>0</v>
      </c>
      <c r="Q89" s="394">
        <f t="shared" si="26"/>
        <v>17559.13</v>
      </c>
      <c r="R89" s="394">
        <f t="shared" si="26"/>
        <v>129531.37</v>
      </c>
      <c r="S89" s="620">
        <f t="shared" si="26"/>
        <v>7149.7054166666667</v>
      </c>
      <c r="T89" s="382"/>
      <c r="U89" s="833"/>
      <c r="V89" s="833"/>
      <c r="W89" s="833"/>
      <c r="X89" s="425"/>
      <c r="Y89" s="833"/>
      <c r="Z89" s="833"/>
      <c r="AA89" s="833"/>
      <c r="AB89" s="833"/>
      <c r="AC89" s="834"/>
      <c r="AD89" s="834"/>
      <c r="AE89" s="834"/>
      <c r="AF89" s="781">
        <f t="shared" si="23"/>
        <v>0</v>
      </c>
    </row>
    <row r="90" spans="1:32">
      <c r="A90" s="422">
        <f t="shared" si="25"/>
        <v>76</v>
      </c>
      <c r="B90" s="422"/>
      <c r="C90" s="422"/>
      <c r="D90" s="422"/>
      <c r="E90" s="763"/>
      <c r="F90" s="391"/>
      <c r="G90" s="407"/>
      <c r="H90" s="408"/>
      <c r="I90" s="408"/>
      <c r="J90" s="409"/>
      <c r="K90" s="410"/>
      <c r="L90" s="411"/>
      <c r="M90" s="412"/>
      <c r="N90" s="413"/>
      <c r="O90" s="418"/>
      <c r="P90" s="415"/>
      <c r="Q90" s="416"/>
      <c r="R90" s="391"/>
      <c r="S90" s="392"/>
      <c r="T90" s="382"/>
      <c r="U90" s="833"/>
      <c r="V90" s="833"/>
      <c r="W90" s="833"/>
      <c r="X90" s="425"/>
      <c r="Y90" s="833"/>
      <c r="Z90" s="833"/>
      <c r="AA90" s="833"/>
      <c r="AB90" s="833"/>
      <c r="AC90" s="834"/>
      <c r="AD90" s="834"/>
      <c r="AE90" s="834"/>
      <c r="AF90" s="781">
        <f t="shared" si="23"/>
        <v>0</v>
      </c>
    </row>
    <row r="91" spans="1:32">
      <c r="A91" s="422">
        <f t="shared" si="25"/>
        <v>77</v>
      </c>
      <c r="B91" s="423" t="s">
        <v>1063</v>
      </c>
      <c r="C91" s="423" t="s">
        <v>447</v>
      </c>
      <c r="D91" s="422"/>
      <c r="E91" s="763" t="s">
        <v>448</v>
      </c>
      <c r="F91" s="391">
        <v>0</v>
      </c>
      <c r="G91" s="391">
        <v>0</v>
      </c>
      <c r="H91" s="391">
        <v>0</v>
      </c>
      <c r="I91" s="391">
        <v>0</v>
      </c>
      <c r="J91" s="391">
        <v>0</v>
      </c>
      <c r="K91" s="391">
        <v>0</v>
      </c>
      <c r="L91" s="391">
        <v>0</v>
      </c>
      <c r="M91" s="391">
        <v>0</v>
      </c>
      <c r="N91" s="391">
        <v>0</v>
      </c>
      <c r="O91" s="391">
        <v>0</v>
      </c>
      <c r="P91" s="391">
        <v>0</v>
      </c>
      <c r="Q91" s="391">
        <v>0</v>
      </c>
      <c r="R91" s="391">
        <v>0</v>
      </c>
      <c r="S91" s="392">
        <f>((F91+R91)+((G91+H91+I91+J91+K91+L91+M91+N91+O91+P91+Q91)*2))/24</f>
        <v>0</v>
      </c>
      <c r="T91" s="382"/>
      <c r="U91" s="833"/>
      <c r="V91" s="833"/>
      <c r="W91" s="833"/>
      <c r="X91" s="425"/>
      <c r="Y91" s="833"/>
      <c r="Z91" s="833"/>
      <c r="AA91" s="833"/>
      <c r="AB91" s="833"/>
      <c r="AC91" s="834"/>
      <c r="AD91" s="834"/>
      <c r="AE91" s="834"/>
      <c r="AF91" s="781">
        <f t="shared" si="23"/>
        <v>0</v>
      </c>
    </row>
    <row r="92" spans="1:32">
      <c r="A92" s="422">
        <f t="shared" si="25"/>
        <v>78</v>
      </c>
      <c r="B92" s="422"/>
      <c r="C92" s="422"/>
      <c r="D92" s="422"/>
      <c r="E92" s="763"/>
      <c r="F92" s="391"/>
      <c r="G92" s="407"/>
      <c r="H92" s="408"/>
      <c r="I92" s="408"/>
      <c r="J92" s="409"/>
      <c r="K92" s="410"/>
      <c r="L92" s="411"/>
      <c r="M92" s="412"/>
      <c r="N92" s="413"/>
      <c r="O92" s="414"/>
      <c r="P92" s="415"/>
      <c r="Q92" s="416"/>
      <c r="R92" s="391"/>
      <c r="S92" s="392"/>
      <c r="T92" s="382"/>
      <c r="U92" s="833"/>
      <c r="V92" s="833"/>
      <c r="W92" s="833"/>
      <c r="X92" s="425"/>
      <c r="Y92" s="833"/>
      <c r="Z92" s="833"/>
      <c r="AA92" s="833"/>
      <c r="AB92" s="833"/>
      <c r="AC92" s="834"/>
      <c r="AD92" s="834"/>
      <c r="AE92" s="834"/>
      <c r="AF92" s="781">
        <f t="shared" si="23"/>
        <v>0</v>
      </c>
    </row>
    <row r="93" spans="1:32">
      <c r="A93" s="422">
        <f t="shared" si="25"/>
        <v>79</v>
      </c>
      <c r="B93" s="422"/>
      <c r="C93" s="422"/>
      <c r="D93" s="422"/>
      <c r="E93" s="763" t="s">
        <v>449</v>
      </c>
      <c r="F93" s="391">
        <f>+F91+F89+F74</f>
        <v>20315795.579999998</v>
      </c>
      <c r="G93" s="391">
        <f t="shared" ref="G93:S93" si="27">+G91+G89+G74</f>
        <v>25985129.739999995</v>
      </c>
      <c r="H93" s="391">
        <f t="shared" si="27"/>
        <v>21489963.910000004</v>
      </c>
      <c r="I93" s="391">
        <f t="shared" si="27"/>
        <v>25031043.339999992</v>
      </c>
      <c r="J93" s="391">
        <f t="shared" si="27"/>
        <v>19391541.48</v>
      </c>
      <c r="K93" s="391">
        <f t="shared" si="27"/>
        <v>13337098.920000002</v>
      </c>
      <c r="L93" s="391">
        <f t="shared" si="27"/>
        <v>11210405.25</v>
      </c>
      <c r="M93" s="391">
        <f t="shared" si="27"/>
        <v>8929667.6899999995</v>
      </c>
      <c r="N93" s="391">
        <f t="shared" si="27"/>
        <v>9393154.6999999955</v>
      </c>
      <c r="O93" s="391">
        <f t="shared" si="27"/>
        <v>9290701.3399999961</v>
      </c>
      <c r="P93" s="391">
        <f t="shared" si="27"/>
        <v>12139848.779999996</v>
      </c>
      <c r="Q93" s="391">
        <f t="shared" si="27"/>
        <v>13631680.489999998</v>
      </c>
      <c r="R93" s="391">
        <f t="shared" si="27"/>
        <v>19915693.260000002</v>
      </c>
      <c r="S93" s="618">
        <f t="shared" si="27"/>
        <v>15828831.671666665</v>
      </c>
      <c r="T93" s="382"/>
      <c r="U93" s="833"/>
      <c r="V93" s="833"/>
      <c r="W93" s="833"/>
      <c r="X93" s="425"/>
      <c r="Y93" s="833"/>
      <c r="Z93" s="833"/>
      <c r="AA93" s="833"/>
      <c r="AB93" s="833"/>
      <c r="AC93" s="834"/>
      <c r="AD93" s="834"/>
      <c r="AE93" s="834"/>
      <c r="AF93" s="781">
        <f t="shared" si="23"/>
        <v>0</v>
      </c>
    </row>
    <row r="94" spans="1:32">
      <c r="A94" s="422">
        <f t="shared" si="25"/>
        <v>80</v>
      </c>
      <c r="B94" s="422"/>
      <c r="C94" s="422"/>
      <c r="D94" s="422"/>
      <c r="E94" s="763"/>
      <c r="F94" s="391"/>
      <c r="G94" s="407"/>
      <c r="H94" s="408"/>
      <c r="I94" s="408"/>
      <c r="J94" s="409"/>
      <c r="K94" s="410"/>
      <c r="L94" s="411"/>
      <c r="M94" s="412"/>
      <c r="N94" s="413"/>
      <c r="O94" s="414"/>
      <c r="P94" s="415"/>
      <c r="Q94" s="416"/>
      <c r="R94" s="391"/>
      <c r="S94" s="392">
        <f>((F94+R94)+((G94+H94+I94+J94+K94+L94+M94+N94+O94+P94+Q94)*2))/24</f>
        <v>0</v>
      </c>
      <c r="T94" s="382"/>
      <c r="U94" s="833"/>
      <c r="V94" s="833"/>
      <c r="W94" s="833"/>
      <c r="X94" s="425"/>
      <c r="Y94" s="833"/>
      <c r="Z94" s="833"/>
      <c r="AA94" s="833"/>
      <c r="AB94" s="833"/>
      <c r="AC94" s="834"/>
      <c r="AD94" s="834"/>
      <c r="AE94" s="834"/>
      <c r="AF94" s="781">
        <f t="shared" si="23"/>
        <v>0</v>
      </c>
    </row>
    <row r="95" spans="1:32">
      <c r="A95" s="422">
        <f t="shared" si="25"/>
        <v>81</v>
      </c>
      <c r="B95" s="423" t="s">
        <v>1094</v>
      </c>
      <c r="C95" s="423" t="s">
        <v>450</v>
      </c>
      <c r="D95" s="423" t="s">
        <v>757</v>
      </c>
      <c r="E95" s="777" t="s">
        <v>1802</v>
      </c>
      <c r="F95" s="391">
        <v>-94848.38</v>
      </c>
      <c r="G95" s="391">
        <v>-122637.92</v>
      </c>
      <c r="H95" s="391">
        <v>-122637.92</v>
      </c>
      <c r="I95" s="391">
        <v>-122637.92</v>
      </c>
      <c r="J95" s="391">
        <v>-122637.92</v>
      </c>
      <c r="K95" s="391">
        <v>-122637.92</v>
      </c>
      <c r="L95" s="391">
        <v>-122637.92</v>
      </c>
      <c r="M95" s="391">
        <v>-122637.92</v>
      </c>
      <c r="N95" s="391">
        <v>-122637.92</v>
      </c>
      <c r="O95" s="391">
        <v>-122637.92</v>
      </c>
      <c r="P95" s="391">
        <v>-122637.92</v>
      </c>
      <c r="Q95" s="391">
        <v>-122637.92</v>
      </c>
      <c r="R95" s="391">
        <v>-122637.92</v>
      </c>
      <c r="S95" s="618">
        <f>((F95+R95)+((G95+H95+I95+J95+K95+L95+M95+N95+O95+P95+Q95)*2))/24</f>
        <v>-121480.02249999998</v>
      </c>
      <c r="T95" s="382"/>
      <c r="U95" s="833">
        <f t="shared" ref="U95:U113" si="28">+S95</f>
        <v>-121480.02249999998</v>
      </c>
      <c r="V95" s="833"/>
      <c r="W95" s="833"/>
      <c r="X95" s="425"/>
      <c r="Y95" s="833"/>
      <c r="Z95" s="833"/>
      <c r="AA95" s="833"/>
      <c r="AB95" s="833"/>
      <c r="AC95" s="834"/>
      <c r="AD95" s="835">
        <f t="shared" ref="AD95:AD113" si="29">+U95</f>
        <v>-121480.02249999998</v>
      </c>
      <c r="AE95" s="834"/>
      <c r="AF95" s="781">
        <f t="shared" si="23"/>
        <v>0</v>
      </c>
    </row>
    <row r="96" spans="1:32">
      <c r="A96" s="422">
        <f t="shared" si="25"/>
        <v>82</v>
      </c>
      <c r="B96" s="423" t="s">
        <v>1066</v>
      </c>
      <c r="C96" s="423" t="s">
        <v>450</v>
      </c>
      <c r="D96" s="423" t="s">
        <v>757</v>
      </c>
      <c r="E96" s="777" t="s">
        <v>1802</v>
      </c>
      <c r="F96" s="391">
        <v>-317289.09999999998</v>
      </c>
      <c r="G96" s="391">
        <v>-288682.78000000003</v>
      </c>
      <c r="H96" s="391">
        <v>-288682.78000000003</v>
      </c>
      <c r="I96" s="391">
        <v>-288682.78000000003</v>
      </c>
      <c r="J96" s="391">
        <v>-288682.78000000003</v>
      </c>
      <c r="K96" s="391">
        <v>-288682.78000000003</v>
      </c>
      <c r="L96" s="391">
        <v>-288682.78000000003</v>
      </c>
      <c r="M96" s="391">
        <v>-288682.78000000003</v>
      </c>
      <c r="N96" s="391">
        <v>-288682.78000000003</v>
      </c>
      <c r="O96" s="391">
        <v>-288682.78000000003</v>
      </c>
      <c r="P96" s="391">
        <v>-288682.78000000003</v>
      </c>
      <c r="Q96" s="391">
        <v>-288682.78000000003</v>
      </c>
      <c r="R96" s="391">
        <v>-288682.78000000003</v>
      </c>
      <c r="S96" s="618">
        <f t="shared" ref="S96:S108" si="30">((F96+R96)+((G96+H96+I96+J96+K96+L96+M96+N96+O96+P96+Q96)*2))/24</f>
        <v>-289874.71000000008</v>
      </c>
      <c r="T96" s="382"/>
      <c r="U96" s="833">
        <f t="shared" si="28"/>
        <v>-289874.71000000008</v>
      </c>
      <c r="V96" s="833"/>
      <c r="W96" s="833"/>
      <c r="X96" s="425"/>
      <c r="Y96" s="833"/>
      <c r="Z96" s="833"/>
      <c r="AA96" s="833"/>
      <c r="AB96" s="833"/>
      <c r="AC96" s="834"/>
      <c r="AD96" s="835">
        <f t="shared" si="29"/>
        <v>-289874.71000000008</v>
      </c>
      <c r="AE96" s="834"/>
      <c r="AF96" s="781">
        <f t="shared" si="23"/>
        <v>0</v>
      </c>
    </row>
    <row r="97" spans="1:32">
      <c r="A97" s="422">
        <f t="shared" si="25"/>
        <v>83</v>
      </c>
      <c r="B97" s="423" t="s">
        <v>1094</v>
      </c>
      <c r="C97" s="423" t="s">
        <v>450</v>
      </c>
      <c r="D97" s="423" t="s">
        <v>1230</v>
      </c>
      <c r="E97" s="777" t="s">
        <v>1803</v>
      </c>
      <c r="F97" s="391">
        <v>345553.89</v>
      </c>
      <c r="G97" s="391">
        <v>15362.43</v>
      </c>
      <c r="H97" s="391">
        <v>33142.53</v>
      </c>
      <c r="I97" s="391">
        <v>46697.9</v>
      </c>
      <c r="J97" s="391">
        <v>61337.08</v>
      </c>
      <c r="K97" s="391">
        <v>85720.86</v>
      </c>
      <c r="L97" s="391">
        <v>112989.68</v>
      </c>
      <c r="M97" s="391">
        <v>164502.28</v>
      </c>
      <c r="N97" s="391">
        <v>198391.42</v>
      </c>
      <c r="O97" s="391">
        <v>221597.04</v>
      </c>
      <c r="P97" s="391">
        <v>240541.85</v>
      </c>
      <c r="Q97" s="391">
        <v>262407.96999999997</v>
      </c>
      <c r="R97" s="391">
        <v>282955.15999999997</v>
      </c>
      <c r="S97" s="618">
        <f t="shared" si="30"/>
        <v>146412.13041666665</v>
      </c>
      <c r="T97" s="382"/>
      <c r="U97" s="833">
        <f t="shared" si="28"/>
        <v>146412.13041666665</v>
      </c>
      <c r="V97" s="833"/>
      <c r="W97" s="833"/>
      <c r="X97" s="425"/>
      <c r="Y97" s="833"/>
      <c r="Z97" s="833"/>
      <c r="AA97" s="833"/>
      <c r="AB97" s="833"/>
      <c r="AC97" s="834"/>
      <c r="AD97" s="835">
        <f t="shared" si="29"/>
        <v>146412.13041666665</v>
      </c>
      <c r="AE97" s="834"/>
      <c r="AF97" s="781">
        <f t="shared" si="23"/>
        <v>0</v>
      </c>
    </row>
    <row r="98" spans="1:32">
      <c r="A98" s="422">
        <f t="shared" si="25"/>
        <v>84</v>
      </c>
      <c r="B98" s="423" t="s">
        <v>1066</v>
      </c>
      <c r="C98" s="423" t="s">
        <v>450</v>
      </c>
      <c r="D98" s="423" t="s">
        <v>1230</v>
      </c>
      <c r="E98" s="777" t="s">
        <v>1803</v>
      </c>
      <c r="F98" s="391">
        <v>1418482.93</v>
      </c>
      <c r="G98" s="391">
        <v>48231.389999999898</v>
      </c>
      <c r="H98" s="391">
        <v>107283.19</v>
      </c>
      <c r="I98" s="391">
        <v>161755.82</v>
      </c>
      <c r="J98" s="391">
        <v>216474.08</v>
      </c>
      <c r="K98" s="391">
        <v>349034.42</v>
      </c>
      <c r="L98" s="391">
        <v>468110.54</v>
      </c>
      <c r="M98" s="391">
        <v>651131.96</v>
      </c>
      <c r="N98" s="391">
        <v>790973.85</v>
      </c>
      <c r="O98" s="391">
        <v>867900.66</v>
      </c>
      <c r="P98" s="391">
        <v>978123.51</v>
      </c>
      <c r="Q98" s="391">
        <v>1038216.36</v>
      </c>
      <c r="R98" s="391">
        <v>1101392.3700000001</v>
      </c>
      <c r="S98" s="618">
        <f t="shared" si="30"/>
        <v>578097.78583333327</v>
      </c>
      <c r="T98" s="382"/>
      <c r="U98" s="833">
        <f t="shared" si="28"/>
        <v>578097.78583333327</v>
      </c>
      <c r="V98" s="833"/>
      <c r="W98" s="833"/>
      <c r="X98" s="425"/>
      <c r="Y98" s="833"/>
      <c r="Z98" s="833"/>
      <c r="AA98" s="833"/>
      <c r="AB98" s="833"/>
      <c r="AC98" s="834"/>
      <c r="AD98" s="835">
        <f t="shared" si="29"/>
        <v>578097.78583333327</v>
      </c>
      <c r="AE98" s="834"/>
      <c r="AF98" s="781">
        <f t="shared" si="23"/>
        <v>0</v>
      </c>
    </row>
    <row r="99" spans="1:32">
      <c r="A99" s="422">
        <f t="shared" si="25"/>
        <v>85</v>
      </c>
      <c r="B99" s="423" t="s">
        <v>1094</v>
      </c>
      <c r="C99" s="423" t="s">
        <v>450</v>
      </c>
      <c r="D99" s="423" t="s">
        <v>1071</v>
      </c>
      <c r="E99" s="777" t="s">
        <v>1804</v>
      </c>
      <c r="F99" s="391">
        <v>-129027.36</v>
      </c>
      <c r="G99" s="391">
        <v>-9203.8799999999992</v>
      </c>
      <c r="H99" s="391">
        <v>-12406.59</v>
      </c>
      <c r="I99" s="391">
        <v>-14849.66</v>
      </c>
      <c r="J99" s="391">
        <v>-35891.57</v>
      </c>
      <c r="K99" s="391">
        <v>-43807.8</v>
      </c>
      <c r="L99" s="391">
        <v>-50628.68</v>
      </c>
      <c r="M99" s="391">
        <v>-56337.94</v>
      </c>
      <c r="N99" s="391">
        <v>-66415.97</v>
      </c>
      <c r="O99" s="391">
        <v>-77389.289999999994</v>
      </c>
      <c r="P99" s="391">
        <v>-88841.62</v>
      </c>
      <c r="Q99" s="391">
        <v>-100565.67</v>
      </c>
      <c r="R99" s="391">
        <v>-109625.87</v>
      </c>
      <c r="S99" s="618">
        <f t="shared" si="30"/>
        <v>-56305.440416666672</v>
      </c>
      <c r="T99" s="382"/>
      <c r="U99" s="833">
        <f t="shared" si="28"/>
        <v>-56305.440416666672</v>
      </c>
      <c r="V99" s="833"/>
      <c r="W99" s="833"/>
      <c r="X99" s="425"/>
      <c r="Y99" s="833"/>
      <c r="Z99" s="833"/>
      <c r="AA99" s="833"/>
      <c r="AB99" s="833"/>
      <c r="AC99" s="834"/>
      <c r="AD99" s="835">
        <f t="shared" si="29"/>
        <v>-56305.440416666672</v>
      </c>
      <c r="AE99" s="834"/>
      <c r="AF99" s="781">
        <f t="shared" si="23"/>
        <v>0</v>
      </c>
    </row>
    <row r="100" spans="1:32">
      <c r="A100" s="422">
        <f t="shared" si="25"/>
        <v>86</v>
      </c>
      <c r="B100" s="423" t="s">
        <v>1066</v>
      </c>
      <c r="C100" s="423" t="s">
        <v>450</v>
      </c>
      <c r="D100" s="423" t="s">
        <v>1071</v>
      </c>
      <c r="E100" s="777" t="s">
        <v>1804</v>
      </c>
      <c r="F100" s="391">
        <v>-409179.2</v>
      </c>
      <c r="G100" s="391">
        <v>-38857.26</v>
      </c>
      <c r="H100" s="391">
        <v>-75548.570000000007</v>
      </c>
      <c r="I100" s="391">
        <v>-118364.87</v>
      </c>
      <c r="J100" s="391">
        <v>-155856.04</v>
      </c>
      <c r="K100" s="391">
        <v>-187677.54</v>
      </c>
      <c r="L100" s="391">
        <v>-218968.6</v>
      </c>
      <c r="M100" s="391">
        <v>-263414.53000000003</v>
      </c>
      <c r="N100" s="391">
        <v>-291171.01</v>
      </c>
      <c r="O100" s="391">
        <v>-319504.53000000003</v>
      </c>
      <c r="P100" s="391">
        <v>-362877.37</v>
      </c>
      <c r="Q100" s="391">
        <v>-389299.99</v>
      </c>
      <c r="R100" s="391">
        <v>-420596.92</v>
      </c>
      <c r="S100" s="618">
        <f t="shared" si="30"/>
        <v>-236369.03083333338</v>
      </c>
      <c r="T100" s="382"/>
      <c r="U100" s="833">
        <f t="shared" si="28"/>
        <v>-236369.03083333338</v>
      </c>
      <c r="V100" s="833"/>
      <c r="W100" s="833"/>
      <c r="X100" s="425"/>
      <c r="Y100" s="833"/>
      <c r="Z100" s="833"/>
      <c r="AA100" s="833"/>
      <c r="AB100" s="833"/>
      <c r="AC100" s="834"/>
      <c r="AD100" s="835">
        <f t="shared" si="29"/>
        <v>-236369.03083333338</v>
      </c>
      <c r="AE100" s="834"/>
      <c r="AF100" s="781">
        <f t="shared" si="23"/>
        <v>0</v>
      </c>
    </row>
    <row r="101" spans="1:32">
      <c r="A101" s="422">
        <f t="shared" si="25"/>
        <v>87</v>
      </c>
      <c r="B101" s="423" t="s">
        <v>1094</v>
      </c>
      <c r="C101" s="423" t="s">
        <v>450</v>
      </c>
      <c r="D101" s="423" t="s">
        <v>1231</v>
      </c>
      <c r="E101" s="777" t="s">
        <v>1805</v>
      </c>
      <c r="F101" s="391">
        <v>-244316.07</v>
      </c>
      <c r="G101" s="391">
        <v>-20802.740000000002</v>
      </c>
      <c r="H101" s="391">
        <v>-45559.19</v>
      </c>
      <c r="I101" s="391">
        <v>-61251.71</v>
      </c>
      <c r="J101" s="391">
        <v>-52213.09</v>
      </c>
      <c r="K101" s="391">
        <v>-55951.17</v>
      </c>
      <c r="L101" s="391">
        <v>-75609.23</v>
      </c>
      <c r="M101" s="391">
        <v>-98255.679999999993</v>
      </c>
      <c r="N101" s="391">
        <v>-108596.5</v>
      </c>
      <c r="O101" s="391">
        <v>-111599</v>
      </c>
      <c r="P101" s="391">
        <v>-119201.21</v>
      </c>
      <c r="Q101" s="391">
        <v>-135475.43</v>
      </c>
      <c r="R101" s="391">
        <v>-175003.87</v>
      </c>
      <c r="S101" s="618">
        <f t="shared" si="30"/>
        <v>-91181.243333333332</v>
      </c>
      <c r="T101" s="382"/>
      <c r="U101" s="833">
        <f t="shared" si="28"/>
        <v>-91181.243333333332</v>
      </c>
      <c r="V101" s="833"/>
      <c r="W101" s="833"/>
      <c r="X101" s="425"/>
      <c r="Y101" s="833"/>
      <c r="Z101" s="833"/>
      <c r="AA101" s="833"/>
      <c r="AB101" s="833"/>
      <c r="AC101" s="834"/>
      <c r="AD101" s="835">
        <f t="shared" si="29"/>
        <v>-91181.243333333332</v>
      </c>
      <c r="AE101" s="834"/>
      <c r="AF101" s="781">
        <f t="shared" si="23"/>
        <v>0</v>
      </c>
    </row>
    <row r="102" spans="1:32">
      <c r="A102" s="422">
        <f t="shared" si="25"/>
        <v>88</v>
      </c>
      <c r="B102" s="423" t="s">
        <v>1066</v>
      </c>
      <c r="C102" s="423" t="s">
        <v>450</v>
      </c>
      <c r="D102" s="423" t="s">
        <v>1231</v>
      </c>
      <c r="E102" s="777" t="s">
        <v>1805</v>
      </c>
      <c r="F102" s="391">
        <v>-980697.41</v>
      </c>
      <c r="G102" s="391">
        <v>-113721.83</v>
      </c>
      <c r="H102" s="391">
        <v>-104709.64</v>
      </c>
      <c r="I102" s="391">
        <v>-177212.69</v>
      </c>
      <c r="J102" s="391">
        <v>-180637.28</v>
      </c>
      <c r="K102" s="391">
        <v>-229152.02</v>
      </c>
      <c r="L102" s="391">
        <v>-246722.22</v>
      </c>
      <c r="M102" s="391">
        <v>-342059.09</v>
      </c>
      <c r="N102" s="391">
        <v>-395620.39</v>
      </c>
      <c r="O102" s="391">
        <v>-434698.23999999999</v>
      </c>
      <c r="P102" s="391">
        <v>-493305.3</v>
      </c>
      <c r="Q102" s="391">
        <v>-555221.80000000005</v>
      </c>
      <c r="R102" s="391">
        <v>-678722.01</v>
      </c>
      <c r="S102" s="618">
        <f t="shared" si="30"/>
        <v>-341897.51750000002</v>
      </c>
      <c r="T102" s="382"/>
      <c r="U102" s="833">
        <f t="shared" si="28"/>
        <v>-341897.51750000002</v>
      </c>
      <c r="V102" s="833"/>
      <c r="W102" s="833"/>
      <c r="X102" s="425"/>
      <c r="Y102" s="833"/>
      <c r="Z102" s="833"/>
      <c r="AA102" s="833"/>
      <c r="AB102" s="833"/>
      <c r="AC102" s="834"/>
      <c r="AD102" s="835">
        <f t="shared" si="29"/>
        <v>-341897.51750000002</v>
      </c>
      <c r="AE102" s="834"/>
      <c r="AF102" s="781">
        <f t="shared" si="23"/>
        <v>0</v>
      </c>
    </row>
    <row r="103" spans="1:32">
      <c r="A103" s="422">
        <f t="shared" si="25"/>
        <v>89</v>
      </c>
      <c r="B103" s="423" t="s">
        <v>1094</v>
      </c>
      <c r="C103" s="423" t="s">
        <v>451</v>
      </c>
      <c r="D103" s="423" t="s">
        <v>757</v>
      </c>
      <c r="E103" s="777" t="s">
        <v>1806</v>
      </c>
      <c r="F103" s="391">
        <v>-9892</v>
      </c>
      <c r="G103" s="391">
        <v>-40000</v>
      </c>
      <c r="H103" s="391">
        <v>-40000</v>
      </c>
      <c r="I103" s="391">
        <v>-40000</v>
      </c>
      <c r="J103" s="391">
        <v>-40000</v>
      </c>
      <c r="K103" s="391">
        <v>-40000</v>
      </c>
      <c r="L103" s="391">
        <v>-9984</v>
      </c>
      <c r="M103" s="391">
        <v>-9984</v>
      </c>
      <c r="N103" s="391">
        <v>-9984</v>
      </c>
      <c r="O103" s="391">
        <v>-9984</v>
      </c>
      <c r="P103" s="391">
        <v>-9984</v>
      </c>
      <c r="Q103" s="391">
        <v>-9984</v>
      </c>
      <c r="R103" s="391">
        <v>-9984</v>
      </c>
      <c r="S103" s="618">
        <f t="shared" si="30"/>
        <v>-22486.833333333332</v>
      </c>
      <c r="T103" s="382"/>
      <c r="U103" s="833">
        <f t="shared" si="28"/>
        <v>-22486.833333333332</v>
      </c>
      <c r="V103" s="833"/>
      <c r="W103" s="833"/>
      <c r="X103" s="425"/>
      <c r="Y103" s="833"/>
      <c r="Z103" s="833"/>
      <c r="AA103" s="833"/>
      <c r="AB103" s="833"/>
      <c r="AC103" s="834"/>
      <c r="AD103" s="835">
        <f t="shared" si="29"/>
        <v>-22486.833333333332</v>
      </c>
      <c r="AE103" s="834"/>
      <c r="AF103" s="781">
        <f t="shared" si="23"/>
        <v>0</v>
      </c>
    </row>
    <row r="104" spans="1:32">
      <c r="A104" s="422">
        <f t="shared" si="25"/>
        <v>90</v>
      </c>
      <c r="B104" s="423" t="s">
        <v>1066</v>
      </c>
      <c r="C104" s="423" t="s">
        <v>451</v>
      </c>
      <c r="D104" s="423" t="s">
        <v>757</v>
      </c>
      <c r="E104" s="777" t="s">
        <v>1806</v>
      </c>
      <c r="F104" s="391">
        <v>-30108</v>
      </c>
      <c r="G104" s="391">
        <v>0</v>
      </c>
      <c r="H104" s="391">
        <v>0</v>
      </c>
      <c r="I104" s="391">
        <v>0</v>
      </c>
      <c r="J104" s="391">
        <v>0</v>
      </c>
      <c r="K104" s="391">
        <v>0</v>
      </c>
      <c r="L104" s="391">
        <v>-30016</v>
      </c>
      <c r="M104" s="391">
        <v>-30016</v>
      </c>
      <c r="N104" s="391">
        <v>-30016</v>
      </c>
      <c r="O104" s="391">
        <v>-30016</v>
      </c>
      <c r="P104" s="391">
        <v>-30016</v>
      </c>
      <c r="Q104" s="391">
        <v>-30016</v>
      </c>
      <c r="R104" s="391">
        <v>-30016</v>
      </c>
      <c r="S104" s="618">
        <f t="shared" si="30"/>
        <v>-17513.166666666668</v>
      </c>
      <c r="T104" s="382"/>
      <c r="U104" s="833">
        <f t="shared" si="28"/>
        <v>-17513.166666666668</v>
      </c>
      <c r="V104" s="833"/>
      <c r="W104" s="833"/>
      <c r="X104" s="425"/>
      <c r="Y104" s="833"/>
      <c r="Z104" s="833"/>
      <c r="AA104" s="833"/>
      <c r="AB104" s="833"/>
      <c r="AC104" s="834"/>
      <c r="AD104" s="835">
        <f t="shared" si="29"/>
        <v>-17513.166666666668</v>
      </c>
      <c r="AE104" s="834"/>
      <c r="AF104" s="781">
        <f t="shared" si="23"/>
        <v>0</v>
      </c>
    </row>
    <row r="105" spans="1:32">
      <c r="A105" s="422">
        <f t="shared" si="25"/>
        <v>91</v>
      </c>
      <c r="B105" s="423" t="s">
        <v>1094</v>
      </c>
      <c r="C105" s="423" t="s">
        <v>451</v>
      </c>
      <c r="D105" s="423" t="s">
        <v>1230</v>
      </c>
      <c r="E105" s="777" t="s">
        <v>1808</v>
      </c>
      <c r="F105" s="391">
        <v>0</v>
      </c>
      <c r="G105" s="391">
        <v>0</v>
      </c>
      <c r="H105" s="391">
        <v>0</v>
      </c>
      <c r="I105" s="391">
        <v>0</v>
      </c>
      <c r="J105" s="391">
        <v>0</v>
      </c>
      <c r="K105" s="391">
        <v>0</v>
      </c>
      <c r="L105" s="391">
        <v>0</v>
      </c>
      <c r="M105" s="391">
        <v>0</v>
      </c>
      <c r="N105" s="391">
        <v>0</v>
      </c>
      <c r="O105" s="391">
        <v>0</v>
      </c>
      <c r="P105" s="391">
        <v>0</v>
      </c>
      <c r="Q105" s="391">
        <v>0</v>
      </c>
      <c r="R105" s="391">
        <v>0</v>
      </c>
      <c r="S105" s="618">
        <f>((F105+R105)+((G105+H105+I105+J105+K105+L105+M105+N105+O105+P105+Q105)*2))/24</f>
        <v>0</v>
      </c>
      <c r="T105" s="382"/>
      <c r="U105" s="833">
        <f t="shared" si="28"/>
        <v>0</v>
      </c>
      <c r="V105" s="833"/>
      <c r="W105" s="833"/>
      <c r="X105" s="425"/>
      <c r="Y105" s="833"/>
      <c r="Z105" s="833"/>
      <c r="AA105" s="833"/>
      <c r="AB105" s="833"/>
      <c r="AC105" s="834"/>
      <c r="AD105" s="835">
        <f t="shared" si="29"/>
        <v>0</v>
      </c>
      <c r="AE105" s="834"/>
      <c r="AF105" s="781">
        <f t="shared" si="23"/>
        <v>0</v>
      </c>
    </row>
    <row r="106" spans="1:32">
      <c r="A106" s="422">
        <f t="shared" si="25"/>
        <v>92</v>
      </c>
      <c r="B106" s="423" t="s">
        <v>1066</v>
      </c>
      <c r="C106" s="423" t="s">
        <v>451</v>
      </c>
      <c r="D106" s="423" t="s">
        <v>1230</v>
      </c>
      <c r="E106" s="777" t="s">
        <v>1808</v>
      </c>
      <c r="F106" s="391">
        <v>0.48</v>
      </c>
      <c r="G106" s="391">
        <v>0</v>
      </c>
      <c r="H106" s="391">
        <v>0</v>
      </c>
      <c r="I106" s="391">
        <v>0</v>
      </c>
      <c r="J106" s="391">
        <v>0</v>
      </c>
      <c r="K106" s="391">
        <v>0</v>
      </c>
      <c r="L106" s="391">
        <v>0</v>
      </c>
      <c r="M106" s="391">
        <v>0</v>
      </c>
      <c r="N106" s="391">
        <v>0</v>
      </c>
      <c r="O106" s="391">
        <v>0</v>
      </c>
      <c r="P106" s="391">
        <v>0</v>
      </c>
      <c r="Q106" s="391">
        <v>0</v>
      </c>
      <c r="R106" s="391">
        <v>0</v>
      </c>
      <c r="S106" s="618">
        <f t="shared" si="30"/>
        <v>0.02</v>
      </c>
      <c r="T106" s="382"/>
      <c r="U106" s="833">
        <f t="shared" si="28"/>
        <v>0.02</v>
      </c>
      <c r="V106" s="833"/>
      <c r="W106" s="833"/>
      <c r="X106" s="425"/>
      <c r="Y106" s="833"/>
      <c r="Z106" s="833"/>
      <c r="AA106" s="833"/>
      <c r="AB106" s="833"/>
      <c r="AC106" s="834"/>
      <c r="AD106" s="835">
        <f t="shared" si="29"/>
        <v>0.02</v>
      </c>
      <c r="AE106" s="834"/>
      <c r="AF106" s="781">
        <f t="shared" si="23"/>
        <v>0</v>
      </c>
    </row>
    <row r="107" spans="1:32">
      <c r="A107" s="422">
        <f t="shared" si="25"/>
        <v>93</v>
      </c>
      <c r="B107" s="423" t="s">
        <v>1066</v>
      </c>
      <c r="C107" s="423" t="s">
        <v>451</v>
      </c>
      <c r="D107" s="423" t="s">
        <v>1071</v>
      </c>
      <c r="E107" s="777" t="s">
        <v>1809</v>
      </c>
      <c r="F107" s="391">
        <v>0</v>
      </c>
      <c r="G107" s="391">
        <v>0</v>
      </c>
      <c r="H107" s="391">
        <v>0</v>
      </c>
      <c r="I107" s="391">
        <v>0</v>
      </c>
      <c r="J107" s="391">
        <v>0</v>
      </c>
      <c r="K107" s="391">
        <v>0</v>
      </c>
      <c r="L107" s="391">
        <v>0</v>
      </c>
      <c r="M107" s="391">
        <v>0</v>
      </c>
      <c r="N107" s="391">
        <v>0</v>
      </c>
      <c r="O107" s="391">
        <v>0</v>
      </c>
      <c r="P107" s="391">
        <v>0</v>
      </c>
      <c r="Q107" s="391">
        <v>0</v>
      </c>
      <c r="R107" s="391">
        <v>0</v>
      </c>
      <c r="S107" s="618">
        <f t="shared" si="30"/>
        <v>0</v>
      </c>
      <c r="T107" s="382"/>
      <c r="U107" s="833">
        <f t="shared" si="28"/>
        <v>0</v>
      </c>
      <c r="V107" s="833"/>
      <c r="W107" s="833"/>
      <c r="X107" s="425"/>
      <c r="Y107" s="833"/>
      <c r="Z107" s="833"/>
      <c r="AA107" s="833"/>
      <c r="AB107" s="833"/>
      <c r="AC107" s="834"/>
      <c r="AD107" s="835">
        <f t="shared" si="29"/>
        <v>0</v>
      </c>
      <c r="AE107" s="834"/>
      <c r="AF107" s="781">
        <f t="shared" si="23"/>
        <v>0</v>
      </c>
    </row>
    <row r="108" spans="1:32">
      <c r="A108" s="422">
        <f t="shared" si="25"/>
        <v>94</v>
      </c>
      <c r="B108" s="423" t="s">
        <v>1094</v>
      </c>
      <c r="C108" s="423" t="s">
        <v>451</v>
      </c>
      <c r="D108" s="423" t="s">
        <v>1231</v>
      </c>
      <c r="E108" s="777" t="s">
        <v>1807</v>
      </c>
      <c r="F108" s="391">
        <v>-92</v>
      </c>
      <c r="G108" s="391">
        <v>0</v>
      </c>
      <c r="H108" s="391">
        <v>0</v>
      </c>
      <c r="I108" s="391">
        <v>0</v>
      </c>
      <c r="J108" s="391">
        <v>0</v>
      </c>
      <c r="K108" s="391">
        <v>0</v>
      </c>
      <c r="L108" s="391">
        <v>0</v>
      </c>
      <c r="M108" s="391">
        <v>0</v>
      </c>
      <c r="N108" s="391">
        <v>0</v>
      </c>
      <c r="O108" s="391">
        <v>0</v>
      </c>
      <c r="P108" s="391">
        <v>0</v>
      </c>
      <c r="Q108" s="391">
        <v>0</v>
      </c>
      <c r="R108" s="391">
        <v>-76</v>
      </c>
      <c r="S108" s="618">
        <f t="shared" si="30"/>
        <v>-7</v>
      </c>
      <c r="T108" s="382"/>
      <c r="U108" s="833">
        <f t="shared" si="28"/>
        <v>-7</v>
      </c>
      <c r="V108" s="833"/>
      <c r="W108" s="833"/>
      <c r="X108" s="425"/>
      <c r="Y108" s="833"/>
      <c r="Z108" s="833"/>
      <c r="AA108" s="833"/>
      <c r="AB108" s="833"/>
      <c r="AC108" s="834"/>
      <c r="AD108" s="835">
        <f t="shared" si="29"/>
        <v>-7</v>
      </c>
      <c r="AE108" s="834"/>
      <c r="AF108" s="781">
        <f t="shared" si="23"/>
        <v>0</v>
      </c>
    </row>
    <row r="109" spans="1:32">
      <c r="A109" s="422">
        <f t="shared" si="25"/>
        <v>95</v>
      </c>
      <c r="B109" s="423" t="s">
        <v>1066</v>
      </c>
      <c r="C109" s="423" t="s">
        <v>451</v>
      </c>
      <c r="D109" s="423" t="s">
        <v>1231</v>
      </c>
      <c r="E109" s="777" t="s">
        <v>1807</v>
      </c>
      <c r="F109" s="391">
        <v>91.52</v>
      </c>
      <c r="G109" s="391">
        <v>0</v>
      </c>
      <c r="H109" s="391">
        <v>0</v>
      </c>
      <c r="I109" s="391">
        <v>0</v>
      </c>
      <c r="J109" s="391">
        <v>0</v>
      </c>
      <c r="K109" s="391">
        <v>0</v>
      </c>
      <c r="L109" s="391">
        <v>0</v>
      </c>
      <c r="M109" s="391">
        <v>0</v>
      </c>
      <c r="N109" s="391">
        <v>0</v>
      </c>
      <c r="O109" s="391">
        <v>0</v>
      </c>
      <c r="P109" s="391">
        <v>0</v>
      </c>
      <c r="Q109" s="391">
        <v>0</v>
      </c>
      <c r="R109" s="391">
        <v>76</v>
      </c>
      <c r="S109" s="618">
        <f>((F109+R109)+((G109+H109+I109+J109+K109+L109+M109+N109+O109+P109+Q109)*2))/24</f>
        <v>6.9799999999999995</v>
      </c>
      <c r="T109" s="382"/>
      <c r="U109" s="833">
        <f t="shared" si="28"/>
        <v>6.9799999999999995</v>
      </c>
      <c r="V109" s="833"/>
      <c r="W109" s="833"/>
      <c r="X109" s="425"/>
      <c r="Y109" s="833"/>
      <c r="Z109" s="833"/>
      <c r="AA109" s="833"/>
      <c r="AB109" s="833"/>
      <c r="AC109" s="834"/>
      <c r="AD109" s="835">
        <f t="shared" si="29"/>
        <v>6.9799999999999995</v>
      </c>
      <c r="AE109" s="834"/>
      <c r="AF109" s="781">
        <f t="shared" si="23"/>
        <v>0</v>
      </c>
    </row>
    <row r="110" spans="1:32">
      <c r="A110" s="422">
        <f t="shared" si="25"/>
        <v>96</v>
      </c>
      <c r="B110" s="423" t="s">
        <v>1063</v>
      </c>
      <c r="C110" s="423" t="s">
        <v>452</v>
      </c>
      <c r="D110" s="423" t="s">
        <v>757</v>
      </c>
      <c r="E110" s="777" t="s">
        <v>1798</v>
      </c>
      <c r="F110" s="391">
        <v>-19013.580000000002</v>
      </c>
      <c r="G110" s="391">
        <v>-20000</v>
      </c>
      <c r="H110" s="391">
        <v>-20000</v>
      </c>
      <c r="I110" s="391">
        <v>-20000</v>
      </c>
      <c r="J110" s="391">
        <v>-20000</v>
      </c>
      <c r="K110" s="391">
        <v>-20000</v>
      </c>
      <c r="L110" s="391">
        <v>-20000</v>
      </c>
      <c r="M110" s="391">
        <v>-20000</v>
      </c>
      <c r="N110" s="391">
        <v>-20000</v>
      </c>
      <c r="O110" s="391">
        <v>-20000</v>
      </c>
      <c r="P110" s="391">
        <v>-20000</v>
      </c>
      <c r="Q110" s="391">
        <v>-20000</v>
      </c>
      <c r="R110" s="391">
        <v>-20000</v>
      </c>
      <c r="S110" s="618">
        <f>((F110+R110)+((G110+H110+I110+J110+K110+L110+M110+N110+O110+P110+Q110)*2))/24</f>
        <v>-19958.899166666666</v>
      </c>
      <c r="T110" s="382"/>
      <c r="U110" s="833">
        <f t="shared" si="28"/>
        <v>-19958.899166666666</v>
      </c>
      <c r="V110" s="833"/>
      <c r="W110" s="833"/>
      <c r="X110" s="425"/>
      <c r="Y110" s="833"/>
      <c r="Z110" s="833"/>
      <c r="AA110" s="833"/>
      <c r="AB110" s="833"/>
      <c r="AC110" s="834"/>
      <c r="AD110" s="835">
        <f t="shared" si="29"/>
        <v>-19958.899166666666</v>
      </c>
      <c r="AE110" s="834"/>
      <c r="AF110" s="781">
        <f t="shared" si="23"/>
        <v>0</v>
      </c>
    </row>
    <row r="111" spans="1:32">
      <c r="A111" s="422">
        <f t="shared" si="25"/>
        <v>97</v>
      </c>
      <c r="B111" s="423" t="s">
        <v>1063</v>
      </c>
      <c r="C111" s="423" t="s">
        <v>452</v>
      </c>
      <c r="D111" s="423" t="s">
        <v>1230</v>
      </c>
      <c r="E111" s="777" t="s">
        <v>1799</v>
      </c>
      <c r="F111" s="391">
        <v>14497.01</v>
      </c>
      <c r="G111" s="391">
        <v>0</v>
      </c>
      <c r="H111" s="391">
        <v>1183.81</v>
      </c>
      <c r="I111" s="391">
        <v>16269.23</v>
      </c>
      <c r="J111" s="391">
        <v>16269.23</v>
      </c>
      <c r="K111" s="391">
        <v>16269.24</v>
      </c>
      <c r="L111" s="391">
        <v>16373.34</v>
      </c>
      <c r="M111" s="391">
        <v>16373.34</v>
      </c>
      <c r="N111" s="391">
        <v>25437.4</v>
      </c>
      <c r="O111" s="391">
        <v>25437.4</v>
      </c>
      <c r="P111" s="391">
        <v>25942.12</v>
      </c>
      <c r="Q111" s="391">
        <v>32877.919999999998</v>
      </c>
      <c r="R111" s="391">
        <v>32877.919999999998</v>
      </c>
      <c r="S111" s="618">
        <f>((F111+R111)+((G111+H111+I111+J111+K111+L111+M111+N111+O111+P111+Q111)*2))/24</f>
        <v>18010.041249999998</v>
      </c>
      <c r="T111" s="382"/>
      <c r="U111" s="833">
        <f t="shared" si="28"/>
        <v>18010.041249999998</v>
      </c>
      <c r="V111" s="833"/>
      <c r="W111" s="833"/>
      <c r="X111" s="425"/>
      <c r="Y111" s="833"/>
      <c r="Z111" s="833"/>
      <c r="AA111" s="833"/>
      <c r="AB111" s="833"/>
      <c r="AC111" s="834"/>
      <c r="AD111" s="835">
        <f t="shared" si="29"/>
        <v>18010.041249999998</v>
      </c>
      <c r="AE111" s="834"/>
      <c r="AF111" s="781">
        <f t="shared" si="23"/>
        <v>0</v>
      </c>
    </row>
    <row r="112" spans="1:32">
      <c r="A112" s="422">
        <f t="shared" si="25"/>
        <v>98</v>
      </c>
      <c r="B112" s="423" t="s">
        <v>1063</v>
      </c>
      <c r="C112" s="423" t="s">
        <v>452</v>
      </c>
      <c r="D112" s="423" t="s">
        <v>1071</v>
      </c>
      <c r="E112" s="777" t="s">
        <v>1800</v>
      </c>
      <c r="F112" s="391">
        <v>-2213.4</v>
      </c>
      <c r="G112" s="391">
        <v>0</v>
      </c>
      <c r="H112" s="391">
        <v>0</v>
      </c>
      <c r="I112" s="391">
        <v>-100</v>
      </c>
      <c r="J112" s="391">
        <v>-100</v>
      </c>
      <c r="K112" s="391">
        <v>-646.26</v>
      </c>
      <c r="L112" s="391">
        <v>-646.26</v>
      </c>
      <c r="M112" s="391">
        <v>-646.26</v>
      </c>
      <c r="N112" s="391">
        <v>-646.26</v>
      </c>
      <c r="O112" s="391">
        <v>-916.75</v>
      </c>
      <c r="P112" s="391">
        <v>-916.75</v>
      </c>
      <c r="Q112" s="391">
        <v>-916.75</v>
      </c>
      <c r="R112" s="391">
        <v>-916.75</v>
      </c>
      <c r="S112" s="618">
        <f>((F112+R112)+((G112+H112+I112+J112+K112+L112+M112+N112+O112+P112+Q112)*2))/24</f>
        <v>-591.69708333333335</v>
      </c>
      <c r="T112" s="382"/>
      <c r="U112" s="833">
        <f t="shared" si="28"/>
        <v>-591.69708333333335</v>
      </c>
      <c r="V112" s="833"/>
      <c r="W112" s="833"/>
      <c r="X112" s="425"/>
      <c r="Y112" s="833"/>
      <c r="Z112" s="833"/>
      <c r="AA112" s="833"/>
      <c r="AB112" s="833"/>
      <c r="AC112" s="834"/>
      <c r="AD112" s="835">
        <f t="shared" si="29"/>
        <v>-591.69708333333335</v>
      </c>
      <c r="AE112" s="834"/>
      <c r="AF112" s="781">
        <f t="shared" si="23"/>
        <v>0</v>
      </c>
    </row>
    <row r="113" spans="1:32">
      <c r="A113" s="422">
        <f t="shared" si="25"/>
        <v>99</v>
      </c>
      <c r="B113" s="423" t="s">
        <v>1063</v>
      </c>
      <c r="C113" s="423" t="s">
        <v>452</v>
      </c>
      <c r="D113" s="423" t="s">
        <v>1231</v>
      </c>
      <c r="E113" s="777" t="s">
        <v>1801</v>
      </c>
      <c r="F113" s="405">
        <v>-13270.03</v>
      </c>
      <c r="G113" s="405">
        <v>0</v>
      </c>
      <c r="H113" s="405">
        <v>0</v>
      </c>
      <c r="I113" s="405">
        <v>0</v>
      </c>
      <c r="J113" s="405">
        <v>0</v>
      </c>
      <c r="K113" s="405">
        <v>0</v>
      </c>
      <c r="L113" s="405">
        <v>0</v>
      </c>
      <c r="M113" s="405">
        <v>0</v>
      </c>
      <c r="N113" s="405">
        <v>0</v>
      </c>
      <c r="O113" s="405">
        <v>0</v>
      </c>
      <c r="P113" s="405">
        <v>-15025</v>
      </c>
      <c r="Q113" s="405">
        <v>-15025</v>
      </c>
      <c r="R113" s="405">
        <v>-21961.17</v>
      </c>
      <c r="S113" s="619">
        <f>((F113+R113)+((G113+H113+I113+J113+K113+L113+M113+N113+O113+P113+Q113)*2))/24</f>
        <v>-3972.1333333333332</v>
      </c>
      <c r="T113" s="382"/>
      <c r="U113" s="833">
        <f t="shared" si="28"/>
        <v>-3972.1333333333332</v>
      </c>
      <c r="V113" s="833"/>
      <c r="W113" s="833"/>
      <c r="X113" s="425"/>
      <c r="Y113" s="833"/>
      <c r="Z113" s="833"/>
      <c r="AA113" s="833"/>
      <c r="AB113" s="833"/>
      <c r="AC113" s="834"/>
      <c r="AD113" s="835">
        <f t="shared" si="29"/>
        <v>-3972.1333333333332</v>
      </c>
      <c r="AE113" s="834"/>
      <c r="AF113" s="781">
        <f t="shared" si="23"/>
        <v>0</v>
      </c>
    </row>
    <row r="114" spans="1:32">
      <c r="A114" s="422">
        <f t="shared" si="25"/>
        <v>100</v>
      </c>
      <c r="B114" s="422"/>
      <c r="C114" s="422"/>
      <c r="D114" s="422"/>
      <c r="E114" s="763" t="s">
        <v>453</v>
      </c>
      <c r="F114" s="419">
        <f t="shared" ref="F114:S114" si="31">SUM(F95:F113)</f>
        <v>-471320.70000000036</v>
      </c>
      <c r="G114" s="419">
        <f t="shared" si="31"/>
        <v>-590312.59000000008</v>
      </c>
      <c r="H114" s="419">
        <f t="shared" si="31"/>
        <v>-567935.16</v>
      </c>
      <c r="I114" s="419">
        <f t="shared" si="31"/>
        <v>-618376.68000000005</v>
      </c>
      <c r="J114" s="419">
        <f t="shared" si="31"/>
        <v>-601938.29</v>
      </c>
      <c r="K114" s="419">
        <f t="shared" si="31"/>
        <v>-537530.97000000009</v>
      </c>
      <c r="L114" s="419">
        <f t="shared" si="31"/>
        <v>-466422.13000000006</v>
      </c>
      <c r="M114" s="419">
        <f t="shared" si="31"/>
        <v>-400026.62000000011</v>
      </c>
      <c r="N114" s="419">
        <f t="shared" si="31"/>
        <v>-318968.16000000003</v>
      </c>
      <c r="O114" s="419">
        <f t="shared" si="31"/>
        <v>-300493.41000000003</v>
      </c>
      <c r="P114" s="419">
        <f t="shared" si="31"/>
        <v>-306880.46999999997</v>
      </c>
      <c r="Q114" s="419">
        <f t="shared" si="31"/>
        <v>-334323.0900000002</v>
      </c>
      <c r="R114" s="419">
        <f t="shared" si="31"/>
        <v>-460921.83999999991</v>
      </c>
      <c r="S114" s="621">
        <f t="shared" si="31"/>
        <v>-459110.73666666693</v>
      </c>
      <c r="T114" s="382"/>
      <c r="U114" s="833"/>
      <c r="V114" s="833"/>
      <c r="W114" s="833"/>
      <c r="X114" s="425"/>
      <c r="Y114" s="833"/>
      <c r="Z114" s="833"/>
      <c r="AA114" s="833"/>
      <c r="AB114" s="833"/>
      <c r="AC114" s="834"/>
      <c r="AD114" s="834"/>
      <c r="AE114" s="834"/>
      <c r="AF114" s="781">
        <f t="shared" si="23"/>
        <v>0</v>
      </c>
    </row>
    <row r="115" spans="1:32">
      <c r="A115" s="422">
        <f t="shared" si="25"/>
        <v>101</v>
      </c>
      <c r="B115" s="422"/>
      <c r="C115" s="422"/>
      <c r="D115" s="422"/>
      <c r="E115" s="763"/>
      <c r="F115" s="396"/>
      <c r="G115" s="396"/>
      <c r="H115" s="396"/>
      <c r="I115" s="396"/>
      <c r="J115" s="396"/>
      <c r="K115" s="396"/>
      <c r="L115" s="396"/>
      <c r="M115" s="396"/>
      <c r="N115" s="396"/>
      <c r="O115" s="396"/>
      <c r="P115" s="396"/>
      <c r="Q115" s="396"/>
      <c r="R115" s="396"/>
      <c r="S115" s="392"/>
      <c r="T115" s="382"/>
      <c r="U115" s="833"/>
      <c r="V115" s="833"/>
      <c r="W115" s="833"/>
      <c r="X115" s="425"/>
      <c r="Y115" s="833"/>
      <c r="Z115" s="833"/>
      <c r="AA115" s="833"/>
      <c r="AB115" s="833"/>
      <c r="AC115" s="834"/>
      <c r="AD115" s="834"/>
      <c r="AE115" s="834"/>
      <c r="AF115" s="781">
        <f t="shared" si="23"/>
        <v>0</v>
      </c>
    </row>
    <row r="116" spans="1:32">
      <c r="A116" s="422">
        <f t="shared" si="25"/>
        <v>102</v>
      </c>
      <c r="B116" s="422"/>
      <c r="C116" s="422"/>
      <c r="D116" s="422"/>
      <c r="E116" s="763" t="s">
        <v>454</v>
      </c>
      <c r="F116" s="394">
        <f t="shared" ref="F116:S116" si="32">+F93+F114</f>
        <v>19844474.879999999</v>
      </c>
      <c r="G116" s="394">
        <f t="shared" si="32"/>
        <v>25394817.149999995</v>
      </c>
      <c r="H116" s="394">
        <f t="shared" si="32"/>
        <v>20922028.750000004</v>
      </c>
      <c r="I116" s="394">
        <f t="shared" si="32"/>
        <v>24412666.659999993</v>
      </c>
      <c r="J116" s="394">
        <f t="shared" si="32"/>
        <v>18789603.190000001</v>
      </c>
      <c r="K116" s="394">
        <f t="shared" si="32"/>
        <v>12799567.950000001</v>
      </c>
      <c r="L116" s="394">
        <f t="shared" si="32"/>
        <v>10743983.119999999</v>
      </c>
      <c r="M116" s="394">
        <f t="shared" si="32"/>
        <v>8529641.0700000003</v>
      </c>
      <c r="N116" s="394">
        <f t="shared" si="32"/>
        <v>9074186.5399999954</v>
      </c>
      <c r="O116" s="394">
        <f t="shared" si="32"/>
        <v>8990207.929999996</v>
      </c>
      <c r="P116" s="394">
        <f t="shared" si="32"/>
        <v>11832968.309999995</v>
      </c>
      <c r="Q116" s="394">
        <f t="shared" si="32"/>
        <v>13297357.399999999</v>
      </c>
      <c r="R116" s="394">
        <f t="shared" si="32"/>
        <v>19454771.420000002</v>
      </c>
      <c r="S116" s="620">
        <f t="shared" si="32"/>
        <v>15369720.934999999</v>
      </c>
      <c r="T116" s="382"/>
      <c r="U116" s="833"/>
      <c r="V116" s="833"/>
      <c r="W116" s="833"/>
      <c r="X116" s="425"/>
      <c r="Y116" s="833"/>
      <c r="Z116" s="833"/>
      <c r="AA116" s="833"/>
      <c r="AB116" s="833"/>
      <c r="AC116" s="834"/>
      <c r="AD116" s="834"/>
      <c r="AE116" s="834"/>
      <c r="AF116" s="781">
        <f t="shared" si="23"/>
        <v>0</v>
      </c>
    </row>
    <row r="117" spans="1:32">
      <c r="A117" s="422">
        <f t="shared" si="25"/>
        <v>103</v>
      </c>
      <c r="B117" s="422"/>
      <c r="C117" s="422"/>
      <c r="D117" s="422"/>
      <c r="E117" s="763"/>
      <c r="F117" s="391"/>
      <c r="G117" s="407"/>
      <c r="H117" s="408"/>
      <c r="I117" s="408"/>
      <c r="J117" s="409"/>
      <c r="K117" s="410"/>
      <c r="L117" s="411"/>
      <c r="M117" s="412"/>
      <c r="N117" s="413"/>
      <c r="O117" s="414"/>
      <c r="P117" s="415"/>
      <c r="Q117" s="416"/>
      <c r="R117" s="391"/>
      <c r="S117" s="392"/>
      <c r="T117" s="382"/>
      <c r="U117" s="833"/>
      <c r="V117" s="833"/>
      <c r="W117" s="833"/>
      <c r="X117" s="425"/>
      <c r="Y117" s="833"/>
      <c r="Z117" s="833"/>
      <c r="AA117" s="833"/>
      <c r="AB117" s="833"/>
      <c r="AC117" s="834"/>
      <c r="AD117" s="834"/>
      <c r="AE117" s="834"/>
      <c r="AF117" s="781">
        <f t="shared" si="23"/>
        <v>0</v>
      </c>
    </row>
    <row r="118" spans="1:32">
      <c r="A118" s="422">
        <f t="shared" si="25"/>
        <v>104</v>
      </c>
      <c r="B118" s="423" t="s">
        <v>1063</v>
      </c>
      <c r="C118" s="423" t="s">
        <v>455</v>
      </c>
      <c r="D118" s="423" t="s">
        <v>649</v>
      </c>
      <c r="E118" s="777" t="s">
        <v>1810</v>
      </c>
      <c r="F118" s="391">
        <v>3473198.58</v>
      </c>
      <c r="G118" s="391">
        <v>3210319.47</v>
      </c>
      <c r="H118" s="391">
        <v>3374186.25</v>
      </c>
      <c r="I118" s="391">
        <v>3259038.79</v>
      </c>
      <c r="J118" s="391">
        <v>3145382.33</v>
      </c>
      <c r="K118" s="391">
        <v>3238196.5</v>
      </c>
      <c r="L118" s="391">
        <v>1380363.71</v>
      </c>
      <c r="M118" s="391">
        <v>1404064.13</v>
      </c>
      <c r="N118" s="391">
        <v>1319282.52</v>
      </c>
      <c r="O118" s="391">
        <v>1364670.94</v>
      </c>
      <c r="P118" s="391">
        <v>1386556.59</v>
      </c>
      <c r="Q118" s="391">
        <v>1400426.14</v>
      </c>
      <c r="R118" s="391">
        <v>1148188.3600000001</v>
      </c>
      <c r="S118" s="618">
        <f>((F118+R118)+((G118+H118+I118+J118+K118+L118+M118+N118+O118+P118+Q118)*2))/24</f>
        <v>2232765.0699999998</v>
      </c>
      <c r="T118" s="382"/>
      <c r="U118" s="833">
        <f t="shared" ref="U118:U141" si="33">+S118</f>
        <v>2232765.0699999998</v>
      </c>
      <c r="V118" s="833"/>
      <c r="W118" s="833"/>
      <c r="X118" s="425"/>
      <c r="Y118" s="833"/>
      <c r="Z118" s="833"/>
      <c r="AA118" s="833"/>
      <c r="AB118" s="833"/>
      <c r="AC118" s="834"/>
      <c r="AD118" s="835">
        <f t="shared" ref="AD118:AD141" si="34">+U118</f>
        <v>2232765.0699999998</v>
      </c>
      <c r="AE118" s="834"/>
      <c r="AF118" s="781">
        <f t="shared" si="23"/>
        <v>0</v>
      </c>
    </row>
    <row r="119" spans="1:32">
      <c r="A119" s="422">
        <f t="shared" si="25"/>
        <v>105</v>
      </c>
      <c r="B119" s="423" t="s">
        <v>1232</v>
      </c>
      <c r="C119" s="423" t="s">
        <v>455</v>
      </c>
      <c r="D119" s="423" t="s">
        <v>649</v>
      </c>
      <c r="E119" s="777" t="s">
        <v>1811</v>
      </c>
      <c r="F119" s="391">
        <v>252366.78</v>
      </c>
      <c r="G119" s="391">
        <v>247004.7</v>
      </c>
      <c r="H119" s="391">
        <v>241029.93</v>
      </c>
      <c r="I119" s="391">
        <v>228793.99</v>
      </c>
      <c r="J119" s="391">
        <v>280594.05</v>
      </c>
      <c r="K119" s="391">
        <v>279621.8</v>
      </c>
      <c r="L119" s="391">
        <v>304856.15000000002</v>
      </c>
      <c r="M119" s="391">
        <v>418983.04</v>
      </c>
      <c r="N119" s="391">
        <v>429373.2</v>
      </c>
      <c r="O119" s="391">
        <v>402422.78</v>
      </c>
      <c r="P119" s="391">
        <v>398855.72</v>
      </c>
      <c r="Q119" s="391">
        <v>398580.93</v>
      </c>
      <c r="R119" s="391">
        <v>286270.45</v>
      </c>
      <c r="S119" s="618">
        <f t="shared" ref="S119:S141" si="35">((F119+R119)+((G119+H119+I119+J119+K119+L119+M119+N119+O119+P119+Q119)*2))/24</f>
        <v>324952.90875</v>
      </c>
      <c r="T119" s="382"/>
      <c r="U119" s="833">
        <f t="shared" si="33"/>
        <v>324952.90875</v>
      </c>
      <c r="V119" s="833"/>
      <c r="W119" s="833"/>
      <c r="X119" s="425"/>
      <c r="Y119" s="833"/>
      <c r="Z119" s="833"/>
      <c r="AA119" s="833"/>
      <c r="AB119" s="833"/>
      <c r="AC119" s="834"/>
      <c r="AD119" s="835">
        <f t="shared" si="34"/>
        <v>324952.90875</v>
      </c>
      <c r="AE119" s="834"/>
      <c r="AF119" s="781">
        <f t="shared" si="23"/>
        <v>0</v>
      </c>
    </row>
    <row r="120" spans="1:32">
      <c r="A120" s="422">
        <f t="shared" si="25"/>
        <v>106</v>
      </c>
      <c r="B120" s="423" t="s">
        <v>1233</v>
      </c>
      <c r="C120" s="423" t="s">
        <v>455</v>
      </c>
      <c r="D120" s="423" t="s">
        <v>649</v>
      </c>
      <c r="E120" s="777" t="s">
        <v>1812</v>
      </c>
      <c r="F120" s="391">
        <v>362383.7</v>
      </c>
      <c r="G120" s="391">
        <v>404250.48</v>
      </c>
      <c r="H120" s="391">
        <v>396975.01</v>
      </c>
      <c r="I120" s="391">
        <v>399217.88</v>
      </c>
      <c r="J120" s="391">
        <v>399398.45</v>
      </c>
      <c r="K120" s="391">
        <v>408687.18</v>
      </c>
      <c r="L120" s="391">
        <v>418029.17</v>
      </c>
      <c r="M120" s="391">
        <v>447093.77</v>
      </c>
      <c r="N120" s="391">
        <v>488896.92</v>
      </c>
      <c r="O120" s="391">
        <v>528773.81000000006</v>
      </c>
      <c r="P120" s="391">
        <v>501152.11</v>
      </c>
      <c r="Q120" s="391">
        <v>563864.93000000005</v>
      </c>
      <c r="R120" s="391">
        <v>565509.80000000005</v>
      </c>
      <c r="S120" s="618">
        <f t="shared" si="35"/>
        <v>451690.53833333333</v>
      </c>
      <c r="T120" s="382"/>
      <c r="U120" s="833">
        <f t="shared" si="33"/>
        <v>451690.53833333333</v>
      </c>
      <c r="V120" s="833"/>
      <c r="W120" s="833"/>
      <c r="X120" s="425"/>
      <c r="Y120" s="833"/>
      <c r="Z120" s="833"/>
      <c r="AA120" s="833"/>
      <c r="AB120" s="833"/>
      <c r="AC120" s="834"/>
      <c r="AD120" s="835">
        <f t="shared" si="34"/>
        <v>451690.53833333333</v>
      </c>
      <c r="AE120" s="834"/>
      <c r="AF120" s="781">
        <f t="shared" si="23"/>
        <v>0</v>
      </c>
    </row>
    <row r="121" spans="1:32">
      <c r="A121" s="422">
        <f t="shared" si="25"/>
        <v>107</v>
      </c>
      <c r="B121" s="423" t="s">
        <v>1234</v>
      </c>
      <c r="C121" s="423" t="s">
        <v>455</v>
      </c>
      <c r="D121" s="423" t="s">
        <v>649</v>
      </c>
      <c r="E121" s="777" t="s">
        <v>1813</v>
      </c>
      <c r="F121" s="391">
        <v>939016.6</v>
      </c>
      <c r="G121" s="391">
        <v>977112.36</v>
      </c>
      <c r="H121" s="391">
        <v>982579.67</v>
      </c>
      <c r="I121" s="391">
        <v>1010570.95</v>
      </c>
      <c r="J121" s="391">
        <v>952927.99</v>
      </c>
      <c r="K121" s="391">
        <v>952524.73</v>
      </c>
      <c r="L121" s="391">
        <v>934968.62</v>
      </c>
      <c r="M121" s="391">
        <v>1277673.82</v>
      </c>
      <c r="N121" s="391">
        <v>1466708.96</v>
      </c>
      <c r="O121" s="391">
        <v>1537238.83</v>
      </c>
      <c r="P121" s="391">
        <v>1605513.41</v>
      </c>
      <c r="Q121" s="391">
        <v>1654212.31</v>
      </c>
      <c r="R121" s="391">
        <v>487398.36</v>
      </c>
      <c r="S121" s="618">
        <f t="shared" si="35"/>
        <v>1172103.2608333335</v>
      </c>
      <c r="T121" s="382"/>
      <c r="U121" s="833">
        <f t="shared" si="33"/>
        <v>1172103.2608333335</v>
      </c>
      <c r="V121" s="833"/>
      <c r="W121" s="833"/>
      <c r="X121" s="425"/>
      <c r="Y121" s="833"/>
      <c r="Z121" s="833"/>
      <c r="AA121" s="833"/>
      <c r="AB121" s="833"/>
      <c r="AC121" s="834"/>
      <c r="AD121" s="835">
        <f t="shared" si="34"/>
        <v>1172103.2608333335</v>
      </c>
      <c r="AE121" s="834"/>
      <c r="AF121" s="781">
        <f t="shared" si="23"/>
        <v>0</v>
      </c>
    </row>
    <row r="122" spans="1:32">
      <c r="A122" s="422">
        <f t="shared" si="25"/>
        <v>108</v>
      </c>
      <c r="B122" s="423" t="s">
        <v>1235</v>
      </c>
      <c r="C122" s="423" t="s">
        <v>455</v>
      </c>
      <c r="D122" s="423" t="s">
        <v>649</v>
      </c>
      <c r="E122" s="777" t="s">
        <v>1814</v>
      </c>
      <c r="F122" s="391">
        <v>354519.33</v>
      </c>
      <c r="G122" s="391">
        <v>382321.05</v>
      </c>
      <c r="H122" s="391">
        <v>365645.62</v>
      </c>
      <c r="I122" s="391">
        <v>397713</v>
      </c>
      <c r="J122" s="391">
        <v>382999</v>
      </c>
      <c r="K122" s="391">
        <v>356449.44</v>
      </c>
      <c r="L122" s="391">
        <v>390456.57</v>
      </c>
      <c r="M122" s="391">
        <v>397955.95</v>
      </c>
      <c r="N122" s="391">
        <v>442767.97</v>
      </c>
      <c r="O122" s="391">
        <v>445007.9</v>
      </c>
      <c r="P122" s="391">
        <v>441134.93</v>
      </c>
      <c r="Q122" s="391">
        <v>390781.38</v>
      </c>
      <c r="R122" s="391">
        <v>407258.54</v>
      </c>
      <c r="S122" s="618">
        <f t="shared" si="35"/>
        <v>397843.47874999995</v>
      </c>
      <c r="T122" s="382"/>
      <c r="U122" s="833">
        <f t="shared" si="33"/>
        <v>397843.47874999995</v>
      </c>
      <c r="V122" s="833"/>
      <c r="W122" s="833"/>
      <c r="X122" s="425"/>
      <c r="Y122" s="833"/>
      <c r="Z122" s="833"/>
      <c r="AA122" s="833"/>
      <c r="AB122" s="833"/>
      <c r="AC122" s="834"/>
      <c r="AD122" s="835">
        <f t="shared" si="34"/>
        <v>397843.47874999995</v>
      </c>
      <c r="AE122" s="834"/>
      <c r="AF122" s="781">
        <f t="shared" si="23"/>
        <v>0</v>
      </c>
    </row>
    <row r="123" spans="1:32">
      <c r="A123" s="422">
        <f t="shared" si="25"/>
        <v>109</v>
      </c>
      <c r="B123" s="423" t="s">
        <v>1236</v>
      </c>
      <c r="C123" s="423" t="s">
        <v>455</v>
      </c>
      <c r="D123" s="423" t="s">
        <v>649</v>
      </c>
      <c r="E123" s="777" t="s">
        <v>1815</v>
      </c>
      <c r="F123" s="391">
        <v>122283.69</v>
      </c>
      <c r="G123" s="391">
        <v>127931.93</v>
      </c>
      <c r="H123" s="391">
        <v>127821.28</v>
      </c>
      <c r="I123" s="391">
        <v>122349.8</v>
      </c>
      <c r="J123" s="391">
        <v>121868.3</v>
      </c>
      <c r="K123" s="391">
        <v>122154.07</v>
      </c>
      <c r="L123" s="391">
        <v>118798.31</v>
      </c>
      <c r="M123" s="391">
        <v>119996.89</v>
      </c>
      <c r="N123" s="391">
        <v>128332.5</v>
      </c>
      <c r="O123" s="391">
        <v>125008.2</v>
      </c>
      <c r="P123" s="391">
        <v>141767.95000000001</v>
      </c>
      <c r="Q123" s="391">
        <v>136810.29</v>
      </c>
      <c r="R123" s="391">
        <v>135918.65</v>
      </c>
      <c r="S123" s="618">
        <f t="shared" si="35"/>
        <v>126828.39083333332</v>
      </c>
      <c r="T123" s="382"/>
      <c r="U123" s="833">
        <f t="shared" si="33"/>
        <v>126828.39083333332</v>
      </c>
      <c r="V123" s="833"/>
      <c r="W123" s="833"/>
      <c r="X123" s="425"/>
      <c r="Y123" s="833"/>
      <c r="Z123" s="833"/>
      <c r="AA123" s="833"/>
      <c r="AB123" s="833"/>
      <c r="AC123" s="834"/>
      <c r="AD123" s="835">
        <f t="shared" si="34"/>
        <v>126828.39083333332</v>
      </c>
      <c r="AE123" s="834"/>
      <c r="AF123" s="781">
        <f t="shared" si="23"/>
        <v>0</v>
      </c>
    </row>
    <row r="124" spans="1:32">
      <c r="A124" s="422">
        <f t="shared" si="25"/>
        <v>110</v>
      </c>
      <c r="B124" s="423" t="s">
        <v>1237</v>
      </c>
      <c r="C124" s="423" t="s">
        <v>455</v>
      </c>
      <c r="D124" s="423" t="s">
        <v>649</v>
      </c>
      <c r="E124" s="777" t="s">
        <v>1816</v>
      </c>
      <c r="F124" s="391">
        <v>276519.57</v>
      </c>
      <c r="G124" s="391">
        <v>353580.11</v>
      </c>
      <c r="H124" s="391">
        <v>356884.81</v>
      </c>
      <c r="I124" s="391">
        <v>300749.46000000002</v>
      </c>
      <c r="J124" s="391">
        <v>305478.3</v>
      </c>
      <c r="K124" s="391">
        <v>289910.8</v>
      </c>
      <c r="L124" s="391">
        <v>324038.75</v>
      </c>
      <c r="M124" s="391">
        <v>323795.17</v>
      </c>
      <c r="N124" s="391">
        <v>332856.62</v>
      </c>
      <c r="O124" s="391">
        <v>316824.92</v>
      </c>
      <c r="P124" s="391">
        <v>297682.26</v>
      </c>
      <c r="Q124" s="391">
        <v>303434.05</v>
      </c>
      <c r="R124" s="391">
        <v>291155.42</v>
      </c>
      <c r="S124" s="618">
        <f t="shared" si="35"/>
        <v>315756.06208333332</v>
      </c>
      <c r="T124" s="382"/>
      <c r="U124" s="833">
        <f t="shared" si="33"/>
        <v>315756.06208333332</v>
      </c>
      <c r="V124" s="833"/>
      <c r="W124" s="833"/>
      <c r="X124" s="425"/>
      <c r="Y124" s="833"/>
      <c r="Z124" s="833"/>
      <c r="AA124" s="833"/>
      <c r="AB124" s="833"/>
      <c r="AC124" s="834"/>
      <c r="AD124" s="835">
        <f t="shared" si="34"/>
        <v>315756.06208333332</v>
      </c>
      <c r="AE124" s="834"/>
      <c r="AF124" s="781">
        <f t="shared" si="23"/>
        <v>0</v>
      </c>
    </row>
    <row r="125" spans="1:32">
      <c r="A125" s="422">
        <f t="shared" si="25"/>
        <v>111</v>
      </c>
      <c r="B125" s="423" t="s">
        <v>1238</v>
      </c>
      <c r="C125" s="423" t="s">
        <v>455</v>
      </c>
      <c r="D125" s="423" t="s">
        <v>649</v>
      </c>
      <c r="E125" s="777" t="s">
        <v>1817</v>
      </c>
      <c r="F125" s="391">
        <v>600329.80000000005</v>
      </c>
      <c r="G125" s="391">
        <v>298306.21999999997</v>
      </c>
      <c r="H125" s="391">
        <v>279450.96000000002</v>
      </c>
      <c r="I125" s="391">
        <v>285472.36</v>
      </c>
      <c r="J125" s="391">
        <v>282045.49</v>
      </c>
      <c r="K125" s="391">
        <v>372115.19</v>
      </c>
      <c r="L125" s="391">
        <v>639607.56000000006</v>
      </c>
      <c r="M125" s="391">
        <v>853365.79</v>
      </c>
      <c r="N125" s="391">
        <v>920988.37</v>
      </c>
      <c r="O125" s="391">
        <v>903138.88</v>
      </c>
      <c r="P125" s="391">
        <v>439229.59</v>
      </c>
      <c r="Q125" s="391">
        <v>360839.12</v>
      </c>
      <c r="R125" s="391">
        <v>363923.37</v>
      </c>
      <c r="S125" s="618">
        <f t="shared" si="35"/>
        <v>509723.8429166667</v>
      </c>
      <c r="T125" s="382"/>
      <c r="U125" s="833">
        <f t="shared" si="33"/>
        <v>509723.8429166667</v>
      </c>
      <c r="V125" s="833"/>
      <c r="W125" s="833"/>
      <c r="X125" s="425"/>
      <c r="Y125" s="833"/>
      <c r="Z125" s="833"/>
      <c r="AA125" s="833"/>
      <c r="AB125" s="833"/>
      <c r="AC125" s="834"/>
      <c r="AD125" s="835">
        <f t="shared" si="34"/>
        <v>509723.8429166667</v>
      </c>
      <c r="AE125" s="834"/>
      <c r="AF125" s="781">
        <f t="shared" si="23"/>
        <v>0</v>
      </c>
    </row>
    <row r="126" spans="1:32">
      <c r="A126" s="422">
        <f t="shared" si="25"/>
        <v>112</v>
      </c>
      <c r="B126" s="423" t="s">
        <v>1239</v>
      </c>
      <c r="C126" s="423" t="s">
        <v>455</v>
      </c>
      <c r="D126" s="423" t="s">
        <v>649</v>
      </c>
      <c r="E126" s="777" t="s">
        <v>1818</v>
      </c>
      <c r="F126" s="391">
        <v>73075.679999999993</v>
      </c>
      <c r="G126" s="391">
        <v>83102.490000000005</v>
      </c>
      <c r="H126" s="391">
        <v>81541.89</v>
      </c>
      <c r="I126" s="391">
        <v>81531.960000000006</v>
      </c>
      <c r="J126" s="391">
        <v>77017.37</v>
      </c>
      <c r="K126" s="391">
        <v>91129.29</v>
      </c>
      <c r="L126" s="391">
        <v>105350.95</v>
      </c>
      <c r="M126" s="391">
        <v>84949.06</v>
      </c>
      <c r="N126" s="391">
        <v>333621.46999999997</v>
      </c>
      <c r="O126" s="391">
        <v>630525.85</v>
      </c>
      <c r="P126" s="391">
        <v>71089.59</v>
      </c>
      <c r="Q126" s="391">
        <v>75960.42</v>
      </c>
      <c r="R126" s="391">
        <v>75781.679999999993</v>
      </c>
      <c r="S126" s="618">
        <f t="shared" si="35"/>
        <v>149187.41833333333</v>
      </c>
      <c r="T126" s="382"/>
      <c r="U126" s="833">
        <f t="shared" si="33"/>
        <v>149187.41833333333</v>
      </c>
      <c r="V126" s="833"/>
      <c r="W126" s="833"/>
      <c r="X126" s="425"/>
      <c r="Y126" s="833"/>
      <c r="Z126" s="833"/>
      <c r="AA126" s="833"/>
      <c r="AB126" s="833"/>
      <c r="AC126" s="834"/>
      <c r="AD126" s="835">
        <f t="shared" si="34"/>
        <v>149187.41833333333</v>
      </c>
      <c r="AE126" s="834"/>
      <c r="AF126" s="781">
        <f t="shared" si="23"/>
        <v>0</v>
      </c>
    </row>
    <row r="127" spans="1:32">
      <c r="A127" s="422">
        <f t="shared" si="25"/>
        <v>113</v>
      </c>
      <c r="B127" s="423" t="s">
        <v>1240</v>
      </c>
      <c r="C127" s="423" t="s">
        <v>455</v>
      </c>
      <c r="D127" s="423" t="s">
        <v>649</v>
      </c>
      <c r="E127" s="777" t="s">
        <v>1819</v>
      </c>
      <c r="F127" s="391">
        <v>352232.57</v>
      </c>
      <c r="G127" s="391">
        <v>339058.76</v>
      </c>
      <c r="H127" s="391">
        <v>440588.5</v>
      </c>
      <c r="I127" s="391">
        <v>409712.54</v>
      </c>
      <c r="J127" s="391">
        <v>408026.33</v>
      </c>
      <c r="K127" s="391">
        <v>447504.68</v>
      </c>
      <c r="L127" s="391">
        <v>371134.11</v>
      </c>
      <c r="M127" s="391">
        <v>390789.3</v>
      </c>
      <c r="N127" s="391">
        <v>406154.61</v>
      </c>
      <c r="O127" s="391">
        <v>405331.83</v>
      </c>
      <c r="P127" s="391">
        <v>448514.58</v>
      </c>
      <c r="Q127" s="391">
        <v>451748.39</v>
      </c>
      <c r="R127" s="391">
        <v>476417.96</v>
      </c>
      <c r="S127" s="618">
        <f t="shared" si="35"/>
        <v>411074.07458333328</v>
      </c>
      <c r="T127" s="382"/>
      <c r="U127" s="833">
        <f t="shared" si="33"/>
        <v>411074.07458333328</v>
      </c>
      <c r="V127" s="833"/>
      <c r="W127" s="833"/>
      <c r="X127" s="425"/>
      <c r="Y127" s="833"/>
      <c r="Z127" s="833"/>
      <c r="AA127" s="833"/>
      <c r="AB127" s="833"/>
      <c r="AC127" s="834"/>
      <c r="AD127" s="835">
        <f t="shared" si="34"/>
        <v>411074.07458333328</v>
      </c>
      <c r="AE127" s="834"/>
      <c r="AF127" s="781">
        <f t="shared" si="23"/>
        <v>0</v>
      </c>
    </row>
    <row r="128" spans="1:32">
      <c r="A128" s="422">
        <f t="shared" si="25"/>
        <v>114</v>
      </c>
      <c r="B128" s="423" t="s">
        <v>1687</v>
      </c>
      <c r="C128" s="423" t="s">
        <v>455</v>
      </c>
      <c r="D128" s="423" t="s">
        <v>649</v>
      </c>
      <c r="E128" s="777" t="s">
        <v>1820</v>
      </c>
      <c r="F128" s="391">
        <v>0</v>
      </c>
      <c r="G128" s="391">
        <v>0</v>
      </c>
      <c r="H128" s="391">
        <v>0</v>
      </c>
      <c r="I128" s="391">
        <v>0</v>
      </c>
      <c r="J128" s="391">
        <v>0</v>
      </c>
      <c r="K128" s="391">
        <v>0</v>
      </c>
      <c r="L128" s="391">
        <v>0</v>
      </c>
      <c r="M128" s="391">
        <v>0</v>
      </c>
      <c r="N128" s="391">
        <v>2668.92</v>
      </c>
      <c r="O128" s="391">
        <v>134.05000000000001</v>
      </c>
      <c r="P128" s="391">
        <v>-9.9999999998203696E-3</v>
      </c>
      <c r="Q128" s="391">
        <v>450.53</v>
      </c>
      <c r="R128" s="391">
        <v>536.36</v>
      </c>
      <c r="S128" s="618">
        <f t="shared" si="35"/>
        <v>293.47250000000003</v>
      </c>
      <c r="T128" s="382"/>
      <c r="U128" s="833">
        <f t="shared" si="33"/>
        <v>293.47250000000003</v>
      </c>
      <c r="V128" s="833"/>
      <c r="W128" s="833"/>
      <c r="X128" s="425"/>
      <c r="Y128" s="833"/>
      <c r="Z128" s="833"/>
      <c r="AA128" s="833"/>
      <c r="AB128" s="833"/>
      <c r="AC128" s="834"/>
      <c r="AD128" s="835">
        <f t="shared" si="34"/>
        <v>293.47250000000003</v>
      </c>
      <c r="AE128" s="834"/>
      <c r="AF128" s="781">
        <f t="shared" si="23"/>
        <v>0</v>
      </c>
    </row>
    <row r="129" spans="1:32">
      <c r="A129" s="422">
        <f t="shared" si="25"/>
        <v>115</v>
      </c>
      <c r="B129" s="423" t="s">
        <v>1241</v>
      </c>
      <c r="C129" s="423" t="s">
        <v>455</v>
      </c>
      <c r="D129" s="423" t="s">
        <v>649</v>
      </c>
      <c r="E129" s="777" t="s">
        <v>1821</v>
      </c>
      <c r="F129" s="391">
        <v>271710.74</v>
      </c>
      <c r="G129" s="391">
        <v>295389.45</v>
      </c>
      <c r="H129" s="391">
        <v>292044.76</v>
      </c>
      <c r="I129" s="391">
        <v>303858.11</v>
      </c>
      <c r="J129" s="391">
        <v>291143.33</v>
      </c>
      <c r="K129" s="391">
        <v>316800.38</v>
      </c>
      <c r="L129" s="391">
        <v>319072.57</v>
      </c>
      <c r="M129" s="391">
        <v>314886.2</v>
      </c>
      <c r="N129" s="391">
        <v>305596.7</v>
      </c>
      <c r="O129" s="391">
        <v>314139.73</v>
      </c>
      <c r="P129" s="391">
        <v>316022</v>
      </c>
      <c r="Q129" s="391">
        <v>321616.5</v>
      </c>
      <c r="R129" s="391">
        <v>307766.09000000003</v>
      </c>
      <c r="S129" s="618">
        <f t="shared" si="35"/>
        <v>306692.34541666665</v>
      </c>
      <c r="T129" s="382"/>
      <c r="U129" s="833">
        <f t="shared" si="33"/>
        <v>306692.34541666665</v>
      </c>
      <c r="V129" s="833"/>
      <c r="W129" s="833"/>
      <c r="X129" s="425"/>
      <c r="Y129" s="833"/>
      <c r="Z129" s="833"/>
      <c r="AA129" s="833"/>
      <c r="AB129" s="833"/>
      <c r="AC129" s="834"/>
      <c r="AD129" s="835">
        <f t="shared" si="34"/>
        <v>306692.34541666665</v>
      </c>
      <c r="AE129" s="834"/>
      <c r="AF129" s="781">
        <f t="shared" si="23"/>
        <v>0</v>
      </c>
    </row>
    <row r="130" spans="1:32">
      <c r="A130" s="422">
        <f t="shared" si="25"/>
        <v>116</v>
      </c>
      <c r="B130" s="423" t="s">
        <v>1242</v>
      </c>
      <c r="C130" s="423" t="s">
        <v>455</v>
      </c>
      <c r="D130" s="423" t="s">
        <v>649</v>
      </c>
      <c r="E130" s="777" t="s">
        <v>1822</v>
      </c>
      <c r="F130" s="391">
        <v>273162.12</v>
      </c>
      <c r="G130" s="391">
        <v>268217.84999999998</v>
      </c>
      <c r="H130" s="391">
        <v>265948.15000000002</v>
      </c>
      <c r="I130" s="391">
        <v>261451.99</v>
      </c>
      <c r="J130" s="391">
        <v>266922.15999999997</v>
      </c>
      <c r="K130" s="391">
        <v>260898.61</v>
      </c>
      <c r="L130" s="391">
        <v>226023.92</v>
      </c>
      <c r="M130" s="391">
        <v>239959.6</v>
      </c>
      <c r="N130" s="391">
        <v>244013.76</v>
      </c>
      <c r="O130" s="391">
        <v>246417.76</v>
      </c>
      <c r="P130" s="391">
        <v>318330.71999999997</v>
      </c>
      <c r="Q130" s="391">
        <v>343817.71</v>
      </c>
      <c r="R130" s="391">
        <v>348930.45</v>
      </c>
      <c r="S130" s="618">
        <f t="shared" si="35"/>
        <v>271087.37624999997</v>
      </c>
      <c r="T130" s="382"/>
      <c r="U130" s="833">
        <f t="shared" si="33"/>
        <v>271087.37624999997</v>
      </c>
      <c r="V130" s="833"/>
      <c r="W130" s="833"/>
      <c r="X130" s="425"/>
      <c r="Y130" s="833"/>
      <c r="Z130" s="833"/>
      <c r="AA130" s="833"/>
      <c r="AB130" s="833"/>
      <c r="AC130" s="834"/>
      <c r="AD130" s="835">
        <f t="shared" si="34"/>
        <v>271087.37624999997</v>
      </c>
      <c r="AE130" s="834"/>
      <c r="AF130" s="781">
        <f t="shared" si="23"/>
        <v>0</v>
      </c>
    </row>
    <row r="131" spans="1:32">
      <c r="A131" s="422">
        <f t="shared" si="25"/>
        <v>117</v>
      </c>
      <c r="B131" s="423" t="s">
        <v>1243</v>
      </c>
      <c r="C131" s="423" t="s">
        <v>455</v>
      </c>
      <c r="D131" s="423" t="s">
        <v>649</v>
      </c>
      <c r="E131" s="777" t="s">
        <v>1823</v>
      </c>
      <c r="F131" s="391">
        <v>110546.26</v>
      </c>
      <c r="G131" s="391">
        <v>117445.28</v>
      </c>
      <c r="H131" s="391">
        <v>112615.92</v>
      </c>
      <c r="I131" s="391">
        <v>131843.76999999999</v>
      </c>
      <c r="J131" s="391">
        <v>126076.99</v>
      </c>
      <c r="K131" s="391">
        <v>129632.57</v>
      </c>
      <c r="L131" s="391">
        <v>126112.49</v>
      </c>
      <c r="M131" s="391">
        <v>140946.16</v>
      </c>
      <c r="N131" s="391">
        <v>145445.68</v>
      </c>
      <c r="O131" s="391">
        <v>145413.57</v>
      </c>
      <c r="P131" s="391">
        <v>156039.95000000001</v>
      </c>
      <c r="Q131" s="391">
        <v>154707.26</v>
      </c>
      <c r="R131" s="391">
        <v>144477.1</v>
      </c>
      <c r="S131" s="618">
        <f t="shared" si="35"/>
        <v>134482.61000000002</v>
      </c>
      <c r="T131" s="382"/>
      <c r="U131" s="833">
        <f t="shared" si="33"/>
        <v>134482.61000000002</v>
      </c>
      <c r="V131" s="833"/>
      <c r="W131" s="833"/>
      <c r="X131" s="425"/>
      <c r="Y131" s="833"/>
      <c r="Z131" s="833"/>
      <c r="AA131" s="833"/>
      <c r="AB131" s="833"/>
      <c r="AC131" s="834"/>
      <c r="AD131" s="835">
        <f t="shared" si="34"/>
        <v>134482.61000000002</v>
      </c>
      <c r="AE131" s="834"/>
      <c r="AF131" s="781">
        <f t="shared" si="23"/>
        <v>0</v>
      </c>
    </row>
    <row r="132" spans="1:32">
      <c r="A132" s="422">
        <f t="shared" si="25"/>
        <v>118</v>
      </c>
      <c r="B132" s="423" t="s">
        <v>1244</v>
      </c>
      <c r="C132" s="423" t="s">
        <v>455</v>
      </c>
      <c r="D132" s="423" t="s">
        <v>649</v>
      </c>
      <c r="E132" s="777" t="s">
        <v>1824</v>
      </c>
      <c r="F132" s="391">
        <v>59820.46</v>
      </c>
      <c r="G132" s="391">
        <v>72000.45</v>
      </c>
      <c r="H132" s="391">
        <v>68805.41</v>
      </c>
      <c r="I132" s="391">
        <v>65465.39</v>
      </c>
      <c r="J132" s="391">
        <v>63651.12</v>
      </c>
      <c r="K132" s="391">
        <v>61316.67</v>
      </c>
      <c r="L132" s="391">
        <v>66738.67</v>
      </c>
      <c r="M132" s="391">
        <v>78090.89</v>
      </c>
      <c r="N132" s="391">
        <v>76847.039999999994</v>
      </c>
      <c r="O132" s="391">
        <v>71256.88</v>
      </c>
      <c r="P132" s="391">
        <v>61211.199999999997</v>
      </c>
      <c r="Q132" s="391">
        <v>59806.65</v>
      </c>
      <c r="R132" s="391">
        <v>58203.88</v>
      </c>
      <c r="S132" s="618">
        <f t="shared" si="35"/>
        <v>67016.878333333341</v>
      </c>
      <c r="T132" s="382"/>
      <c r="U132" s="833">
        <f t="shared" si="33"/>
        <v>67016.878333333341</v>
      </c>
      <c r="V132" s="833"/>
      <c r="W132" s="833"/>
      <c r="X132" s="425"/>
      <c r="Y132" s="833"/>
      <c r="Z132" s="833"/>
      <c r="AA132" s="833"/>
      <c r="AB132" s="833"/>
      <c r="AC132" s="834"/>
      <c r="AD132" s="835">
        <f t="shared" si="34"/>
        <v>67016.878333333341</v>
      </c>
      <c r="AE132" s="834"/>
      <c r="AF132" s="781">
        <f t="shared" si="23"/>
        <v>0</v>
      </c>
    </row>
    <row r="133" spans="1:32" s="2" customFormat="1">
      <c r="A133" s="422">
        <f t="shared" si="25"/>
        <v>119</v>
      </c>
      <c r="B133" s="423" t="s">
        <v>1245</v>
      </c>
      <c r="C133" s="423" t="s">
        <v>455</v>
      </c>
      <c r="D133" s="423" t="s">
        <v>649</v>
      </c>
      <c r="E133" s="777" t="s">
        <v>1825</v>
      </c>
      <c r="F133" s="391">
        <v>167455.42000000001</v>
      </c>
      <c r="G133" s="391">
        <v>173736.81</v>
      </c>
      <c r="H133" s="391">
        <v>178490.54</v>
      </c>
      <c r="I133" s="391">
        <v>137608.20000000001</v>
      </c>
      <c r="J133" s="391">
        <v>163000.07</v>
      </c>
      <c r="K133" s="391">
        <v>156634.38</v>
      </c>
      <c r="L133" s="391">
        <v>200353.41</v>
      </c>
      <c r="M133" s="391">
        <v>197281.96</v>
      </c>
      <c r="N133" s="391">
        <v>205986.73</v>
      </c>
      <c r="O133" s="391">
        <v>196836.96</v>
      </c>
      <c r="P133" s="391">
        <v>320493.99</v>
      </c>
      <c r="Q133" s="391">
        <v>289163.17</v>
      </c>
      <c r="R133" s="391">
        <v>255478.3</v>
      </c>
      <c r="S133" s="618">
        <f t="shared" si="35"/>
        <v>202587.75666666668</v>
      </c>
      <c r="T133" s="382"/>
      <c r="U133" s="833">
        <f t="shared" si="33"/>
        <v>202587.75666666668</v>
      </c>
      <c r="V133" s="833"/>
      <c r="W133" s="833"/>
      <c r="X133" s="425"/>
      <c r="Y133" s="833"/>
      <c r="Z133" s="833"/>
      <c r="AA133" s="833"/>
      <c r="AB133" s="833"/>
      <c r="AC133" s="834"/>
      <c r="AD133" s="835">
        <f t="shared" si="34"/>
        <v>202587.75666666668</v>
      </c>
      <c r="AE133" s="834"/>
      <c r="AF133" s="781">
        <f t="shared" si="23"/>
        <v>0</v>
      </c>
    </row>
    <row r="134" spans="1:32" s="2" customFormat="1">
      <c r="A134" s="422">
        <f t="shared" si="25"/>
        <v>120</v>
      </c>
      <c r="B134" s="423" t="s">
        <v>1688</v>
      </c>
      <c r="C134" s="423" t="s">
        <v>455</v>
      </c>
      <c r="D134" s="423" t="s">
        <v>649</v>
      </c>
      <c r="E134" s="777" t="s">
        <v>1826</v>
      </c>
      <c r="F134" s="391">
        <v>0</v>
      </c>
      <c r="G134" s="391">
        <v>0</v>
      </c>
      <c r="H134" s="391">
        <v>0</v>
      </c>
      <c r="I134" s="391">
        <v>0</v>
      </c>
      <c r="J134" s="391">
        <v>0.01</v>
      </c>
      <c r="K134" s="391">
        <v>0.01</v>
      </c>
      <c r="L134" s="391">
        <v>26.31</v>
      </c>
      <c r="M134" s="391">
        <v>3.5527136788005001E-15</v>
      </c>
      <c r="N134" s="391">
        <v>57.5</v>
      </c>
      <c r="O134" s="391">
        <v>0</v>
      </c>
      <c r="P134" s="391">
        <v>0</v>
      </c>
      <c r="Q134" s="391">
        <v>-0.01</v>
      </c>
      <c r="R134" s="391">
        <v>-1541.61</v>
      </c>
      <c r="S134" s="618">
        <f t="shared" si="35"/>
        <v>-57.248749999999994</v>
      </c>
      <c r="T134" s="382"/>
      <c r="U134" s="833">
        <f t="shared" si="33"/>
        <v>-57.248749999999994</v>
      </c>
      <c r="V134" s="833"/>
      <c r="W134" s="833"/>
      <c r="X134" s="425"/>
      <c r="Y134" s="833"/>
      <c r="Z134" s="833"/>
      <c r="AA134" s="833"/>
      <c r="AB134" s="833"/>
      <c r="AC134" s="834"/>
      <c r="AD134" s="835">
        <f t="shared" si="34"/>
        <v>-57.248749999999994</v>
      </c>
      <c r="AE134" s="834"/>
      <c r="AF134" s="781">
        <f t="shared" si="23"/>
        <v>0</v>
      </c>
    </row>
    <row r="135" spans="1:32">
      <c r="A135" s="422">
        <f t="shared" si="25"/>
        <v>121</v>
      </c>
      <c r="B135" s="423" t="s">
        <v>1063</v>
      </c>
      <c r="C135" s="423" t="s">
        <v>455</v>
      </c>
      <c r="D135" s="423" t="s">
        <v>1246</v>
      </c>
      <c r="E135" s="777" t="s">
        <v>1827</v>
      </c>
      <c r="F135" s="391">
        <v>337913.42</v>
      </c>
      <c r="G135" s="391">
        <v>276976.78999999998</v>
      </c>
      <c r="H135" s="391">
        <v>276976.78999999998</v>
      </c>
      <c r="I135" s="391">
        <v>276976.78999999998</v>
      </c>
      <c r="J135" s="391">
        <v>338550.75</v>
      </c>
      <c r="K135" s="391">
        <v>338550.75</v>
      </c>
      <c r="L135" s="391">
        <v>339075.46</v>
      </c>
      <c r="M135" s="391">
        <v>339075.46</v>
      </c>
      <c r="N135" s="391">
        <v>293322.5</v>
      </c>
      <c r="O135" s="391">
        <v>293322.5</v>
      </c>
      <c r="P135" s="391">
        <v>406216.49</v>
      </c>
      <c r="Q135" s="391">
        <v>342609.97</v>
      </c>
      <c r="R135" s="391">
        <v>342609.97</v>
      </c>
      <c r="S135" s="618">
        <f t="shared" si="35"/>
        <v>321826.32874999999</v>
      </c>
      <c r="T135" s="382"/>
      <c r="U135" s="833">
        <f t="shared" si="33"/>
        <v>321826.32874999999</v>
      </c>
      <c r="V135" s="833"/>
      <c r="W135" s="833"/>
      <c r="X135" s="425"/>
      <c r="Y135" s="833"/>
      <c r="Z135" s="833"/>
      <c r="AA135" s="833"/>
      <c r="AB135" s="833"/>
      <c r="AC135" s="834"/>
      <c r="AD135" s="835">
        <f t="shared" si="34"/>
        <v>321826.32874999999</v>
      </c>
      <c r="AE135" s="834"/>
      <c r="AF135" s="781">
        <f t="shared" si="23"/>
        <v>0</v>
      </c>
    </row>
    <row r="136" spans="1:32">
      <c r="A136" s="779">
        <f t="shared" si="25"/>
        <v>122</v>
      </c>
      <c r="B136" s="423" t="s">
        <v>1063</v>
      </c>
      <c r="C136" s="423" t="s">
        <v>456</v>
      </c>
      <c r="D136" s="423" t="s">
        <v>1248</v>
      </c>
      <c r="E136" s="777" t="s">
        <v>1828</v>
      </c>
      <c r="F136" s="391">
        <v>0</v>
      </c>
      <c r="G136" s="391">
        <v>14115.84</v>
      </c>
      <c r="H136" s="391">
        <v>27723.01</v>
      </c>
      <c r="I136" s="391">
        <v>38382.980000000003</v>
      </c>
      <c r="J136" s="391">
        <v>41380.26</v>
      </c>
      <c r="K136" s="391">
        <v>45441.46</v>
      </c>
      <c r="L136" s="391">
        <v>46421.39</v>
      </c>
      <c r="M136" s="391">
        <v>50172.69</v>
      </c>
      <c r="N136" s="391">
        <v>56540.59</v>
      </c>
      <c r="O136" s="391">
        <v>57145.05</v>
      </c>
      <c r="P136" s="391">
        <v>63328.51</v>
      </c>
      <c r="Q136" s="391">
        <v>64410.47</v>
      </c>
      <c r="R136" s="391">
        <v>0</v>
      </c>
      <c r="S136" s="618">
        <f t="shared" si="35"/>
        <v>42088.520833333336</v>
      </c>
      <c r="T136" s="382"/>
      <c r="U136" s="833">
        <f t="shared" si="33"/>
        <v>42088.520833333336</v>
      </c>
      <c r="V136" s="833"/>
      <c r="W136" s="833"/>
      <c r="X136" s="425"/>
      <c r="Y136" s="833"/>
      <c r="Z136" s="833"/>
      <c r="AA136" s="833"/>
      <c r="AB136" s="833"/>
      <c r="AC136" s="834"/>
      <c r="AD136" s="835">
        <f t="shared" si="34"/>
        <v>42088.520833333336</v>
      </c>
      <c r="AE136" s="834"/>
      <c r="AF136" s="781">
        <f t="shared" si="23"/>
        <v>0</v>
      </c>
    </row>
    <row r="137" spans="1:32">
      <c r="A137" s="779">
        <f t="shared" si="25"/>
        <v>123</v>
      </c>
      <c r="B137" s="423" t="s">
        <v>1063</v>
      </c>
      <c r="C137" s="423" t="s">
        <v>456</v>
      </c>
      <c r="D137" s="423" t="s">
        <v>1249</v>
      </c>
      <c r="E137" s="777" t="s">
        <v>457</v>
      </c>
      <c r="F137" s="391">
        <v>0</v>
      </c>
      <c r="G137" s="391">
        <v>0</v>
      </c>
      <c r="H137" s="391">
        <v>0</v>
      </c>
      <c r="I137" s="391">
        <v>0</v>
      </c>
      <c r="J137" s="391">
        <v>0</v>
      </c>
      <c r="K137" s="391">
        <v>0</v>
      </c>
      <c r="L137" s="391">
        <v>0</v>
      </c>
      <c r="M137" s="391">
        <v>74.27</v>
      </c>
      <c r="N137" s="391">
        <v>74.27</v>
      </c>
      <c r="O137" s="391">
        <v>0</v>
      </c>
      <c r="P137" s="391">
        <v>0</v>
      </c>
      <c r="Q137" s="391">
        <v>0</v>
      </c>
      <c r="R137" s="391">
        <v>0</v>
      </c>
      <c r="S137" s="618">
        <f t="shared" si="35"/>
        <v>12.378333333333332</v>
      </c>
      <c r="T137" s="382"/>
      <c r="U137" s="833">
        <f t="shared" si="33"/>
        <v>12.378333333333332</v>
      </c>
      <c r="V137" s="833"/>
      <c r="W137" s="833"/>
      <c r="X137" s="425"/>
      <c r="Y137" s="833"/>
      <c r="Z137" s="833"/>
      <c r="AA137" s="833"/>
      <c r="AB137" s="833"/>
      <c r="AC137" s="834"/>
      <c r="AD137" s="835">
        <f t="shared" si="34"/>
        <v>12.378333333333332</v>
      </c>
      <c r="AE137" s="834"/>
      <c r="AF137" s="781">
        <f t="shared" si="23"/>
        <v>0</v>
      </c>
    </row>
    <row r="138" spans="1:32">
      <c r="A138" s="779">
        <f t="shared" si="25"/>
        <v>124</v>
      </c>
      <c r="B138" s="423" t="s">
        <v>1063</v>
      </c>
      <c r="C138" s="423" t="s">
        <v>456</v>
      </c>
      <c r="D138" s="423" t="s">
        <v>1250</v>
      </c>
      <c r="E138" s="777" t="s">
        <v>1829</v>
      </c>
      <c r="F138" s="391">
        <v>0</v>
      </c>
      <c r="G138" s="391">
        <v>-817.17</v>
      </c>
      <c r="H138" s="391">
        <v>-764.65</v>
      </c>
      <c r="I138" s="391">
        <v>-1705.06</v>
      </c>
      <c r="J138" s="391">
        <v>-1790.76</v>
      </c>
      <c r="K138" s="391">
        <v>-4802.1000000000004</v>
      </c>
      <c r="L138" s="391">
        <v>16267.13</v>
      </c>
      <c r="M138" s="391">
        <v>17429.32</v>
      </c>
      <c r="N138" s="391">
        <v>16527.71</v>
      </c>
      <c r="O138" s="391">
        <v>16512</v>
      </c>
      <c r="P138" s="391">
        <v>36876.36</v>
      </c>
      <c r="Q138" s="391">
        <v>71496.98</v>
      </c>
      <c r="R138" s="391">
        <v>1.45519152283669E-11</v>
      </c>
      <c r="S138" s="618">
        <f t="shared" si="35"/>
        <v>13769.146666666667</v>
      </c>
      <c r="T138" s="382"/>
      <c r="U138" s="833">
        <f t="shared" si="33"/>
        <v>13769.146666666667</v>
      </c>
      <c r="V138" s="833"/>
      <c r="W138" s="833"/>
      <c r="X138" s="425"/>
      <c r="Y138" s="833"/>
      <c r="Z138" s="833"/>
      <c r="AA138" s="833"/>
      <c r="AB138" s="833"/>
      <c r="AC138" s="834"/>
      <c r="AD138" s="835">
        <f t="shared" si="34"/>
        <v>13769.146666666667</v>
      </c>
      <c r="AE138" s="834"/>
      <c r="AF138" s="781">
        <f t="shared" si="23"/>
        <v>0</v>
      </c>
    </row>
    <row r="139" spans="1:32">
      <c r="A139" s="779">
        <f t="shared" si="25"/>
        <v>125</v>
      </c>
      <c r="B139" s="423" t="s">
        <v>1063</v>
      </c>
      <c r="C139" s="423" t="s">
        <v>458</v>
      </c>
      <c r="D139" s="423" t="s">
        <v>459</v>
      </c>
      <c r="E139" s="777" t="s">
        <v>460</v>
      </c>
      <c r="F139" s="391">
        <v>522921.19</v>
      </c>
      <c r="G139" s="391">
        <v>644089.07999999996</v>
      </c>
      <c r="H139" s="391">
        <v>288856.43</v>
      </c>
      <c r="I139" s="391">
        <v>368439.49</v>
      </c>
      <c r="J139" s="391">
        <v>257947.12</v>
      </c>
      <c r="K139" s="391">
        <v>492801.14</v>
      </c>
      <c r="L139" s="391">
        <v>233564.83</v>
      </c>
      <c r="M139" s="391">
        <v>432600.05</v>
      </c>
      <c r="N139" s="391">
        <v>414354.45</v>
      </c>
      <c r="O139" s="391">
        <v>831230.57</v>
      </c>
      <c r="P139" s="391">
        <v>351251.11</v>
      </c>
      <c r="Q139" s="391">
        <v>641888.24</v>
      </c>
      <c r="R139" s="391">
        <v>299383.02</v>
      </c>
      <c r="S139" s="618">
        <f t="shared" si="35"/>
        <v>447347.88458333333</v>
      </c>
      <c r="T139" s="382"/>
      <c r="U139" s="833">
        <f t="shared" si="33"/>
        <v>447347.88458333333</v>
      </c>
      <c r="V139" s="833"/>
      <c r="W139" s="833"/>
      <c r="X139" s="425"/>
      <c r="Y139" s="833"/>
      <c r="Z139" s="833"/>
      <c r="AA139" s="833"/>
      <c r="AB139" s="833"/>
      <c r="AC139" s="834"/>
      <c r="AD139" s="835">
        <f t="shared" si="34"/>
        <v>447347.88458333333</v>
      </c>
      <c r="AE139" s="834"/>
      <c r="AF139" s="781">
        <f t="shared" si="23"/>
        <v>0</v>
      </c>
    </row>
    <row r="140" spans="1:32">
      <c r="A140" s="779">
        <f t="shared" si="25"/>
        <v>126</v>
      </c>
      <c r="B140" s="423" t="s">
        <v>1063</v>
      </c>
      <c r="C140" s="423" t="s">
        <v>458</v>
      </c>
      <c r="D140" s="423" t="s">
        <v>506</v>
      </c>
      <c r="E140" s="777" t="s">
        <v>753</v>
      </c>
      <c r="F140" s="391">
        <v>64607.37</v>
      </c>
      <c r="G140" s="391">
        <v>91551.43</v>
      </c>
      <c r="H140" s="391">
        <v>78291.8</v>
      </c>
      <c r="I140" s="391">
        <v>107285.46</v>
      </c>
      <c r="J140" s="391">
        <v>71546.37</v>
      </c>
      <c r="K140" s="391">
        <v>102732.94</v>
      </c>
      <c r="L140" s="391">
        <v>99423.78</v>
      </c>
      <c r="M140" s="391">
        <v>131121.12</v>
      </c>
      <c r="N140" s="391">
        <v>174000.83</v>
      </c>
      <c r="O140" s="391">
        <v>10428.200000000001</v>
      </c>
      <c r="P140" s="391">
        <v>47318.239999999998</v>
      </c>
      <c r="Q140" s="391">
        <v>77846.460000000006</v>
      </c>
      <c r="R140" s="391">
        <v>97275.8</v>
      </c>
      <c r="S140" s="618">
        <f t="shared" si="35"/>
        <v>89374.017916666649</v>
      </c>
      <c r="T140" s="382"/>
      <c r="U140" s="833">
        <f t="shared" si="33"/>
        <v>89374.017916666649</v>
      </c>
      <c r="V140" s="833"/>
      <c r="W140" s="833"/>
      <c r="X140" s="425"/>
      <c r="Y140" s="833"/>
      <c r="Z140" s="833"/>
      <c r="AA140" s="833"/>
      <c r="AB140" s="833"/>
      <c r="AC140" s="834"/>
      <c r="AD140" s="835">
        <f t="shared" si="34"/>
        <v>89374.017916666649</v>
      </c>
      <c r="AE140" s="834"/>
      <c r="AF140" s="781">
        <f t="shared" si="23"/>
        <v>0</v>
      </c>
    </row>
    <row r="141" spans="1:32">
      <c r="A141" s="779">
        <f t="shared" si="25"/>
        <v>127</v>
      </c>
      <c r="B141" s="423" t="s">
        <v>1063</v>
      </c>
      <c r="C141" s="423" t="s">
        <v>461</v>
      </c>
      <c r="D141" s="423" t="s">
        <v>472</v>
      </c>
      <c r="E141" s="777" t="s">
        <v>462</v>
      </c>
      <c r="F141" s="391">
        <v>2230775.2400000002</v>
      </c>
      <c r="G141" s="391">
        <v>2203831.1800000002</v>
      </c>
      <c r="H141" s="391">
        <v>1826120.92</v>
      </c>
      <c r="I141" s="391">
        <v>1797127.26</v>
      </c>
      <c r="J141" s="391">
        <v>1849029.45</v>
      </c>
      <c r="K141" s="391">
        <v>1817842.88</v>
      </c>
      <c r="L141" s="391">
        <v>1989314.22</v>
      </c>
      <c r="M141" s="391">
        <v>2137293.75</v>
      </c>
      <c r="N141" s="391">
        <v>2094414.04</v>
      </c>
      <c r="O141" s="391">
        <v>2299995.2999999998</v>
      </c>
      <c r="P141" s="391">
        <v>1990506.19</v>
      </c>
      <c r="Q141" s="391">
        <v>1959977.97</v>
      </c>
      <c r="R141" s="391">
        <v>1940548.63</v>
      </c>
      <c r="S141" s="618">
        <f t="shared" si="35"/>
        <v>2004259.5912500003</v>
      </c>
      <c r="T141" s="382"/>
      <c r="U141" s="833">
        <f t="shared" si="33"/>
        <v>2004259.5912500003</v>
      </c>
      <c r="V141" s="833"/>
      <c r="W141" s="833"/>
      <c r="X141" s="425"/>
      <c r="Y141" s="833"/>
      <c r="Z141" s="833"/>
      <c r="AA141" s="833"/>
      <c r="AB141" s="833"/>
      <c r="AC141" s="834"/>
      <c r="AD141" s="835">
        <f t="shared" si="34"/>
        <v>2004259.5912500003</v>
      </c>
      <c r="AE141" s="834"/>
      <c r="AF141" s="781">
        <f t="shared" si="23"/>
        <v>0</v>
      </c>
    </row>
    <row r="142" spans="1:32">
      <c r="A142" s="422">
        <f t="shared" si="25"/>
        <v>128</v>
      </c>
      <c r="B142" s="422"/>
      <c r="C142" s="422"/>
      <c r="D142" s="422"/>
      <c r="E142" s="777" t="s">
        <v>463</v>
      </c>
      <c r="F142" s="394">
        <f t="shared" ref="F142:S142" si="36">SUM(F118:F141)</f>
        <v>10844838.52</v>
      </c>
      <c r="G142" s="394">
        <f t="shared" si="36"/>
        <v>10579524.560000001</v>
      </c>
      <c r="H142" s="394">
        <f t="shared" si="36"/>
        <v>10061813</v>
      </c>
      <c r="I142" s="394">
        <f t="shared" si="36"/>
        <v>9981885.1100000013</v>
      </c>
      <c r="J142" s="394">
        <f t="shared" si="36"/>
        <v>9823194.4800000004</v>
      </c>
      <c r="K142" s="394">
        <f t="shared" si="36"/>
        <v>10276143.370000001</v>
      </c>
      <c r="L142" s="394">
        <f t="shared" si="36"/>
        <v>8649998.0800000001</v>
      </c>
      <c r="M142" s="394">
        <f t="shared" si="36"/>
        <v>9797598.3900000006</v>
      </c>
      <c r="N142" s="394">
        <f t="shared" si="36"/>
        <v>10298833.859999999</v>
      </c>
      <c r="O142" s="394">
        <f t="shared" si="36"/>
        <v>11141776.509999998</v>
      </c>
      <c r="P142" s="394">
        <f t="shared" si="36"/>
        <v>9799091.4800000004</v>
      </c>
      <c r="Q142" s="394">
        <f t="shared" si="36"/>
        <v>10064449.860000001</v>
      </c>
      <c r="R142" s="394">
        <f t="shared" si="36"/>
        <v>8031490.5800000001</v>
      </c>
      <c r="S142" s="620">
        <f t="shared" si="36"/>
        <v>9992706.1041666642</v>
      </c>
      <c r="T142" s="382"/>
      <c r="U142" s="833"/>
      <c r="V142" s="833"/>
      <c r="W142" s="833"/>
      <c r="X142" s="425"/>
      <c r="Y142" s="833"/>
      <c r="Z142" s="833"/>
      <c r="AA142" s="833"/>
      <c r="AB142" s="833"/>
      <c r="AC142" s="834"/>
      <c r="AD142" s="834"/>
      <c r="AE142" s="834"/>
      <c r="AF142" s="781">
        <f t="shared" si="23"/>
        <v>0</v>
      </c>
    </row>
    <row r="143" spans="1:32">
      <c r="A143" s="422">
        <f t="shared" si="25"/>
        <v>129</v>
      </c>
      <c r="B143" s="422"/>
      <c r="C143" s="422"/>
      <c r="D143" s="422"/>
      <c r="E143" s="763"/>
      <c r="F143" s="391"/>
      <c r="G143" s="407"/>
      <c r="H143" s="408"/>
      <c r="I143" s="408"/>
      <c r="J143" s="409"/>
      <c r="K143" s="410"/>
      <c r="L143" s="411"/>
      <c r="M143" s="412"/>
      <c r="N143" s="413"/>
      <c r="O143" s="414"/>
      <c r="P143" s="415"/>
      <c r="Q143" s="416"/>
      <c r="R143" s="391"/>
      <c r="S143" s="392"/>
      <c r="T143" s="382"/>
      <c r="U143" s="833"/>
      <c r="V143" s="833"/>
      <c r="W143" s="833"/>
      <c r="X143" s="425"/>
      <c r="Y143" s="833"/>
      <c r="Z143" s="833"/>
      <c r="AA143" s="833"/>
      <c r="AB143" s="833"/>
      <c r="AC143" s="834"/>
      <c r="AD143" s="834"/>
      <c r="AE143" s="834"/>
      <c r="AF143" s="781">
        <f t="shared" ref="AF143:AF206" si="37">+U143+V143-AD143</f>
        <v>0</v>
      </c>
    </row>
    <row r="144" spans="1:32">
      <c r="A144" s="422">
        <f t="shared" ref="A144:A208" si="38">+A143+1</f>
        <v>130</v>
      </c>
      <c r="B144" s="423" t="s">
        <v>1063</v>
      </c>
      <c r="C144" s="423" t="s">
        <v>464</v>
      </c>
      <c r="D144" s="423" t="s">
        <v>1056</v>
      </c>
      <c r="E144" s="777" t="s">
        <v>1830</v>
      </c>
      <c r="F144" s="391">
        <v>128413.63</v>
      </c>
      <c r="G144" s="391">
        <v>1052456.98</v>
      </c>
      <c r="H144" s="391">
        <v>1031822.14</v>
      </c>
      <c r="I144" s="391">
        <v>935485.93</v>
      </c>
      <c r="J144" s="391">
        <v>820828.49</v>
      </c>
      <c r="K144" s="391">
        <v>707803.42</v>
      </c>
      <c r="L144" s="391">
        <v>636224.74</v>
      </c>
      <c r="M144" s="391">
        <v>521520.67</v>
      </c>
      <c r="N144" s="391">
        <v>406816.57</v>
      </c>
      <c r="O144" s="391">
        <v>335237.84999999998</v>
      </c>
      <c r="P144" s="391">
        <v>215587.38</v>
      </c>
      <c r="Q144" s="391">
        <v>250565.11</v>
      </c>
      <c r="R144" s="391">
        <v>130504.06</v>
      </c>
      <c r="S144" s="618">
        <f t="shared" ref="S144:S159" si="39">((F144+R144)+((G144+H144+I144+J144+K144+L144+M144+N144+O144+P144+Q144)*2))/24</f>
        <v>586984.01041666663</v>
      </c>
      <c r="T144" s="382"/>
      <c r="U144" s="833">
        <f t="shared" ref="U144:U159" si="40">+S144</f>
        <v>586984.01041666663</v>
      </c>
      <c r="V144" s="833"/>
      <c r="W144" s="833"/>
      <c r="X144" s="425"/>
      <c r="Y144" s="833"/>
      <c r="Z144" s="833"/>
      <c r="AA144" s="833"/>
      <c r="AB144" s="833"/>
      <c r="AC144" s="834"/>
      <c r="AD144" s="835">
        <f t="shared" ref="AD144:AD159" si="41">+U144</f>
        <v>586984.01041666663</v>
      </c>
      <c r="AE144" s="834"/>
      <c r="AF144" s="781">
        <f t="shared" si="37"/>
        <v>0</v>
      </c>
    </row>
    <row r="145" spans="1:32">
      <c r="A145" s="422">
        <f t="shared" si="38"/>
        <v>131</v>
      </c>
      <c r="B145" s="423" t="s">
        <v>1063</v>
      </c>
      <c r="C145" s="423" t="s">
        <v>465</v>
      </c>
      <c r="D145" s="423" t="s">
        <v>488</v>
      </c>
      <c r="E145" s="766" t="s">
        <v>1833</v>
      </c>
      <c r="F145" s="391">
        <v>0</v>
      </c>
      <c r="G145" s="391">
        <v>0</v>
      </c>
      <c r="H145" s="391">
        <v>0</v>
      </c>
      <c r="I145" s="391">
        <v>0</v>
      </c>
      <c r="J145" s="391">
        <v>0</v>
      </c>
      <c r="K145" s="391">
        <v>0</v>
      </c>
      <c r="L145" s="391">
        <v>0</v>
      </c>
      <c r="M145" s="391">
        <v>0</v>
      </c>
      <c r="N145" s="391">
        <v>0</v>
      </c>
      <c r="O145" s="391">
        <v>310453.84000000003</v>
      </c>
      <c r="P145" s="391">
        <v>141534.04</v>
      </c>
      <c r="Q145" s="391">
        <v>854368.04</v>
      </c>
      <c r="R145" s="391">
        <v>10266422.640000001</v>
      </c>
      <c r="S145" s="618">
        <f t="shared" si="39"/>
        <v>536630.60333333339</v>
      </c>
      <c r="T145" s="382"/>
      <c r="U145" s="833">
        <f t="shared" si="40"/>
        <v>536630.60333333339</v>
      </c>
      <c r="V145" s="833"/>
      <c r="W145" s="833"/>
      <c r="X145" s="425"/>
      <c r="Y145" s="833"/>
      <c r="Z145" s="833"/>
      <c r="AA145" s="833"/>
      <c r="AB145" s="833"/>
      <c r="AC145" s="834"/>
      <c r="AD145" s="835">
        <f t="shared" si="41"/>
        <v>536630.60333333339</v>
      </c>
      <c r="AE145" s="834"/>
      <c r="AF145" s="781">
        <f t="shared" si="37"/>
        <v>0</v>
      </c>
    </row>
    <row r="146" spans="1:32">
      <c r="A146" s="422">
        <f t="shared" si="38"/>
        <v>132</v>
      </c>
      <c r="B146" s="423" t="s">
        <v>1094</v>
      </c>
      <c r="C146" s="423" t="s">
        <v>465</v>
      </c>
      <c r="D146" s="423" t="s">
        <v>490</v>
      </c>
      <c r="E146" s="766" t="s">
        <v>1838</v>
      </c>
      <c r="F146" s="391">
        <v>83220.22</v>
      </c>
      <c r="G146" s="391">
        <v>0</v>
      </c>
      <c r="H146" s="391">
        <v>0</v>
      </c>
      <c r="I146" s="391">
        <v>0</v>
      </c>
      <c r="J146" s="391">
        <v>0</v>
      </c>
      <c r="K146" s="391">
        <v>0</v>
      </c>
      <c r="L146" s="391">
        <v>0</v>
      </c>
      <c r="M146" s="391">
        <v>0</v>
      </c>
      <c r="N146" s="391">
        <v>0</v>
      </c>
      <c r="O146" s="391">
        <v>413690.29</v>
      </c>
      <c r="P146" s="391">
        <v>399581.88</v>
      </c>
      <c r="Q146" s="391">
        <v>476882.1</v>
      </c>
      <c r="R146" s="391">
        <v>810941.04</v>
      </c>
      <c r="S146" s="618">
        <f t="shared" si="39"/>
        <v>144769.57499999998</v>
      </c>
      <c r="T146" s="382"/>
      <c r="U146" s="833">
        <f t="shared" si="40"/>
        <v>144769.57499999998</v>
      </c>
      <c r="V146" s="833"/>
      <c r="W146" s="833"/>
      <c r="X146" s="425"/>
      <c r="Y146" s="833"/>
      <c r="Z146" s="833"/>
      <c r="AA146" s="833"/>
      <c r="AB146" s="833"/>
      <c r="AC146" s="834"/>
      <c r="AD146" s="835">
        <f t="shared" si="41"/>
        <v>144769.57499999998</v>
      </c>
      <c r="AE146" s="834"/>
      <c r="AF146" s="781">
        <f t="shared" si="37"/>
        <v>0</v>
      </c>
    </row>
    <row r="147" spans="1:32">
      <c r="A147" s="422">
        <f t="shared" si="38"/>
        <v>133</v>
      </c>
      <c r="B147" s="423" t="s">
        <v>1063</v>
      </c>
      <c r="C147" s="423" t="s">
        <v>465</v>
      </c>
      <c r="D147" s="423" t="s">
        <v>492</v>
      </c>
      <c r="E147" s="766" t="s">
        <v>1834</v>
      </c>
      <c r="F147" s="391">
        <v>0</v>
      </c>
      <c r="G147" s="391">
        <v>0</v>
      </c>
      <c r="H147" s="391">
        <v>0</v>
      </c>
      <c r="I147" s="391">
        <v>0</v>
      </c>
      <c r="J147" s="391">
        <v>0</v>
      </c>
      <c r="K147" s="391">
        <v>0</v>
      </c>
      <c r="L147" s="391">
        <v>0</v>
      </c>
      <c r="M147" s="391">
        <v>0</v>
      </c>
      <c r="N147" s="391">
        <v>0</v>
      </c>
      <c r="O147" s="391">
        <v>-71714</v>
      </c>
      <c r="P147" s="391">
        <v>-71714</v>
      </c>
      <c r="Q147" s="391">
        <v>-71714</v>
      </c>
      <c r="R147" s="391">
        <v>-71714</v>
      </c>
      <c r="S147" s="618">
        <f t="shared" si="39"/>
        <v>-20916.583333333332</v>
      </c>
      <c r="T147" s="382"/>
      <c r="U147" s="833">
        <f t="shared" si="40"/>
        <v>-20916.583333333332</v>
      </c>
      <c r="V147" s="833"/>
      <c r="W147" s="833"/>
      <c r="X147" s="425"/>
      <c r="Y147" s="833"/>
      <c r="Z147" s="833"/>
      <c r="AA147" s="833"/>
      <c r="AB147" s="833"/>
      <c r="AC147" s="834"/>
      <c r="AD147" s="835">
        <f t="shared" si="41"/>
        <v>-20916.583333333332</v>
      </c>
      <c r="AE147" s="834"/>
      <c r="AF147" s="781">
        <f t="shared" si="37"/>
        <v>0</v>
      </c>
    </row>
    <row r="148" spans="1:32">
      <c r="A148" s="422">
        <f t="shared" si="38"/>
        <v>134</v>
      </c>
      <c r="B148" s="423" t="s">
        <v>1063</v>
      </c>
      <c r="C148" s="423" t="s">
        <v>465</v>
      </c>
      <c r="D148" s="423" t="s">
        <v>466</v>
      </c>
      <c r="E148" s="766" t="s">
        <v>467</v>
      </c>
      <c r="F148" s="391">
        <v>1971399.05</v>
      </c>
      <c r="G148" s="391">
        <v>2962710.32</v>
      </c>
      <c r="H148" s="391">
        <v>647202.37</v>
      </c>
      <c r="I148" s="391">
        <v>188714.35</v>
      </c>
      <c r="J148" s="391">
        <v>470491.34</v>
      </c>
      <c r="K148" s="391">
        <v>879768.72</v>
      </c>
      <c r="L148" s="391">
        <v>1223820.28</v>
      </c>
      <c r="M148" s="391">
        <v>1629060.58</v>
      </c>
      <c r="N148" s="391">
        <v>2308285.12</v>
      </c>
      <c r="O148" s="391">
        <v>2511603.88</v>
      </c>
      <c r="P148" s="391">
        <v>2397214.88</v>
      </c>
      <c r="Q148" s="391">
        <v>2454257.0299999998</v>
      </c>
      <c r="R148" s="391">
        <v>3059262.74</v>
      </c>
      <c r="S148" s="618">
        <f t="shared" si="39"/>
        <v>1682371.6470833335</v>
      </c>
      <c r="T148" s="382"/>
      <c r="U148" s="833">
        <f t="shared" si="40"/>
        <v>1682371.6470833335</v>
      </c>
      <c r="V148" s="833"/>
      <c r="W148" s="833"/>
      <c r="X148" s="425"/>
      <c r="Y148" s="833"/>
      <c r="Z148" s="833"/>
      <c r="AA148" s="833"/>
      <c r="AB148" s="833"/>
      <c r="AC148" s="834"/>
      <c r="AD148" s="835">
        <f t="shared" si="41"/>
        <v>1682371.6470833335</v>
      </c>
      <c r="AE148" s="834"/>
      <c r="AF148" s="781">
        <f t="shared" si="37"/>
        <v>0</v>
      </c>
    </row>
    <row r="149" spans="1:32" s="2" customFormat="1">
      <c r="A149" s="422">
        <f t="shared" si="38"/>
        <v>135</v>
      </c>
      <c r="B149" s="423" t="s">
        <v>1063</v>
      </c>
      <c r="C149" s="423" t="s">
        <v>465</v>
      </c>
      <c r="D149" s="423" t="s">
        <v>497</v>
      </c>
      <c r="E149" s="766" t="s">
        <v>1690</v>
      </c>
      <c r="F149" s="391">
        <v>159100</v>
      </c>
      <c r="G149" s="391">
        <v>159100</v>
      </c>
      <c r="H149" s="391">
        <v>159100</v>
      </c>
      <c r="I149" s="391">
        <v>159100</v>
      </c>
      <c r="J149" s="391">
        <v>0</v>
      </c>
      <c r="K149" s="391">
        <v>0</v>
      </c>
      <c r="L149" s="391">
        <v>0</v>
      </c>
      <c r="M149" s="391">
        <v>0</v>
      </c>
      <c r="N149" s="391">
        <v>0</v>
      </c>
      <c r="O149" s="391">
        <v>0</v>
      </c>
      <c r="P149" s="391">
        <v>44569.33</v>
      </c>
      <c r="Q149" s="391">
        <v>44569.33</v>
      </c>
      <c r="R149" s="391">
        <v>218269.33</v>
      </c>
      <c r="S149" s="618">
        <f t="shared" si="39"/>
        <v>62926.943749999999</v>
      </c>
      <c r="T149" s="382"/>
      <c r="U149" s="833">
        <f t="shared" si="40"/>
        <v>62926.943749999999</v>
      </c>
      <c r="V149" s="833"/>
      <c r="W149" s="833"/>
      <c r="X149" s="425"/>
      <c r="Y149" s="833"/>
      <c r="Z149" s="833"/>
      <c r="AA149" s="833"/>
      <c r="AB149" s="833"/>
      <c r="AC149" s="834"/>
      <c r="AD149" s="835">
        <f t="shared" si="41"/>
        <v>62926.943749999999</v>
      </c>
      <c r="AE149" s="834"/>
      <c r="AF149" s="781">
        <f t="shared" si="37"/>
        <v>0</v>
      </c>
    </row>
    <row r="150" spans="1:32" s="2" customFormat="1">
      <c r="A150" s="422">
        <f t="shared" si="38"/>
        <v>136</v>
      </c>
      <c r="B150" s="423" t="s">
        <v>1063</v>
      </c>
      <c r="C150" s="423" t="s">
        <v>465</v>
      </c>
      <c r="D150" s="423" t="s">
        <v>1251</v>
      </c>
      <c r="E150" s="777" t="s">
        <v>1691</v>
      </c>
      <c r="F150" s="391">
        <v>152494.82999999999</v>
      </c>
      <c r="G150" s="391">
        <v>21391.5</v>
      </c>
      <c r="H150" s="391">
        <v>0</v>
      </c>
      <c r="I150" s="391">
        <v>0</v>
      </c>
      <c r="J150" s="391">
        <v>0</v>
      </c>
      <c r="K150" s="391">
        <v>0</v>
      </c>
      <c r="L150" s="391">
        <v>0</v>
      </c>
      <c r="M150" s="391">
        <v>0</v>
      </c>
      <c r="N150" s="391">
        <v>0</v>
      </c>
      <c r="O150" s="391">
        <v>0</v>
      </c>
      <c r="P150" s="391">
        <v>0</v>
      </c>
      <c r="Q150" s="391">
        <v>123904.67</v>
      </c>
      <c r="R150" s="391">
        <v>157660.22</v>
      </c>
      <c r="S150" s="618">
        <f t="shared" si="39"/>
        <v>25031.141249999997</v>
      </c>
      <c r="T150" s="382"/>
      <c r="U150" s="833">
        <f t="shared" si="40"/>
        <v>25031.141249999997</v>
      </c>
      <c r="V150" s="833"/>
      <c r="W150" s="833"/>
      <c r="X150" s="425"/>
      <c r="Y150" s="833"/>
      <c r="Z150" s="833"/>
      <c r="AA150" s="833"/>
      <c r="AB150" s="833"/>
      <c r="AC150" s="834"/>
      <c r="AD150" s="835">
        <f t="shared" si="41"/>
        <v>25031.141249999997</v>
      </c>
      <c r="AE150" s="834"/>
      <c r="AF150" s="781">
        <f t="shared" si="37"/>
        <v>0</v>
      </c>
    </row>
    <row r="151" spans="1:32" s="2" customFormat="1">
      <c r="A151" s="422">
        <f t="shared" si="38"/>
        <v>137</v>
      </c>
      <c r="B151" s="423" t="s">
        <v>1063</v>
      </c>
      <c r="C151" s="423" t="s">
        <v>465</v>
      </c>
      <c r="D151" s="423" t="s">
        <v>1689</v>
      </c>
      <c r="E151" s="777" t="s">
        <v>1832</v>
      </c>
      <c r="F151" s="391">
        <v>0</v>
      </c>
      <c r="G151" s="391">
        <v>0</v>
      </c>
      <c r="H151" s="391">
        <v>0</v>
      </c>
      <c r="I151" s="391">
        <v>0</v>
      </c>
      <c r="J151" s="391">
        <v>0</v>
      </c>
      <c r="K151" s="391">
        <v>0</v>
      </c>
      <c r="L151" s="391">
        <v>0</v>
      </c>
      <c r="M151" s="391">
        <v>0</v>
      </c>
      <c r="N151" s="391">
        <v>0</v>
      </c>
      <c r="O151" s="391">
        <v>0</v>
      </c>
      <c r="P151" s="391">
        <v>0</v>
      </c>
      <c r="Q151" s="391">
        <v>6000000</v>
      </c>
      <c r="R151" s="391">
        <v>0</v>
      </c>
      <c r="S151" s="618">
        <f t="shared" si="39"/>
        <v>500000</v>
      </c>
      <c r="T151" s="382"/>
      <c r="U151" s="833">
        <f t="shared" si="40"/>
        <v>500000</v>
      </c>
      <c r="V151" s="833"/>
      <c r="W151" s="833"/>
      <c r="X151" s="425"/>
      <c r="Y151" s="833"/>
      <c r="Z151" s="833"/>
      <c r="AA151" s="833"/>
      <c r="AB151" s="833"/>
      <c r="AC151" s="834"/>
      <c r="AD151" s="835">
        <f t="shared" si="41"/>
        <v>500000</v>
      </c>
      <c r="AE151" s="834"/>
      <c r="AF151" s="781">
        <f t="shared" si="37"/>
        <v>0</v>
      </c>
    </row>
    <row r="152" spans="1:32">
      <c r="A152" s="422">
        <f t="shared" si="38"/>
        <v>138</v>
      </c>
      <c r="B152" s="423" t="s">
        <v>1094</v>
      </c>
      <c r="C152" s="423" t="s">
        <v>465</v>
      </c>
      <c r="D152" s="423" t="s">
        <v>472</v>
      </c>
      <c r="E152" s="777" t="s">
        <v>1835</v>
      </c>
      <c r="F152" s="391">
        <v>2.5465851649642E-11</v>
      </c>
      <c r="G152" s="391">
        <v>-16034.56</v>
      </c>
      <c r="H152" s="391">
        <v>-32069.119999999999</v>
      </c>
      <c r="I152" s="391">
        <v>144679.67999999999</v>
      </c>
      <c r="J152" s="391">
        <v>128604.16</v>
      </c>
      <c r="K152" s="391">
        <v>112528.64</v>
      </c>
      <c r="L152" s="391">
        <v>96453.119999999995</v>
      </c>
      <c r="M152" s="391">
        <v>80377.600000000006</v>
      </c>
      <c r="N152" s="391">
        <v>64302.080000000002</v>
      </c>
      <c r="O152" s="391">
        <v>48226.559999999998</v>
      </c>
      <c r="P152" s="391">
        <v>32151.040000000001</v>
      </c>
      <c r="Q152" s="391">
        <v>16075.52</v>
      </c>
      <c r="R152" s="391">
        <v>-3.2741809263825397E-11</v>
      </c>
      <c r="S152" s="618">
        <f t="shared" si="39"/>
        <v>56274.559999999998</v>
      </c>
      <c r="T152" s="382"/>
      <c r="U152" s="833">
        <f t="shared" si="40"/>
        <v>56274.559999999998</v>
      </c>
      <c r="V152" s="833"/>
      <c r="W152" s="833"/>
      <c r="X152" s="425"/>
      <c r="Y152" s="833"/>
      <c r="Z152" s="833"/>
      <c r="AA152" s="833"/>
      <c r="AB152" s="833"/>
      <c r="AC152" s="834"/>
      <c r="AD152" s="835">
        <f t="shared" si="41"/>
        <v>56274.559999999998</v>
      </c>
      <c r="AE152" s="834"/>
      <c r="AF152" s="781">
        <f t="shared" si="37"/>
        <v>0</v>
      </c>
    </row>
    <row r="153" spans="1:32">
      <c r="A153" s="422">
        <f t="shared" si="38"/>
        <v>139</v>
      </c>
      <c r="B153" s="423" t="s">
        <v>1094</v>
      </c>
      <c r="C153" s="423" t="s">
        <v>465</v>
      </c>
      <c r="D153" s="423" t="s">
        <v>459</v>
      </c>
      <c r="E153" s="777" t="s">
        <v>1836</v>
      </c>
      <c r="F153" s="391">
        <v>36718.199999999997</v>
      </c>
      <c r="G153" s="391">
        <v>29374.560000000001</v>
      </c>
      <c r="H153" s="391">
        <v>22030.92</v>
      </c>
      <c r="I153" s="391">
        <v>14687.28</v>
      </c>
      <c r="J153" s="391">
        <v>7343.64</v>
      </c>
      <c r="K153" s="391">
        <v>82771</v>
      </c>
      <c r="L153" s="391">
        <v>75873.38</v>
      </c>
      <c r="M153" s="391">
        <v>68975.8</v>
      </c>
      <c r="N153" s="391">
        <v>62078.22</v>
      </c>
      <c r="O153" s="391">
        <v>55180.639999999999</v>
      </c>
      <c r="P153" s="391">
        <v>48283.06</v>
      </c>
      <c r="Q153" s="391">
        <v>41385.480000000003</v>
      </c>
      <c r="R153" s="391">
        <v>34487.9</v>
      </c>
      <c r="S153" s="618">
        <f t="shared" si="39"/>
        <v>45298.919166666667</v>
      </c>
      <c r="T153" s="382"/>
      <c r="U153" s="833">
        <f t="shared" si="40"/>
        <v>45298.919166666667</v>
      </c>
      <c r="V153" s="833"/>
      <c r="W153" s="833"/>
      <c r="X153" s="425"/>
      <c r="Y153" s="833"/>
      <c r="Z153" s="833"/>
      <c r="AA153" s="833"/>
      <c r="AB153" s="833"/>
      <c r="AC153" s="834"/>
      <c r="AD153" s="835">
        <f t="shared" si="41"/>
        <v>45298.919166666667</v>
      </c>
      <c r="AE153" s="834"/>
      <c r="AF153" s="781">
        <f t="shared" si="37"/>
        <v>0</v>
      </c>
    </row>
    <row r="154" spans="1:32">
      <c r="A154" s="422">
        <f t="shared" si="38"/>
        <v>140</v>
      </c>
      <c r="B154" s="423" t="s">
        <v>1094</v>
      </c>
      <c r="C154" s="423" t="s">
        <v>465</v>
      </c>
      <c r="D154" s="423" t="s">
        <v>505</v>
      </c>
      <c r="E154" s="777" t="s">
        <v>1837</v>
      </c>
      <c r="F154" s="391">
        <v>774342</v>
      </c>
      <c r="G154" s="391">
        <v>645285</v>
      </c>
      <c r="H154" s="391">
        <v>516228</v>
      </c>
      <c r="I154" s="391">
        <v>387171</v>
      </c>
      <c r="J154" s="391">
        <v>258114</v>
      </c>
      <c r="K154" s="391">
        <v>129057</v>
      </c>
      <c r="L154" s="391">
        <v>0</v>
      </c>
      <c r="M154" s="391">
        <v>0</v>
      </c>
      <c r="N154" s="391">
        <v>0</v>
      </c>
      <c r="O154" s="391">
        <v>0</v>
      </c>
      <c r="P154" s="391">
        <v>0</v>
      </c>
      <c r="Q154" s="391">
        <v>983619</v>
      </c>
      <c r="R154" s="391">
        <v>843102</v>
      </c>
      <c r="S154" s="618">
        <f t="shared" si="39"/>
        <v>310683</v>
      </c>
      <c r="T154" s="382"/>
      <c r="U154" s="833">
        <f t="shared" si="40"/>
        <v>310683</v>
      </c>
      <c r="V154" s="833"/>
      <c r="W154" s="833"/>
      <c r="X154" s="425"/>
      <c r="Y154" s="833"/>
      <c r="Z154" s="833"/>
      <c r="AA154" s="833"/>
      <c r="AB154" s="833"/>
      <c r="AC154" s="834"/>
      <c r="AD154" s="835">
        <f t="shared" si="41"/>
        <v>310683</v>
      </c>
      <c r="AE154" s="834"/>
      <c r="AF154" s="781">
        <f t="shared" si="37"/>
        <v>0</v>
      </c>
    </row>
    <row r="155" spans="1:32">
      <c r="A155" s="422">
        <f t="shared" si="38"/>
        <v>141</v>
      </c>
      <c r="B155" s="423" t="s">
        <v>1063</v>
      </c>
      <c r="C155" s="423" t="s">
        <v>465</v>
      </c>
      <c r="D155" s="423" t="s">
        <v>506</v>
      </c>
      <c r="E155" s="777" t="s">
        <v>1831</v>
      </c>
      <c r="F155" s="391">
        <v>0</v>
      </c>
      <c r="G155" s="391">
        <v>0</v>
      </c>
      <c r="H155" s="391">
        <v>0</v>
      </c>
      <c r="I155" s="391">
        <v>0</v>
      </c>
      <c r="J155" s="391">
        <v>0</v>
      </c>
      <c r="K155" s="391">
        <v>0</v>
      </c>
      <c r="L155" s="391">
        <v>0</v>
      </c>
      <c r="M155" s="391">
        <v>0</v>
      </c>
      <c r="N155" s="391">
        <v>0</v>
      </c>
      <c r="O155" s="391">
        <v>0</v>
      </c>
      <c r="P155" s="391">
        <v>0</v>
      </c>
      <c r="Q155" s="391">
        <v>54001.75</v>
      </c>
      <c r="R155" s="391">
        <v>54001.75</v>
      </c>
      <c r="S155" s="618">
        <f t="shared" si="39"/>
        <v>6750.21875</v>
      </c>
      <c r="T155" s="382"/>
      <c r="U155" s="833">
        <f t="shared" si="40"/>
        <v>6750.21875</v>
      </c>
      <c r="V155" s="833"/>
      <c r="W155" s="833"/>
      <c r="X155" s="425"/>
      <c r="Y155" s="833"/>
      <c r="Z155" s="833"/>
      <c r="AA155" s="833"/>
      <c r="AB155" s="833"/>
      <c r="AC155" s="834"/>
      <c r="AD155" s="835">
        <f t="shared" si="41"/>
        <v>6750.21875</v>
      </c>
      <c r="AE155" s="834"/>
      <c r="AF155" s="781">
        <f t="shared" si="37"/>
        <v>0</v>
      </c>
    </row>
    <row r="156" spans="1:32">
      <c r="A156" s="422">
        <f t="shared" si="38"/>
        <v>142</v>
      </c>
      <c r="B156" s="423" t="s">
        <v>1094</v>
      </c>
      <c r="C156" s="423" t="s">
        <v>468</v>
      </c>
      <c r="D156" s="423" t="s">
        <v>1252</v>
      </c>
      <c r="E156" s="777" t="s">
        <v>1839</v>
      </c>
      <c r="F156" s="391">
        <v>0</v>
      </c>
      <c r="G156" s="391">
        <v>0</v>
      </c>
      <c r="H156" s="391">
        <v>0</v>
      </c>
      <c r="I156" s="391">
        <v>0</v>
      </c>
      <c r="J156" s="391">
        <v>0</v>
      </c>
      <c r="K156" s="391">
        <v>0</v>
      </c>
      <c r="L156" s="391">
        <v>0</v>
      </c>
      <c r="M156" s="391">
        <v>0</v>
      </c>
      <c r="N156" s="391">
        <v>0</v>
      </c>
      <c r="O156" s="391">
        <v>0</v>
      </c>
      <c r="P156" s="391">
        <v>0</v>
      </c>
      <c r="Q156" s="391">
        <v>0</v>
      </c>
      <c r="R156" s="391">
        <v>0</v>
      </c>
      <c r="S156" s="618">
        <f t="shared" si="39"/>
        <v>0</v>
      </c>
      <c r="T156" s="382"/>
      <c r="U156" s="833">
        <f t="shared" si="40"/>
        <v>0</v>
      </c>
      <c r="V156" s="833"/>
      <c r="W156" s="833"/>
      <c r="X156" s="425"/>
      <c r="Y156" s="833"/>
      <c r="Z156" s="833"/>
      <c r="AA156" s="833"/>
      <c r="AB156" s="833"/>
      <c r="AC156" s="834"/>
      <c r="AD156" s="835">
        <f t="shared" si="41"/>
        <v>0</v>
      </c>
      <c r="AE156" s="834"/>
      <c r="AF156" s="781">
        <f t="shared" si="37"/>
        <v>0</v>
      </c>
    </row>
    <row r="157" spans="1:32">
      <c r="A157" s="422">
        <f t="shared" si="38"/>
        <v>143</v>
      </c>
      <c r="B157" s="423" t="s">
        <v>1066</v>
      </c>
      <c r="C157" s="423" t="s">
        <v>468</v>
      </c>
      <c r="D157" s="423" t="s">
        <v>1253</v>
      </c>
      <c r="E157" s="777" t="s">
        <v>1839</v>
      </c>
      <c r="F157" s="391">
        <v>0</v>
      </c>
      <c r="G157" s="391">
        <v>0</v>
      </c>
      <c r="H157" s="391">
        <v>0</v>
      </c>
      <c r="I157" s="391">
        <v>0</v>
      </c>
      <c r="J157" s="391">
        <v>0</v>
      </c>
      <c r="K157" s="391">
        <v>0</v>
      </c>
      <c r="L157" s="391">
        <v>0</v>
      </c>
      <c r="M157" s="391">
        <v>0</v>
      </c>
      <c r="N157" s="391">
        <v>0</v>
      </c>
      <c r="O157" s="391">
        <v>0</v>
      </c>
      <c r="P157" s="391">
        <v>0</v>
      </c>
      <c r="Q157" s="391">
        <v>0</v>
      </c>
      <c r="R157" s="391">
        <v>0</v>
      </c>
      <c r="S157" s="618">
        <f t="shared" si="39"/>
        <v>0</v>
      </c>
      <c r="T157" s="382"/>
      <c r="U157" s="833">
        <f t="shared" si="40"/>
        <v>0</v>
      </c>
      <c r="V157" s="833"/>
      <c r="W157" s="833"/>
      <c r="X157" s="425"/>
      <c r="Y157" s="833"/>
      <c r="Z157" s="833"/>
      <c r="AA157" s="833"/>
      <c r="AB157" s="833"/>
      <c r="AC157" s="834"/>
      <c r="AD157" s="835">
        <f t="shared" si="41"/>
        <v>0</v>
      </c>
      <c r="AE157" s="834"/>
      <c r="AF157" s="781">
        <f t="shared" si="37"/>
        <v>0</v>
      </c>
    </row>
    <row r="158" spans="1:32">
      <c r="A158" s="422">
        <f t="shared" si="38"/>
        <v>144</v>
      </c>
      <c r="B158" s="423" t="s">
        <v>1063</v>
      </c>
      <c r="C158" s="423" t="s">
        <v>469</v>
      </c>
      <c r="D158" s="423" t="s">
        <v>472</v>
      </c>
      <c r="E158" s="777" t="s">
        <v>470</v>
      </c>
      <c r="F158" s="391">
        <v>0</v>
      </c>
      <c r="G158" s="391">
        <v>0</v>
      </c>
      <c r="H158" s="391">
        <v>0</v>
      </c>
      <c r="I158" s="391">
        <v>0</v>
      </c>
      <c r="J158" s="391">
        <v>0</v>
      </c>
      <c r="K158" s="391">
        <v>0</v>
      </c>
      <c r="L158" s="391">
        <v>0</v>
      </c>
      <c r="M158" s="391">
        <v>0</v>
      </c>
      <c r="N158" s="391">
        <v>0</v>
      </c>
      <c r="O158" s="391">
        <v>0</v>
      </c>
      <c r="P158" s="391">
        <v>0</v>
      </c>
      <c r="Q158" s="391">
        <v>0</v>
      </c>
      <c r="R158" s="391">
        <v>0</v>
      </c>
      <c r="S158" s="618">
        <f t="shared" si="39"/>
        <v>0</v>
      </c>
      <c r="T158" s="382"/>
      <c r="U158" s="833">
        <f t="shared" si="40"/>
        <v>0</v>
      </c>
      <c r="V158" s="833"/>
      <c r="W158" s="833"/>
      <c r="X158" s="425"/>
      <c r="Y158" s="833"/>
      <c r="Z158" s="833"/>
      <c r="AA158" s="833"/>
      <c r="AB158" s="833"/>
      <c r="AC158" s="834"/>
      <c r="AD158" s="835">
        <f t="shared" si="41"/>
        <v>0</v>
      </c>
      <c r="AE158" s="834"/>
      <c r="AF158" s="781">
        <f t="shared" si="37"/>
        <v>0</v>
      </c>
    </row>
    <row r="159" spans="1:32">
      <c r="A159" s="422">
        <f t="shared" si="38"/>
        <v>145</v>
      </c>
      <c r="B159" s="423" t="s">
        <v>1063</v>
      </c>
      <c r="C159" s="423" t="s">
        <v>471</v>
      </c>
      <c r="D159" s="423" t="s">
        <v>472</v>
      </c>
      <c r="E159" s="777" t="s">
        <v>473</v>
      </c>
      <c r="F159" s="391">
        <v>0</v>
      </c>
      <c r="G159" s="391">
        <v>0</v>
      </c>
      <c r="H159" s="391">
        <v>0</v>
      </c>
      <c r="I159" s="391">
        <v>0</v>
      </c>
      <c r="J159" s="391">
        <v>0</v>
      </c>
      <c r="K159" s="391">
        <v>0</v>
      </c>
      <c r="L159" s="391">
        <v>0</v>
      </c>
      <c r="M159" s="391">
        <v>0</v>
      </c>
      <c r="N159" s="391">
        <v>0</v>
      </c>
      <c r="O159" s="391">
        <v>0</v>
      </c>
      <c r="P159" s="391">
        <v>0</v>
      </c>
      <c r="Q159" s="391">
        <v>0</v>
      </c>
      <c r="R159" s="391">
        <v>0</v>
      </c>
      <c r="S159" s="618">
        <f t="shared" si="39"/>
        <v>0</v>
      </c>
      <c r="T159" s="382"/>
      <c r="U159" s="833">
        <f t="shared" si="40"/>
        <v>0</v>
      </c>
      <c r="V159" s="833"/>
      <c r="W159" s="833"/>
      <c r="X159" s="425"/>
      <c r="Y159" s="833"/>
      <c r="Z159" s="833"/>
      <c r="AA159" s="833"/>
      <c r="AB159" s="833"/>
      <c r="AC159" s="834"/>
      <c r="AD159" s="835">
        <f t="shared" si="41"/>
        <v>0</v>
      </c>
      <c r="AE159" s="834"/>
      <c r="AF159" s="781">
        <f t="shared" si="37"/>
        <v>0</v>
      </c>
    </row>
    <row r="160" spans="1:32">
      <c r="A160" s="422">
        <f t="shared" si="38"/>
        <v>146</v>
      </c>
      <c r="B160" s="422"/>
      <c r="C160" s="422"/>
      <c r="D160" s="422"/>
      <c r="E160" s="777" t="s">
        <v>474</v>
      </c>
      <c r="F160" s="394">
        <f t="shared" ref="F160:S160" si="42">SUM(F144:F159)</f>
        <v>3305687.93</v>
      </c>
      <c r="G160" s="394">
        <f t="shared" si="42"/>
        <v>4854283.8</v>
      </c>
      <c r="H160" s="394">
        <f t="shared" si="42"/>
        <v>2344314.3099999996</v>
      </c>
      <c r="I160" s="394">
        <f t="shared" si="42"/>
        <v>1829838.24</v>
      </c>
      <c r="J160" s="394">
        <f t="shared" si="42"/>
        <v>1685381.63</v>
      </c>
      <c r="K160" s="394">
        <f t="shared" si="42"/>
        <v>1911928.78</v>
      </c>
      <c r="L160" s="394">
        <f t="shared" si="42"/>
        <v>2032371.52</v>
      </c>
      <c r="M160" s="394">
        <f t="shared" si="42"/>
        <v>2299934.65</v>
      </c>
      <c r="N160" s="394">
        <f t="shared" si="42"/>
        <v>2841481.99</v>
      </c>
      <c r="O160" s="394">
        <f t="shared" si="42"/>
        <v>3602679.06</v>
      </c>
      <c r="P160" s="394">
        <f t="shared" si="42"/>
        <v>3207207.61</v>
      </c>
      <c r="Q160" s="394">
        <f t="shared" si="42"/>
        <v>11227914.029999999</v>
      </c>
      <c r="R160" s="394">
        <f t="shared" si="42"/>
        <v>15502937.680000003</v>
      </c>
      <c r="S160" s="620">
        <f t="shared" si="42"/>
        <v>3936804.0354166669</v>
      </c>
      <c r="T160" s="382"/>
      <c r="U160" s="833"/>
      <c r="V160" s="833"/>
      <c r="W160" s="833"/>
      <c r="X160" s="425"/>
      <c r="Y160" s="833"/>
      <c r="Z160" s="833"/>
      <c r="AA160" s="833"/>
      <c r="AB160" s="833"/>
      <c r="AC160" s="834"/>
      <c r="AD160" s="834"/>
      <c r="AE160" s="834"/>
      <c r="AF160" s="781">
        <f t="shared" si="37"/>
        <v>0</v>
      </c>
    </row>
    <row r="161" spans="1:32">
      <c r="A161" s="422">
        <f t="shared" si="38"/>
        <v>147</v>
      </c>
      <c r="B161" s="422"/>
      <c r="C161" s="422"/>
      <c r="D161" s="422"/>
      <c r="E161" s="763"/>
      <c r="F161" s="391"/>
      <c r="G161" s="420"/>
      <c r="H161" s="408"/>
      <c r="I161" s="408"/>
      <c r="J161" s="409"/>
      <c r="K161" s="410"/>
      <c r="L161" s="411"/>
      <c r="M161" s="412"/>
      <c r="N161" s="413"/>
      <c r="O161" s="414"/>
      <c r="P161" s="415"/>
      <c r="Q161" s="421"/>
      <c r="R161" s="391"/>
      <c r="S161" s="392"/>
      <c r="T161" s="382"/>
      <c r="U161" s="833"/>
      <c r="V161" s="833"/>
      <c r="W161" s="833"/>
      <c r="X161" s="425"/>
      <c r="Y161" s="833"/>
      <c r="Z161" s="833"/>
      <c r="AA161" s="833"/>
      <c r="AB161" s="833"/>
      <c r="AC161" s="834"/>
      <c r="AD161" s="834"/>
      <c r="AE161" s="834"/>
      <c r="AF161" s="781">
        <f t="shared" si="37"/>
        <v>0</v>
      </c>
    </row>
    <row r="162" spans="1:32">
      <c r="A162" s="422">
        <f t="shared" si="38"/>
        <v>148</v>
      </c>
      <c r="B162" s="423" t="s">
        <v>1094</v>
      </c>
      <c r="C162" s="423" t="s">
        <v>475</v>
      </c>
      <c r="D162" s="423" t="s">
        <v>472</v>
      </c>
      <c r="E162" s="777" t="s">
        <v>1840</v>
      </c>
      <c r="F162" s="391">
        <v>4401632.0599999996</v>
      </c>
      <c r="G162" s="391">
        <v>3104501.12</v>
      </c>
      <c r="H162" s="391">
        <v>3857826.72</v>
      </c>
      <c r="I162" s="391">
        <v>2689509.74</v>
      </c>
      <c r="J162" s="391">
        <v>1823247.53</v>
      </c>
      <c r="K162" s="391">
        <v>886772.31</v>
      </c>
      <c r="L162" s="391">
        <v>738260.57</v>
      </c>
      <c r="M162" s="391">
        <v>652416.31000000006</v>
      </c>
      <c r="N162" s="391">
        <v>295167.88</v>
      </c>
      <c r="O162" s="391">
        <v>568386.06000000006</v>
      </c>
      <c r="P162" s="391">
        <v>1527498.31</v>
      </c>
      <c r="Q162" s="391">
        <v>3399844.74</v>
      </c>
      <c r="R162" s="391">
        <v>3996207.51</v>
      </c>
      <c r="S162" s="618">
        <f>((F162+R162)+((G162+H162+I162+J162+K162+L162+M162+N162+O162+P162+Q162)*2))/24</f>
        <v>1978529.2562500003</v>
      </c>
      <c r="T162" s="382"/>
      <c r="U162" s="833">
        <f t="shared" ref="U162:U171" si="43">+S162</f>
        <v>1978529.2562500003</v>
      </c>
      <c r="V162" s="833"/>
      <c r="W162" s="833"/>
      <c r="X162" s="425"/>
      <c r="Y162" s="833"/>
      <c r="Z162" s="833"/>
      <c r="AA162" s="833"/>
      <c r="AB162" s="833"/>
      <c r="AC162" s="834"/>
      <c r="AD162" s="835">
        <f t="shared" ref="AD162:AD171" si="44">+U162</f>
        <v>1978529.2562500003</v>
      </c>
      <c r="AE162" s="834"/>
      <c r="AF162" s="781">
        <f t="shared" si="37"/>
        <v>0</v>
      </c>
    </row>
    <row r="163" spans="1:32">
      <c r="A163" s="422">
        <f t="shared" si="38"/>
        <v>149</v>
      </c>
      <c r="B163" s="423" t="s">
        <v>1066</v>
      </c>
      <c r="C163" s="423" t="s">
        <v>475</v>
      </c>
      <c r="D163" s="423" t="s">
        <v>472</v>
      </c>
      <c r="E163" s="777" t="s">
        <v>1840</v>
      </c>
      <c r="F163" s="391">
        <v>13598415.529999999</v>
      </c>
      <c r="G163" s="391">
        <v>10397422.24</v>
      </c>
      <c r="H163" s="391">
        <v>11904607.039999999</v>
      </c>
      <c r="I163" s="391">
        <v>8197233.3899999997</v>
      </c>
      <c r="J163" s="391">
        <v>5388538.0099999998</v>
      </c>
      <c r="K163" s="391">
        <v>2567903.9700000002</v>
      </c>
      <c r="L163" s="391">
        <v>2204908.29</v>
      </c>
      <c r="M163" s="391">
        <v>1993803.28</v>
      </c>
      <c r="N163" s="391">
        <v>849822.63999999897</v>
      </c>
      <c r="O163" s="391">
        <v>1584716.52</v>
      </c>
      <c r="P163" s="391">
        <v>3781695.35</v>
      </c>
      <c r="Q163" s="391">
        <v>8107576.8200000003</v>
      </c>
      <c r="R163" s="391">
        <v>9812907.4100000001</v>
      </c>
      <c r="S163" s="618">
        <f t="shared" ref="S163:S170" si="45">((F163+R163)+((G163+H163+I163+J163+K163+L163+M163+N163+O163+P163+Q163)*2))/24</f>
        <v>5723657.4183333339</v>
      </c>
      <c r="T163" s="382"/>
      <c r="U163" s="833">
        <f t="shared" si="43"/>
        <v>5723657.4183333339</v>
      </c>
      <c r="V163" s="833"/>
      <c r="W163" s="833"/>
      <c r="X163" s="425"/>
      <c r="Y163" s="833"/>
      <c r="Z163" s="833"/>
      <c r="AA163" s="833"/>
      <c r="AB163" s="833"/>
      <c r="AC163" s="834"/>
      <c r="AD163" s="835">
        <f t="shared" si="44"/>
        <v>5723657.4183333339</v>
      </c>
      <c r="AE163" s="834"/>
      <c r="AF163" s="781">
        <f t="shared" si="37"/>
        <v>0</v>
      </c>
    </row>
    <row r="164" spans="1:32">
      <c r="A164" s="422">
        <f t="shared" si="38"/>
        <v>150</v>
      </c>
      <c r="B164" s="423" t="s">
        <v>1094</v>
      </c>
      <c r="C164" s="423" t="s">
        <v>475</v>
      </c>
      <c r="D164" s="423" t="s">
        <v>459</v>
      </c>
      <c r="E164" s="777" t="s">
        <v>1841</v>
      </c>
      <c r="F164" s="391">
        <v>2424546.58</v>
      </c>
      <c r="G164" s="391">
        <v>1824715.45</v>
      </c>
      <c r="H164" s="391">
        <v>1993243.19</v>
      </c>
      <c r="I164" s="391">
        <v>1432195</v>
      </c>
      <c r="J164" s="391">
        <v>932777.02</v>
      </c>
      <c r="K164" s="391">
        <v>487110.29</v>
      </c>
      <c r="L164" s="391">
        <v>473421.44</v>
      </c>
      <c r="M164" s="391">
        <v>467229.31</v>
      </c>
      <c r="N164" s="391">
        <v>225728.08</v>
      </c>
      <c r="O164" s="391">
        <v>425466.04</v>
      </c>
      <c r="P164" s="391">
        <v>853827.67</v>
      </c>
      <c r="Q164" s="391">
        <v>1668358.96</v>
      </c>
      <c r="R164" s="391">
        <v>2076923.47</v>
      </c>
      <c r="S164" s="618">
        <f t="shared" si="45"/>
        <v>1086233.95625</v>
      </c>
      <c r="T164" s="382"/>
      <c r="U164" s="833">
        <f t="shared" si="43"/>
        <v>1086233.95625</v>
      </c>
      <c r="V164" s="833"/>
      <c r="W164" s="833"/>
      <c r="X164" s="425"/>
      <c r="Y164" s="833"/>
      <c r="Z164" s="833"/>
      <c r="AA164" s="833"/>
      <c r="AB164" s="833"/>
      <c r="AC164" s="834"/>
      <c r="AD164" s="835">
        <f t="shared" si="44"/>
        <v>1086233.95625</v>
      </c>
      <c r="AE164" s="834"/>
      <c r="AF164" s="781">
        <f t="shared" si="37"/>
        <v>0</v>
      </c>
    </row>
    <row r="165" spans="1:32">
      <c r="A165" s="422">
        <f t="shared" si="38"/>
        <v>151</v>
      </c>
      <c r="B165" s="423" t="s">
        <v>1066</v>
      </c>
      <c r="C165" s="423" t="s">
        <v>475</v>
      </c>
      <c r="D165" s="423" t="s">
        <v>459</v>
      </c>
      <c r="E165" s="777" t="s">
        <v>1841</v>
      </c>
      <c r="F165" s="391">
        <v>9109751.1199999992</v>
      </c>
      <c r="G165" s="391">
        <v>7043710.7000000002</v>
      </c>
      <c r="H165" s="391">
        <v>8226382.8300000001</v>
      </c>
      <c r="I165" s="391">
        <v>5525729.21</v>
      </c>
      <c r="J165" s="391">
        <v>3820235.27</v>
      </c>
      <c r="K165" s="391">
        <v>1955324.15</v>
      </c>
      <c r="L165" s="391">
        <v>1934275.19</v>
      </c>
      <c r="M165" s="391">
        <v>1889968.93</v>
      </c>
      <c r="N165" s="391">
        <v>916788.11999999895</v>
      </c>
      <c r="O165" s="391">
        <v>1642628.83</v>
      </c>
      <c r="P165" s="391">
        <v>3243168.02</v>
      </c>
      <c r="Q165" s="391">
        <v>5604087.7400000002</v>
      </c>
      <c r="R165" s="391">
        <v>6666508.6600000001</v>
      </c>
      <c r="S165" s="618">
        <f t="shared" si="45"/>
        <v>4140869.0733333337</v>
      </c>
      <c r="T165" s="382"/>
      <c r="U165" s="833">
        <f t="shared" si="43"/>
        <v>4140869.0733333337</v>
      </c>
      <c r="V165" s="833"/>
      <c r="W165" s="833"/>
      <c r="X165" s="425"/>
      <c r="Y165" s="833"/>
      <c r="Z165" s="833"/>
      <c r="AA165" s="833"/>
      <c r="AB165" s="833"/>
      <c r="AC165" s="834"/>
      <c r="AD165" s="835">
        <f t="shared" si="44"/>
        <v>4140869.0733333337</v>
      </c>
      <c r="AE165" s="834"/>
      <c r="AF165" s="781">
        <f t="shared" si="37"/>
        <v>0</v>
      </c>
    </row>
    <row r="166" spans="1:32">
      <c r="A166" s="422">
        <f t="shared" si="38"/>
        <v>152</v>
      </c>
      <c r="B166" s="423" t="s">
        <v>1094</v>
      </c>
      <c r="C166" s="423" t="s">
        <v>475</v>
      </c>
      <c r="D166" s="423" t="s">
        <v>505</v>
      </c>
      <c r="E166" s="777" t="s">
        <v>1842</v>
      </c>
      <c r="F166" s="391">
        <v>200362.5</v>
      </c>
      <c r="G166" s="391">
        <v>172112.63</v>
      </c>
      <c r="H166" s="391">
        <v>150662.35999999999</v>
      </c>
      <c r="I166" s="391">
        <v>146668.04999999999</v>
      </c>
      <c r="J166" s="391">
        <v>104848.91</v>
      </c>
      <c r="K166" s="391">
        <v>71829.33</v>
      </c>
      <c r="L166" s="391">
        <v>64329.89</v>
      </c>
      <c r="M166" s="391">
        <v>61020.97</v>
      </c>
      <c r="N166" s="391">
        <v>60851.040000000001</v>
      </c>
      <c r="O166" s="391">
        <v>65777.23</v>
      </c>
      <c r="P166" s="391">
        <v>98711.75</v>
      </c>
      <c r="Q166" s="391">
        <v>133943.29</v>
      </c>
      <c r="R166" s="391">
        <v>160375.5</v>
      </c>
      <c r="S166" s="618">
        <f t="shared" si="45"/>
        <v>109260.37083333333</v>
      </c>
      <c r="T166" s="382"/>
      <c r="U166" s="833">
        <f t="shared" si="43"/>
        <v>109260.37083333333</v>
      </c>
      <c r="V166" s="833"/>
      <c r="W166" s="833"/>
      <c r="X166" s="425"/>
      <c r="Y166" s="833"/>
      <c r="Z166" s="833"/>
      <c r="AA166" s="833"/>
      <c r="AB166" s="833"/>
      <c r="AC166" s="834"/>
      <c r="AD166" s="835">
        <f t="shared" si="44"/>
        <v>109260.37083333333</v>
      </c>
      <c r="AE166" s="834"/>
      <c r="AF166" s="781">
        <f t="shared" si="37"/>
        <v>0</v>
      </c>
    </row>
    <row r="167" spans="1:32">
      <c r="A167" s="422">
        <f t="shared" si="38"/>
        <v>153</v>
      </c>
      <c r="B167" s="423" t="s">
        <v>1066</v>
      </c>
      <c r="C167" s="423" t="s">
        <v>475</v>
      </c>
      <c r="D167" s="423" t="s">
        <v>505</v>
      </c>
      <c r="E167" s="777" t="s">
        <v>1842</v>
      </c>
      <c r="F167" s="391">
        <v>148832.14000000001</v>
      </c>
      <c r="G167" s="391">
        <v>144737.93</v>
      </c>
      <c r="H167" s="391">
        <v>141837.28</v>
      </c>
      <c r="I167" s="391">
        <v>139757.45000000001</v>
      </c>
      <c r="J167" s="391">
        <v>116519.88</v>
      </c>
      <c r="K167" s="391">
        <v>84025.44</v>
      </c>
      <c r="L167" s="391">
        <v>68236</v>
      </c>
      <c r="M167" s="391">
        <v>68133.440000000002</v>
      </c>
      <c r="N167" s="391">
        <v>54560.23</v>
      </c>
      <c r="O167" s="391">
        <v>68674.52</v>
      </c>
      <c r="P167" s="391">
        <v>114021.23</v>
      </c>
      <c r="Q167" s="391">
        <v>114717.81</v>
      </c>
      <c r="R167" s="391">
        <v>136949.03</v>
      </c>
      <c r="S167" s="618">
        <f t="shared" si="45"/>
        <v>104842.64958333333</v>
      </c>
      <c r="T167" s="382"/>
      <c r="U167" s="833">
        <f t="shared" si="43"/>
        <v>104842.64958333333</v>
      </c>
      <c r="V167" s="833"/>
      <c r="W167" s="833"/>
      <c r="X167" s="425"/>
      <c r="Y167" s="833"/>
      <c r="Z167" s="833"/>
      <c r="AA167" s="833"/>
      <c r="AB167" s="833"/>
      <c r="AC167" s="834"/>
      <c r="AD167" s="835">
        <f t="shared" si="44"/>
        <v>104842.64958333333</v>
      </c>
      <c r="AE167" s="834"/>
      <c r="AF167" s="781">
        <f t="shared" si="37"/>
        <v>0</v>
      </c>
    </row>
    <row r="168" spans="1:32">
      <c r="A168" s="422">
        <f t="shared" si="38"/>
        <v>154</v>
      </c>
      <c r="B168" s="423" t="s">
        <v>1094</v>
      </c>
      <c r="C168" s="423" t="s">
        <v>476</v>
      </c>
      <c r="D168" s="423" t="s">
        <v>505</v>
      </c>
      <c r="E168" s="777" t="s">
        <v>1843</v>
      </c>
      <c r="F168" s="391">
        <v>231987</v>
      </c>
      <c r="G168" s="391">
        <v>240372.53</v>
      </c>
      <c r="H168" s="391">
        <v>217823.55</v>
      </c>
      <c r="I168" s="391">
        <v>247404.18</v>
      </c>
      <c r="J168" s="391">
        <v>223525.17</v>
      </c>
      <c r="K168" s="391">
        <v>211946.4</v>
      </c>
      <c r="L168" s="391">
        <v>229911.47</v>
      </c>
      <c r="M168" s="391">
        <v>217608.49</v>
      </c>
      <c r="N168" s="391">
        <v>214807.84</v>
      </c>
      <c r="O168" s="391">
        <v>231118.6</v>
      </c>
      <c r="P168" s="391">
        <v>246144.58</v>
      </c>
      <c r="Q168" s="391">
        <v>226944.61</v>
      </c>
      <c r="R168" s="391">
        <v>217372.61</v>
      </c>
      <c r="S168" s="618">
        <f t="shared" si="45"/>
        <v>227690.60208333333</v>
      </c>
      <c r="T168" s="382"/>
      <c r="U168" s="833">
        <f t="shared" si="43"/>
        <v>227690.60208333333</v>
      </c>
      <c r="V168" s="833"/>
      <c r="W168" s="833"/>
      <c r="X168" s="425"/>
      <c r="Y168" s="833"/>
      <c r="Z168" s="833"/>
      <c r="AA168" s="833"/>
      <c r="AB168" s="833"/>
      <c r="AC168" s="834"/>
      <c r="AD168" s="835">
        <f t="shared" si="44"/>
        <v>227690.60208333333</v>
      </c>
      <c r="AE168" s="834"/>
      <c r="AF168" s="781">
        <f t="shared" si="37"/>
        <v>0</v>
      </c>
    </row>
    <row r="169" spans="1:32">
      <c r="A169" s="422">
        <f t="shared" si="38"/>
        <v>155</v>
      </c>
      <c r="B169" s="423" t="s">
        <v>1066</v>
      </c>
      <c r="C169" s="423" t="s">
        <v>476</v>
      </c>
      <c r="D169" s="657" t="s">
        <v>505</v>
      </c>
      <c r="E169" s="777" t="s">
        <v>1843</v>
      </c>
      <c r="F169" s="391">
        <v>1398404.85</v>
      </c>
      <c r="G169" s="391">
        <v>1400543.83</v>
      </c>
      <c r="H169" s="391">
        <v>1334781.53</v>
      </c>
      <c r="I169" s="391">
        <v>1353081.2</v>
      </c>
      <c r="J169" s="391">
        <v>1270634.6399999999</v>
      </c>
      <c r="K169" s="391">
        <v>1233259.5</v>
      </c>
      <c r="L169" s="391">
        <v>1214311.67</v>
      </c>
      <c r="M169" s="391">
        <v>1198223.68</v>
      </c>
      <c r="N169" s="391">
        <v>1162851.3700000001</v>
      </c>
      <c r="O169" s="391">
        <v>1292835.99</v>
      </c>
      <c r="P169" s="391">
        <v>1349922.41</v>
      </c>
      <c r="Q169" s="391">
        <v>1255888.28</v>
      </c>
      <c r="R169" s="391">
        <v>1287630.96</v>
      </c>
      <c r="S169" s="618">
        <f t="shared" si="45"/>
        <v>1284112.6670833335</v>
      </c>
      <c r="T169" s="382"/>
      <c r="U169" s="833">
        <f t="shared" si="43"/>
        <v>1284112.6670833335</v>
      </c>
      <c r="V169" s="833"/>
      <c r="W169" s="833"/>
      <c r="X169" s="425"/>
      <c r="Y169" s="833"/>
      <c r="Z169" s="833"/>
      <c r="AA169" s="833"/>
      <c r="AB169" s="833"/>
      <c r="AC169" s="834"/>
      <c r="AD169" s="835">
        <f t="shared" si="44"/>
        <v>1284112.6670833335</v>
      </c>
      <c r="AE169" s="834"/>
      <c r="AF169" s="781">
        <f t="shared" si="37"/>
        <v>0</v>
      </c>
    </row>
    <row r="170" spans="1:32">
      <c r="A170" s="422">
        <f t="shared" si="38"/>
        <v>156</v>
      </c>
      <c r="B170" s="423" t="s">
        <v>1094</v>
      </c>
      <c r="C170" s="423" t="s">
        <v>476</v>
      </c>
      <c r="D170" s="423" t="s">
        <v>506</v>
      </c>
      <c r="E170" s="777" t="s">
        <v>1844</v>
      </c>
      <c r="F170" s="391">
        <v>125987.21</v>
      </c>
      <c r="G170" s="391">
        <v>112053.59</v>
      </c>
      <c r="H170" s="391">
        <v>111900.71</v>
      </c>
      <c r="I170" s="391">
        <v>111718.95</v>
      </c>
      <c r="J170" s="391">
        <v>114559.89</v>
      </c>
      <c r="K170" s="391">
        <v>104016.08</v>
      </c>
      <c r="L170" s="391">
        <v>102566.75</v>
      </c>
      <c r="M170" s="391">
        <v>127776.94</v>
      </c>
      <c r="N170" s="391">
        <v>130661.24</v>
      </c>
      <c r="O170" s="391">
        <v>130849.44</v>
      </c>
      <c r="P170" s="391">
        <v>124977.43</v>
      </c>
      <c r="Q170" s="391">
        <v>126594.12</v>
      </c>
      <c r="R170" s="391">
        <v>131375.94</v>
      </c>
      <c r="S170" s="618">
        <f t="shared" si="45"/>
        <v>118863.05958333331</v>
      </c>
      <c r="T170" s="382"/>
      <c r="U170" s="833">
        <f t="shared" si="43"/>
        <v>118863.05958333331</v>
      </c>
      <c r="V170" s="833"/>
      <c r="W170" s="833"/>
      <c r="X170" s="425"/>
      <c r="Y170" s="833"/>
      <c r="Z170" s="833"/>
      <c r="AA170" s="833"/>
      <c r="AB170" s="833"/>
      <c r="AC170" s="834"/>
      <c r="AD170" s="835">
        <f t="shared" si="44"/>
        <v>118863.05958333331</v>
      </c>
      <c r="AE170" s="834"/>
      <c r="AF170" s="781">
        <f t="shared" si="37"/>
        <v>0</v>
      </c>
    </row>
    <row r="171" spans="1:32">
      <c r="A171" s="422">
        <f t="shared" si="38"/>
        <v>157</v>
      </c>
      <c r="B171" s="423" t="s">
        <v>1066</v>
      </c>
      <c r="C171" s="423" t="s">
        <v>476</v>
      </c>
      <c r="D171" s="423" t="s">
        <v>506</v>
      </c>
      <c r="E171" s="777" t="s">
        <v>1844</v>
      </c>
      <c r="F171" s="405">
        <v>720287.54</v>
      </c>
      <c r="G171" s="405">
        <v>577758.93999999994</v>
      </c>
      <c r="H171" s="405">
        <v>631133.32999999996</v>
      </c>
      <c r="I171" s="405">
        <v>650208.65</v>
      </c>
      <c r="J171" s="405">
        <v>583537.52</v>
      </c>
      <c r="K171" s="405">
        <v>618769.71</v>
      </c>
      <c r="L171" s="405">
        <v>584942.21</v>
      </c>
      <c r="M171" s="405">
        <v>875059.05</v>
      </c>
      <c r="N171" s="405">
        <v>737193.48</v>
      </c>
      <c r="O171" s="405">
        <v>646555.30000000005</v>
      </c>
      <c r="P171" s="405">
        <v>595701.15</v>
      </c>
      <c r="Q171" s="405">
        <v>531917.47</v>
      </c>
      <c r="R171" s="405">
        <v>678698.73</v>
      </c>
      <c r="S171" s="619">
        <f>((F171+R171)+((G171+H171+I171+J171+K171+L171+M171+N171+O171+P171+Q171)*2))/24</f>
        <v>644355.82874999999</v>
      </c>
      <c r="T171" s="382"/>
      <c r="U171" s="833">
        <f t="shared" si="43"/>
        <v>644355.82874999999</v>
      </c>
      <c r="V171" s="833"/>
      <c r="W171" s="833"/>
      <c r="X171" s="425"/>
      <c r="Y171" s="833"/>
      <c r="Z171" s="833"/>
      <c r="AA171" s="833"/>
      <c r="AB171" s="833"/>
      <c r="AC171" s="834"/>
      <c r="AD171" s="835">
        <f t="shared" si="44"/>
        <v>644355.82874999999</v>
      </c>
      <c r="AE171" s="834"/>
      <c r="AF171" s="781">
        <f t="shared" si="37"/>
        <v>0</v>
      </c>
    </row>
    <row r="172" spans="1:32">
      <c r="A172" s="422">
        <f t="shared" si="38"/>
        <v>158</v>
      </c>
      <c r="B172" s="422"/>
      <c r="C172" s="422"/>
      <c r="D172" s="422"/>
      <c r="E172" s="777" t="s">
        <v>477</v>
      </c>
      <c r="F172" s="394">
        <f>SUM(F162:F171)</f>
        <v>32360206.530000001</v>
      </c>
      <c r="G172" s="394">
        <f t="shared" ref="G172:R172" si="46">SUM(G162:G171)</f>
        <v>25017928.960000001</v>
      </c>
      <c r="H172" s="394">
        <f t="shared" si="46"/>
        <v>28570198.540000003</v>
      </c>
      <c r="I172" s="394">
        <f t="shared" si="46"/>
        <v>20493505.819999997</v>
      </c>
      <c r="J172" s="394">
        <f t="shared" si="46"/>
        <v>14378423.840000002</v>
      </c>
      <c r="K172" s="394">
        <f t="shared" si="46"/>
        <v>8220957.1800000016</v>
      </c>
      <c r="L172" s="394">
        <f t="shared" si="46"/>
        <v>7615163.4799999995</v>
      </c>
      <c r="M172" s="394">
        <f t="shared" si="46"/>
        <v>7551240.4000000004</v>
      </c>
      <c r="N172" s="394">
        <f t="shared" si="46"/>
        <v>4648431.9199999981</v>
      </c>
      <c r="O172" s="394">
        <f t="shared" si="46"/>
        <v>6657008.5300000003</v>
      </c>
      <c r="P172" s="394">
        <f t="shared" si="46"/>
        <v>11935667.9</v>
      </c>
      <c r="Q172" s="394">
        <f t="shared" si="46"/>
        <v>21169873.839999996</v>
      </c>
      <c r="R172" s="394">
        <f t="shared" si="46"/>
        <v>25164949.820000004</v>
      </c>
      <c r="S172" s="620">
        <f>SUM(S162:S171)</f>
        <v>15418414.882083336</v>
      </c>
      <c r="T172" s="382"/>
      <c r="U172" s="833"/>
      <c r="V172" s="833"/>
      <c r="W172" s="833"/>
      <c r="X172" s="425"/>
      <c r="Y172" s="833"/>
      <c r="Z172" s="833"/>
      <c r="AA172" s="833"/>
      <c r="AB172" s="833"/>
      <c r="AC172" s="834"/>
      <c r="AD172" s="834"/>
      <c r="AE172" s="834"/>
      <c r="AF172" s="781">
        <f t="shared" si="37"/>
        <v>0</v>
      </c>
    </row>
    <row r="173" spans="1:32">
      <c r="A173" s="422">
        <f t="shared" si="38"/>
        <v>159</v>
      </c>
      <c r="B173" s="422"/>
      <c r="C173" s="422"/>
      <c r="D173" s="422"/>
      <c r="E173" s="763"/>
      <c r="F173" s="391"/>
      <c r="G173" s="420"/>
      <c r="H173" s="408"/>
      <c r="I173" s="408"/>
      <c r="J173" s="409"/>
      <c r="K173" s="410"/>
      <c r="L173" s="411"/>
      <c r="M173" s="412"/>
      <c r="N173" s="413"/>
      <c r="O173" s="414"/>
      <c r="P173" s="415"/>
      <c r="Q173" s="421"/>
      <c r="R173" s="391"/>
      <c r="S173" s="392"/>
      <c r="T173" s="382"/>
      <c r="U173" s="833"/>
      <c r="V173" s="833"/>
      <c r="W173" s="833"/>
      <c r="X173" s="425"/>
      <c r="Y173" s="833"/>
      <c r="Z173" s="833"/>
      <c r="AA173" s="833"/>
      <c r="AB173" s="833"/>
      <c r="AC173" s="834"/>
      <c r="AD173" s="834"/>
      <c r="AE173" s="834"/>
      <c r="AF173" s="781">
        <f t="shared" si="37"/>
        <v>0</v>
      </c>
    </row>
    <row r="174" spans="1:32">
      <c r="A174" s="422">
        <f t="shared" si="38"/>
        <v>160</v>
      </c>
      <c r="B174" s="423" t="s">
        <v>1063</v>
      </c>
      <c r="C174" s="423" t="s">
        <v>478</v>
      </c>
      <c r="D174" s="423" t="s">
        <v>1098</v>
      </c>
      <c r="E174" s="777" t="s">
        <v>1845</v>
      </c>
      <c r="F174" s="391">
        <v>-94443.78</v>
      </c>
      <c r="G174" s="391">
        <v>-93656.73</v>
      </c>
      <c r="H174" s="391">
        <v>-92869.71</v>
      </c>
      <c r="I174" s="391">
        <v>-92082.7</v>
      </c>
      <c r="J174" s="391">
        <v>-91295.65</v>
      </c>
      <c r="K174" s="391">
        <v>-90508.62</v>
      </c>
      <c r="L174" s="391">
        <v>-89721.58</v>
      </c>
      <c r="M174" s="391">
        <v>-88934.57</v>
      </c>
      <c r="N174" s="391">
        <v>-88147.520000000004</v>
      </c>
      <c r="O174" s="391">
        <v>-87360.51</v>
      </c>
      <c r="P174" s="391">
        <v>-86573.46</v>
      </c>
      <c r="Q174" s="391">
        <v>-85786.43</v>
      </c>
      <c r="R174" s="391">
        <v>-82824.95</v>
      </c>
      <c r="S174" s="618">
        <f>((F174+R174)+((G174+H174+I174+J174+K174+L174+M174+N174+O174+P174+Q174)*2))/24</f>
        <v>-89630.987083333326</v>
      </c>
      <c r="T174" s="382"/>
      <c r="U174" s="833"/>
      <c r="V174" s="833"/>
      <c r="W174" s="833"/>
      <c r="X174" s="425">
        <f>+S174</f>
        <v>-89630.987083333326</v>
      </c>
      <c r="Y174" s="833"/>
      <c r="Z174" s="833"/>
      <c r="AA174" s="833"/>
      <c r="AB174" s="833">
        <f>+S174</f>
        <v>-89630.987083333326</v>
      </c>
      <c r="AC174" s="834"/>
      <c r="AD174" s="835">
        <f>+U174</f>
        <v>0</v>
      </c>
      <c r="AE174" s="834"/>
      <c r="AF174" s="781">
        <f t="shared" si="37"/>
        <v>0</v>
      </c>
    </row>
    <row r="175" spans="1:32">
      <c r="A175" s="422">
        <f t="shared" si="38"/>
        <v>161</v>
      </c>
      <c r="B175" s="423" t="s">
        <v>1063</v>
      </c>
      <c r="C175" s="423" t="s">
        <v>478</v>
      </c>
      <c r="D175" s="423" t="s">
        <v>1099</v>
      </c>
      <c r="E175" s="777" t="s">
        <v>1846</v>
      </c>
      <c r="F175" s="391">
        <v>-358148.8</v>
      </c>
      <c r="G175" s="391">
        <v>-355164.23</v>
      </c>
      <c r="H175" s="391">
        <v>-352179.64</v>
      </c>
      <c r="I175" s="391">
        <v>-349195.1</v>
      </c>
      <c r="J175" s="391">
        <v>-346210.53</v>
      </c>
      <c r="K175" s="391">
        <v>-343225.97</v>
      </c>
      <c r="L175" s="391">
        <v>-340241.41</v>
      </c>
      <c r="M175" s="391">
        <v>-337256.82</v>
      </c>
      <c r="N175" s="391">
        <v>-334272.25</v>
      </c>
      <c r="O175" s="391">
        <v>-331287.65999999997</v>
      </c>
      <c r="P175" s="391">
        <v>-328303.08</v>
      </c>
      <c r="Q175" s="391">
        <v>-325318.53000000003</v>
      </c>
      <c r="R175" s="391">
        <v>-314153.82</v>
      </c>
      <c r="S175" s="618">
        <f>((F175+R175)+((G175+H175+I175+J175+K175+L175+M175+N175+O175+P175+Q175)*2))/24</f>
        <v>-339900.54416666663</v>
      </c>
      <c r="T175" s="382"/>
      <c r="U175" s="833"/>
      <c r="V175" s="833"/>
      <c r="W175" s="833"/>
      <c r="X175" s="425">
        <f>+S175</f>
        <v>-339900.54416666663</v>
      </c>
      <c r="Y175" s="833"/>
      <c r="Z175" s="833"/>
      <c r="AA175" s="833"/>
      <c r="AB175" s="833">
        <f t="shared" ref="AB175:AB177" si="47">+S175</f>
        <v>-339900.54416666663</v>
      </c>
      <c r="AC175" s="834"/>
      <c r="AD175" s="835">
        <f>+U175</f>
        <v>0</v>
      </c>
      <c r="AE175" s="834"/>
      <c r="AF175" s="781">
        <f t="shared" si="37"/>
        <v>0</v>
      </c>
    </row>
    <row r="176" spans="1:32">
      <c r="A176" s="422">
        <f t="shared" si="38"/>
        <v>162</v>
      </c>
      <c r="B176" s="423" t="s">
        <v>1063</v>
      </c>
      <c r="C176" s="423" t="s">
        <v>478</v>
      </c>
      <c r="D176" s="423" t="s">
        <v>1563</v>
      </c>
      <c r="E176" s="777" t="s">
        <v>1847</v>
      </c>
      <c r="F176" s="391">
        <v>697651.87</v>
      </c>
      <c r="G176" s="391">
        <v>697613.36</v>
      </c>
      <c r="H176" s="391">
        <v>697922.4</v>
      </c>
      <c r="I176" s="391">
        <v>698519.61</v>
      </c>
      <c r="J176" s="391">
        <v>678178.7</v>
      </c>
      <c r="K176" s="391">
        <v>678500.27</v>
      </c>
      <c r="L176" s="391">
        <v>681401.76</v>
      </c>
      <c r="M176" s="391">
        <v>685925.9</v>
      </c>
      <c r="N176" s="391">
        <v>686548.36</v>
      </c>
      <c r="O176" s="391">
        <v>688137.33</v>
      </c>
      <c r="P176" s="391">
        <v>680572.31</v>
      </c>
      <c r="Q176" s="391">
        <v>680572.31</v>
      </c>
      <c r="R176" s="391">
        <v>680831.94</v>
      </c>
      <c r="S176" s="618">
        <f>((F176+R176)+((G176+H176+I176+J176+K176+L176+M176+N176+O176+P176+Q176)*2))/24</f>
        <v>686927.85125000018</v>
      </c>
      <c r="T176" s="382"/>
      <c r="U176" s="833"/>
      <c r="V176" s="833"/>
      <c r="W176" s="833"/>
      <c r="X176" s="425">
        <f>+S176</f>
        <v>686927.85125000018</v>
      </c>
      <c r="Y176" s="833"/>
      <c r="Z176" s="833"/>
      <c r="AA176" s="833"/>
      <c r="AB176" s="833">
        <f t="shared" si="47"/>
        <v>686927.85125000018</v>
      </c>
      <c r="AC176" s="834"/>
      <c r="AD176" s="835">
        <f>+U176</f>
        <v>0</v>
      </c>
      <c r="AE176" s="834"/>
      <c r="AF176" s="781">
        <f t="shared" si="37"/>
        <v>0</v>
      </c>
    </row>
    <row r="177" spans="1:32" s="2" customFormat="1">
      <c r="A177" s="422">
        <f t="shared" si="38"/>
        <v>163</v>
      </c>
      <c r="B177" s="423" t="s">
        <v>1063</v>
      </c>
      <c r="C177" s="423" t="s">
        <v>478</v>
      </c>
      <c r="D177" s="423" t="s">
        <v>1667</v>
      </c>
      <c r="E177" s="777" t="s">
        <v>1848</v>
      </c>
      <c r="F177" s="391">
        <v>2039965.44</v>
      </c>
      <c r="G177" s="391">
        <v>2041399.36</v>
      </c>
      <c r="H177" s="391">
        <v>2043230.19</v>
      </c>
      <c r="I177" s="391">
        <v>2045061.03</v>
      </c>
      <c r="J177" s="391">
        <v>2046891.85</v>
      </c>
      <c r="K177" s="391">
        <v>2049938.21</v>
      </c>
      <c r="L177" s="391">
        <v>2052012.15</v>
      </c>
      <c r="M177" s="391">
        <v>2054086.08</v>
      </c>
      <c r="N177" s="391">
        <v>2056160.02</v>
      </c>
      <c r="O177" s="391">
        <v>2058233.95</v>
      </c>
      <c r="P177" s="391">
        <v>2060307.89</v>
      </c>
      <c r="Q177" s="391">
        <v>2107410</v>
      </c>
      <c r="R177" s="391">
        <v>1956266.79</v>
      </c>
      <c r="S177" s="618">
        <f t="shared" ref="S177:S188" si="48">((F177+R177)+((G177+H177+I177+J177+K177+L177+M177+N177+O177+P177+Q177)*2))/24</f>
        <v>2051070.5704166666</v>
      </c>
      <c r="T177" s="382"/>
      <c r="U177" s="833"/>
      <c r="V177" s="833"/>
      <c r="W177" s="833"/>
      <c r="X177" s="425">
        <f>+S177</f>
        <v>2051070.5704166666</v>
      </c>
      <c r="Y177" s="833"/>
      <c r="Z177" s="833"/>
      <c r="AA177" s="833"/>
      <c r="AB177" s="833">
        <f t="shared" si="47"/>
        <v>2051070.5704166666</v>
      </c>
      <c r="AC177" s="834"/>
      <c r="AD177" s="835">
        <f t="shared" ref="AD177:AD187" si="49">+U177</f>
        <v>0</v>
      </c>
      <c r="AE177" s="834"/>
      <c r="AF177" s="781">
        <f t="shared" si="37"/>
        <v>0</v>
      </c>
    </row>
    <row r="178" spans="1:32" s="2" customFormat="1">
      <c r="A178" s="422">
        <f t="shared" si="38"/>
        <v>164</v>
      </c>
      <c r="B178" s="423" t="s">
        <v>1063</v>
      </c>
      <c r="C178" s="423" t="s">
        <v>478</v>
      </c>
      <c r="D178" s="423" t="s">
        <v>1100</v>
      </c>
      <c r="E178" s="777" t="s">
        <v>1849</v>
      </c>
      <c r="F178" s="391">
        <v>11771087.18</v>
      </c>
      <c r="G178" s="391">
        <v>11773465.810000001</v>
      </c>
      <c r="H178" s="391">
        <v>11752882.02</v>
      </c>
      <c r="I178" s="391">
        <v>11708882.130000001</v>
      </c>
      <c r="J178" s="391">
        <v>11670592.35</v>
      </c>
      <c r="K178" s="391">
        <v>11651913.210000001</v>
      </c>
      <c r="L178" s="391">
        <v>11725587.689999999</v>
      </c>
      <c r="M178" s="391">
        <v>11705651.25</v>
      </c>
      <c r="N178" s="391">
        <v>11617547.18</v>
      </c>
      <c r="O178" s="391">
        <v>11599931.310000001</v>
      </c>
      <c r="P178" s="391">
        <v>11581247.359999999</v>
      </c>
      <c r="Q178" s="391">
        <v>11554057.15</v>
      </c>
      <c r="R178" s="391">
        <v>11510145.4</v>
      </c>
      <c r="S178" s="618">
        <f t="shared" si="48"/>
        <v>11665197.812500002</v>
      </c>
      <c r="T178" s="382"/>
      <c r="U178" s="833">
        <f t="shared" ref="U178:U189" si="50">+S178</f>
        <v>11665197.812500002</v>
      </c>
      <c r="V178" s="833"/>
      <c r="W178" s="833"/>
      <c r="X178" s="425"/>
      <c r="Y178" s="833"/>
      <c r="Z178" s="833"/>
      <c r="AA178" s="833"/>
      <c r="AB178" s="833"/>
      <c r="AC178" s="834"/>
      <c r="AD178" s="835">
        <f t="shared" si="49"/>
        <v>11665197.812500002</v>
      </c>
      <c r="AE178" s="834"/>
      <c r="AF178" s="781">
        <f t="shared" si="37"/>
        <v>0</v>
      </c>
    </row>
    <row r="179" spans="1:32" s="2" customFormat="1">
      <c r="A179" s="422">
        <f t="shared" si="38"/>
        <v>165</v>
      </c>
      <c r="B179" s="423" t="s">
        <v>1063</v>
      </c>
      <c r="C179" s="423" t="s">
        <v>478</v>
      </c>
      <c r="D179" s="423" t="s">
        <v>1254</v>
      </c>
      <c r="E179" s="777" t="s">
        <v>1850</v>
      </c>
      <c r="F179" s="391">
        <v>617072.96</v>
      </c>
      <c r="G179" s="391">
        <v>718153.35</v>
      </c>
      <c r="H179" s="391">
        <v>714291.03</v>
      </c>
      <c r="I179" s="391">
        <v>798586.64</v>
      </c>
      <c r="J179" s="391">
        <v>858542.37</v>
      </c>
      <c r="K179" s="391">
        <v>1096073.54</v>
      </c>
      <c r="L179" s="391">
        <v>1434977.89</v>
      </c>
      <c r="M179" s="391">
        <v>1534235.08</v>
      </c>
      <c r="N179" s="391">
        <v>1511238.18</v>
      </c>
      <c r="O179" s="391">
        <v>1568158.85</v>
      </c>
      <c r="P179" s="391">
        <v>1621200.81</v>
      </c>
      <c r="Q179" s="391">
        <v>1670296.35</v>
      </c>
      <c r="R179" s="391">
        <v>1661184.9</v>
      </c>
      <c r="S179" s="618">
        <f t="shared" si="48"/>
        <v>1222073.585</v>
      </c>
      <c r="T179" s="382"/>
      <c r="U179" s="833">
        <f t="shared" si="50"/>
        <v>1222073.585</v>
      </c>
      <c r="V179" s="833"/>
      <c r="W179" s="833"/>
      <c r="X179" s="425"/>
      <c r="Y179" s="833"/>
      <c r="Z179" s="833"/>
      <c r="AA179" s="833"/>
      <c r="AB179" s="833"/>
      <c r="AC179" s="834"/>
      <c r="AD179" s="835">
        <f t="shared" si="49"/>
        <v>1222073.585</v>
      </c>
      <c r="AE179" s="834"/>
      <c r="AF179" s="781">
        <f t="shared" si="37"/>
        <v>0</v>
      </c>
    </row>
    <row r="180" spans="1:32" s="2" customFormat="1">
      <c r="A180" s="422">
        <f t="shared" si="38"/>
        <v>166</v>
      </c>
      <c r="B180" s="423" t="s">
        <v>1094</v>
      </c>
      <c r="C180" s="423" t="s">
        <v>478</v>
      </c>
      <c r="D180" s="423" t="s">
        <v>1095</v>
      </c>
      <c r="E180" s="777" t="s">
        <v>1851</v>
      </c>
      <c r="F180" s="391">
        <v>-8266.2800000000007</v>
      </c>
      <c r="G180" s="391">
        <v>-8197.4</v>
      </c>
      <c r="H180" s="391">
        <v>-8128.51</v>
      </c>
      <c r="I180" s="391">
        <v>-8059.63</v>
      </c>
      <c r="J180" s="391">
        <v>-7990.74</v>
      </c>
      <c r="K180" s="391">
        <v>-7921.85</v>
      </c>
      <c r="L180" s="391">
        <v>-7852.97</v>
      </c>
      <c r="M180" s="391">
        <v>-7784.08</v>
      </c>
      <c r="N180" s="391">
        <v>-7715.2</v>
      </c>
      <c r="O180" s="391">
        <v>-7646.31</v>
      </c>
      <c r="P180" s="391">
        <v>-7577.43</v>
      </c>
      <c r="Q180" s="391">
        <v>-7508.54</v>
      </c>
      <c r="R180" s="391">
        <v>-7249.34</v>
      </c>
      <c r="S180" s="618">
        <f t="shared" si="48"/>
        <v>-7845.0391666666656</v>
      </c>
      <c r="T180" s="382"/>
      <c r="U180" s="833"/>
      <c r="V180" s="833"/>
      <c r="W180" s="833"/>
      <c r="X180" s="425">
        <f t="shared" ref="X180:X183" si="51">+S180</f>
        <v>-7845.0391666666656</v>
      </c>
      <c r="Y180" s="833"/>
      <c r="Z180" s="833"/>
      <c r="AA180" s="833"/>
      <c r="AB180" s="833">
        <f t="shared" ref="AB180:AB184" si="52">+S180</f>
        <v>-7845.0391666666656</v>
      </c>
      <c r="AC180" s="834"/>
      <c r="AD180" s="835">
        <f t="shared" si="49"/>
        <v>0</v>
      </c>
      <c r="AE180" s="834"/>
      <c r="AF180" s="781">
        <f t="shared" si="37"/>
        <v>0</v>
      </c>
    </row>
    <row r="181" spans="1:32" s="2" customFormat="1">
      <c r="A181" s="422">
        <f t="shared" si="38"/>
        <v>167</v>
      </c>
      <c r="B181" s="423" t="s">
        <v>1094</v>
      </c>
      <c r="C181" s="423" t="s">
        <v>478</v>
      </c>
      <c r="D181" s="423" t="s">
        <v>1096</v>
      </c>
      <c r="E181" s="777" t="s">
        <v>1852</v>
      </c>
      <c r="F181" s="391">
        <v>2860.27</v>
      </c>
      <c r="G181" s="391">
        <v>2836.43</v>
      </c>
      <c r="H181" s="391">
        <v>2812.6</v>
      </c>
      <c r="I181" s="391">
        <v>2788.78</v>
      </c>
      <c r="J181" s="391">
        <v>2764.94</v>
      </c>
      <c r="K181" s="391">
        <v>2741.09</v>
      </c>
      <c r="L181" s="391">
        <v>2717.26</v>
      </c>
      <c r="M181" s="391">
        <v>2693.42</v>
      </c>
      <c r="N181" s="391">
        <v>2669.58</v>
      </c>
      <c r="O181" s="391">
        <v>2645.76</v>
      </c>
      <c r="P181" s="391">
        <v>2621.92</v>
      </c>
      <c r="Q181" s="391">
        <v>2598.0700000000002</v>
      </c>
      <c r="R181" s="391">
        <v>2574.23</v>
      </c>
      <c r="S181" s="618">
        <f t="shared" si="48"/>
        <v>2717.2583333333332</v>
      </c>
      <c r="T181" s="382"/>
      <c r="U181" s="833"/>
      <c r="V181" s="833"/>
      <c r="W181" s="833"/>
      <c r="X181" s="425">
        <f t="shared" si="51"/>
        <v>2717.2583333333332</v>
      </c>
      <c r="Y181" s="833"/>
      <c r="Z181" s="833"/>
      <c r="AA181" s="833"/>
      <c r="AB181" s="833">
        <f t="shared" si="52"/>
        <v>2717.2583333333332</v>
      </c>
      <c r="AC181" s="834"/>
      <c r="AD181" s="835">
        <f t="shared" si="49"/>
        <v>0</v>
      </c>
      <c r="AE181" s="834"/>
      <c r="AF181" s="781">
        <f t="shared" si="37"/>
        <v>0</v>
      </c>
    </row>
    <row r="182" spans="1:32" s="2" customFormat="1">
      <c r="A182" s="422">
        <f t="shared" si="38"/>
        <v>168</v>
      </c>
      <c r="B182" s="423" t="s">
        <v>1094</v>
      </c>
      <c r="C182" s="423" t="s">
        <v>478</v>
      </c>
      <c r="D182" s="423" t="s">
        <v>1566</v>
      </c>
      <c r="E182" s="777" t="s">
        <v>1853</v>
      </c>
      <c r="F182" s="391">
        <v>61062.65</v>
      </c>
      <c r="G182" s="391">
        <v>61059.28</v>
      </c>
      <c r="H182" s="391">
        <v>61086.33</v>
      </c>
      <c r="I182" s="391">
        <v>61138.6</v>
      </c>
      <c r="J182" s="391">
        <v>59358.239999999998</v>
      </c>
      <c r="K182" s="391">
        <v>59386.39</v>
      </c>
      <c r="L182" s="391">
        <v>59640.34</v>
      </c>
      <c r="M182" s="391">
        <v>60036.32</v>
      </c>
      <c r="N182" s="391">
        <v>60090.8</v>
      </c>
      <c r="O182" s="391">
        <v>60229.88</v>
      </c>
      <c r="P182" s="391">
        <v>59567.74</v>
      </c>
      <c r="Q182" s="391">
        <v>59567.74</v>
      </c>
      <c r="R182" s="391">
        <v>59590.47</v>
      </c>
      <c r="S182" s="618">
        <f t="shared" si="48"/>
        <v>60124.018333333333</v>
      </c>
      <c r="T182" s="382"/>
      <c r="U182" s="833"/>
      <c r="V182" s="833"/>
      <c r="W182" s="833"/>
      <c r="X182" s="425">
        <f t="shared" si="51"/>
        <v>60124.018333333333</v>
      </c>
      <c r="Y182" s="833"/>
      <c r="Z182" s="833"/>
      <c r="AA182" s="833"/>
      <c r="AB182" s="833">
        <f t="shared" si="52"/>
        <v>60124.018333333333</v>
      </c>
      <c r="AC182" s="834"/>
      <c r="AD182" s="835">
        <f t="shared" si="49"/>
        <v>0</v>
      </c>
      <c r="AE182" s="834"/>
      <c r="AF182" s="781">
        <f t="shared" si="37"/>
        <v>0</v>
      </c>
    </row>
    <row r="183" spans="1:32" s="2" customFormat="1">
      <c r="A183" s="422">
        <f t="shared" si="38"/>
        <v>169</v>
      </c>
      <c r="B183" s="423" t="s">
        <v>1094</v>
      </c>
      <c r="C183" s="423" t="s">
        <v>478</v>
      </c>
      <c r="D183" s="423" t="s">
        <v>1567</v>
      </c>
      <c r="E183" s="777" t="s">
        <v>1854</v>
      </c>
      <c r="F183" s="391">
        <v>-2860.28</v>
      </c>
      <c r="G183" s="391">
        <v>-2836.44</v>
      </c>
      <c r="H183" s="391">
        <v>-2812.6</v>
      </c>
      <c r="I183" s="391">
        <v>-2788.77</v>
      </c>
      <c r="J183" s="391">
        <v>-2764.93</v>
      </c>
      <c r="K183" s="391">
        <v>-2741.09</v>
      </c>
      <c r="L183" s="391">
        <v>-2717.26</v>
      </c>
      <c r="M183" s="391">
        <v>-2693.42</v>
      </c>
      <c r="N183" s="391">
        <v>-2669.58</v>
      </c>
      <c r="O183" s="391">
        <v>-2645.75</v>
      </c>
      <c r="P183" s="391">
        <v>-2621.91</v>
      </c>
      <c r="Q183" s="391">
        <v>-2598.0700000000002</v>
      </c>
      <c r="R183" s="391">
        <v>-2574.25</v>
      </c>
      <c r="S183" s="618">
        <f t="shared" si="48"/>
        <v>-2717.2570833333334</v>
      </c>
      <c r="T183" s="382"/>
      <c r="U183" s="833"/>
      <c r="V183" s="833"/>
      <c r="W183" s="833"/>
      <c r="X183" s="425">
        <f t="shared" si="51"/>
        <v>-2717.2570833333334</v>
      </c>
      <c r="Y183" s="833"/>
      <c r="Z183" s="833"/>
      <c r="AA183" s="833"/>
      <c r="AB183" s="833">
        <f t="shared" si="52"/>
        <v>-2717.2570833333334</v>
      </c>
      <c r="AC183" s="834"/>
      <c r="AD183" s="835">
        <f t="shared" si="49"/>
        <v>0</v>
      </c>
      <c r="AE183" s="834"/>
      <c r="AF183" s="781">
        <f t="shared" si="37"/>
        <v>0</v>
      </c>
    </row>
    <row r="184" spans="1:32" s="2" customFormat="1">
      <c r="A184" s="422">
        <f t="shared" si="38"/>
        <v>170</v>
      </c>
      <c r="B184" s="423" t="s">
        <v>1094</v>
      </c>
      <c r="C184" s="423" t="s">
        <v>478</v>
      </c>
      <c r="D184" s="423" t="s">
        <v>1666</v>
      </c>
      <c r="E184" s="777" t="s">
        <v>1855</v>
      </c>
      <c r="F184" s="391">
        <v>178549.95</v>
      </c>
      <c r="G184" s="391">
        <v>178675.45</v>
      </c>
      <c r="H184" s="391">
        <v>178835.7</v>
      </c>
      <c r="I184" s="391">
        <v>178995.94</v>
      </c>
      <c r="J184" s="391">
        <v>179156.19</v>
      </c>
      <c r="K184" s="391">
        <v>179422.82</v>
      </c>
      <c r="L184" s="391">
        <v>179604.35</v>
      </c>
      <c r="M184" s="391">
        <v>179785.87</v>
      </c>
      <c r="N184" s="391">
        <v>179967.39</v>
      </c>
      <c r="O184" s="391">
        <v>180148.92</v>
      </c>
      <c r="P184" s="391">
        <v>180330.44</v>
      </c>
      <c r="Q184" s="391">
        <v>184453.09</v>
      </c>
      <c r="R184" s="391">
        <v>171224.15</v>
      </c>
      <c r="S184" s="618">
        <f t="shared" si="48"/>
        <v>179521.9341666667</v>
      </c>
      <c r="T184" s="382"/>
      <c r="U184" s="833"/>
      <c r="V184" s="833"/>
      <c r="W184" s="833"/>
      <c r="X184" s="425">
        <f>+S184</f>
        <v>179521.9341666667</v>
      </c>
      <c r="Y184" s="833"/>
      <c r="Z184" s="833"/>
      <c r="AA184" s="833"/>
      <c r="AB184" s="833">
        <f t="shared" si="52"/>
        <v>179521.9341666667</v>
      </c>
      <c r="AC184" s="834"/>
      <c r="AD184" s="835">
        <f t="shared" si="49"/>
        <v>0</v>
      </c>
      <c r="AE184" s="834"/>
      <c r="AF184" s="781">
        <f t="shared" si="37"/>
        <v>0</v>
      </c>
    </row>
    <row r="185" spans="1:32" s="2" customFormat="1">
      <c r="A185" s="422">
        <f t="shared" si="38"/>
        <v>171</v>
      </c>
      <c r="B185" s="423" t="s">
        <v>1094</v>
      </c>
      <c r="C185" s="423" t="s">
        <v>478</v>
      </c>
      <c r="D185" s="423" t="s">
        <v>1097</v>
      </c>
      <c r="E185" s="777" t="s">
        <v>1856</v>
      </c>
      <c r="F185" s="391">
        <v>1026444.73</v>
      </c>
      <c r="G185" s="391">
        <v>1026652.92</v>
      </c>
      <c r="H185" s="391">
        <v>1024851.3</v>
      </c>
      <c r="I185" s="391">
        <v>1024831.27</v>
      </c>
      <c r="J185" s="391">
        <v>1021479.92</v>
      </c>
      <c r="K185" s="391">
        <v>1019845.01</v>
      </c>
      <c r="L185" s="391">
        <v>1026293.44</v>
      </c>
      <c r="M185" s="391">
        <v>1024548.48</v>
      </c>
      <c r="N185" s="391">
        <v>1016837.09</v>
      </c>
      <c r="O185" s="391">
        <v>1015295.24</v>
      </c>
      <c r="P185" s="391">
        <v>1013659.91</v>
      </c>
      <c r="Q185" s="391">
        <v>1011280.06</v>
      </c>
      <c r="R185" s="391">
        <v>1007436.65</v>
      </c>
      <c r="S185" s="618">
        <f t="shared" si="48"/>
        <v>1020209.6108333333</v>
      </c>
      <c r="T185" s="382"/>
      <c r="U185" s="833">
        <f t="shared" si="50"/>
        <v>1020209.6108333333</v>
      </c>
      <c r="V185" s="833"/>
      <c r="W185" s="833"/>
      <c r="X185" s="425"/>
      <c r="Y185" s="833"/>
      <c r="Z185" s="833"/>
      <c r="AA185" s="833"/>
      <c r="AB185" s="833"/>
      <c r="AC185" s="834"/>
      <c r="AD185" s="835">
        <f t="shared" si="49"/>
        <v>1020209.6108333333</v>
      </c>
      <c r="AE185" s="834"/>
      <c r="AF185" s="781">
        <f t="shared" si="37"/>
        <v>0</v>
      </c>
    </row>
    <row r="186" spans="1:32" s="2" customFormat="1">
      <c r="A186" s="422">
        <f t="shared" si="38"/>
        <v>172</v>
      </c>
      <c r="B186" s="423" t="s">
        <v>1094</v>
      </c>
      <c r="C186" s="423" t="s">
        <v>478</v>
      </c>
      <c r="D186" s="423" t="s">
        <v>200</v>
      </c>
      <c r="E186" s="777" t="s">
        <v>1857</v>
      </c>
      <c r="F186" s="391">
        <v>54009.9</v>
      </c>
      <c r="G186" s="391">
        <v>62857.06</v>
      </c>
      <c r="H186" s="391">
        <v>62519.01</v>
      </c>
      <c r="I186" s="391">
        <v>69897.05</v>
      </c>
      <c r="J186" s="391">
        <v>75144.73</v>
      </c>
      <c r="K186" s="391">
        <v>95934.89</v>
      </c>
      <c r="L186" s="391">
        <v>125597.82</v>
      </c>
      <c r="M186" s="391">
        <v>134285.41</v>
      </c>
      <c r="N186" s="391">
        <v>132272.57999999999</v>
      </c>
      <c r="O186" s="391">
        <v>137254.6</v>
      </c>
      <c r="P186" s="391">
        <v>141897.17000000001</v>
      </c>
      <c r="Q186" s="391">
        <v>146194.31</v>
      </c>
      <c r="R186" s="391">
        <v>145396.82</v>
      </c>
      <c r="S186" s="618">
        <f t="shared" si="48"/>
        <v>106963.16583333333</v>
      </c>
      <c r="T186" s="382"/>
      <c r="U186" s="833">
        <f t="shared" si="50"/>
        <v>106963.16583333333</v>
      </c>
      <c r="V186" s="833"/>
      <c r="W186" s="833"/>
      <c r="X186" s="425"/>
      <c r="Y186" s="833"/>
      <c r="Z186" s="833"/>
      <c r="AA186" s="833"/>
      <c r="AB186" s="833"/>
      <c r="AC186" s="834"/>
      <c r="AD186" s="835">
        <f t="shared" si="49"/>
        <v>106963.16583333333</v>
      </c>
      <c r="AE186" s="834"/>
      <c r="AF186" s="781">
        <f t="shared" si="37"/>
        <v>0</v>
      </c>
    </row>
    <row r="187" spans="1:32" s="2" customFormat="1">
      <c r="A187" s="422">
        <f t="shared" si="38"/>
        <v>173</v>
      </c>
      <c r="B187" s="423" t="s">
        <v>1094</v>
      </c>
      <c r="C187" s="423" t="s">
        <v>478</v>
      </c>
      <c r="D187" s="423" t="s">
        <v>1565</v>
      </c>
      <c r="E187" s="777" t="s">
        <v>1858</v>
      </c>
      <c r="F187" s="391">
        <v>81801.2</v>
      </c>
      <c r="G187" s="391">
        <v>81119.520000000004</v>
      </c>
      <c r="H187" s="391">
        <v>80437.84</v>
      </c>
      <c r="I187" s="391">
        <v>79756.17</v>
      </c>
      <c r="J187" s="391">
        <v>79074.490000000005</v>
      </c>
      <c r="K187" s="391">
        <v>78392.81</v>
      </c>
      <c r="L187" s="391">
        <v>77711.14</v>
      </c>
      <c r="M187" s="391">
        <v>77029.460000000006</v>
      </c>
      <c r="N187" s="391">
        <v>76347.78</v>
      </c>
      <c r="O187" s="391">
        <v>75666.11</v>
      </c>
      <c r="P187" s="391">
        <v>74984.430000000095</v>
      </c>
      <c r="Q187" s="391">
        <v>74302.750000000102</v>
      </c>
      <c r="R187" s="391">
        <v>65440.960000000101</v>
      </c>
      <c r="S187" s="618">
        <f t="shared" si="48"/>
        <v>77370.298333333354</v>
      </c>
      <c r="T187" s="382"/>
      <c r="U187" s="833"/>
      <c r="V187" s="833"/>
      <c r="W187" s="833"/>
      <c r="X187" s="425">
        <f t="shared" ref="X187:X188" si="53">+S187</f>
        <v>77370.298333333354</v>
      </c>
      <c r="Y187" s="833"/>
      <c r="Z187" s="833"/>
      <c r="AA187" s="833"/>
      <c r="AB187" s="833">
        <f t="shared" ref="AB187:AB188" si="54">+S187</f>
        <v>77370.298333333354</v>
      </c>
      <c r="AC187" s="834"/>
      <c r="AD187" s="835">
        <f t="shared" si="49"/>
        <v>0</v>
      </c>
      <c r="AE187" s="834"/>
      <c r="AF187" s="781">
        <f t="shared" si="37"/>
        <v>0</v>
      </c>
    </row>
    <row r="188" spans="1:32" s="2" customFormat="1">
      <c r="A188" s="422">
        <f t="shared" si="38"/>
        <v>174</v>
      </c>
      <c r="B188" s="423" t="s">
        <v>1066</v>
      </c>
      <c r="C188" s="423" t="s">
        <v>478</v>
      </c>
      <c r="D188" s="423" t="s">
        <v>1565</v>
      </c>
      <c r="E188" s="777" t="s">
        <v>1858</v>
      </c>
      <c r="F188" s="391">
        <v>276347.64</v>
      </c>
      <c r="G188" s="391">
        <v>274044.74</v>
      </c>
      <c r="H188" s="391">
        <v>271741.84000000003</v>
      </c>
      <c r="I188" s="391">
        <v>269438.95</v>
      </c>
      <c r="J188" s="391">
        <v>267136.05</v>
      </c>
      <c r="K188" s="391">
        <v>264833.15000000002</v>
      </c>
      <c r="L188" s="391">
        <v>262530.26</v>
      </c>
      <c r="M188" s="391">
        <v>260227.36</v>
      </c>
      <c r="N188" s="391">
        <v>257924.46</v>
      </c>
      <c r="O188" s="391">
        <v>255621.57</v>
      </c>
      <c r="P188" s="391">
        <v>253318.67</v>
      </c>
      <c r="Q188" s="391">
        <v>251015.77</v>
      </c>
      <c r="R188" s="391">
        <v>248712.88</v>
      </c>
      <c r="S188" s="618">
        <f t="shared" si="48"/>
        <v>262530.25666666665</v>
      </c>
      <c r="T188" s="382"/>
      <c r="U188" s="833"/>
      <c r="V188" s="833"/>
      <c r="W188" s="833"/>
      <c r="X188" s="425">
        <f t="shared" si="53"/>
        <v>262530.25666666665</v>
      </c>
      <c r="Y188" s="833"/>
      <c r="Z188" s="833"/>
      <c r="AA188" s="833"/>
      <c r="AB188" s="833">
        <f t="shared" si="54"/>
        <v>262530.25666666665</v>
      </c>
      <c r="AC188" s="834"/>
      <c r="AD188" s="835">
        <f>+U188</f>
        <v>0</v>
      </c>
      <c r="AE188" s="834"/>
      <c r="AF188" s="781">
        <f t="shared" si="37"/>
        <v>0</v>
      </c>
    </row>
    <row r="189" spans="1:32">
      <c r="A189" s="422">
        <f t="shared" si="38"/>
        <v>175</v>
      </c>
      <c r="B189" s="423"/>
      <c r="C189" s="423"/>
      <c r="D189" s="423"/>
      <c r="E189" s="777"/>
      <c r="F189" s="391"/>
      <c r="G189" s="391"/>
      <c r="H189" s="391"/>
      <c r="I189" s="391"/>
      <c r="J189" s="391"/>
      <c r="K189" s="391"/>
      <c r="L189" s="391"/>
      <c r="M189" s="391"/>
      <c r="N189" s="391"/>
      <c r="O189" s="391"/>
      <c r="P189" s="391"/>
      <c r="Q189" s="391"/>
      <c r="R189" s="391"/>
      <c r="S189" s="392"/>
      <c r="T189" s="382"/>
      <c r="U189" s="833">
        <f t="shared" si="50"/>
        <v>0</v>
      </c>
      <c r="V189" s="833"/>
      <c r="W189" s="833"/>
      <c r="X189" s="425"/>
      <c r="Y189" s="833"/>
      <c r="Z189" s="833"/>
      <c r="AA189" s="833"/>
      <c r="AB189" s="833"/>
      <c r="AC189" s="834"/>
      <c r="AD189" s="835"/>
      <c r="AE189" s="834"/>
      <c r="AF189" s="781">
        <f t="shared" si="37"/>
        <v>0</v>
      </c>
    </row>
    <row r="190" spans="1:32">
      <c r="A190" s="422">
        <f t="shared" si="38"/>
        <v>176</v>
      </c>
      <c r="B190" s="422" t="s">
        <v>1094</v>
      </c>
      <c r="C190" s="422" t="s">
        <v>479</v>
      </c>
      <c r="D190" s="422" t="s">
        <v>459</v>
      </c>
      <c r="E190" s="763" t="s">
        <v>480</v>
      </c>
      <c r="F190" s="391">
        <v>0</v>
      </c>
      <c r="G190" s="420">
        <v>0</v>
      </c>
      <c r="H190" s="408">
        <v>0</v>
      </c>
      <c r="I190" s="408">
        <v>0</v>
      </c>
      <c r="J190" s="409">
        <v>0</v>
      </c>
      <c r="K190" s="410">
        <v>0</v>
      </c>
      <c r="L190" s="411">
        <v>0</v>
      </c>
      <c r="M190" s="412">
        <v>0</v>
      </c>
      <c r="N190" s="413">
        <v>0</v>
      </c>
      <c r="O190" s="414">
        <v>0</v>
      </c>
      <c r="P190" s="415">
        <v>0</v>
      </c>
      <c r="Q190" s="421">
        <v>0</v>
      </c>
      <c r="R190" s="391">
        <v>593186.79</v>
      </c>
      <c r="S190" s="618">
        <f>((F190+R190)+((G190+H190+I190+J190+K190+L190+M190+N190+O190+P190+Q190)*2))/24</f>
        <v>24716.116250000003</v>
      </c>
      <c r="T190" s="382"/>
      <c r="U190" s="833"/>
      <c r="V190" s="833"/>
      <c r="W190" s="833"/>
      <c r="X190" s="425">
        <f>+S190</f>
        <v>24716.116250000003</v>
      </c>
      <c r="Y190" s="833"/>
      <c r="Z190" s="833"/>
      <c r="AA190" s="833"/>
      <c r="AB190" s="833">
        <f>+S190</f>
        <v>24716.116250000003</v>
      </c>
      <c r="AC190" s="834"/>
      <c r="AD190" s="834"/>
      <c r="AE190" s="834"/>
      <c r="AF190" s="781">
        <f t="shared" si="37"/>
        <v>0</v>
      </c>
    </row>
    <row r="191" spans="1:32">
      <c r="A191" s="422">
        <f t="shared" si="38"/>
        <v>177</v>
      </c>
      <c r="B191" s="422" t="s">
        <v>1066</v>
      </c>
      <c r="C191" s="423" t="s">
        <v>479</v>
      </c>
      <c r="D191" s="423" t="s">
        <v>472</v>
      </c>
      <c r="E191" s="777" t="s">
        <v>480</v>
      </c>
      <c r="F191" s="391">
        <v>11596330.1</v>
      </c>
      <c r="G191" s="391">
        <v>7748798.7199999997</v>
      </c>
      <c r="H191" s="391">
        <v>4221637.78</v>
      </c>
      <c r="I191" s="391">
        <v>1021757.96</v>
      </c>
      <c r="J191" s="391">
        <v>-4.65661287307739E-10</v>
      </c>
      <c r="K191" s="391">
        <v>122870.05</v>
      </c>
      <c r="L191" s="391">
        <v>1144930</v>
      </c>
      <c r="M191" s="391">
        <v>2804968.14</v>
      </c>
      <c r="N191" s="391">
        <v>5871938.7599999998</v>
      </c>
      <c r="O191" s="391">
        <v>6859993.6600000001</v>
      </c>
      <c r="P191" s="391">
        <v>7376195.8399999999</v>
      </c>
      <c r="Q191" s="391">
        <v>17507602.550000001</v>
      </c>
      <c r="R191" s="391">
        <v>40887966.869999997</v>
      </c>
      <c r="S191" s="618">
        <f>((F191+R191)+((G191+H191+I191+J191+K191+L191+M191+N191+O191+P191+Q191)*2))/24</f>
        <v>6743570.1620833343</v>
      </c>
      <c r="T191" s="382"/>
      <c r="U191" s="833"/>
      <c r="V191" s="833"/>
      <c r="W191" s="833"/>
      <c r="X191" s="425">
        <f>+S191</f>
        <v>6743570.1620833343</v>
      </c>
      <c r="Y191" s="833"/>
      <c r="Z191" s="833"/>
      <c r="AA191" s="833"/>
      <c r="AB191" s="833">
        <f>+S191</f>
        <v>6743570.1620833343</v>
      </c>
      <c r="AC191" s="834"/>
      <c r="AD191" s="834"/>
      <c r="AE191" s="834"/>
      <c r="AF191" s="781">
        <f t="shared" si="37"/>
        <v>0</v>
      </c>
    </row>
    <row r="192" spans="1:32">
      <c r="A192" s="422">
        <f t="shared" si="38"/>
        <v>178</v>
      </c>
      <c r="B192" s="422"/>
      <c r="C192" s="422"/>
      <c r="D192" s="422"/>
      <c r="E192" s="763"/>
      <c r="F192" s="391"/>
      <c r="G192" s="420"/>
      <c r="H192" s="408"/>
      <c r="I192" s="408"/>
      <c r="J192" s="409"/>
      <c r="K192" s="410"/>
      <c r="L192" s="411"/>
      <c r="M192" s="412"/>
      <c r="N192" s="413"/>
      <c r="O192" s="414"/>
      <c r="P192" s="415"/>
      <c r="Q192" s="421"/>
      <c r="R192" s="391"/>
      <c r="S192" s="392"/>
      <c r="T192" s="382"/>
      <c r="U192" s="833"/>
      <c r="V192" s="833"/>
      <c r="W192" s="833"/>
      <c r="X192" s="425"/>
      <c r="Y192" s="833"/>
      <c r="Z192" s="833"/>
      <c r="AA192" s="833"/>
      <c r="AB192" s="833"/>
      <c r="AC192" s="834"/>
      <c r="AD192" s="834"/>
      <c r="AE192" s="834"/>
      <c r="AF192" s="781">
        <f t="shared" si="37"/>
        <v>0</v>
      </c>
    </row>
    <row r="193" spans="1:32">
      <c r="A193" s="422">
        <f t="shared" si="38"/>
        <v>179</v>
      </c>
      <c r="B193" s="423" t="s">
        <v>1063</v>
      </c>
      <c r="C193" s="657" t="s">
        <v>481</v>
      </c>
      <c r="D193" s="423" t="s">
        <v>482</v>
      </c>
      <c r="E193" s="777" t="s">
        <v>483</v>
      </c>
      <c r="F193" s="391">
        <v>65177.089999999902</v>
      </c>
      <c r="G193" s="391">
        <v>64617.63</v>
      </c>
      <c r="H193" s="391">
        <v>64058.17</v>
      </c>
      <c r="I193" s="391">
        <v>63498.71</v>
      </c>
      <c r="J193" s="391">
        <v>62939.25</v>
      </c>
      <c r="K193" s="391">
        <v>62379.79</v>
      </c>
      <c r="L193" s="391">
        <v>61820.33</v>
      </c>
      <c r="M193" s="391">
        <v>61260.87</v>
      </c>
      <c r="N193" s="391">
        <v>60701.41</v>
      </c>
      <c r="O193" s="391">
        <v>60141.95</v>
      </c>
      <c r="P193" s="391">
        <v>59582.49</v>
      </c>
      <c r="Q193" s="391">
        <v>59023.03</v>
      </c>
      <c r="R193" s="391">
        <v>58463.57</v>
      </c>
      <c r="S193" s="618">
        <f t="shared" ref="S193:S205" si="55">((F193+R193)+((G193+H193+I193+J193+K193+L193+M193+N193+O193+P193+Q193)*2))/24</f>
        <v>61820.329999999994</v>
      </c>
      <c r="T193" s="382"/>
      <c r="U193" s="833"/>
      <c r="V193" s="833"/>
      <c r="W193" s="833">
        <f>+S193</f>
        <v>61820.329999999994</v>
      </c>
      <c r="X193" s="425"/>
      <c r="Y193" s="833"/>
      <c r="Z193" s="833"/>
      <c r="AA193" s="833"/>
      <c r="AB193" s="833"/>
      <c r="AC193" s="835">
        <f t="shared" ref="AC193:AC205" si="56">+S193</f>
        <v>61820.329999999994</v>
      </c>
      <c r="AD193" s="834"/>
      <c r="AE193" s="834"/>
      <c r="AF193" s="781">
        <f t="shared" si="37"/>
        <v>0</v>
      </c>
    </row>
    <row r="194" spans="1:32">
      <c r="A194" s="422">
        <f t="shared" si="38"/>
        <v>180</v>
      </c>
      <c r="B194" s="423" t="s">
        <v>1063</v>
      </c>
      <c r="C194" s="657" t="s">
        <v>481</v>
      </c>
      <c r="D194" s="423" t="s">
        <v>484</v>
      </c>
      <c r="E194" s="777" t="s">
        <v>485</v>
      </c>
      <c r="F194" s="391">
        <v>56225.02</v>
      </c>
      <c r="G194" s="391">
        <v>55805.42</v>
      </c>
      <c r="H194" s="391">
        <v>55385.82</v>
      </c>
      <c r="I194" s="391">
        <v>54966.22</v>
      </c>
      <c r="J194" s="391">
        <v>54546.62</v>
      </c>
      <c r="K194" s="391">
        <v>54127.02</v>
      </c>
      <c r="L194" s="391">
        <v>53707.42</v>
      </c>
      <c r="M194" s="391">
        <v>53287.82</v>
      </c>
      <c r="N194" s="391">
        <v>52868.22</v>
      </c>
      <c r="O194" s="391">
        <v>52448.62</v>
      </c>
      <c r="P194" s="391">
        <v>52029.02</v>
      </c>
      <c r="Q194" s="391">
        <v>51609.42</v>
      </c>
      <c r="R194" s="391">
        <v>51189.82</v>
      </c>
      <c r="S194" s="618">
        <f t="shared" si="55"/>
        <v>53707.420000000006</v>
      </c>
      <c r="T194" s="382"/>
      <c r="U194" s="833"/>
      <c r="V194" s="833"/>
      <c r="W194" s="833">
        <f t="shared" ref="W194:W205" si="57">+S194</f>
        <v>53707.420000000006</v>
      </c>
      <c r="X194" s="425"/>
      <c r="Y194" s="833"/>
      <c r="Z194" s="833"/>
      <c r="AA194" s="833"/>
      <c r="AB194" s="833"/>
      <c r="AC194" s="835">
        <f t="shared" si="56"/>
        <v>53707.420000000006</v>
      </c>
      <c r="AD194" s="834"/>
      <c r="AE194" s="834"/>
      <c r="AF194" s="781">
        <f t="shared" si="37"/>
        <v>0</v>
      </c>
    </row>
    <row r="195" spans="1:32">
      <c r="A195" s="422">
        <f t="shared" si="38"/>
        <v>181</v>
      </c>
      <c r="B195" s="423" t="s">
        <v>1063</v>
      </c>
      <c r="C195" s="657" t="s">
        <v>481</v>
      </c>
      <c r="D195" s="423" t="s">
        <v>486</v>
      </c>
      <c r="E195" s="777" t="s">
        <v>487</v>
      </c>
      <c r="F195" s="391">
        <v>908285.03999999899</v>
      </c>
      <c r="G195" s="391">
        <v>903854.38</v>
      </c>
      <c r="H195" s="391">
        <v>898503.35</v>
      </c>
      <c r="I195" s="391">
        <v>894077.23</v>
      </c>
      <c r="J195" s="391">
        <v>889651.11</v>
      </c>
      <c r="K195" s="391">
        <v>885043.63</v>
      </c>
      <c r="L195" s="391">
        <v>880618.41</v>
      </c>
      <c r="M195" s="391">
        <v>876193.19</v>
      </c>
      <c r="N195" s="391">
        <v>871767.97</v>
      </c>
      <c r="O195" s="391">
        <v>867342.75</v>
      </c>
      <c r="P195" s="391">
        <v>862917.53</v>
      </c>
      <c r="Q195" s="391">
        <v>857085.01</v>
      </c>
      <c r="R195" s="391">
        <v>852667.05</v>
      </c>
      <c r="S195" s="618">
        <f t="shared" si="55"/>
        <v>880627.55041666667</v>
      </c>
      <c r="T195" s="382"/>
      <c r="U195" s="833"/>
      <c r="V195" s="833"/>
      <c r="W195" s="833">
        <f t="shared" si="57"/>
        <v>880627.55041666667</v>
      </c>
      <c r="X195" s="425"/>
      <c r="Y195" s="833"/>
      <c r="Z195" s="833"/>
      <c r="AA195" s="833"/>
      <c r="AB195" s="833"/>
      <c r="AC195" s="835">
        <f t="shared" si="56"/>
        <v>880627.55041666667</v>
      </c>
      <c r="AD195" s="834"/>
      <c r="AE195" s="834"/>
      <c r="AF195" s="781">
        <f t="shared" si="37"/>
        <v>0</v>
      </c>
    </row>
    <row r="196" spans="1:32">
      <c r="A196" s="422">
        <f t="shared" si="38"/>
        <v>182</v>
      </c>
      <c r="B196" s="423" t="s">
        <v>1063</v>
      </c>
      <c r="C196" s="657" t="s">
        <v>481</v>
      </c>
      <c r="D196" s="423" t="s">
        <v>488</v>
      </c>
      <c r="E196" s="777" t="s">
        <v>489</v>
      </c>
      <c r="F196" s="391">
        <v>41473.199999999997</v>
      </c>
      <c r="G196" s="391">
        <v>40125.14</v>
      </c>
      <c r="H196" s="391">
        <v>38777.08</v>
      </c>
      <c r="I196" s="391">
        <v>37429.019999999997</v>
      </c>
      <c r="J196" s="391">
        <v>36080.959999999999</v>
      </c>
      <c r="K196" s="391">
        <v>34732.9</v>
      </c>
      <c r="L196" s="391">
        <v>33384.839999999997</v>
      </c>
      <c r="M196" s="391">
        <v>32036.78</v>
      </c>
      <c r="N196" s="391">
        <v>30688.720000000001</v>
      </c>
      <c r="O196" s="391">
        <v>29340.66</v>
      </c>
      <c r="P196" s="391">
        <v>27992.6</v>
      </c>
      <c r="Q196" s="391">
        <v>26644.54</v>
      </c>
      <c r="R196" s="391">
        <v>25296.48</v>
      </c>
      <c r="S196" s="618">
        <f t="shared" si="55"/>
        <v>33384.839999999989</v>
      </c>
      <c r="T196" s="382"/>
      <c r="U196" s="833"/>
      <c r="V196" s="833"/>
      <c r="W196" s="833">
        <f t="shared" si="57"/>
        <v>33384.839999999989</v>
      </c>
      <c r="X196" s="425"/>
      <c r="Y196" s="833"/>
      <c r="Z196" s="833"/>
      <c r="AA196" s="833"/>
      <c r="AB196" s="833"/>
      <c r="AC196" s="835">
        <f t="shared" si="56"/>
        <v>33384.839999999989</v>
      </c>
      <c r="AD196" s="834"/>
      <c r="AE196" s="834"/>
      <c r="AF196" s="781">
        <f t="shared" si="37"/>
        <v>0</v>
      </c>
    </row>
    <row r="197" spans="1:32">
      <c r="A197" s="422">
        <f t="shared" si="38"/>
        <v>183</v>
      </c>
      <c r="B197" s="423" t="s">
        <v>1063</v>
      </c>
      <c r="C197" s="657" t="s">
        <v>481</v>
      </c>
      <c r="D197" s="423" t="s">
        <v>490</v>
      </c>
      <c r="E197" s="777" t="s">
        <v>491</v>
      </c>
      <c r="F197" s="391">
        <v>148975.07999999999</v>
      </c>
      <c r="G197" s="391">
        <v>148327.57999999999</v>
      </c>
      <c r="H197" s="391">
        <v>147680.07999999999</v>
      </c>
      <c r="I197" s="391">
        <v>147032.57999999999</v>
      </c>
      <c r="J197" s="391">
        <v>146385.07999999999</v>
      </c>
      <c r="K197" s="391">
        <v>145737.57999999999</v>
      </c>
      <c r="L197" s="391">
        <v>145090.07999999999</v>
      </c>
      <c r="M197" s="391">
        <v>144442.57999999999</v>
      </c>
      <c r="N197" s="391">
        <v>143795.07999999999</v>
      </c>
      <c r="O197" s="391">
        <v>143147.57999999999</v>
      </c>
      <c r="P197" s="391">
        <v>142500.07999999999</v>
      </c>
      <c r="Q197" s="391">
        <v>141852.57999999999</v>
      </c>
      <c r="R197" s="391">
        <v>141205.07999999999</v>
      </c>
      <c r="S197" s="618">
        <f t="shared" si="55"/>
        <v>145090.08000000002</v>
      </c>
      <c r="T197" s="382"/>
      <c r="U197" s="833"/>
      <c r="V197" s="833"/>
      <c r="W197" s="833">
        <f t="shared" si="57"/>
        <v>145090.08000000002</v>
      </c>
      <c r="X197" s="425"/>
      <c r="Y197" s="833"/>
      <c r="Z197" s="833"/>
      <c r="AA197" s="833"/>
      <c r="AB197" s="833"/>
      <c r="AC197" s="835">
        <f t="shared" si="56"/>
        <v>145090.08000000002</v>
      </c>
      <c r="AD197" s="834"/>
      <c r="AE197" s="834"/>
      <c r="AF197" s="781">
        <f t="shared" si="37"/>
        <v>0</v>
      </c>
    </row>
    <row r="198" spans="1:32">
      <c r="A198" s="422">
        <f t="shared" si="38"/>
        <v>184</v>
      </c>
      <c r="B198" s="423" t="s">
        <v>1063</v>
      </c>
      <c r="C198" s="657" t="s">
        <v>481</v>
      </c>
      <c r="D198" s="423" t="s">
        <v>492</v>
      </c>
      <c r="E198" s="658" t="s">
        <v>493</v>
      </c>
      <c r="F198" s="391">
        <v>95428.63</v>
      </c>
      <c r="G198" s="391">
        <v>94379.96</v>
      </c>
      <c r="H198" s="391">
        <v>93331.29</v>
      </c>
      <c r="I198" s="391">
        <v>92282.62</v>
      </c>
      <c r="J198" s="391">
        <v>91233.95</v>
      </c>
      <c r="K198" s="391">
        <v>90185.279999999999</v>
      </c>
      <c r="L198" s="391">
        <v>89136.61</v>
      </c>
      <c r="M198" s="391">
        <v>88087.94</v>
      </c>
      <c r="N198" s="391">
        <v>87039.27</v>
      </c>
      <c r="O198" s="391">
        <v>85990.6</v>
      </c>
      <c r="P198" s="391">
        <v>84941.93</v>
      </c>
      <c r="Q198" s="391">
        <v>83893.26</v>
      </c>
      <c r="R198" s="391">
        <v>82844.59</v>
      </c>
      <c r="S198" s="618">
        <f t="shared" si="55"/>
        <v>89136.61</v>
      </c>
      <c r="T198" s="382"/>
      <c r="U198" s="833"/>
      <c r="V198" s="833"/>
      <c r="W198" s="833">
        <f t="shared" si="57"/>
        <v>89136.61</v>
      </c>
      <c r="X198" s="425"/>
      <c r="Y198" s="833"/>
      <c r="Z198" s="833"/>
      <c r="AA198" s="833"/>
      <c r="AB198" s="833"/>
      <c r="AC198" s="835">
        <f t="shared" si="56"/>
        <v>89136.61</v>
      </c>
      <c r="AD198" s="834"/>
      <c r="AE198" s="834"/>
      <c r="AF198" s="781">
        <f t="shared" si="37"/>
        <v>0</v>
      </c>
    </row>
    <row r="199" spans="1:32">
      <c r="A199" s="422">
        <f t="shared" si="38"/>
        <v>185</v>
      </c>
      <c r="B199" s="423" t="s">
        <v>1063</v>
      </c>
      <c r="C199" s="657" t="s">
        <v>481</v>
      </c>
      <c r="D199" s="423" t="s">
        <v>494</v>
      </c>
      <c r="E199" s="658" t="s">
        <v>495</v>
      </c>
      <c r="F199" s="391">
        <v>106544.65</v>
      </c>
      <c r="G199" s="391">
        <v>105705.72</v>
      </c>
      <c r="H199" s="391">
        <v>104866.79</v>
      </c>
      <c r="I199" s="391">
        <v>104027.86</v>
      </c>
      <c r="J199" s="391">
        <v>103188.93</v>
      </c>
      <c r="K199" s="391">
        <v>102350</v>
      </c>
      <c r="L199" s="391">
        <v>101511.07</v>
      </c>
      <c r="M199" s="391">
        <v>100672.14</v>
      </c>
      <c r="N199" s="391">
        <v>99833.210000000094</v>
      </c>
      <c r="O199" s="391">
        <v>98994.280000000101</v>
      </c>
      <c r="P199" s="391">
        <v>98155.350000000093</v>
      </c>
      <c r="Q199" s="391">
        <v>97316.4200000001</v>
      </c>
      <c r="R199" s="391">
        <v>96477.490000000107</v>
      </c>
      <c r="S199" s="618">
        <f t="shared" si="55"/>
        <v>101511.07000000005</v>
      </c>
      <c r="T199" s="382"/>
      <c r="U199" s="833"/>
      <c r="V199" s="833"/>
      <c r="W199" s="833">
        <f t="shared" si="57"/>
        <v>101511.07000000005</v>
      </c>
      <c r="X199" s="425"/>
      <c r="Y199" s="833"/>
      <c r="Z199" s="833"/>
      <c r="AA199" s="833"/>
      <c r="AB199" s="833"/>
      <c r="AC199" s="835">
        <f t="shared" si="56"/>
        <v>101511.07000000005</v>
      </c>
      <c r="AD199" s="834"/>
      <c r="AE199" s="834"/>
      <c r="AF199" s="781">
        <f t="shared" si="37"/>
        <v>0</v>
      </c>
    </row>
    <row r="200" spans="1:32">
      <c r="A200" s="422">
        <f t="shared" si="38"/>
        <v>186</v>
      </c>
      <c r="B200" s="423" t="s">
        <v>1063</v>
      </c>
      <c r="C200" s="657" t="s">
        <v>481</v>
      </c>
      <c r="D200" s="423" t="s">
        <v>466</v>
      </c>
      <c r="E200" s="658" t="s">
        <v>496</v>
      </c>
      <c r="F200" s="391">
        <v>177725.47</v>
      </c>
      <c r="G200" s="391">
        <v>171143.04000000001</v>
      </c>
      <c r="H200" s="391">
        <v>164560.60999999999</v>
      </c>
      <c r="I200" s="391">
        <v>157978.18</v>
      </c>
      <c r="J200" s="391">
        <v>151395.75</v>
      </c>
      <c r="K200" s="391">
        <v>144813.32</v>
      </c>
      <c r="L200" s="391">
        <v>138230.89000000001</v>
      </c>
      <c r="M200" s="391">
        <v>131648.46</v>
      </c>
      <c r="N200" s="391">
        <v>125066.03</v>
      </c>
      <c r="O200" s="391">
        <v>118483.6</v>
      </c>
      <c r="P200" s="391">
        <v>111901.17</v>
      </c>
      <c r="Q200" s="391">
        <v>105318.74</v>
      </c>
      <c r="R200" s="391">
        <v>98736.3100000001</v>
      </c>
      <c r="S200" s="618">
        <f t="shared" si="55"/>
        <v>138230.89000000004</v>
      </c>
      <c r="T200" s="382"/>
      <c r="U200" s="833"/>
      <c r="V200" s="833"/>
      <c r="W200" s="833">
        <f t="shared" si="57"/>
        <v>138230.89000000004</v>
      </c>
      <c r="X200" s="425"/>
      <c r="Y200" s="833"/>
      <c r="Z200" s="833"/>
      <c r="AA200" s="833"/>
      <c r="AB200" s="833"/>
      <c r="AC200" s="835">
        <f t="shared" si="56"/>
        <v>138230.89000000004</v>
      </c>
      <c r="AD200" s="834"/>
      <c r="AE200" s="834"/>
      <c r="AF200" s="781">
        <f t="shared" si="37"/>
        <v>0</v>
      </c>
    </row>
    <row r="201" spans="1:32">
      <c r="A201" s="422">
        <f t="shared" si="38"/>
        <v>187</v>
      </c>
      <c r="B201" s="423" t="s">
        <v>1063</v>
      </c>
      <c r="C201" s="657" t="s">
        <v>481</v>
      </c>
      <c r="D201" s="423" t="s">
        <v>497</v>
      </c>
      <c r="E201" s="658" t="s">
        <v>498</v>
      </c>
      <c r="F201" s="391">
        <v>55862.720000000001</v>
      </c>
      <c r="G201" s="391">
        <v>55689.23</v>
      </c>
      <c r="H201" s="391">
        <v>55515.74</v>
      </c>
      <c r="I201" s="391">
        <v>55342.25</v>
      </c>
      <c r="J201" s="391">
        <v>55168.76</v>
      </c>
      <c r="K201" s="391">
        <v>54995.27</v>
      </c>
      <c r="L201" s="391">
        <v>54821.78</v>
      </c>
      <c r="M201" s="391">
        <v>54648.29</v>
      </c>
      <c r="N201" s="391">
        <v>54474.8</v>
      </c>
      <c r="O201" s="391">
        <v>54301.31</v>
      </c>
      <c r="P201" s="391">
        <v>54127.82</v>
      </c>
      <c r="Q201" s="391">
        <v>53954.33</v>
      </c>
      <c r="R201" s="391">
        <v>53780.84</v>
      </c>
      <c r="S201" s="618">
        <f t="shared" si="55"/>
        <v>54821.78</v>
      </c>
      <c r="T201" s="382"/>
      <c r="U201" s="833"/>
      <c r="V201" s="833"/>
      <c r="W201" s="833">
        <f t="shared" si="57"/>
        <v>54821.78</v>
      </c>
      <c r="X201" s="425"/>
      <c r="Y201" s="833"/>
      <c r="Z201" s="833"/>
      <c r="AA201" s="833"/>
      <c r="AB201" s="833"/>
      <c r="AC201" s="835">
        <f t="shared" si="56"/>
        <v>54821.78</v>
      </c>
      <c r="AD201" s="834"/>
      <c r="AE201" s="834"/>
      <c r="AF201" s="781">
        <f t="shared" si="37"/>
        <v>0</v>
      </c>
    </row>
    <row r="202" spans="1:32">
      <c r="A202" s="422">
        <f t="shared" si="38"/>
        <v>188</v>
      </c>
      <c r="B202" s="423" t="s">
        <v>1063</v>
      </c>
      <c r="C202" s="657" t="s">
        <v>481</v>
      </c>
      <c r="D202" s="423" t="s">
        <v>499</v>
      </c>
      <c r="E202" s="658" t="s">
        <v>500</v>
      </c>
      <c r="F202" s="391">
        <v>56267.94</v>
      </c>
      <c r="G202" s="391">
        <v>56140.639999999999</v>
      </c>
      <c r="H202" s="391">
        <v>56013.34</v>
      </c>
      <c r="I202" s="391">
        <v>55886.04</v>
      </c>
      <c r="J202" s="391">
        <v>55758.74</v>
      </c>
      <c r="K202" s="391">
        <v>55631.44</v>
      </c>
      <c r="L202" s="391">
        <v>55504.14</v>
      </c>
      <c r="M202" s="391">
        <v>55376.84</v>
      </c>
      <c r="N202" s="391">
        <v>55249.54</v>
      </c>
      <c r="O202" s="391">
        <v>55122.239999999998</v>
      </c>
      <c r="P202" s="391">
        <v>54994.94</v>
      </c>
      <c r="Q202" s="391">
        <v>54867.64</v>
      </c>
      <c r="R202" s="391">
        <v>54740.34</v>
      </c>
      <c r="S202" s="618">
        <f t="shared" si="55"/>
        <v>55504.139999999992</v>
      </c>
      <c r="T202" s="382"/>
      <c r="U202" s="833"/>
      <c r="V202" s="833"/>
      <c r="W202" s="833">
        <f t="shared" si="57"/>
        <v>55504.139999999992</v>
      </c>
      <c r="X202" s="425"/>
      <c r="Y202" s="833"/>
      <c r="Z202" s="833"/>
      <c r="AA202" s="833"/>
      <c r="AB202" s="833"/>
      <c r="AC202" s="835">
        <f t="shared" si="56"/>
        <v>55504.139999999992</v>
      </c>
      <c r="AD202" s="834"/>
      <c r="AE202" s="834"/>
      <c r="AF202" s="781">
        <f t="shared" si="37"/>
        <v>0</v>
      </c>
    </row>
    <row r="203" spans="1:32">
      <c r="A203" s="422">
        <f t="shared" si="38"/>
        <v>189</v>
      </c>
      <c r="B203" s="423" t="s">
        <v>1063</v>
      </c>
      <c r="C203" s="657" t="s">
        <v>481</v>
      </c>
      <c r="D203" s="423" t="s">
        <v>501</v>
      </c>
      <c r="E203" s="658" t="s">
        <v>500</v>
      </c>
      <c r="F203" s="391">
        <v>56209.7</v>
      </c>
      <c r="G203" s="391">
        <v>56036.21</v>
      </c>
      <c r="H203" s="391">
        <v>55862.720000000001</v>
      </c>
      <c r="I203" s="391">
        <v>55689.23</v>
      </c>
      <c r="J203" s="391">
        <v>55515.74</v>
      </c>
      <c r="K203" s="391">
        <v>55342.25</v>
      </c>
      <c r="L203" s="391">
        <v>55168.76</v>
      </c>
      <c r="M203" s="391">
        <v>54995.27</v>
      </c>
      <c r="N203" s="391">
        <v>54821.78</v>
      </c>
      <c r="O203" s="391">
        <v>54648.29</v>
      </c>
      <c r="P203" s="391">
        <v>54474.8</v>
      </c>
      <c r="Q203" s="391">
        <v>54301.31</v>
      </c>
      <c r="R203" s="391">
        <v>54127.82</v>
      </c>
      <c r="S203" s="618">
        <f t="shared" si="55"/>
        <v>55168.760000000009</v>
      </c>
      <c r="T203" s="382"/>
      <c r="U203" s="833"/>
      <c r="V203" s="833"/>
      <c r="W203" s="833">
        <f t="shared" si="57"/>
        <v>55168.760000000009</v>
      </c>
      <c r="X203" s="425"/>
      <c r="Y203" s="833"/>
      <c r="Z203" s="833"/>
      <c r="AA203" s="833"/>
      <c r="AB203" s="833"/>
      <c r="AC203" s="835">
        <f t="shared" si="56"/>
        <v>55168.760000000009</v>
      </c>
      <c r="AD203" s="834"/>
      <c r="AE203" s="834"/>
      <c r="AF203" s="781">
        <f t="shared" si="37"/>
        <v>0</v>
      </c>
    </row>
    <row r="204" spans="1:32">
      <c r="A204" s="422">
        <f t="shared" si="38"/>
        <v>190</v>
      </c>
      <c r="B204" s="423" t="s">
        <v>1063</v>
      </c>
      <c r="C204" s="657" t="s">
        <v>481</v>
      </c>
      <c r="D204" s="423" t="s">
        <v>502</v>
      </c>
      <c r="E204" s="658" t="s">
        <v>500</v>
      </c>
      <c r="F204" s="391">
        <v>56522.54</v>
      </c>
      <c r="G204" s="391">
        <v>56395.24</v>
      </c>
      <c r="H204" s="391">
        <v>56267.94</v>
      </c>
      <c r="I204" s="391">
        <v>56140.639999999999</v>
      </c>
      <c r="J204" s="391">
        <v>56013.34</v>
      </c>
      <c r="K204" s="391">
        <v>55886.04</v>
      </c>
      <c r="L204" s="391">
        <v>55758.74</v>
      </c>
      <c r="M204" s="391">
        <v>55631.44</v>
      </c>
      <c r="N204" s="391">
        <v>55504.14</v>
      </c>
      <c r="O204" s="391">
        <v>55376.84</v>
      </c>
      <c r="P204" s="391">
        <v>55249.54</v>
      </c>
      <c r="Q204" s="391">
        <v>55122.239999999998</v>
      </c>
      <c r="R204" s="391">
        <v>54994.94</v>
      </c>
      <c r="S204" s="618">
        <f t="shared" si="55"/>
        <v>55758.74</v>
      </c>
      <c r="T204" s="382"/>
      <c r="U204" s="833"/>
      <c r="V204" s="833"/>
      <c r="W204" s="833">
        <f t="shared" si="57"/>
        <v>55758.74</v>
      </c>
      <c r="X204" s="425"/>
      <c r="Y204" s="833"/>
      <c r="Z204" s="833"/>
      <c r="AA204" s="833"/>
      <c r="AB204" s="833"/>
      <c r="AC204" s="835">
        <f t="shared" si="56"/>
        <v>55758.74</v>
      </c>
      <c r="AD204" s="834"/>
      <c r="AE204" s="834"/>
      <c r="AF204" s="781">
        <f t="shared" si="37"/>
        <v>0</v>
      </c>
    </row>
    <row r="205" spans="1:32">
      <c r="A205" s="422">
        <f t="shared" si="38"/>
        <v>191</v>
      </c>
      <c r="B205" s="423" t="s">
        <v>1063</v>
      </c>
      <c r="C205" s="657" t="s">
        <v>481</v>
      </c>
      <c r="D205" s="423" t="s">
        <v>754</v>
      </c>
      <c r="E205" s="658" t="s">
        <v>755</v>
      </c>
      <c r="F205" s="405">
        <v>-1646971.61</v>
      </c>
      <c r="G205" s="405">
        <v>-1637077.15</v>
      </c>
      <c r="H205" s="405">
        <v>-1626262.32</v>
      </c>
      <c r="I205" s="405">
        <v>-1616372.4</v>
      </c>
      <c r="J205" s="405">
        <v>-1606482.48</v>
      </c>
      <c r="K205" s="405">
        <v>-1596411.2</v>
      </c>
      <c r="L205" s="405">
        <v>-1586522.18</v>
      </c>
      <c r="M205" s="405">
        <v>-1576633.16</v>
      </c>
      <c r="N205" s="405">
        <v>-1566744.14</v>
      </c>
      <c r="O205" s="405">
        <v>-1556855.12</v>
      </c>
      <c r="P205" s="405">
        <v>-1546966.1</v>
      </c>
      <c r="Q205" s="405">
        <v>-1535669.78</v>
      </c>
      <c r="R205" s="405">
        <v>-1525788.02</v>
      </c>
      <c r="S205" s="619">
        <f t="shared" si="55"/>
        <v>-1586531.3204166668</v>
      </c>
      <c r="T205" s="382"/>
      <c r="U205" s="833"/>
      <c r="V205" s="833"/>
      <c r="W205" s="833">
        <f t="shared" si="57"/>
        <v>-1586531.3204166668</v>
      </c>
      <c r="X205" s="425"/>
      <c r="Y205" s="833"/>
      <c r="Z205" s="833"/>
      <c r="AA205" s="833"/>
      <c r="AB205" s="833"/>
      <c r="AC205" s="835">
        <f t="shared" si="56"/>
        <v>-1586531.3204166668</v>
      </c>
      <c r="AD205" s="834"/>
      <c r="AE205" s="834"/>
      <c r="AF205" s="781">
        <f t="shared" si="37"/>
        <v>0</v>
      </c>
    </row>
    <row r="206" spans="1:32">
      <c r="A206" s="422">
        <f t="shared" si="38"/>
        <v>192</v>
      </c>
      <c r="B206" s="422"/>
      <c r="C206" s="422"/>
      <c r="D206" s="422"/>
      <c r="E206" s="774" t="s">
        <v>503</v>
      </c>
      <c r="F206" s="391">
        <f>SUM(F193:F205)</f>
        <v>177725.46999999881</v>
      </c>
      <c r="G206" s="391">
        <f t="shared" ref="G206:S206" si="58">SUM(G193:G205)</f>
        <v>171143.0399999998</v>
      </c>
      <c r="H206" s="391">
        <f t="shared" si="58"/>
        <v>164560.60999999987</v>
      </c>
      <c r="I206" s="391">
        <f t="shared" si="58"/>
        <v>157978.17999999993</v>
      </c>
      <c r="J206" s="391">
        <f t="shared" si="58"/>
        <v>151395.75</v>
      </c>
      <c r="K206" s="391">
        <f t="shared" si="58"/>
        <v>144813.32000000007</v>
      </c>
      <c r="L206" s="391">
        <f t="shared" si="58"/>
        <v>138230.89000000036</v>
      </c>
      <c r="M206" s="391">
        <f t="shared" si="58"/>
        <v>131648.45999999996</v>
      </c>
      <c r="N206" s="391">
        <f t="shared" si="58"/>
        <v>125066.03000000026</v>
      </c>
      <c r="O206" s="391">
        <f t="shared" si="58"/>
        <v>118483.60000000033</v>
      </c>
      <c r="P206" s="391">
        <f t="shared" si="58"/>
        <v>111901.16999999993</v>
      </c>
      <c r="Q206" s="391">
        <f t="shared" si="58"/>
        <v>105318.74000000022</v>
      </c>
      <c r="R206" s="391">
        <f t="shared" si="58"/>
        <v>98736.310000000289</v>
      </c>
      <c r="S206" s="618">
        <f t="shared" si="58"/>
        <v>138230.89000000013</v>
      </c>
      <c r="T206" s="382"/>
      <c r="U206" s="833"/>
      <c r="V206" s="833"/>
      <c r="W206" s="833"/>
      <c r="X206" s="425"/>
      <c r="Y206" s="833"/>
      <c r="Z206" s="833"/>
      <c r="AA206" s="833"/>
      <c r="AB206" s="833"/>
      <c r="AC206" s="834"/>
      <c r="AD206" s="834"/>
      <c r="AE206" s="834"/>
      <c r="AF206" s="781">
        <f t="shared" si="37"/>
        <v>0</v>
      </c>
    </row>
    <row r="207" spans="1:32">
      <c r="A207" s="422">
        <f t="shared" si="38"/>
        <v>193</v>
      </c>
      <c r="B207" s="422"/>
      <c r="C207" s="422"/>
      <c r="D207" s="422"/>
      <c r="E207" s="775"/>
      <c r="F207" s="391"/>
      <c r="G207" s="420"/>
      <c r="H207" s="408"/>
      <c r="I207" s="408"/>
      <c r="J207" s="409"/>
      <c r="K207" s="410"/>
      <c r="L207" s="411"/>
      <c r="M207" s="412"/>
      <c r="N207" s="413"/>
      <c r="O207" s="414"/>
      <c r="P207" s="415"/>
      <c r="Q207" s="421"/>
      <c r="R207" s="391"/>
      <c r="S207" s="392"/>
      <c r="T207" s="382"/>
      <c r="U207" s="833"/>
      <c r="V207" s="833"/>
      <c r="W207" s="833"/>
      <c r="X207" s="425"/>
      <c r="Y207" s="833"/>
      <c r="Z207" s="833"/>
      <c r="AA207" s="833"/>
      <c r="AB207" s="833"/>
      <c r="AC207" s="834"/>
      <c r="AD207" s="834"/>
      <c r="AE207" s="834"/>
      <c r="AF207" s="781">
        <f t="shared" ref="AF207:AF270" si="59">+U207+V207-AD207</f>
        <v>0</v>
      </c>
    </row>
    <row r="208" spans="1:32">
      <c r="A208" s="779">
        <f t="shared" si="38"/>
        <v>194</v>
      </c>
      <c r="B208" s="423" t="s">
        <v>1063</v>
      </c>
      <c r="C208" s="423" t="s">
        <v>504</v>
      </c>
      <c r="D208" s="423" t="s">
        <v>506</v>
      </c>
      <c r="E208" s="777" t="s">
        <v>507</v>
      </c>
      <c r="F208" s="391">
        <v>785271.11</v>
      </c>
      <c r="G208" s="391">
        <v>781856.89</v>
      </c>
      <c r="H208" s="391">
        <v>778442.67</v>
      </c>
      <c r="I208" s="391">
        <v>775028.45</v>
      </c>
      <c r="J208" s="391">
        <v>771614.23</v>
      </c>
      <c r="K208" s="391">
        <v>768200.01</v>
      </c>
      <c r="L208" s="391">
        <v>764785.79</v>
      </c>
      <c r="M208" s="391">
        <v>761371.57</v>
      </c>
      <c r="N208" s="391">
        <v>757957.35</v>
      </c>
      <c r="O208" s="391">
        <v>754543.13</v>
      </c>
      <c r="P208" s="391">
        <v>751128.91</v>
      </c>
      <c r="Q208" s="391">
        <v>747714.69</v>
      </c>
      <c r="R208" s="391">
        <v>744300.47</v>
      </c>
      <c r="S208" s="618">
        <f>((F208+R208)+((G208+H208+I208+J208+K208+L208+M208+N208+O208+P208+Q208)*2))/24</f>
        <v>764785.79</v>
      </c>
      <c r="T208" s="382"/>
      <c r="U208" s="833"/>
      <c r="V208" s="833"/>
      <c r="W208" s="833">
        <f t="shared" ref="W208" si="60">+S208</f>
        <v>764785.79</v>
      </c>
      <c r="X208" s="425"/>
      <c r="Y208" s="833"/>
      <c r="Z208" s="833"/>
      <c r="AA208" s="833"/>
      <c r="AB208" s="833"/>
      <c r="AC208" s="835">
        <f>+S208</f>
        <v>764785.79</v>
      </c>
      <c r="AD208" s="834"/>
      <c r="AE208" s="834"/>
      <c r="AF208" s="781">
        <f t="shared" si="59"/>
        <v>0</v>
      </c>
    </row>
    <row r="209" spans="1:32">
      <c r="A209" s="779">
        <f t="shared" ref="A209:A272" si="61">+A208+1</f>
        <v>195</v>
      </c>
      <c r="B209" s="422"/>
      <c r="C209" s="422"/>
      <c r="D209" s="422"/>
      <c r="E209" s="777" t="s">
        <v>503</v>
      </c>
      <c r="F209" s="394">
        <f t="shared" ref="F209:S209" si="62">SUM(F208:F208)</f>
        <v>785271.11</v>
      </c>
      <c r="G209" s="394">
        <f t="shared" si="62"/>
        <v>781856.89</v>
      </c>
      <c r="H209" s="394">
        <f t="shared" si="62"/>
        <v>778442.67</v>
      </c>
      <c r="I209" s="394">
        <f t="shared" si="62"/>
        <v>775028.45</v>
      </c>
      <c r="J209" s="394">
        <f t="shared" si="62"/>
        <v>771614.23</v>
      </c>
      <c r="K209" s="394">
        <f t="shared" si="62"/>
        <v>768200.01</v>
      </c>
      <c r="L209" s="394">
        <f t="shared" si="62"/>
        <v>764785.79</v>
      </c>
      <c r="M209" s="394">
        <f t="shared" si="62"/>
        <v>761371.57</v>
      </c>
      <c r="N209" s="394">
        <f t="shared" si="62"/>
        <v>757957.35</v>
      </c>
      <c r="O209" s="394">
        <f t="shared" si="62"/>
        <v>754543.13</v>
      </c>
      <c r="P209" s="394">
        <f t="shared" si="62"/>
        <v>751128.91</v>
      </c>
      <c r="Q209" s="394">
        <f t="shared" si="62"/>
        <v>747714.69</v>
      </c>
      <c r="R209" s="394">
        <f t="shared" si="62"/>
        <v>744300.47</v>
      </c>
      <c r="S209" s="620">
        <f t="shared" si="62"/>
        <v>764785.79</v>
      </c>
      <c r="T209" s="382"/>
      <c r="U209" s="833"/>
      <c r="V209" s="833"/>
      <c r="W209" s="833"/>
      <c r="X209" s="425"/>
      <c r="Y209" s="833"/>
      <c r="Z209" s="833"/>
      <c r="AA209" s="833"/>
      <c r="AB209" s="833"/>
      <c r="AC209" s="834"/>
      <c r="AD209" s="834"/>
      <c r="AE209" s="834"/>
      <c r="AF209" s="781">
        <f t="shared" si="59"/>
        <v>0</v>
      </c>
    </row>
    <row r="210" spans="1:32">
      <c r="A210" s="779">
        <f t="shared" si="61"/>
        <v>196</v>
      </c>
      <c r="B210" s="422"/>
      <c r="C210" s="422"/>
      <c r="D210" s="422"/>
      <c r="E210" s="763"/>
      <c r="F210" s="391"/>
      <c r="G210" s="420"/>
      <c r="H210" s="408"/>
      <c r="I210" s="408"/>
      <c r="J210" s="409"/>
      <c r="K210" s="410"/>
      <c r="L210" s="411"/>
      <c r="M210" s="412"/>
      <c r="N210" s="413"/>
      <c r="O210" s="414"/>
      <c r="P210" s="415"/>
      <c r="Q210" s="421"/>
      <c r="R210" s="391"/>
      <c r="S210" s="392"/>
      <c r="T210" s="382"/>
      <c r="U210" s="833"/>
      <c r="V210" s="833"/>
      <c r="W210" s="833"/>
      <c r="X210" s="425"/>
      <c r="Y210" s="833"/>
      <c r="Z210" s="833"/>
      <c r="AA210" s="833"/>
      <c r="AB210" s="833"/>
      <c r="AC210" s="834"/>
      <c r="AD210" s="834"/>
      <c r="AE210" s="834"/>
      <c r="AF210" s="781">
        <f t="shared" si="59"/>
        <v>0</v>
      </c>
    </row>
    <row r="211" spans="1:32">
      <c r="A211" s="779">
        <f t="shared" si="61"/>
        <v>197</v>
      </c>
      <c r="B211" s="423" t="s">
        <v>1063</v>
      </c>
      <c r="C211" s="423" t="s">
        <v>471</v>
      </c>
      <c r="D211" s="423" t="s">
        <v>459</v>
      </c>
      <c r="E211" s="777" t="s">
        <v>508</v>
      </c>
      <c r="F211" s="391">
        <v>0</v>
      </c>
      <c r="G211" s="391">
        <v>0</v>
      </c>
      <c r="H211" s="391">
        <v>0</v>
      </c>
      <c r="I211" s="391">
        <v>0</v>
      </c>
      <c r="J211" s="391">
        <v>0</v>
      </c>
      <c r="K211" s="391">
        <v>0</v>
      </c>
      <c r="L211" s="391">
        <v>0</v>
      </c>
      <c r="M211" s="391">
        <v>0</v>
      </c>
      <c r="N211" s="391">
        <v>0</v>
      </c>
      <c r="O211" s="391">
        <v>0</v>
      </c>
      <c r="P211" s="391">
        <v>0</v>
      </c>
      <c r="Q211" s="391">
        <v>0</v>
      </c>
      <c r="R211" s="391">
        <v>0</v>
      </c>
      <c r="S211" s="618">
        <f t="shared" ref="S211:S261" si="63">((F211+R211)+((G211+H211+I211+J211+K211+L211+M211+N211+O211+P211+Q211)*2))/24</f>
        <v>0</v>
      </c>
      <c r="T211" s="382"/>
      <c r="U211" s="833">
        <f t="shared" ref="U211:U244" si="64">+S211</f>
        <v>0</v>
      </c>
      <c r="V211" s="833"/>
      <c r="W211" s="833"/>
      <c r="X211" s="425"/>
      <c r="Y211" s="833"/>
      <c r="Z211" s="833"/>
      <c r="AA211" s="833"/>
      <c r="AB211" s="833"/>
      <c r="AC211" s="834"/>
      <c r="AD211" s="835">
        <f t="shared" ref="AD211:AD242" si="65">+U211</f>
        <v>0</v>
      </c>
      <c r="AE211" s="834"/>
      <c r="AF211" s="781">
        <f t="shared" si="59"/>
        <v>0</v>
      </c>
    </row>
    <row r="212" spans="1:32">
      <c r="A212" s="779">
        <f t="shared" si="61"/>
        <v>198</v>
      </c>
      <c r="B212" s="423" t="s">
        <v>1094</v>
      </c>
      <c r="C212" s="423" t="s">
        <v>509</v>
      </c>
      <c r="D212" s="423" t="s">
        <v>1255</v>
      </c>
      <c r="E212" s="777" t="s">
        <v>1859</v>
      </c>
      <c r="F212" s="391">
        <v>1.0000000125728501E-2</v>
      </c>
      <c r="G212" s="391">
        <v>0.01</v>
      </c>
      <c r="H212" s="391">
        <v>0.01</v>
      </c>
      <c r="I212" s="391">
        <v>0</v>
      </c>
      <c r="J212" s="391">
        <v>0</v>
      </c>
      <c r="K212" s="391">
        <v>0</v>
      </c>
      <c r="L212" s="391">
        <v>0</v>
      </c>
      <c r="M212" s="391">
        <v>0</v>
      </c>
      <c r="N212" s="391">
        <v>0</v>
      </c>
      <c r="O212" s="391">
        <v>0</v>
      </c>
      <c r="P212" s="391">
        <v>0</v>
      </c>
      <c r="Q212" s="391">
        <v>0</v>
      </c>
      <c r="R212" s="391">
        <v>0</v>
      </c>
      <c r="S212" s="618">
        <f t="shared" si="63"/>
        <v>2.0833333385720208E-3</v>
      </c>
      <c r="T212" s="422"/>
      <c r="U212" s="833">
        <f t="shared" si="64"/>
        <v>2.0833333385720208E-3</v>
      </c>
      <c r="V212" s="833"/>
      <c r="W212" s="833"/>
      <c r="X212" s="425"/>
      <c r="Y212" s="833"/>
      <c r="Z212" s="833"/>
      <c r="AA212" s="833"/>
      <c r="AB212" s="833"/>
      <c r="AC212" s="834"/>
      <c r="AD212" s="835">
        <f t="shared" si="65"/>
        <v>2.0833333385720208E-3</v>
      </c>
      <c r="AE212" s="834"/>
      <c r="AF212" s="781">
        <f t="shared" si="59"/>
        <v>0</v>
      </c>
    </row>
    <row r="213" spans="1:32">
      <c r="A213" s="779">
        <f t="shared" si="61"/>
        <v>199</v>
      </c>
      <c r="B213" s="423" t="s">
        <v>1066</v>
      </c>
      <c r="C213" s="423" t="s">
        <v>509</v>
      </c>
      <c r="D213" s="423" t="s">
        <v>1256</v>
      </c>
      <c r="E213" s="777" t="s">
        <v>1257</v>
      </c>
      <c r="F213" s="391">
        <v>46332277.100000001</v>
      </c>
      <c r="G213" s="391">
        <v>46332277.100000001</v>
      </c>
      <c r="H213" s="391">
        <v>46332277.100000001</v>
      </c>
      <c r="I213" s="391">
        <v>46332277.100000001</v>
      </c>
      <c r="J213" s="391">
        <v>46332277.100000001</v>
      </c>
      <c r="K213" s="391">
        <v>46332277.100000001</v>
      </c>
      <c r="L213" s="391">
        <v>46332277.100000001</v>
      </c>
      <c r="M213" s="391">
        <v>46332277.100000001</v>
      </c>
      <c r="N213" s="391">
        <v>46332277.100000001</v>
      </c>
      <c r="O213" s="391">
        <v>46332277.100000001</v>
      </c>
      <c r="P213" s="391">
        <v>46332277.100000001</v>
      </c>
      <c r="Q213" s="391">
        <v>46332277.100000001</v>
      </c>
      <c r="R213" s="391">
        <v>47614629.100000001</v>
      </c>
      <c r="S213" s="618">
        <f t="shared" si="63"/>
        <v>46385708.433333345</v>
      </c>
      <c r="T213" s="422"/>
      <c r="U213" s="833">
        <f t="shared" si="64"/>
        <v>46385708.433333345</v>
      </c>
      <c r="V213" s="833"/>
      <c r="W213" s="833"/>
      <c r="X213" s="425"/>
      <c r="Y213" s="833"/>
      <c r="Z213" s="833"/>
      <c r="AA213" s="833"/>
      <c r="AB213" s="833"/>
      <c r="AC213" s="834"/>
      <c r="AD213" s="835">
        <f t="shared" si="65"/>
        <v>46385708.433333345</v>
      </c>
      <c r="AE213" s="834"/>
      <c r="AF213" s="781">
        <f t="shared" si="59"/>
        <v>0</v>
      </c>
    </row>
    <row r="214" spans="1:32">
      <c r="A214" s="779">
        <f t="shared" si="61"/>
        <v>200</v>
      </c>
      <c r="B214" s="423" t="s">
        <v>1066</v>
      </c>
      <c r="C214" s="423" t="s">
        <v>509</v>
      </c>
      <c r="D214" s="423" t="s">
        <v>1258</v>
      </c>
      <c r="E214" s="777" t="s">
        <v>1702</v>
      </c>
      <c r="F214" s="391">
        <v>930129</v>
      </c>
      <c r="G214" s="391">
        <v>930129</v>
      </c>
      <c r="H214" s="391">
        <v>930129</v>
      </c>
      <c r="I214" s="391">
        <v>930129</v>
      </c>
      <c r="J214" s="391">
        <v>930129</v>
      </c>
      <c r="K214" s="391">
        <v>930129</v>
      </c>
      <c r="L214" s="391">
        <v>930129</v>
      </c>
      <c r="M214" s="391">
        <v>930129</v>
      </c>
      <c r="N214" s="391">
        <v>930129</v>
      </c>
      <c r="O214" s="391">
        <v>930129</v>
      </c>
      <c r="P214" s="391">
        <v>930129</v>
      </c>
      <c r="Q214" s="391">
        <v>930129</v>
      </c>
      <c r="R214" s="391">
        <v>974030</v>
      </c>
      <c r="S214" s="618">
        <f t="shared" si="63"/>
        <v>931958.20833333337</v>
      </c>
      <c r="T214" s="422"/>
      <c r="U214" s="833">
        <f t="shared" si="64"/>
        <v>931958.20833333337</v>
      </c>
      <c r="V214" s="833"/>
      <c r="W214" s="833"/>
      <c r="X214" s="425"/>
      <c r="Y214" s="833"/>
      <c r="Z214" s="833"/>
      <c r="AA214" s="833"/>
      <c r="AB214" s="833"/>
      <c r="AC214" s="834"/>
      <c r="AD214" s="835">
        <f t="shared" si="65"/>
        <v>931958.20833333337</v>
      </c>
      <c r="AE214" s="834"/>
      <c r="AF214" s="781">
        <f t="shared" si="59"/>
        <v>0</v>
      </c>
    </row>
    <row r="215" spans="1:32">
      <c r="A215" s="779">
        <f t="shared" si="61"/>
        <v>201</v>
      </c>
      <c r="B215" s="423" t="s">
        <v>1094</v>
      </c>
      <c r="C215" s="423" t="s">
        <v>509</v>
      </c>
      <c r="D215" s="423" t="s">
        <v>1692</v>
      </c>
      <c r="E215" s="777" t="s">
        <v>1860</v>
      </c>
      <c r="F215" s="391">
        <v>532792.21</v>
      </c>
      <c r="G215" s="391">
        <v>536088.28</v>
      </c>
      <c r="H215" s="391">
        <v>539083.79</v>
      </c>
      <c r="I215" s="391">
        <v>542418.78</v>
      </c>
      <c r="J215" s="391">
        <v>545666.16</v>
      </c>
      <c r="K215" s="391">
        <v>549041.88</v>
      </c>
      <c r="L215" s="391">
        <v>552328.91</v>
      </c>
      <c r="M215" s="391">
        <v>555745.84</v>
      </c>
      <c r="N215" s="391">
        <v>559183.91</v>
      </c>
      <c r="O215" s="391">
        <v>562531.66</v>
      </c>
      <c r="P215" s="391">
        <v>566011.71</v>
      </c>
      <c r="Q215" s="391">
        <v>569400.34</v>
      </c>
      <c r="R215" s="391">
        <v>572922.88</v>
      </c>
      <c r="S215" s="618">
        <f t="shared" si="63"/>
        <v>552529.90041666664</v>
      </c>
      <c r="T215" s="382"/>
      <c r="U215" s="833">
        <f t="shared" si="64"/>
        <v>552529.90041666664</v>
      </c>
      <c r="V215" s="833"/>
      <c r="W215" s="833"/>
      <c r="X215" s="425"/>
      <c r="Y215" s="833"/>
      <c r="Z215" s="833"/>
      <c r="AA215" s="833"/>
      <c r="AB215" s="833"/>
      <c r="AC215" s="834"/>
      <c r="AD215" s="835">
        <f t="shared" si="65"/>
        <v>552529.90041666664</v>
      </c>
      <c r="AE215" s="834"/>
      <c r="AF215" s="781">
        <f t="shared" si="59"/>
        <v>0</v>
      </c>
    </row>
    <row r="216" spans="1:32">
      <c r="A216" s="779">
        <f t="shared" si="61"/>
        <v>202</v>
      </c>
      <c r="B216" s="423" t="s">
        <v>1066</v>
      </c>
      <c r="C216" s="423" t="s">
        <v>509</v>
      </c>
      <c r="D216" s="657" t="s">
        <v>1693</v>
      </c>
      <c r="E216" s="777" t="s">
        <v>1861</v>
      </c>
      <c r="F216" s="391">
        <v>0</v>
      </c>
      <c r="G216" s="391">
        <v>349663.66</v>
      </c>
      <c r="H216" s="391">
        <v>460698.81</v>
      </c>
      <c r="I216" s="391">
        <v>462361.74</v>
      </c>
      <c r="J216" s="391">
        <v>522328.37</v>
      </c>
      <c r="K216" s="391">
        <v>584010.86</v>
      </c>
      <c r="L216" s="391">
        <v>749514.8</v>
      </c>
      <c r="M216" s="391">
        <v>858054.38</v>
      </c>
      <c r="N216" s="391">
        <v>904314.46</v>
      </c>
      <c r="O216" s="391">
        <v>907800.41</v>
      </c>
      <c r="P216" s="391">
        <v>1157381.75</v>
      </c>
      <c r="Q216" s="391">
        <v>353024.26</v>
      </c>
      <c r="R216" s="391">
        <v>384645.37</v>
      </c>
      <c r="S216" s="618">
        <f t="shared" si="63"/>
        <v>625123.01541666663</v>
      </c>
      <c r="T216" s="382"/>
      <c r="U216" s="833">
        <f t="shared" si="64"/>
        <v>625123.01541666663</v>
      </c>
      <c r="V216" s="833"/>
      <c r="W216" s="833"/>
      <c r="X216" s="425"/>
      <c r="Y216" s="833"/>
      <c r="Z216" s="833"/>
      <c r="AA216" s="833"/>
      <c r="AB216" s="833"/>
      <c r="AC216" s="834"/>
      <c r="AD216" s="835">
        <f t="shared" si="65"/>
        <v>625123.01541666663</v>
      </c>
      <c r="AE216" s="834"/>
      <c r="AF216" s="781">
        <f t="shared" si="59"/>
        <v>0</v>
      </c>
    </row>
    <row r="217" spans="1:32">
      <c r="A217" s="779">
        <f t="shared" si="61"/>
        <v>203</v>
      </c>
      <c r="B217" s="423" t="s">
        <v>1066</v>
      </c>
      <c r="C217" s="423" t="s">
        <v>509</v>
      </c>
      <c r="D217" s="423" t="s">
        <v>1694</v>
      </c>
      <c r="E217" s="777" t="s">
        <v>1862</v>
      </c>
      <c r="F217" s="391">
        <v>0</v>
      </c>
      <c r="G217" s="391">
        <v>121284.45</v>
      </c>
      <c r="H217" s="391">
        <v>158770.69</v>
      </c>
      <c r="I217" s="391">
        <v>172291.69</v>
      </c>
      <c r="J217" s="391">
        <v>192912.46</v>
      </c>
      <c r="K217" s="391">
        <v>236018.77</v>
      </c>
      <c r="L217" s="391">
        <v>249760.26</v>
      </c>
      <c r="M217" s="391">
        <v>254796.39</v>
      </c>
      <c r="N217" s="391">
        <v>255811.32</v>
      </c>
      <c r="O217" s="391">
        <v>279069.86</v>
      </c>
      <c r="P217" s="391">
        <v>298243.67</v>
      </c>
      <c r="Q217" s="391">
        <v>77280.75</v>
      </c>
      <c r="R217" s="391">
        <v>99041.79</v>
      </c>
      <c r="S217" s="618">
        <f t="shared" si="63"/>
        <v>195480.10041666668</v>
      </c>
      <c r="T217" s="382"/>
      <c r="U217" s="833">
        <f t="shared" si="64"/>
        <v>195480.10041666668</v>
      </c>
      <c r="V217" s="833"/>
      <c r="W217" s="833"/>
      <c r="X217" s="425"/>
      <c r="Y217" s="833"/>
      <c r="Z217" s="833"/>
      <c r="AA217" s="833"/>
      <c r="AB217" s="833"/>
      <c r="AC217" s="834"/>
      <c r="AD217" s="835">
        <f t="shared" si="65"/>
        <v>195480.10041666668</v>
      </c>
      <c r="AE217" s="834"/>
      <c r="AF217" s="781">
        <f t="shared" si="59"/>
        <v>0</v>
      </c>
    </row>
    <row r="218" spans="1:32">
      <c r="A218" s="779">
        <f t="shared" si="61"/>
        <v>204</v>
      </c>
      <c r="B218" s="423" t="s">
        <v>1066</v>
      </c>
      <c r="C218" s="423" t="s">
        <v>509</v>
      </c>
      <c r="D218" s="423" t="s">
        <v>1695</v>
      </c>
      <c r="E218" s="777" t="s">
        <v>1863</v>
      </c>
      <c r="F218" s="391">
        <v>0</v>
      </c>
      <c r="G218" s="391">
        <v>1025565.04</v>
      </c>
      <c r="H218" s="391">
        <v>1275151.3400000001</v>
      </c>
      <c r="I218" s="391">
        <v>1505606.22</v>
      </c>
      <c r="J218" s="391">
        <v>1648182.07</v>
      </c>
      <c r="K218" s="391">
        <v>1988945.76</v>
      </c>
      <c r="L218" s="391">
        <v>2296169.4900000002</v>
      </c>
      <c r="M218" s="391">
        <v>2507139.35</v>
      </c>
      <c r="N218" s="391">
        <v>2673844.92</v>
      </c>
      <c r="O218" s="391">
        <v>2956027.24</v>
      </c>
      <c r="P218" s="391">
        <v>3061278.08</v>
      </c>
      <c r="Q218" s="391">
        <v>636930.14999999898</v>
      </c>
      <c r="R218" s="391">
        <v>951817.28999999899</v>
      </c>
      <c r="S218" s="618">
        <f t="shared" si="63"/>
        <v>1837562.3587499997</v>
      </c>
      <c r="T218" s="382"/>
      <c r="U218" s="833">
        <f t="shared" si="64"/>
        <v>1837562.3587499997</v>
      </c>
      <c r="V218" s="833"/>
      <c r="W218" s="833"/>
      <c r="X218" s="425"/>
      <c r="Y218" s="833"/>
      <c r="Z218" s="833"/>
      <c r="AA218" s="833"/>
      <c r="AB218" s="833"/>
      <c r="AC218" s="834"/>
      <c r="AD218" s="835">
        <f t="shared" si="65"/>
        <v>1837562.3587499997</v>
      </c>
      <c r="AE218" s="834"/>
      <c r="AF218" s="781">
        <f t="shared" si="59"/>
        <v>0</v>
      </c>
    </row>
    <row r="219" spans="1:32">
      <c r="A219" s="779">
        <f t="shared" si="61"/>
        <v>205</v>
      </c>
      <c r="B219" s="423" t="s">
        <v>1066</v>
      </c>
      <c r="C219" s="423" t="s">
        <v>509</v>
      </c>
      <c r="D219" s="423" t="s">
        <v>1696</v>
      </c>
      <c r="E219" s="777" t="s">
        <v>1864</v>
      </c>
      <c r="F219" s="391">
        <v>0</v>
      </c>
      <c r="G219" s="391">
        <v>808750.85</v>
      </c>
      <c r="H219" s="391">
        <v>955991.1</v>
      </c>
      <c r="I219" s="391">
        <v>1103442.48</v>
      </c>
      <c r="J219" s="391">
        <v>1335689.25</v>
      </c>
      <c r="K219" s="391">
        <v>1590874.11</v>
      </c>
      <c r="L219" s="391">
        <v>1850119.19</v>
      </c>
      <c r="M219" s="391">
        <v>2146780.5</v>
      </c>
      <c r="N219" s="391">
        <v>2389751.2400000002</v>
      </c>
      <c r="O219" s="391">
        <v>2608046.4900000002</v>
      </c>
      <c r="P219" s="391">
        <v>2837510.4</v>
      </c>
      <c r="Q219" s="391">
        <v>846306.01</v>
      </c>
      <c r="R219" s="391">
        <v>1070638.9099999999</v>
      </c>
      <c r="S219" s="618">
        <f t="shared" si="63"/>
        <v>1584048.4229166666</v>
      </c>
      <c r="T219" s="382"/>
      <c r="U219" s="833">
        <f t="shared" si="64"/>
        <v>1584048.4229166666</v>
      </c>
      <c r="V219" s="833"/>
      <c r="W219" s="833"/>
      <c r="X219" s="425"/>
      <c r="Y219" s="833"/>
      <c r="Z219" s="833"/>
      <c r="AA219" s="833"/>
      <c r="AB219" s="833"/>
      <c r="AC219" s="834"/>
      <c r="AD219" s="835">
        <f t="shared" si="65"/>
        <v>1584048.4229166666</v>
      </c>
      <c r="AE219" s="834"/>
      <c r="AF219" s="781">
        <f t="shared" si="59"/>
        <v>0</v>
      </c>
    </row>
    <row r="220" spans="1:32">
      <c r="A220" s="779">
        <f t="shared" si="61"/>
        <v>206</v>
      </c>
      <c r="B220" s="423" t="s">
        <v>1066</v>
      </c>
      <c r="C220" s="423" t="s">
        <v>509</v>
      </c>
      <c r="D220" s="423" t="s">
        <v>1697</v>
      </c>
      <c r="E220" s="777" t="s">
        <v>1865</v>
      </c>
      <c r="F220" s="391">
        <v>0</v>
      </c>
      <c r="G220" s="391">
        <v>1979104.45</v>
      </c>
      <c r="H220" s="391">
        <v>1554003.88</v>
      </c>
      <c r="I220" s="391">
        <v>1209256.4099999999</v>
      </c>
      <c r="J220" s="391">
        <v>973306.74</v>
      </c>
      <c r="K220" s="391">
        <v>857941.86</v>
      </c>
      <c r="L220" s="391">
        <v>750487.89</v>
      </c>
      <c r="M220" s="391">
        <v>662139.71</v>
      </c>
      <c r="N220" s="391">
        <v>608839.5</v>
      </c>
      <c r="O220" s="391">
        <v>495044.16</v>
      </c>
      <c r="P220" s="391">
        <v>276806.53999999998</v>
      </c>
      <c r="Q220" s="391">
        <v>5423949.5199999996</v>
      </c>
      <c r="R220" s="391">
        <v>4501119.47</v>
      </c>
      <c r="S220" s="618">
        <f t="shared" si="63"/>
        <v>1420120.0329166667</v>
      </c>
      <c r="T220" s="382"/>
      <c r="U220" s="833">
        <f t="shared" si="64"/>
        <v>1420120.0329166667</v>
      </c>
      <c r="V220" s="833"/>
      <c r="W220" s="833"/>
      <c r="X220" s="425"/>
      <c r="Y220" s="833"/>
      <c r="Z220" s="833"/>
      <c r="AA220" s="833"/>
      <c r="AB220" s="833"/>
      <c r="AC220" s="834"/>
      <c r="AD220" s="835">
        <f t="shared" si="65"/>
        <v>1420120.0329166667</v>
      </c>
      <c r="AE220" s="834"/>
      <c r="AF220" s="781">
        <f t="shared" si="59"/>
        <v>0</v>
      </c>
    </row>
    <row r="221" spans="1:32">
      <c r="A221" s="779">
        <f t="shared" si="61"/>
        <v>207</v>
      </c>
      <c r="B221" s="423" t="s">
        <v>1063</v>
      </c>
      <c r="C221" s="423" t="s">
        <v>1698</v>
      </c>
      <c r="D221" s="423" t="s">
        <v>382</v>
      </c>
      <c r="E221" s="777" t="s">
        <v>1703</v>
      </c>
      <c r="F221" s="391">
        <v>366.69</v>
      </c>
      <c r="G221" s="391">
        <v>366.69</v>
      </c>
      <c r="H221" s="391">
        <v>366.69</v>
      </c>
      <c r="I221" s="391">
        <v>366.69</v>
      </c>
      <c r="J221" s="391">
        <v>366.69</v>
      </c>
      <c r="K221" s="391">
        <v>366.69</v>
      </c>
      <c r="L221" s="391">
        <v>366.69</v>
      </c>
      <c r="M221" s="391">
        <v>366.69</v>
      </c>
      <c r="N221" s="391">
        <v>366.69</v>
      </c>
      <c r="O221" s="391">
        <v>366.69</v>
      </c>
      <c r="P221" s="391">
        <v>366.69</v>
      </c>
      <c r="Q221" s="391">
        <v>0</v>
      </c>
      <c r="R221" s="391">
        <v>0</v>
      </c>
      <c r="S221" s="618">
        <f t="shared" si="63"/>
        <v>320.85374999999999</v>
      </c>
      <c r="T221" s="382"/>
      <c r="U221" s="833">
        <f t="shared" si="64"/>
        <v>320.85374999999999</v>
      </c>
      <c r="V221" s="833"/>
      <c r="W221" s="833"/>
      <c r="X221" s="425"/>
      <c r="Y221" s="833"/>
      <c r="Z221" s="833"/>
      <c r="AA221" s="833"/>
      <c r="AB221" s="833"/>
      <c r="AC221" s="834"/>
      <c r="AD221" s="835">
        <f t="shared" si="65"/>
        <v>320.85374999999999</v>
      </c>
      <c r="AE221" s="834"/>
      <c r="AF221" s="781">
        <f t="shared" si="59"/>
        <v>0</v>
      </c>
    </row>
    <row r="222" spans="1:32">
      <c r="A222" s="779">
        <f t="shared" si="61"/>
        <v>208</v>
      </c>
      <c r="B222" s="423" t="s">
        <v>1063</v>
      </c>
      <c r="C222" s="423" t="s">
        <v>510</v>
      </c>
      <c r="D222" s="423" t="s">
        <v>1259</v>
      </c>
      <c r="E222" s="777" t="s">
        <v>1866</v>
      </c>
      <c r="F222" s="391">
        <v>3.6379788070917101E-12</v>
      </c>
      <c r="G222" s="391">
        <v>-353763.36</v>
      </c>
      <c r="H222" s="391">
        <v>-641860.75</v>
      </c>
      <c r="I222" s="391">
        <v>-45312.1</v>
      </c>
      <c r="J222" s="391">
        <v>111008.69</v>
      </c>
      <c r="K222" s="391">
        <v>86148.93</v>
      </c>
      <c r="L222" s="391">
        <v>83938.96</v>
      </c>
      <c r="M222" s="391">
        <v>18194.88</v>
      </c>
      <c r="N222" s="391">
        <v>-9692.7899999999609</v>
      </c>
      <c r="O222" s="391">
        <v>-923.52999999996405</v>
      </c>
      <c r="P222" s="391">
        <v>-25054.75</v>
      </c>
      <c r="Q222" s="391">
        <v>-43985.06</v>
      </c>
      <c r="R222" s="391">
        <v>2.91038304567337E-11</v>
      </c>
      <c r="S222" s="618">
        <f t="shared" si="63"/>
        <v>-68441.739999999991</v>
      </c>
      <c r="T222" s="382"/>
      <c r="U222" s="833">
        <f t="shared" si="64"/>
        <v>-68441.739999999991</v>
      </c>
      <c r="V222" s="833"/>
      <c r="W222" s="833"/>
      <c r="X222" s="425"/>
      <c r="Y222" s="833"/>
      <c r="Z222" s="833"/>
      <c r="AA222" s="833"/>
      <c r="AB222" s="833"/>
      <c r="AC222" s="834"/>
      <c r="AD222" s="835">
        <f t="shared" si="65"/>
        <v>-68441.739999999991</v>
      </c>
      <c r="AE222" s="834"/>
      <c r="AF222" s="781">
        <f t="shared" si="59"/>
        <v>0</v>
      </c>
    </row>
    <row r="223" spans="1:32">
      <c r="A223" s="779">
        <f t="shared" si="61"/>
        <v>209</v>
      </c>
      <c r="B223" s="423" t="s">
        <v>1063</v>
      </c>
      <c r="C223" s="423" t="s">
        <v>510</v>
      </c>
      <c r="D223" s="657" t="s">
        <v>1260</v>
      </c>
      <c r="E223" s="777" t="s">
        <v>1867</v>
      </c>
      <c r="F223" s="391">
        <v>0</v>
      </c>
      <c r="G223" s="391">
        <v>285787.24</v>
      </c>
      <c r="H223" s="391">
        <v>585232.24</v>
      </c>
      <c r="I223" s="391">
        <v>0</v>
      </c>
      <c r="J223" s="391">
        <v>0</v>
      </c>
      <c r="K223" s="391">
        <v>0</v>
      </c>
      <c r="L223" s="391">
        <v>0</v>
      </c>
      <c r="M223" s="391">
        <v>0</v>
      </c>
      <c r="N223" s="391">
        <v>0</v>
      </c>
      <c r="O223" s="391">
        <v>0</v>
      </c>
      <c r="P223" s="391">
        <v>0</v>
      </c>
      <c r="Q223" s="391">
        <v>0</v>
      </c>
      <c r="R223" s="391">
        <v>0</v>
      </c>
      <c r="S223" s="618">
        <f t="shared" si="63"/>
        <v>72584.956666666665</v>
      </c>
      <c r="T223" s="382"/>
      <c r="U223" s="833">
        <f t="shared" si="64"/>
        <v>72584.956666666665</v>
      </c>
      <c r="V223" s="833"/>
      <c r="W223" s="833"/>
      <c r="X223" s="425"/>
      <c r="Y223" s="833"/>
      <c r="Z223" s="833"/>
      <c r="AA223" s="833"/>
      <c r="AB223" s="833"/>
      <c r="AC223" s="834"/>
      <c r="AD223" s="835">
        <f t="shared" si="65"/>
        <v>72584.956666666665</v>
      </c>
      <c r="AE223" s="834"/>
      <c r="AF223" s="781">
        <f t="shared" si="59"/>
        <v>0</v>
      </c>
    </row>
    <row r="224" spans="1:32">
      <c r="A224" s="779">
        <f t="shared" si="61"/>
        <v>210</v>
      </c>
      <c r="B224" s="423" t="s">
        <v>1063</v>
      </c>
      <c r="C224" s="423" t="s">
        <v>510</v>
      </c>
      <c r="D224" s="423" t="s">
        <v>1261</v>
      </c>
      <c r="E224" s="777" t="s">
        <v>1868</v>
      </c>
      <c r="F224" s="391">
        <v>4.65661287307739E-10</v>
      </c>
      <c r="G224" s="391">
        <v>25772.51</v>
      </c>
      <c r="H224" s="391">
        <v>25772.51</v>
      </c>
      <c r="I224" s="391">
        <v>0</v>
      </c>
      <c r="J224" s="391">
        <v>0</v>
      </c>
      <c r="K224" s="391">
        <v>0</v>
      </c>
      <c r="L224" s="391">
        <v>0</v>
      </c>
      <c r="M224" s="391">
        <v>0</v>
      </c>
      <c r="N224" s="391">
        <v>0</v>
      </c>
      <c r="O224" s="391">
        <v>0</v>
      </c>
      <c r="P224" s="391">
        <v>0</v>
      </c>
      <c r="Q224" s="391">
        <v>0</v>
      </c>
      <c r="R224" s="391">
        <v>0</v>
      </c>
      <c r="S224" s="618">
        <f t="shared" si="63"/>
        <v>4295.4183333333522</v>
      </c>
      <c r="T224" s="382"/>
      <c r="U224" s="833">
        <f t="shared" si="64"/>
        <v>4295.4183333333522</v>
      </c>
      <c r="V224" s="833"/>
      <c r="W224" s="833"/>
      <c r="X224" s="425"/>
      <c r="Y224" s="833"/>
      <c r="Z224" s="833"/>
      <c r="AA224" s="833"/>
      <c r="AB224" s="833"/>
      <c r="AC224" s="834"/>
      <c r="AD224" s="835">
        <f t="shared" si="65"/>
        <v>4295.4183333333522</v>
      </c>
      <c r="AE224" s="834"/>
      <c r="AF224" s="781">
        <f t="shared" si="59"/>
        <v>0</v>
      </c>
    </row>
    <row r="225" spans="1:32">
      <c r="A225" s="779">
        <f t="shared" si="61"/>
        <v>211</v>
      </c>
      <c r="B225" s="423" t="s">
        <v>1063</v>
      </c>
      <c r="C225" s="423" t="s">
        <v>510</v>
      </c>
      <c r="D225" s="423" t="s">
        <v>1262</v>
      </c>
      <c r="E225" s="777" t="s">
        <v>1869</v>
      </c>
      <c r="F225" s="391">
        <v>0</v>
      </c>
      <c r="G225" s="391">
        <v>-26689.83</v>
      </c>
      <c r="H225" s="391">
        <v>-49725.9</v>
      </c>
      <c r="I225" s="391">
        <v>-1975.75</v>
      </c>
      <c r="J225" s="391">
        <v>-856.32</v>
      </c>
      <c r="K225" s="391">
        <v>-776.67</v>
      </c>
      <c r="L225" s="391">
        <v>648.38</v>
      </c>
      <c r="M225" s="391">
        <v>-5074.3999999999996</v>
      </c>
      <c r="N225" s="391">
        <v>-5383.61</v>
      </c>
      <c r="O225" s="391">
        <v>-3714.36</v>
      </c>
      <c r="P225" s="391">
        <v>-3671.23</v>
      </c>
      <c r="Q225" s="391">
        <v>-3478.09</v>
      </c>
      <c r="R225" s="391">
        <v>4.5474735088646402E-13</v>
      </c>
      <c r="S225" s="618">
        <f t="shared" si="63"/>
        <v>-8391.4816666666666</v>
      </c>
      <c r="T225" s="382"/>
      <c r="U225" s="833">
        <f t="shared" si="64"/>
        <v>-8391.4816666666666</v>
      </c>
      <c r="V225" s="833"/>
      <c r="W225" s="833"/>
      <c r="X225" s="425"/>
      <c r="Y225" s="833"/>
      <c r="Z225" s="833"/>
      <c r="AA225" s="833"/>
      <c r="AB225" s="833"/>
      <c r="AC225" s="834"/>
      <c r="AD225" s="835">
        <f t="shared" si="65"/>
        <v>-8391.4816666666666</v>
      </c>
      <c r="AE225" s="834"/>
      <c r="AF225" s="781">
        <f t="shared" si="59"/>
        <v>0</v>
      </c>
    </row>
    <row r="226" spans="1:32">
      <c r="A226" s="779">
        <f t="shared" si="61"/>
        <v>212</v>
      </c>
      <c r="B226" s="423" t="s">
        <v>1063</v>
      </c>
      <c r="C226" s="423" t="s">
        <v>510</v>
      </c>
      <c r="D226" s="423" t="s">
        <v>1263</v>
      </c>
      <c r="E226" s="777" t="s">
        <v>1870</v>
      </c>
      <c r="F226" s="391">
        <v>0</v>
      </c>
      <c r="G226" s="391">
        <v>20849.68</v>
      </c>
      <c r="H226" s="391">
        <v>45822.68</v>
      </c>
      <c r="I226" s="391">
        <v>0</v>
      </c>
      <c r="J226" s="391">
        <v>0</v>
      </c>
      <c r="K226" s="391">
        <v>0</v>
      </c>
      <c r="L226" s="391">
        <v>0</v>
      </c>
      <c r="M226" s="391">
        <v>0</v>
      </c>
      <c r="N226" s="391">
        <v>0</v>
      </c>
      <c r="O226" s="391">
        <v>0</v>
      </c>
      <c r="P226" s="391">
        <v>0</v>
      </c>
      <c r="Q226" s="391">
        <v>0</v>
      </c>
      <c r="R226" s="391">
        <v>0</v>
      </c>
      <c r="S226" s="618">
        <f t="shared" si="63"/>
        <v>5556.03</v>
      </c>
      <c r="T226" s="382"/>
      <c r="U226" s="833">
        <f t="shared" si="64"/>
        <v>5556.03</v>
      </c>
      <c r="V226" s="833"/>
      <c r="W226" s="833"/>
      <c r="X226" s="425"/>
      <c r="Y226" s="833"/>
      <c r="Z226" s="833"/>
      <c r="AA226" s="833"/>
      <c r="AB226" s="833"/>
      <c r="AC226" s="834"/>
      <c r="AD226" s="835">
        <f t="shared" si="65"/>
        <v>5556.03</v>
      </c>
      <c r="AE226" s="834"/>
      <c r="AF226" s="781">
        <f t="shared" si="59"/>
        <v>0</v>
      </c>
    </row>
    <row r="227" spans="1:32">
      <c r="A227" s="779">
        <f t="shared" si="61"/>
        <v>213</v>
      </c>
      <c r="B227" s="423" t="s">
        <v>1063</v>
      </c>
      <c r="C227" s="423" t="s">
        <v>510</v>
      </c>
      <c r="D227" s="423" t="s">
        <v>1264</v>
      </c>
      <c r="E227" s="777" t="s">
        <v>1871</v>
      </c>
      <c r="F227" s="391">
        <v>-2.91038304567337E-11</v>
      </c>
      <c r="G227" s="391">
        <v>1412.95</v>
      </c>
      <c r="H227" s="391">
        <v>1412.95</v>
      </c>
      <c r="I227" s="391">
        <v>0</v>
      </c>
      <c r="J227" s="391">
        <v>0</v>
      </c>
      <c r="K227" s="391">
        <v>0</v>
      </c>
      <c r="L227" s="391">
        <v>0</v>
      </c>
      <c r="M227" s="391">
        <v>0</v>
      </c>
      <c r="N227" s="391">
        <v>0</v>
      </c>
      <c r="O227" s="391">
        <v>0</v>
      </c>
      <c r="P227" s="391">
        <v>0</v>
      </c>
      <c r="Q227" s="391">
        <v>0</v>
      </c>
      <c r="R227" s="391">
        <v>0</v>
      </c>
      <c r="S227" s="618">
        <f t="shared" si="63"/>
        <v>235.49166666666545</v>
      </c>
      <c r="T227" s="382"/>
      <c r="U227" s="833">
        <f t="shared" si="64"/>
        <v>235.49166666666545</v>
      </c>
      <c r="V227" s="833"/>
      <c r="W227" s="833"/>
      <c r="X227" s="425"/>
      <c r="Y227" s="833"/>
      <c r="Z227" s="833"/>
      <c r="AA227" s="833"/>
      <c r="AB227" s="833"/>
      <c r="AC227" s="834"/>
      <c r="AD227" s="835">
        <f t="shared" si="65"/>
        <v>235.49166666666545</v>
      </c>
      <c r="AE227" s="834"/>
      <c r="AF227" s="781">
        <f t="shared" si="59"/>
        <v>0</v>
      </c>
    </row>
    <row r="228" spans="1:32">
      <c r="A228" s="779">
        <f t="shared" si="61"/>
        <v>214</v>
      </c>
      <c r="B228" s="423" t="s">
        <v>1063</v>
      </c>
      <c r="C228" s="423" t="s">
        <v>510</v>
      </c>
      <c r="D228" s="423" t="s">
        <v>1265</v>
      </c>
      <c r="E228" s="777" t="s">
        <v>1872</v>
      </c>
      <c r="F228" s="391">
        <v>0</v>
      </c>
      <c r="G228" s="391">
        <v>-4292.71</v>
      </c>
      <c r="H228" s="391">
        <v>-8543.41</v>
      </c>
      <c r="I228" s="391">
        <v>-1102.52</v>
      </c>
      <c r="J228" s="391">
        <v>-790.81999999999903</v>
      </c>
      <c r="K228" s="391">
        <v>-413.27999999999901</v>
      </c>
      <c r="L228" s="391">
        <v>-81.039999999999495</v>
      </c>
      <c r="M228" s="391">
        <v>-1832.6</v>
      </c>
      <c r="N228" s="391">
        <v>-1518.76</v>
      </c>
      <c r="O228" s="391">
        <v>-1263.48</v>
      </c>
      <c r="P228" s="391">
        <v>-884.72</v>
      </c>
      <c r="Q228" s="391">
        <v>-570.5</v>
      </c>
      <c r="R228" s="391">
        <v>4.5474735088646402E-13</v>
      </c>
      <c r="S228" s="618">
        <f t="shared" si="63"/>
        <v>-1774.4866666666665</v>
      </c>
      <c r="T228" s="382"/>
      <c r="U228" s="833">
        <f t="shared" si="64"/>
        <v>-1774.4866666666665</v>
      </c>
      <c r="V228" s="833"/>
      <c r="W228" s="833"/>
      <c r="X228" s="425"/>
      <c r="Y228" s="833"/>
      <c r="Z228" s="833"/>
      <c r="AA228" s="833"/>
      <c r="AB228" s="833"/>
      <c r="AC228" s="834"/>
      <c r="AD228" s="835">
        <f t="shared" si="65"/>
        <v>-1774.4866666666665</v>
      </c>
      <c r="AE228" s="834"/>
      <c r="AF228" s="781">
        <f t="shared" si="59"/>
        <v>0</v>
      </c>
    </row>
    <row r="229" spans="1:32">
      <c r="A229" s="779">
        <f t="shared" si="61"/>
        <v>215</v>
      </c>
      <c r="B229" s="423" t="s">
        <v>1063</v>
      </c>
      <c r="C229" s="423" t="s">
        <v>510</v>
      </c>
      <c r="D229" s="423" t="s">
        <v>406</v>
      </c>
      <c r="E229" s="777" t="s">
        <v>1873</v>
      </c>
      <c r="F229" s="391">
        <v>-2.2737367544323201E-13</v>
      </c>
      <c r="G229" s="391">
        <v>2485.65</v>
      </c>
      <c r="H229" s="391">
        <v>7085.65</v>
      </c>
      <c r="I229" s="391">
        <v>0</v>
      </c>
      <c r="J229" s="391">
        <v>0</v>
      </c>
      <c r="K229" s="391">
        <v>0</v>
      </c>
      <c r="L229" s="391">
        <v>0</v>
      </c>
      <c r="M229" s="391">
        <v>0</v>
      </c>
      <c r="N229" s="391">
        <v>0</v>
      </c>
      <c r="O229" s="391">
        <v>0</v>
      </c>
      <c r="P229" s="391">
        <v>0</v>
      </c>
      <c r="Q229" s="391">
        <v>0</v>
      </c>
      <c r="R229" s="391">
        <v>0</v>
      </c>
      <c r="S229" s="618">
        <f t="shared" si="63"/>
        <v>797.60833333333323</v>
      </c>
      <c r="T229" s="382"/>
      <c r="U229" s="833">
        <f t="shared" si="64"/>
        <v>797.60833333333323</v>
      </c>
      <c r="V229" s="833"/>
      <c r="W229" s="833"/>
      <c r="X229" s="425"/>
      <c r="Y229" s="833"/>
      <c r="Z229" s="833"/>
      <c r="AA229" s="833"/>
      <c r="AB229" s="833"/>
      <c r="AC229" s="834"/>
      <c r="AD229" s="835">
        <f t="shared" si="65"/>
        <v>797.60833333333323</v>
      </c>
      <c r="AE229" s="834"/>
      <c r="AF229" s="781">
        <f t="shared" si="59"/>
        <v>0</v>
      </c>
    </row>
    <row r="230" spans="1:32">
      <c r="A230" s="779">
        <f t="shared" si="61"/>
        <v>216</v>
      </c>
      <c r="B230" s="423" t="s">
        <v>1063</v>
      </c>
      <c r="C230" s="423" t="s">
        <v>510</v>
      </c>
      <c r="D230" s="423" t="s">
        <v>1266</v>
      </c>
      <c r="E230" s="777" t="s">
        <v>1874</v>
      </c>
      <c r="F230" s="391">
        <v>1.4210854715202001E-14</v>
      </c>
      <c r="G230" s="391">
        <v>-117.07</v>
      </c>
      <c r="H230" s="391">
        <v>35.630000000000003</v>
      </c>
      <c r="I230" s="391">
        <v>-7.1054273576010003E-15</v>
      </c>
      <c r="J230" s="391">
        <v>2569.6</v>
      </c>
      <c r="K230" s="391">
        <v>2569.6</v>
      </c>
      <c r="L230" s="391">
        <v>0</v>
      </c>
      <c r="M230" s="391">
        <v>0</v>
      </c>
      <c r="N230" s="391">
        <v>0</v>
      </c>
      <c r="O230" s="391">
        <v>0</v>
      </c>
      <c r="P230" s="391">
        <v>0</v>
      </c>
      <c r="Q230" s="391">
        <v>0</v>
      </c>
      <c r="R230" s="391">
        <v>0</v>
      </c>
      <c r="S230" s="618">
        <f t="shared" si="63"/>
        <v>421.48</v>
      </c>
      <c r="T230" s="382"/>
      <c r="U230" s="833">
        <f t="shared" si="64"/>
        <v>421.48</v>
      </c>
      <c r="V230" s="833"/>
      <c r="W230" s="833"/>
      <c r="X230" s="425"/>
      <c r="Y230" s="833"/>
      <c r="Z230" s="833"/>
      <c r="AA230" s="833"/>
      <c r="AB230" s="833"/>
      <c r="AC230" s="834"/>
      <c r="AD230" s="835">
        <f t="shared" si="65"/>
        <v>421.48</v>
      </c>
      <c r="AE230" s="834"/>
      <c r="AF230" s="781">
        <f t="shared" si="59"/>
        <v>0</v>
      </c>
    </row>
    <row r="231" spans="1:32">
      <c r="A231" s="779">
        <f t="shared" si="61"/>
        <v>217</v>
      </c>
      <c r="B231" s="423" t="s">
        <v>1063</v>
      </c>
      <c r="C231" s="423" t="s">
        <v>510</v>
      </c>
      <c r="D231" s="657" t="s">
        <v>581</v>
      </c>
      <c r="E231" s="777" t="s">
        <v>1875</v>
      </c>
      <c r="F231" s="391">
        <v>5.6843418860808002E-14</v>
      </c>
      <c r="G231" s="391">
        <v>-2420.94</v>
      </c>
      <c r="H231" s="391">
        <v>-1900.79</v>
      </c>
      <c r="I231" s="391">
        <v>-1524.87</v>
      </c>
      <c r="J231" s="391">
        <v>-1087.28</v>
      </c>
      <c r="K231" s="391">
        <v>-675.12</v>
      </c>
      <c r="L231" s="391">
        <v>-222.42</v>
      </c>
      <c r="M231" s="391">
        <v>-2594.8200000000002</v>
      </c>
      <c r="N231" s="391">
        <v>-2068.52</v>
      </c>
      <c r="O231" s="391">
        <v>-1750.23</v>
      </c>
      <c r="P231" s="391">
        <v>-1359.32</v>
      </c>
      <c r="Q231" s="391">
        <v>-1020.51</v>
      </c>
      <c r="R231" s="391">
        <v>-4.5474735088646402E-13</v>
      </c>
      <c r="S231" s="618">
        <f t="shared" si="63"/>
        <v>-1385.4016666666666</v>
      </c>
      <c r="T231" s="382"/>
      <c r="U231" s="833">
        <f t="shared" si="64"/>
        <v>-1385.4016666666666</v>
      </c>
      <c r="V231" s="833"/>
      <c r="W231" s="833"/>
      <c r="X231" s="425"/>
      <c r="Y231" s="833"/>
      <c r="Z231" s="833"/>
      <c r="AA231" s="833"/>
      <c r="AB231" s="833"/>
      <c r="AC231" s="834"/>
      <c r="AD231" s="835">
        <f t="shared" si="65"/>
        <v>-1385.4016666666666</v>
      </c>
      <c r="AE231" s="834"/>
      <c r="AF231" s="781">
        <f t="shared" si="59"/>
        <v>0</v>
      </c>
    </row>
    <row r="232" spans="1:32">
      <c r="A232" s="779">
        <f t="shared" si="61"/>
        <v>218</v>
      </c>
      <c r="B232" s="423" t="s">
        <v>1063</v>
      </c>
      <c r="C232" s="423" t="s">
        <v>510</v>
      </c>
      <c r="D232" s="423" t="s">
        <v>1267</v>
      </c>
      <c r="E232" s="777" t="s">
        <v>1876</v>
      </c>
      <c r="F232" s="391">
        <v>5.6843418860808002E-14</v>
      </c>
      <c r="G232" s="391">
        <v>-620.12</v>
      </c>
      <c r="H232" s="391">
        <v>-1662.86</v>
      </c>
      <c r="I232" s="391">
        <v>-229.36</v>
      </c>
      <c r="J232" s="391">
        <v>487</v>
      </c>
      <c r="K232" s="391">
        <v>540.66</v>
      </c>
      <c r="L232" s="391">
        <v>613.07000000000005</v>
      </c>
      <c r="M232" s="391">
        <v>230.59</v>
      </c>
      <c r="N232" s="391">
        <v>279.41000000000003</v>
      </c>
      <c r="O232" s="391">
        <v>344.74</v>
      </c>
      <c r="P232" s="391">
        <v>394.87</v>
      </c>
      <c r="Q232" s="391">
        <v>439.52</v>
      </c>
      <c r="R232" s="391">
        <v>-2.2737367544323201E-13</v>
      </c>
      <c r="S232" s="618">
        <f t="shared" si="63"/>
        <v>68.126666666666637</v>
      </c>
      <c r="T232" s="382"/>
      <c r="U232" s="833">
        <f t="shared" si="64"/>
        <v>68.126666666666637</v>
      </c>
      <c r="V232" s="833"/>
      <c r="W232" s="833"/>
      <c r="X232" s="425"/>
      <c r="Y232" s="833"/>
      <c r="Z232" s="833"/>
      <c r="AA232" s="833"/>
      <c r="AB232" s="833"/>
      <c r="AC232" s="834"/>
      <c r="AD232" s="835">
        <f t="shared" si="65"/>
        <v>68.126666666666637</v>
      </c>
      <c r="AE232" s="834"/>
      <c r="AF232" s="781">
        <f t="shared" si="59"/>
        <v>0</v>
      </c>
    </row>
    <row r="233" spans="1:32">
      <c r="A233" s="779">
        <f t="shared" si="61"/>
        <v>219</v>
      </c>
      <c r="B233" s="423" t="s">
        <v>1063</v>
      </c>
      <c r="C233" s="423" t="s">
        <v>510</v>
      </c>
      <c r="D233" s="423" t="s">
        <v>1268</v>
      </c>
      <c r="E233" s="777" t="s">
        <v>1877</v>
      </c>
      <c r="F233" s="391">
        <v>0</v>
      </c>
      <c r="G233" s="391">
        <v>240</v>
      </c>
      <c r="H233" s="391">
        <v>1368.18</v>
      </c>
      <c r="I233" s="391">
        <v>0</v>
      </c>
      <c r="J233" s="391">
        <v>0</v>
      </c>
      <c r="K233" s="391">
        <v>0</v>
      </c>
      <c r="L233" s="391">
        <v>0</v>
      </c>
      <c r="M233" s="391">
        <v>0</v>
      </c>
      <c r="N233" s="391">
        <v>0</v>
      </c>
      <c r="O233" s="391">
        <v>0</v>
      </c>
      <c r="P233" s="391">
        <v>0</v>
      </c>
      <c r="Q233" s="391">
        <v>0</v>
      </c>
      <c r="R233" s="391">
        <v>0</v>
      </c>
      <c r="S233" s="618">
        <f t="shared" si="63"/>
        <v>134.01500000000001</v>
      </c>
      <c r="T233" s="382"/>
      <c r="U233" s="833">
        <f t="shared" si="64"/>
        <v>134.01500000000001</v>
      </c>
      <c r="V233" s="833"/>
      <c r="W233" s="833"/>
      <c r="X233" s="425"/>
      <c r="Y233" s="833"/>
      <c r="Z233" s="833"/>
      <c r="AA233" s="833"/>
      <c r="AB233" s="833"/>
      <c r="AC233" s="834"/>
      <c r="AD233" s="835">
        <f t="shared" si="65"/>
        <v>134.01500000000001</v>
      </c>
      <c r="AE233" s="834"/>
      <c r="AF233" s="781">
        <f t="shared" si="59"/>
        <v>0</v>
      </c>
    </row>
    <row r="234" spans="1:32">
      <c r="A234" s="779">
        <f t="shared" si="61"/>
        <v>220</v>
      </c>
      <c r="B234" s="423" t="s">
        <v>1063</v>
      </c>
      <c r="C234" s="423" t="s">
        <v>510</v>
      </c>
      <c r="D234" s="423" t="s">
        <v>649</v>
      </c>
      <c r="E234" s="777" t="s">
        <v>1878</v>
      </c>
      <c r="F234" s="391">
        <v>-6.2172489379008804E-14</v>
      </c>
      <c r="G234" s="391">
        <v>-684.42</v>
      </c>
      <c r="H234" s="391">
        <v>-535.55999999999995</v>
      </c>
      <c r="I234" s="391">
        <v>-375.68</v>
      </c>
      <c r="J234" s="391">
        <v>-241.59</v>
      </c>
      <c r="K234" s="391">
        <v>-160.52000000000001</v>
      </c>
      <c r="L234" s="391">
        <v>-57.19</v>
      </c>
      <c r="M234" s="391">
        <v>-700.39</v>
      </c>
      <c r="N234" s="391">
        <v>-561.44000000000005</v>
      </c>
      <c r="O234" s="391">
        <v>-474</v>
      </c>
      <c r="P234" s="391">
        <v>-384.51</v>
      </c>
      <c r="Q234" s="391">
        <v>-299.86</v>
      </c>
      <c r="R234" s="391">
        <v>0</v>
      </c>
      <c r="S234" s="618">
        <f t="shared" si="63"/>
        <v>-372.93</v>
      </c>
      <c r="T234" s="382"/>
      <c r="U234" s="833">
        <f t="shared" si="64"/>
        <v>-372.93</v>
      </c>
      <c r="V234" s="833"/>
      <c r="W234" s="833"/>
      <c r="X234" s="425"/>
      <c r="Y234" s="833"/>
      <c r="Z234" s="833"/>
      <c r="AA234" s="833"/>
      <c r="AB234" s="833"/>
      <c r="AC234" s="834"/>
      <c r="AD234" s="835">
        <f t="shared" si="65"/>
        <v>-372.93</v>
      </c>
      <c r="AE234" s="834"/>
      <c r="AF234" s="781">
        <f t="shared" si="59"/>
        <v>0</v>
      </c>
    </row>
    <row r="235" spans="1:32">
      <c r="A235" s="779">
        <f t="shared" si="61"/>
        <v>221</v>
      </c>
      <c r="B235" s="423" t="s">
        <v>1063</v>
      </c>
      <c r="C235" s="423" t="s">
        <v>510</v>
      </c>
      <c r="D235" s="423" t="s">
        <v>1247</v>
      </c>
      <c r="E235" s="777" t="s">
        <v>1879</v>
      </c>
      <c r="F235" s="391">
        <v>-1.7763568394002501E-15</v>
      </c>
      <c r="G235" s="391">
        <v>-20.88</v>
      </c>
      <c r="H235" s="391">
        <v>-17.399999999999999</v>
      </c>
      <c r="I235" s="391">
        <v>-13.92</v>
      </c>
      <c r="J235" s="391">
        <v>-11</v>
      </c>
      <c r="K235" s="391">
        <v>-7</v>
      </c>
      <c r="L235" s="391">
        <v>-49.78</v>
      </c>
      <c r="M235" s="391">
        <v>-70.14</v>
      </c>
      <c r="N235" s="391">
        <v>-66.739999999999995</v>
      </c>
      <c r="O235" s="391">
        <v>-63.34</v>
      </c>
      <c r="P235" s="391">
        <v>-59.66</v>
      </c>
      <c r="Q235" s="391">
        <v>-57.14</v>
      </c>
      <c r="R235" s="391">
        <v>7.1054273576010003E-15</v>
      </c>
      <c r="S235" s="618">
        <f t="shared" si="63"/>
        <v>-36.416666666666664</v>
      </c>
      <c r="T235" s="382"/>
      <c r="U235" s="833">
        <f t="shared" si="64"/>
        <v>-36.416666666666664</v>
      </c>
      <c r="V235" s="833"/>
      <c r="W235" s="833"/>
      <c r="X235" s="425"/>
      <c r="Y235" s="833"/>
      <c r="Z235" s="833"/>
      <c r="AA235" s="833"/>
      <c r="AB235" s="833"/>
      <c r="AC235" s="834"/>
      <c r="AD235" s="835">
        <f t="shared" si="65"/>
        <v>-36.416666666666664</v>
      </c>
      <c r="AE235" s="834"/>
      <c r="AF235" s="781">
        <f t="shared" si="59"/>
        <v>0</v>
      </c>
    </row>
    <row r="236" spans="1:32">
      <c r="A236" s="779">
        <f t="shared" si="61"/>
        <v>222</v>
      </c>
      <c r="B236" s="423" t="s">
        <v>1063</v>
      </c>
      <c r="C236" s="423" t="s">
        <v>510</v>
      </c>
      <c r="D236" s="422" t="s">
        <v>1269</v>
      </c>
      <c r="E236" s="777" t="s">
        <v>1880</v>
      </c>
      <c r="F236" s="391">
        <v>1.8189894035458601E-12</v>
      </c>
      <c r="G236" s="391">
        <v>-594.38</v>
      </c>
      <c r="H236" s="391">
        <v>-1110.3800000000001</v>
      </c>
      <c r="I236" s="391">
        <v>-1673.78</v>
      </c>
      <c r="J236" s="391">
        <v>-2210.85</v>
      </c>
      <c r="K236" s="391">
        <v>-2795.1</v>
      </c>
      <c r="L236" s="391">
        <v>-3331.2</v>
      </c>
      <c r="M236" s="391">
        <v>-3971.03</v>
      </c>
      <c r="N236" s="391">
        <v>-4560</v>
      </c>
      <c r="O236" s="391">
        <v>-5073</v>
      </c>
      <c r="P236" s="391">
        <v>-5593.05</v>
      </c>
      <c r="Q236" s="391">
        <v>-6166.13</v>
      </c>
      <c r="R236" s="391">
        <v>0</v>
      </c>
      <c r="S236" s="618">
        <f t="shared" si="63"/>
        <v>-3089.9083333333333</v>
      </c>
      <c r="T236" s="382"/>
      <c r="U236" s="833">
        <f t="shared" si="64"/>
        <v>-3089.9083333333333</v>
      </c>
      <c r="V236" s="833"/>
      <c r="W236" s="833"/>
      <c r="X236" s="425"/>
      <c r="Y236" s="833"/>
      <c r="Z236" s="833"/>
      <c r="AA236" s="833"/>
      <c r="AB236" s="833"/>
      <c r="AC236" s="834"/>
      <c r="AD236" s="835">
        <f t="shared" si="65"/>
        <v>-3089.9083333333333</v>
      </c>
      <c r="AE236" s="834"/>
      <c r="AF236" s="781">
        <f t="shared" si="59"/>
        <v>0</v>
      </c>
    </row>
    <row r="237" spans="1:32">
      <c r="A237" s="779">
        <f t="shared" si="61"/>
        <v>223</v>
      </c>
      <c r="B237" s="423" t="s">
        <v>1063</v>
      </c>
      <c r="C237" s="423" t="s">
        <v>510</v>
      </c>
      <c r="D237" s="423" t="s">
        <v>1270</v>
      </c>
      <c r="E237" s="777" t="s">
        <v>1881</v>
      </c>
      <c r="F237" s="391">
        <v>0</v>
      </c>
      <c r="G237" s="391">
        <v>-3885.69</v>
      </c>
      <c r="H237" s="391">
        <v>-6246.98</v>
      </c>
      <c r="I237" s="391">
        <v>-1382.39</v>
      </c>
      <c r="J237" s="391">
        <v>-1546.73</v>
      </c>
      <c r="K237" s="391">
        <v>-1645.87</v>
      </c>
      <c r="L237" s="391">
        <v>-1634.43</v>
      </c>
      <c r="M237" s="391">
        <v>-2205.77</v>
      </c>
      <c r="N237" s="391">
        <v>-2465.0100000000002</v>
      </c>
      <c r="O237" s="391">
        <v>-2024.71</v>
      </c>
      <c r="P237" s="391">
        <v>-1751.01</v>
      </c>
      <c r="Q237" s="391">
        <v>-1200.27</v>
      </c>
      <c r="R237" s="391">
        <v>6.8212102632969598E-13</v>
      </c>
      <c r="S237" s="618">
        <f t="shared" si="63"/>
        <v>-2165.7383333333332</v>
      </c>
      <c r="T237" s="382"/>
      <c r="U237" s="833">
        <f t="shared" si="64"/>
        <v>-2165.7383333333332</v>
      </c>
      <c r="V237" s="833"/>
      <c r="W237" s="833"/>
      <c r="X237" s="425"/>
      <c r="Y237" s="833"/>
      <c r="Z237" s="833"/>
      <c r="AA237" s="833"/>
      <c r="AB237" s="833"/>
      <c r="AC237" s="834"/>
      <c r="AD237" s="835">
        <f t="shared" si="65"/>
        <v>-2165.7383333333332</v>
      </c>
      <c r="AE237" s="834"/>
      <c r="AF237" s="781">
        <f t="shared" si="59"/>
        <v>0</v>
      </c>
    </row>
    <row r="238" spans="1:32">
      <c r="A238" s="779">
        <f t="shared" si="61"/>
        <v>224</v>
      </c>
      <c r="B238" s="423" t="s">
        <v>1063</v>
      </c>
      <c r="C238" s="423" t="s">
        <v>510</v>
      </c>
      <c r="D238" s="423" t="s">
        <v>1271</v>
      </c>
      <c r="E238" s="777" t="s">
        <v>1882</v>
      </c>
      <c r="F238" s="391">
        <v>0</v>
      </c>
      <c r="G238" s="391">
        <v>2646.24</v>
      </c>
      <c r="H238" s="391">
        <v>5050.63</v>
      </c>
      <c r="I238" s="391">
        <v>-9.0949470177292804E-13</v>
      </c>
      <c r="J238" s="391">
        <v>-9.0949470177292804E-13</v>
      </c>
      <c r="K238" s="391">
        <v>-9.0949470177292804E-13</v>
      </c>
      <c r="L238" s="391">
        <v>-9.0949470177292804E-13</v>
      </c>
      <c r="M238" s="391">
        <v>-9.0949470177292804E-13</v>
      </c>
      <c r="N238" s="391">
        <v>-9.0949470177292804E-13</v>
      </c>
      <c r="O238" s="391">
        <v>-9.0949470177292804E-13</v>
      </c>
      <c r="P238" s="391">
        <v>-9.0949470177292804E-13</v>
      </c>
      <c r="Q238" s="391">
        <v>-9.0949470177292804E-13</v>
      </c>
      <c r="R238" s="391">
        <v>-9.0949470177292804E-13</v>
      </c>
      <c r="S238" s="618">
        <f t="shared" si="63"/>
        <v>641.40583333333268</v>
      </c>
      <c r="T238" s="382"/>
      <c r="U238" s="833">
        <f t="shared" si="64"/>
        <v>641.40583333333268</v>
      </c>
      <c r="V238" s="833"/>
      <c r="W238" s="833"/>
      <c r="X238" s="425"/>
      <c r="Y238" s="833"/>
      <c r="Z238" s="833"/>
      <c r="AA238" s="833"/>
      <c r="AB238" s="833"/>
      <c r="AC238" s="834"/>
      <c r="AD238" s="835">
        <f t="shared" si="65"/>
        <v>641.40583333333268</v>
      </c>
      <c r="AE238" s="834"/>
      <c r="AF238" s="781">
        <f t="shared" si="59"/>
        <v>0</v>
      </c>
    </row>
    <row r="239" spans="1:32">
      <c r="A239" s="779">
        <f t="shared" si="61"/>
        <v>225</v>
      </c>
      <c r="B239" s="423" t="s">
        <v>1063</v>
      </c>
      <c r="C239" s="423" t="s">
        <v>510</v>
      </c>
      <c r="D239" s="423" t="s">
        <v>1272</v>
      </c>
      <c r="E239" s="777" t="s">
        <v>1883</v>
      </c>
      <c r="F239" s="391">
        <v>-4.5474735088646402E-13</v>
      </c>
      <c r="G239" s="391">
        <v>-260.41000000000003</v>
      </c>
      <c r="H239" s="391">
        <v>-486.85</v>
      </c>
      <c r="I239" s="391">
        <v>-734.51</v>
      </c>
      <c r="J239" s="391">
        <v>-963.29</v>
      </c>
      <c r="K239" s="391">
        <v>-1215.33</v>
      </c>
      <c r="L239" s="391">
        <v>-1446.57</v>
      </c>
      <c r="M239" s="391">
        <v>-1722.17</v>
      </c>
      <c r="N239" s="391">
        <v>-1980.64</v>
      </c>
      <c r="O239" s="391">
        <v>-2208.1</v>
      </c>
      <c r="P239" s="391">
        <v>-2466.16</v>
      </c>
      <c r="Q239" s="391">
        <v>-2720.65</v>
      </c>
      <c r="R239" s="391">
        <v>4.5474735088646402E-13</v>
      </c>
      <c r="S239" s="618">
        <f t="shared" si="63"/>
        <v>-1350.39</v>
      </c>
      <c r="T239" s="422"/>
      <c r="U239" s="833">
        <f t="shared" si="64"/>
        <v>-1350.39</v>
      </c>
      <c r="V239" s="833"/>
      <c r="W239" s="833"/>
      <c r="X239" s="425"/>
      <c r="Y239" s="833"/>
      <c r="Z239" s="833"/>
      <c r="AA239" s="833"/>
      <c r="AB239" s="833"/>
      <c r="AC239" s="834"/>
      <c r="AD239" s="835">
        <f t="shared" si="65"/>
        <v>-1350.39</v>
      </c>
      <c r="AE239" s="834"/>
      <c r="AF239" s="781">
        <f t="shared" si="59"/>
        <v>0</v>
      </c>
    </row>
    <row r="240" spans="1:32">
      <c r="A240" s="779">
        <f t="shared" si="61"/>
        <v>226</v>
      </c>
      <c r="B240" s="423" t="s">
        <v>1063</v>
      </c>
      <c r="C240" s="423" t="s">
        <v>510</v>
      </c>
      <c r="D240" s="423" t="s">
        <v>83</v>
      </c>
      <c r="E240" s="777" t="s">
        <v>1884</v>
      </c>
      <c r="F240" s="391">
        <v>-8.5265128291212002E-13</v>
      </c>
      <c r="G240" s="391">
        <v>2367.6999999999998</v>
      </c>
      <c r="H240" s="391">
        <v>5937.97</v>
      </c>
      <c r="I240" s="391">
        <v>7850.44</v>
      </c>
      <c r="J240" s="391">
        <v>9979.2199999999993</v>
      </c>
      <c r="K240" s="391">
        <v>12357.84</v>
      </c>
      <c r="L240" s="391">
        <v>14571.88</v>
      </c>
      <c r="M240" s="391">
        <v>18378.07</v>
      </c>
      <c r="N240" s="391">
        <v>18308.939999999999</v>
      </c>
      <c r="O240" s="391">
        <v>0</v>
      </c>
      <c r="P240" s="391">
        <v>22545.21</v>
      </c>
      <c r="Q240" s="391">
        <v>26764.69</v>
      </c>
      <c r="R240" s="391">
        <v>0</v>
      </c>
      <c r="S240" s="618">
        <f t="shared" si="63"/>
        <v>11588.496666666666</v>
      </c>
      <c r="T240" s="382"/>
      <c r="U240" s="833">
        <f t="shared" si="64"/>
        <v>11588.496666666666</v>
      </c>
      <c r="V240" s="833"/>
      <c r="W240" s="833"/>
      <c r="X240" s="425"/>
      <c r="Y240" s="833"/>
      <c r="Z240" s="833"/>
      <c r="AA240" s="833"/>
      <c r="AB240" s="833"/>
      <c r="AC240" s="834"/>
      <c r="AD240" s="835">
        <f t="shared" si="65"/>
        <v>11588.496666666666</v>
      </c>
      <c r="AE240" s="834"/>
      <c r="AF240" s="781">
        <f t="shared" si="59"/>
        <v>0</v>
      </c>
    </row>
    <row r="241" spans="1:32">
      <c r="A241" s="779">
        <f t="shared" si="61"/>
        <v>227</v>
      </c>
      <c r="B241" s="423" t="s">
        <v>1063</v>
      </c>
      <c r="C241" s="423" t="s">
        <v>510</v>
      </c>
      <c r="D241" s="423" t="s">
        <v>1273</v>
      </c>
      <c r="E241" s="777" t="s">
        <v>1885</v>
      </c>
      <c r="F241" s="391">
        <v>-991.09</v>
      </c>
      <c r="G241" s="391">
        <v>-120.42</v>
      </c>
      <c r="H241" s="391">
        <v>-120.42</v>
      </c>
      <c r="I241" s="391">
        <v>-120.42</v>
      </c>
      <c r="J241" s="391">
        <v>883.12</v>
      </c>
      <c r="K241" s="391">
        <v>-1.13686837721616E-13</v>
      </c>
      <c r="L241" s="391">
        <v>-1.13686837721616E-13</v>
      </c>
      <c r="M241" s="391">
        <v>895.13</v>
      </c>
      <c r="N241" s="391">
        <v>1790.26</v>
      </c>
      <c r="O241" s="391">
        <v>-2.2737367544323201E-13</v>
      </c>
      <c r="P241" s="391">
        <v>1790.26</v>
      </c>
      <c r="Q241" s="391">
        <v>-685.07</v>
      </c>
      <c r="R241" s="391">
        <v>-1.13686837721616E-13</v>
      </c>
      <c r="S241" s="618">
        <f t="shared" si="63"/>
        <v>318.07458333333335</v>
      </c>
      <c r="T241" s="382"/>
      <c r="U241" s="833">
        <f t="shared" si="64"/>
        <v>318.07458333333335</v>
      </c>
      <c r="V241" s="833"/>
      <c r="W241" s="833"/>
      <c r="X241" s="425"/>
      <c r="Y241" s="833"/>
      <c r="Z241" s="833"/>
      <c r="AA241" s="833"/>
      <c r="AB241" s="833"/>
      <c r="AC241" s="834"/>
      <c r="AD241" s="835">
        <f t="shared" si="65"/>
        <v>318.07458333333335</v>
      </c>
      <c r="AE241" s="834"/>
      <c r="AF241" s="781">
        <f t="shared" si="59"/>
        <v>0</v>
      </c>
    </row>
    <row r="242" spans="1:32">
      <c r="A242" s="779">
        <f t="shared" si="61"/>
        <v>228</v>
      </c>
      <c r="B242" s="423" t="s">
        <v>1063</v>
      </c>
      <c r="C242" s="423" t="s">
        <v>510</v>
      </c>
      <c r="D242" s="423" t="s">
        <v>106</v>
      </c>
      <c r="E242" s="777" t="s">
        <v>1886</v>
      </c>
      <c r="F242" s="391">
        <v>-57906.559999999998</v>
      </c>
      <c r="G242" s="391">
        <v>-76279.28</v>
      </c>
      <c r="H242" s="391">
        <v>-39418.65</v>
      </c>
      <c r="I242" s="391">
        <v>-56992.27</v>
      </c>
      <c r="J242" s="391">
        <v>-73459.06</v>
      </c>
      <c r="K242" s="391">
        <v>-38524.49</v>
      </c>
      <c r="L242" s="391">
        <v>-54732.22</v>
      </c>
      <c r="M242" s="391">
        <v>-68894.009999999995</v>
      </c>
      <c r="N242" s="391">
        <v>-10450.370000000001</v>
      </c>
      <c r="O242" s="391">
        <v>-9.0949470177292808E-12</v>
      </c>
      <c r="P242" s="391">
        <v>-43242.6</v>
      </c>
      <c r="Q242" s="391">
        <v>-49864.76</v>
      </c>
      <c r="R242" s="391">
        <v>-7.2759576141834308E-12</v>
      </c>
      <c r="S242" s="618">
        <f t="shared" si="63"/>
        <v>-45067.582499999997</v>
      </c>
      <c r="T242" s="382"/>
      <c r="U242" s="833">
        <f t="shared" si="64"/>
        <v>-45067.582499999997</v>
      </c>
      <c r="V242" s="833"/>
      <c r="W242" s="833"/>
      <c r="X242" s="425"/>
      <c r="Y242" s="833"/>
      <c r="Z242" s="833"/>
      <c r="AA242" s="833"/>
      <c r="AB242" s="833"/>
      <c r="AC242" s="834"/>
      <c r="AD242" s="835">
        <f t="shared" si="65"/>
        <v>-45067.582499999997</v>
      </c>
      <c r="AE242" s="834"/>
      <c r="AF242" s="781">
        <f t="shared" si="59"/>
        <v>0</v>
      </c>
    </row>
    <row r="243" spans="1:32">
      <c r="A243" s="779">
        <f t="shared" si="61"/>
        <v>229</v>
      </c>
      <c r="B243" s="423" t="s">
        <v>382</v>
      </c>
      <c r="C243" s="423" t="s">
        <v>511</v>
      </c>
      <c r="D243" s="423" t="s">
        <v>382</v>
      </c>
      <c r="E243" s="777" t="s">
        <v>512</v>
      </c>
      <c r="F243" s="391">
        <v>98313.789999999557</v>
      </c>
      <c r="G243" s="391">
        <v>181342.5</v>
      </c>
      <c r="H243" s="391">
        <v>190218.62</v>
      </c>
      <c r="I243" s="391">
        <v>152481.63999999998</v>
      </c>
      <c r="J243" s="391">
        <v>121472.93999999999</v>
      </c>
      <c r="K243" s="391">
        <v>92550.510000000009</v>
      </c>
      <c r="L243" s="391">
        <v>6204.6399999999703</v>
      </c>
      <c r="M243" s="391">
        <v>42781.239999999991</v>
      </c>
      <c r="N243" s="391">
        <v>132846.85999999996</v>
      </c>
      <c r="O243" s="391">
        <v>111830.06999999998</v>
      </c>
      <c r="P243" s="391">
        <v>159343.88</v>
      </c>
      <c r="Q243" s="391">
        <v>234120.56</v>
      </c>
      <c r="R243" s="391">
        <v>59785.299999999981</v>
      </c>
      <c r="S243" s="618">
        <f t="shared" si="63"/>
        <v>125353.58374999998</v>
      </c>
      <c r="T243" s="382"/>
      <c r="U243" s="833">
        <f t="shared" si="64"/>
        <v>125353.58374999998</v>
      </c>
      <c r="V243" s="833"/>
      <c r="W243" s="833"/>
      <c r="X243" s="425"/>
      <c r="Y243" s="833"/>
      <c r="Z243" s="833"/>
      <c r="AA243" s="833"/>
      <c r="AB243" s="840"/>
      <c r="AC243" s="834"/>
      <c r="AD243" s="833">
        <f>+S243</f>
        <v>125353.58374999998</v>
      </c>
      <c r="AE243" s="834"/>
      <c r="AF243" s="781">
        <f t="shared" si="59"/>
        <v>0</v>
      </c>
    </row>
    <row r="244" spans="1:32">
      <c r="A244" s="779">
        <f t="shared" si="61"/>
        <v>230</v>
      </c>
      <c r="B244" s="423" t="s">
        <v>1063</v>
      </c>
      <c r="C244" s="423" t="s">
        <v>468</v>
      </c>
      <c r="D244" s="423" t="s">
        <v>1275</v>
      </c>
      <c r="E244" s="777" t="s">
        <v>1887</v>
      </c>
      <c r="F244" s="391">
        <v>2414472.8199999998</v>
      </c>
      <c r="G244" s="391">
        <v>2405799.87</v>
      </c>
      <c r="H244" s="391">
        <v>2400302.73</v>
      </c>
      <c r="I244" s="391">
        <v>2392972.9700000002</v>
      </c>
      <c r="J244" s="391">
        <v>2370630.61</v>
      </c>
      <c r="K244" s="391">
        <v>2514230.54</v>
      </c>
      <c r="L244" s="391">
        <v>2535905.41</v>
      </c>
      <c r="M244" s="391">
        <v>2556047.44</v>
      </c>
      <c r="N244" s="391">
        <v>2575415.15</v>
      </c>
      <c r="O244" s="391">
        <v>2596937.81</v>
      </c>
      <c r="P244" s="391">
        <v>2604700.02</v>
      </c>
      <c r="Q244" s="391">
        <v>2612527.48</v>
      </c>
      <c r="R244" s="391">
        <v>2988574.1</v>
      </c>
      <c r="S244" s="618">
        <f t="shared" si="63"/>
        <v>2522249.4575</v>
      </c>
      <c r="T244" s="382"/>
      <c r="U244" s="833">
        <f t="shared" si="64"/>
        <v>2522249.4575</v>
      </c>
      <c r="V244" s="833"/>
      <c r="W244" s="833"/>
      <c r="X244" s="425"/>
      <c r="Y244" s="833"/>
      <c r="Z244" s="833"/>
      <c r="AA244" s="833"/>
      <c r="AB244" s="833"/>
      <c r="AC244" s="834"/>
      <c r="AD244" s="835">
        <f>+U244</f>
        <v>2522249.4575</v>
      </c>
      <c r="AE244" s="834"/>
      <c r="AF244" s="781">
        <f t="shared" si="59"/>
        <v>0</v>
      </c>
    </row>
    <row r="245" spans="1:32">
      <c r="A245" s="779">
        <f t="shared" si="61"/>
        <v>231</v>
      </c>
      <c r="B245" s="423" t="s">
        <v>1094</v>
      </c>
      <c r="C245" s="423" t="s">
        <v>468</v>
      </c>
      <c r="D245" s="423" t="s">
        <v>1276</v>
      </c>
      <c r="E245" s="777" t="s">
        <v>1888</v>
      </c>
      <c r="F245" s="391">
        <v>34575.51</v>
      </c>
      <c r="G245" s="391">
        <v>25809.91</v>
      </c>
      <c r="H245" s="391">
        <v>19844.240000000002</v>
      </c>
      <c r="I245" s="391">
        <v>12549.22</v>
      </c>
      <c r="J245" s="391">
        <v>7556.18</v>
      </c>
      <c r="K245" s="391">
        <v>4513.1900000000096</v>
      </c>
      <c r="L245" s="391">
        <v>2941.4100000000099</v>
      </c>
      <c r="M245" s="391">
        <v>1750.5700000000099</v>
      </c>
      <c r="N245" s="391">
        <v>713.36000000000502</v>
      </c>
      <c r="O245" s="391">
        <v>-387.14999999999498</v>
      </c>
      <c r="P245" s="391">
        <v>-2716.2599999999902</v>
      </c>
      <c r="Q245" s="391">
        <v>35525.760000000002</v>
      </c>
      <c r="R245" s="391">
        <v>29758.74</v>
      </c>
      <c r="S245" s="618">
        <f t="shared" si="63"/>
        <v>11688.962916666671</v>
      </c>
      <c r="T245" s="382"/>
      <c r="U245" s="833"/>
      <c r="V245" s="833"/>
      <c r="W245" s="833"/>
      <c r="X245" s="425">
        <f>+S245</f>
        <v>11688.962916666671</v>
      </c>
      <c r="Y245" s="833"/>
      <c r="Z245" s="833"/>
      <c r="AA245" s="833"/>
      <c r="AB245" s="833">
        <f>+S245</f>
        <v>11688.962916666671</v>
      </c>
      <c r="AC245" s="834"/>
      <c r="AD245" s="835"/>
      <c r="AE245" s="834"/>
      <c r="AF245" s="781">
        <f t="shared" si="59"/>
        <v>0</v>
      </c>
    </row>
    <row r="246" spans="1:32">
      <c r="A246" s="779">
        <f t="shared" si="61"/>
        <v>232</v>
      </c>
      <c r="B246" s="423" t="s">
        <v>1094</v>
      </c>
      <c r="C246" s="423" t="s">
        <v>468</v>
      </c>
      <c r="D246" s="423" t="s">
        <v>1277</v>
      </c>
      <c r="E246" s="777" t="s">
        <v>1889</v>
      </c>
      <c r="F246" s="391">
        <v>-7.2759576141834308E-12</v>
      </c>
      <c r="G246" s="391">
        <v>39500</v>
      </c>
      <c r="H246" s="391">
        <v>39720.720000000001</v>
      </c>
      <c r="I246" s="391">
        <v>39966.449999999997</v>
      </c>
      <c r="J246" s="391">
        <v>40205.72</v>
      </c>
      <c r="K246" s="391">
        <v>40454.449999999997</v>
      </c>
      <c r="L246" s="391">
        <v>40696.639999999999</v>
      </c>
      <c r="M246" s="391">
        <v>40948.410000000003</v>
      </c>
      <c r="N246" s="391">
        <v>43201.73</v>
      </c>
      <c r="O246" s="391">
        <v>43460.37</v>
      </c>
      <c r="P246" s="391">
        <v>43729.23</v>
      </c>
      <c r="Q246" s="391">
        <v>2036.53000000001</v>
      </c>
      <c r="R246" s="391">
        <v>2049.1300000000101</v>
      </c>
      <c r="S246" s="618">
        <f t="shared" si="63"/>
        <v>34578.734583333331</v>
      </c>
      <c r="T246" s="422"/>
      <c r="U246" s="833"/>
      <c r="V246" s="833"/>
      <c r="W246" s="833"/>
      <c r="X246" s="425">
        <f t="shared" ref="X246:X247" si="66">+S246</f>
        <v>34578.734583333331</v>
      </c>
      <c r="Y246" s="833"/>
      <c r="Z246" s="833"/>
      <c r="AA246" s="833"/>
      <c r="AB246" s="833">
        <f t="shared" ref="AB246:AB247" si="67">+S246</f>
        <v>34578.734583333331</v>
      </c>
      <c r="AC246" s="834"/>
      <c r="AD246" s="835"/>
      <c r="AE246" s="834"/>
      <c r="AF246" s="781">
        <f t="shared" si="59"/>
        <v>0</v>
      </c>
    </row>
    <row r="247" spans="1:32" s="513" customFormat="1">
      <c r="A247" s="779">
        <f t="shared" si="61"/>
        <v>233</v>
      </c>
      <c r="B247" s="423" t="s">
        <v>1094</v>
      </c>
      <c r="C247" s="423" t="s">
        <v>468</v>
      </c>
      <c r="D247" s="423" t="s">
        <v>1278</v>
      </c>
      <c r="E247" s="777" t="s">
        <v>1890</v>
      </c>
      <c r="F247" s="391">
        <v>24066.33</v>
      </c>
      <c r="G247" s="391">
        <v>21291.01</v>
      </c>
      <c r="H247" s="391">
        <v>19108.43</v>
      </c>
      <c r="I247" s="391">
        <v>16323.19</v>
      </c>
      <c r="J247" s="391">
        <v>14062.5</v>
      </c>
      <c r="K247" s="391">
        <v>12028.85</v>
      </c>
      <c r="L247" s="391">
        <v>9828.7800000000007</v>
      </c>
      <c r="M247" s="391">
        <v>7773.7</v>
      </c>
      <c r="N247" s="391">
        <v>5805.16</v>
      </c>
      <c r="O247" s="391">
        <v>3670.75</v>
      </c>
      <c r="P247" s="391">
        <v>1104.74</v>
      </c>
      <c r="Q247" s="391">
        <v>3573.57</v>
      </c>
      <c r="R247" s="391">
        <v>3298.72</v>
      </c>
      <c r="S247" s="618">
        <f t="shared" si="63"/>
        <v>10687.767083333334</v>
      </c>
      <c r="T247" s="422"/>
      <c r="U247" s="833"/>
      <c r="V247" s="833"/>
      <c r="W247" s="833"/>
      <c r="X247" s="425">
        <f t="shared" si="66"/>
        <v>10687.767083333334</v>
      </c>
      <c r="Y247" s="833"/>
      <c r="Z247" s="833"/>
      <c r="AA247" s="833"/>
      <c r="AB247" s="833">
        <f t="shared" si="67"/>
        <v>10687.767083333334</v>
      </c>
      <c r="AC247" s="834"/>
      <c r="AD247" s="835"/>
      <c r="AE247" s="834"/>
      <c r="AF247" s="781">
        <f t="shared" si="59"/>
        <v>0</v>
      </c>
    </row>
    <row r="248" spans="1:32">
      <c r="A248" s="779">
        <f t="shared" si="61"/>
        <v>234</v>
      </c>
      <c r="B248" s="423" t="s">
        <v>1094</v>
      </c>
      <c r="C248" s="423" t="s">
        <v>468</v>
      </c>
      <c r="D248" s="423" t="s">
        <v>1279</v>
      </c>
      <c r="E248" s="777" t="s">
        <v>1889</v>
      </c>
      <c r="F248" s="391">
        <v>7.2759576141834308E-12</v>
      </c>
      <c r="G248" s="391">
        <v>2756.75</v>
      </c>
      <c r="H248" s="391">
        <v>2772.15</v>
      </c>
      <c r="I248" s="391">
        <v>2789.3</v>
      </c>
      <c r="J248" s="391">
        <v>2806</v>
      </c>
      <c r="K248" s="391">
        <v>2823.36</v>
      </c>
      <c r="L248" s="391">
        <v>2840.26</v>
      </c>
      <c r="M248" s="391">
        <v>2857.83</v>
      </c>
      <c r="N248" s="391">
        <v>2875.51</v>
      </c>
      <c r="O248" s="391">
        <v>2892.73</v>
      </c>
      <c r="P248" s="391">
        <v>9886.2099999999991</v>
      </c>
      <c r="Q248" s="391">
        <v>7017.34</v>
      </c>
      <c r="R248" s="391">
        <v>7060.75</v>
      </c>
      <c r="S248" s="618">
        <f t="shared" si="63"/>
        <v>3820.6512500000003</v>
      </c>
      <c r="T248" s="382"/>
      <c r="U248" s="837"/>
      <c r="V248" s="833"/>
      <c r="W248" s="833"/>
      <c r="X248" s="425">
        <f>+S248</f>
        <v>3820.6512500000003</v>
      </c>
      <c r="Y248" s="833"/>
      <c r="Z248" s="833"/>
      <c r="AA248" s="833"/>
      <c r="AB248" s="843">
        <f>+S248</f>
        <v>3820.6512500000003</v>
      </c>
      <c r="AC248" s="834"/>
      <c r="AD248" s="833"/>
      <c r="AE248" s="834"/>
      <c r="AF248" s="781">
        <f t="shared" si="59"/>
        <v>0</v>
      </c>
    </row>
    <row r="249" spans="1:32">
      <c r="A249" s="779">
        <f t="shared" si="61"/>
        <v>235</v>
      </c>
      <c r="B249" s="423" t="s">
        <v>1066</v>
      </c>
      <c r="C249" s="423" t="s">
        <v>468</v>
      </c>
      <c r="D249" s="423" t="s">
        <v>1280</v>
      </c>
      <c r="E249" s="777" t="s">
        <v>1893</v>
      </c>
      <c r="F249" s="391">
        <v>16285659.689999999</v>
      </c>
      <c r="G249" s="391">
        <v>16289004.07</v>
      </c>
      <c r="H249" s="391">
        <v>16264484.9</v>
      </c>
      <c r="I249" s="391">
        <v>16189573.91</v>
      </c>
      <c r="J249" s="391">
        <v>16218041.33</v>
      </c>
      <c r="K249" s="391">
        <v>16124887.07</v>
      </c>
      <c r="L249" s="391">
        <v>16124887.07</v>
      </c>
      <c r="M249" s="391">
        <v>16128251.859999999</v>
      </c>
      <c r="N249" s="391">
        <v>15487946.050000001</v>
      </c>
      <c r="O249" s="391">
        <v>15503598.550000001</v>
      </c>
      <c r="P249" s="391">
        <v>14060621.75</v>
      </c>
      <c r="Q249" s="391">
        <v>14082715.25</v>
      </c>
      <c r="R249" s="391">
        <v>14082715.25</v>
      </c>
      <c r="S249" s="618">
        <f t="shared" si="63"/>
        <v>15638183.273333333</v>
      </c>
      <c r="T249" s="382"/>
      <c r="U249" s="837">
        <f>+S249</f>
        <v>15638183.273333333</v>
      </c>
      <c r="V249" s="833"/>
      <c r="W249" s="833"/>
      <c r="X249" s="425"/>
      <c r="Y249" s="833"/>
      <c r="Z249" s="833"/>
      <c r="AA249" s="833"/>
      <c r="AB249" s="840"/>
      <c r="AC249" s="834"/>
      <c r="AD249" s="833">
        <f>+S249</f>
        <v>15638183.273333333</v>
      </c>
      <c r="AE249" s="834"/>
      <c r="AF249" s="781">
        <f t="shared" si="59"/>
        <v>0</v>
      </c>
    </row>
    <row r="250" spans="1:32">
      <c r="A250" s="779">
        <f t="shared" si="61"/>
        <v>236</v>
      </c>
      <c r="B250" s="423" t="s">
        <v>1066</v>
      </c>
      <c r="C250" s="423" t="s">
        <v>468</v>
      </c>
      <c r="D250" s="423" t="s">
        <v>1699</v>
      </c>
      <c r="E250" s="777" t="s">
        <v>1894</v>
      </c>
      <c r="F250" s="391">
        <v>0</v>
      </c>
      <c r="G250" s="391">
        <v>0</v>
      </c>
      <c r="H250" s="391">
        <v>0</v>
      </c>
      <c r="I250" s="391">
        <v>0</v>
      </c>
      <c r="J250" s="391">
        <v>0</v>
      </c>
      <c r="K250" s="391">
        <v>0</v>
      </c>
      <c r="L250" s="391">
        <v>466500</v>
      </c>
      <c r="M250" s="391">
        <v>466500</v>
      </c>
      <c r="N250" s="391">
        <v>466500</v>
      </c>
      <c r="O250" s="391">
        <v>466500</v>
      </c>
      <c r="P250" s="391">
        <v>466500</v>
      </c>
      <c r="Q250" s="391">
        <v>466500</v>
      </c>
      <c r="R250" s="391">
        <v>466500</v>
      </c>
      <c r="S250" s="618">
        <f t="shared" si="63"/>
        <v>252687.5</v>
      </c>
      <c r="T250" s="382"/>
      <c r="U250" s="837">
        <f>+S250</f>
        <v>252687.5</v>
      </c>
      <c r="V250" s="833"/>
      <c r="W250" s="833"/>
      <c r="X250" s="425"/>
      <c r="Y250" s="833"/>
      <c r="Z250" s="833"/>
      <c r="AA250" s="833"/>
      <c r="AB250" s="840"/>
      <c r="AC250" s="834"/>
      <c r="AD250" s="833">
        <f>+S250</f>
        <v>252687.5</v>
      </c>
      <c r="AE250" s="834"/>
      <c r="AF250" s="781">
        <f t="shared" si="59"/>
        <v>0</v>
      </c>
    </row>
    <row r="251" spans="1:32">
      <c r="A251" s="779">
        <f t="shared" si="61"/>
        <v>237</v>
      </c>
      <c r="B251" s="423" t="s">
        <v>1094</v>
      </c>
      <c r="C251" s="423" t="s">
        <v>468</v>
      </c>
      <c r="D251" s="423" t="s">
        <v>1281</v>
      </c>
      <c r="E251" s="777" t="s">
        <v>1891</v>
      </c>
      <c r="F251" s="391">
        <v>1801565.66</v>
      </c>
      <c r="G251" s="391">
        <v>1807322.83</v>
      </c>
      <c r="H251" s="391">
        <v>1806118.35</v>
      </c>
      <c r="I251" s="391">
        <v>1872773.75</v>
      </c>
      <c r="J251" s="391">
        <v>1819592.15</v>
      </c>
      <c r="K251" s="391">
        <v>1818776.4</v>
      </c>
      <c r="L251" s="391">
        <v>1819924.72</v>
      </c>
      <c r="M251" s="391">
        <v>1823117.1</v>
      </c>
      <c r="N251" s="391">
        <v>1868103.47</v>
      </c>
      <c r="O251" s="391">
        <v>1871905.13</v>
      </c>
      <c r="P251" s="391">
        <v>1864078.78</v>
      </c>
      <c r="Q251" s="391">
        <v>1878314.93</v>
      </c>
      <c r="R251" s="391">
        <v>1883502.85</v>
      </c>
      <c r="S251" s="618">
        <f t="shared" si="63"/>
        <v>1841046.8220833335</v>
      </c>
      <c r="T251" s="382"/>
      <c r="U251" s="837"/>
      <c r="V251" s="833"/>
      <c r="W251" s="833"/>
      <c r="X251" s="425">
        <f t="shared" ref="X251:X267" si="68">+S251</f>
        <v>1841046.8220833335</v>
      </c>
      <c r="Y251" s="833"/>
      <c r="Z251" s="833"/>
      <c r="AA251" s="833"/>
      <c r="AB251" s="833">
        <f t="shared" ref="AB251:AB267" si="69">+S251</f>
        <v>1841046.8220833335</v>
      </c>
      <c r="AC251" s="834"/>
      <c r="AD251" s="835"/>
      <c r="AE251" s="834"/>
      <c r="AF251" s="781">
        <f t="shared" si="59"/>
        <v>0</v>
      </c>
    </row>
    <row r="252" spans="1:32" s="2" customFormat="1">
      <c r="A252" s="779">
        <f t="shared" si="61"/>
        <v>238</v>
      </c>
      <c r="B252" s="423" t="s">
        <v>1066</v>
      </c>
      <c r="C252" s="423" t="s">
        <v>468</v>
      </c>
      <c r="D252" s="423" t="s">
        <v>1283</v>
      </c>
      <c r="E252" s="777" t="s">
        <v>1895</v>
      </c>
      <c r="F252" s="391">
        <v>6038694.4900000002</v>
      </c>
      <c r="G252" s="391">
        <v>6064955.6500000004</v>
      </c>
      <c r="H252" s="391">
        <v>6082352.1299999999</v>
      </c>
      <c r="I252" s="391">
        <v>6420363.6900000004</v>
      </c>
      <c r="J252" s="391">
        <v>6572098.1799999997</v>
      </c>
      <c r="K252" s="391">
        <v>5651597.4699999997</v>
      </c>
      <c r="L252" s="391">
        <v>5791226.9500000002</v>
      </c>
      <c r="M252" s="391">
        <v>5875649.1399999997</v>
      </c>
      <c r="N252" s="391">
        <v>904757.700000001</v>
      </c>
      <c r="O252" s="391">
        <v>1878830.87</v>
      </c>
      <c r="P252" s="391">
        <v>2436647.81</v>
      </c>
      <c r="Q252" s="391">
        <v>2552903.35</v>
      </c>
      <c r="R252" s="391">
        <v>5432079.7599999998</v>
      </c>
      <c r="S252" s="618">
        <f t="shared" si="63"/>
        <v>4663897.5054166671</v>
      </c>
      <c r="T252" s="382"/>
      <c r="U252" s="837">
        <f>+S252</f>
        <v>4663897.5054166671</v>
      </c>
      <c r="V252" s="833"/>
      <c r="W252" s="833"/>
      <c r="X252" s="425"/>
      <c r="Y252" s="833"/>
      <c r="Z252" s="833"/>
      <c r="AA252" s="833"/>
      <c r="AB252" s="833"/>
      <c r="AC252" s="834"/>
      <c r="AD252" s="835">
        <f>+S252</f>
        <v>4663897.5054166671</v>
      </c>
      <c r="AE252" s="834"/>
      <c r="AF252" s="781">
        <f t="shared" si="59"/>
        <v>0</v>
      </c>
    </row>
    <row r="253" spans="1:32" s="2" customFormat="1">
      <c r="A253" s="779">
        <f t="shared" si="61"/>
        <v>239</v>
      </c>
      <c r="B253" s="423" t="s">
        <v>1066</v>
      </c>
      <c r="C253" s="423" t="s">
        <v>468</v>
      </c>
      <c r="D253" s="423" t="s">
        <v>1700</v>
      </c>
      <c r="E253" s="777" t="s">
        <v>1909</v>
      </c>
      <c r="F253" s="391">
        <v>0</v>
      </c>
      <c r="G253" s="391">
        <v>0</v>
      </c>
      <c r="H253" s="391">
        <v>0</v>
      </c>
      <c r="I253" s="391">
        <v>0</v>
      </c>
      <c r="J253" s="391">
        <v>0</v>
      </c>
      <c r="K253" s="391">
        <v>0</v>
      </c>
      <c r="L253" s="391">
        <v>0</v>
      </c>
      <c r="M253" s="391">
        <v>0</v>
      </c>
      <c r="N253" s="391">
        <v>5377825.54</v>
      </c>
      <c r="O253" s="391">
        <v>5332633.7300000004</v>
      </c>
      <c r="P253" s="391">
        <v>5287441.92</v>
      </c>
      <c r="Q253" s="391">
        <v>5242250.1100000003</v>
      </c>
      <c r="R253" s="391">
        <v>5197058.3</v>
      </c>
      <c r="S253" s="618">
        <f t="shared" si="63"/>
        <v>1986556.7041666666</v>
      </c>
      <c r="T253" s="382"/>
      <c r="U253" s="837">
        <f>+S253</f>
        <v>1986556.7041666666</v>
      </c>
      <c r="V253" s="833"/>
      <c r="W253" s="833"/>
      <c r="X253" s="425"/>
      <c r="Y253" s="833"/>
      <c r="Z253" s="833"/>
      <c r="AA253" s="833"/>
      <c r="AB253" s="833">
        <f>+X253</f>
        <v>0</v>
      </c>
      <c r="AC253" s="834"/>
      <c r="AD253" s="835">
        <f>+S253</f>
        <v>1986556.7041666666</v>
      </c>
      <c r="AE253" s="834"/>
      <c r="AF253" s="781">
        <f t="shared" si="59"/>
        <v>0</v>
      </c>
    </row>
    <row r="254" spans="1:32" s="2" customFormat="1">
      <c r="A254" s="779">
        <f t="shared" si="61"/>
        <v>240</v>
      </c>
      <c r="B254" s="423" t="s">
        <v>1094</v>
      </c>
      <c r="C254" s="423" t="s">
        <v>468</v>
      </c>
      <c r="D254" s="423" t="s">
        <v>1701</v>
      </c>
      <c r="E254" s="777" t="s">
        <v>1892</v>
      </c>
      <c r="F254" s="391">
        <v>125655.57</v>
      </c>
      <c r="G254" s="391">
        <v>117154.43</v>
      </c>
      <c r="H254" s="391">
        <v>111240.3</v>
      </c>
      <c r="I254" s="391">
        <v>103862.92</v>
      </c>
      <c r="J254" s="391">
        <v>98643.06</v>
      </c>
      <c r="K254" s="391">
        <v>95018.8</v>
      </c>
      <c r="L254" s="391">
        <v>92328.48</v>
      </c>
      <c r="M254" s="391">
        <v>90015.35</v>
      </c>
      <c r="N254" s="391">
        <v>87865.53</v>
      </c>
      <c r="O254" s="391">
        <v>85550.92</v>
      </c>
      <c r="P254" s="391">
        <v>82091.25</v>
      </c>
      <c r="Q254" s="391">
        <v>77766.16</v>
      </c>
      <c r="R254" s="391">
        <v>70723.14</v>
      </c>
      <c r="S254" s="618">
        <f t="shared" si="63"/>
        <v>94977.212916666685</v>
      </c>
      <c r="T254" s="382"/>
      <c r="U254" s="833"/>
      <c r="V254" s="833"/>
      <c r="W254" s="833"/>
      <c r="X254" s="425">
        <f t="shared" si="68"/>
        <v>94977.212916666685</v>
      </c>
      <c r="Y254" s="833"/>
      <c r="Z254" s="833"/>
      <c r="AA254" s="833"/>
      <c r="AB254" s="833">
        <f>+X254</f>
        <v>94977.212916666685</v>
      </c>
      <c r="AC254" s="834"/>
      <c r="AD254" s="835"/>
      <c r="AE254" s="834"/>
      <c r="AF254" s="781">
        <f t="shared" si="59"/>
        <v>0</v>
      </c>
    </row>
    <row r="255" spans="1:32" s="2" customFormat="1">
      <c r="A255" s="779">
        <f t="shared" si="61"/>
        <v>241</v>
      </c>
      <c r="B255" s="423" t="s">
        <v>1066</v>
      </c>
      <c r="C255" s="423" t="s">
        <v>513</v>
      </c>
      <c r="D255" s="423" t="s">
        <v>1284</v>
      </c>
      <c r="E255" s="777" t="s">
        <v>1900</v>
      </c>
      <c r="F255" s="391">
        <v>331911.34999999998</v>
      </c>
      <c r="G255" s="391">
        <v>0</v>
      </c>
      <c r="H255" s="391">
        <v>0</v>
      </c>
      <c r="I255" s="391">
        <v>0</v>
      </c>
      <c r="J255" s="391">
        <v>0</v>
      </c>
      <c r="K255" s="391">
        <v>0</v>
      </c>
      <c r="L255" s="391">
        <v>0</v>
      </c>
      <c r="M255" s="391">
        <v>0</v>
      </c>
      <c r="N255" s="391">
        <v>0</v>
      </c>
      <c r="O255" s="391">
        <v>0</v>
      </c>
      <c r="P255" s="391">
        <v>0</v>
      </c>
      <c r="Q255" s="391">
        <v>0</v>
      </c>
      <c r="R255" s="391">
        <v>0</v>
      </c>
      <c r="S255" s="618">
        <f t="shared" si="63"/>
        <v>13829.639583333332</v>
      </c>
      <c r="T255" s="382"/>
      <c r="U255" s="833"/>
      <c r="V255" s="833"/>
      <c r="W255" s="833"/>
      <c r="X255" s="425">
        <f t="shared" si="68"/>
        <v>13829.639583333332</v>
      </c>
      <c r="Y255" s="833"/>
      <c r="Z255" s="833"/>
      <c r="AA255" s="833"/>
      <c r="AB255" s="833">
        <f t="shared" ref="AB255:AB264" si="70">+X255</f>
        <v>13829.639583333332</v>
      </c>
      <c r="AC255" s="834"/>
      <c r="AD255" s="835"/>
      <c r="AE255" s="834"/>
      <c r="AF255" s="781">
        <f t="shared" si="59"/>
        <v>0</v>
      </c>
    </row>
    <row r="256" spans="1:32" s="2" customFormat="1">
      <c r="A256" s="779">
        <f t="shared" si="61"/>
        <v>242</v>
      </c>
      <c r="B256" s="423" t="s">
        <v>1066</v>
      </c>
      <c r="C256" s="423" t="s">
        <v>513</v>
      </c>
      <c r="D256" s="423" t="s">
        <v>1285</v>
      </c>
      <c r="E256" s="777" t="s">
        <v>1901</v>
      </c>
      <c r="F256" s="391">
        <v>113979.49</v>
      </c>
      <c r="G256" s="391">
        <v>0</v>
      </c>
      <c r="H256" s="391">
        <v>0</v>
      </c>
      <c r="I256" s="391">
        <v>0</v>
      </c>
      <c r="J256" s="391">
        <v>0</v>
      </c>
      <c r="K256" s="391">
        <v>0</v>
      </c>
      <c r="L256" s="391">
        <v>0</v>
      </c>
      <c r="M256" s="391">
        <v>0</v>
      </c>
      <c r="N256" s="391">
        <v>0</v>
      </c>
      <c r="O256" s="391">
        <v>0</v>
      </c>
      <c r="P256" s="391">
        <v>0</v>
      </c>
      <c r="Q256" s="391">
        <v>0</v>
      </c>
      <c r="R256" s="391">
        <v>0</v>
      </c>
      <c r="S256" s="618">
        <f t="shared" si="63"/>
        <v>4749.1454166666672</v>
      </c>
      <c r="T256" s="382"/>
      <c r="U256" s="833"/>
      <c r="V256" s="833"/>
      <c r="W256" s="833"/>
      <c r="X256" s="425">
        <f t="shared" si="68"/>
        <v>4749.1454166666672</v>
      </c>
      <c r="Y256" s="833"/>
      <c r="Z256" s="833"/>
      <c r="AA256" s="833"/>
      <c r="AB256" s="833">
        <f t="shared" si="70"/>
        <v>4749.1454166666672</v>
      </c>
      <c r="AC256" s="834"/>
      <c r="AD256" s="835"/>
      <c r="AE256" s="834"/>
      <c r="AF256" s="781">
        <f t="shared" si="59"/>
        <v>0</v>
      </c>
    </row>
    <row r="257" spans="1:32" s="2" customFormat="1">
      <c r="A257" s="779">
        <f t="shared" si="61"/>
        <v>243</v>
      </c>
      <c r="B257" s="423" t="s">
        <v>1066</v>
      </c>
      <c r="C257" s="423" t="s">
        <v>513</v>
      </c>
      <c r="D257" s="423" t="s">
        <v>1277</v>
      </c>
      <c r="E257" s="777" t="s">
        <v>1902</v>
      </c>
      <c r="F257" s="391">
        <v>976150.82</v>
      </c>
      <c r="G257" s="391">
        <v>0</v>
      </c>
      <c r="H257" s="391">
        <v>0</v>
      </c>
      <c r="I257" s="391">
        <v>0</v>
      </c>
      <c r="J257" s="391">
        <v>0</v>
      </c>
      <c r="K257" s="391">
        <v>0</v>
      </c>
      <c r="L257" s="391">
        <v>0</v>
      </c>
      <c r="M257" s="391">
        <v>0</v>
      </c>
      <c r="N257" s="391">
        <v>0</v>
      </c>
      <c r="O257" s="391">
        <v>0</v>
      </c>
      <c r="P257" s="391">
        <v>0</v>
      </c>
      <c r="Q257" s="391">
        <v>0</v>
      </c>
      <c r="R257" s="391">
        <v>0</v>
      </c>
      <c r="S257" s="618">
        <f t="shared" si="63"/>
        <v>40672.950833333329</v>
      </c>
      <c r="T257" s="382"/>
      <c r="U257" s="833"/>
      <c r="V257" s="833"/>
      <c r="W257" s="833"/>
      <c r="X257" s="425">
        <f t="shared" si="68"/>
        <v>40672.950833333329</v>
      </c>
      <c r="Y257" s="833"/>
      <c r="Z257" s="833"/>
      <c r="AA257" s="833"/>
      <c r="AB257" s="833">
        <f t="shared" si="70"/>
        <v>40672.950833333329</v>
      </c>
      <c r="AC257" s="834"/>
      <c r="AD257" s="835"/>
      <c r="AE257" s="834"/>
      <c r="AF257" s="781">
        <f t="shared" si="59"/>
        <v>0</v>
      </c>
    </row>
    <row r="258" spans="1:32" s="2" customFormat="1">
      <c r="A258" s="779">
        <f t="shared" si="61"/>
        <v>244</v>
      </c>
      <c r="B258" s="423" t="s">
        <v>1066</v>
      </c>
      <c r="C258" s="423" t="s">
        <v>513</v>
      </c>
      <c r="D258" s="423" t="s">
        <v>1279</v>
      </c>
      <c r="E258" s="777" t="s">
        <v>1903</v>
      </c>
      <c r="F258" s="391">
        <v>700519.26</v>
      </c>
      <c r="G258" s="391">
        <v>0</v>
      </c>
      <c r="H258" s="391">
        <v>0</v>
      </c>
      <c r="I258" s="391">
        <v>0</v>
      </c>
      <c r="J258" s="391">
        <v>0</v>
      </c>
      <c r="K258" s="391">
        <v>0</v>
      </c>
      <c r="L258" s="391">
        <v>0</v>
      </c>
      <c r="M258" s="391">
        <v>0</v>
      </c>
      <c r="N258" s="391">
        <v>0</v>
      </c>
      <c r="O258" s="391">
        <v>0</v>
      </c>
      <c r="P258" s="391">
        <v>0</v>
      </c>
      <c r="Q258" s="391">
        <v>0</v>
      </c>
      <c r="R258" s="391">
        <v>0</v>
      </c>
      <c r="S258" s="618">
        <f t="shared" si="63"/>
        <v>29188.302500000002</v>
      </c>
      <c r="T258" s="382"/>
      <c r="U258" s="833"/>
      <c r="V258" s="833"/>
      <c r="W258" s="833"/>
      <c r="X258" s="425">
        <f t="shared" si="68"/>
        <v>29188.302500000002</v>
      </c>
      <c r="Y258" s="833"/>
      <c r="Z258" s="833"/>
      <c r="AA258" s="833"/>
      <c r="AB258" s="833">
        <f t="shared" si="70"/>
        <v>29188.302500000002</v>
      </c>
      <c r="AC258" s="834"/>
      <c r="AD258" s="835"/>
      <c r="AE258" s="834"/>
      <c r="AF258" s="781">
        <f t="shared" si="59"/>
        <v>0</v>
      </c>
    </row>
    <row r="259" spans="1:32" s="2" customFormat="1">
      <c r="A259" s="779">
        <f t="shared" si="61"/>
        <v>245</v>
      </c>
      <c r="B259" s="423" t="s">
        <v>1094</v>
      </c>
      <c r="C259" s="423" t="s">
        <v>513</v>
      </c>
      <c r="D259" s="423" t="s">
        <v>1286</v>
      </c>
      <c r="E259" s="777" t="s">
        <v>1896</v>
      </c>
      <c r="F259" s="391">
        <v>-127054.48</v>
      </c>
      <c r="G259" s="391">
        <v>112599.89</v>
      </c>
      <c r="H259" s="391">
        <v>64307.17</v>
      </c>
      <c r="I259" s="391">
        <v>5704.35</v>
      </c>
      <c r="J259" s="391">
        <v>105521.48</v>
      </c>
      <c r="K259" s="391">
        <v>403722.96</v>
      </c>
      <c r="L259" s="391">
        <v>511191.86</v>
      </c>
      <c r="M259" s="391">
        <v>579615.27</v>
      </c>
      <c r="N259" s="391">
        <v>627784.15</v>
      </c>
      <c r="O259" s="391">
        <v>640100.43999999994</v>
      </c>
      <c r="P259" s="391">
        <v>698247.58</v>
      </c>
      <c r="Q259" s="391">
        <v>224362.23999999999</v>
      </c>
      <c r="R259" s="391">
        <v>643838.16</v>
      </c>
      <c r="S259" s="618">
        <f t="shared" si="63"/>
        <v>352629.10249999998</v>
      </c>
      <c r="T259" s="382"/>
      <c r="U259" s="833"/>
      <c r="V259" s="833"/>
      <c r="W259" s="833"/>
      <c r="X259" s="425">
        <f t="shared" si="68"/>
        <v>352629.10249999998</v>
      </c>
      <c r="Y259" s="833"/>
      <c r="Z259" s="833"/>
      <c r="AA259" s="833"/>
      <c r="AB259" s="833">
        <f t="shared" si="70"/>
        <v>352629.10249999998</v>
      </c>
      <c r="AC259" s="834"/>
      <c r="AD259" s="835"/>
      <c r="AE259" s="834"/>
      <c r="AF259" s="781">
        <f t="shared" si="59"/>
        <v>0</v>
      </c>
    </row>
    <row r="260" spans="1:32" s="2" customFormat="1">
      <c r="A260" s="779">
        <f t="shared" si="61"/>
        <v>246</v>
      </c>
      <c r="B260" s="423" t="s">
        <v>1094</v>
      </c>
      <c r="C260" s="423" t="s">
        <v>513</v>
      </c>
      <c r="D260" s="423" t="s">
        <v>1287</v>
      </c>
      <c r="E260" s="777" t="s">
        <v>1897</v>
      </c>
      <c r="F260" s="391">
        <v>-134381.76999999999</v>
      </c>
      <c r="G260" s="391">
        <v>-384479.74</v>
      </c>
      <c r="H260" s="391">
        <v>-207714.31</v>
      </c>
      <c r="I260" s="391">
        <v>-864763.28</v>
      </c>
      <c r="J260" s="391">
        <v>-1360079.25</v>
      </c>
      <c r="K260" s="391">
        <v>-1504989.27</v>
      </c>
      <c r="L260" s="391">
        <v>-1706939.14</v>
      </c>
      <c r="M260" s="391">
        <v>-1785092.34</v>
      </c>
      <c r="N260" s="391">
        <v>-1528441.42</v>
      </c>
      <c r="O260" s="391">
        <v>-1380726.1</v>
      </c>
      <c r="P260" s="391">
        <v>-1530780.52</v>
      </c>
      <c r="Q260" s="391">
        <v>193667.13</v>
      </c>
      <c r="R260" s="391">
        <v>-228902.82</v>
      </c>
      <c r="S260" s="618">
        <f t="shared" si="63"/>
        <v>-1020165.0445833332</v>
      </c>
      <c r="T260" s="382"/>
      <c r="U260" s="833"/>
      <c r="V260" s="833"/>
      <c r="W260" s="833"/>
      <c r="X260" s="425">
        <f t="shared" si="68"/>
        <v>-1020165.0445833332</v>
      </c>
      <c r="Y260" s="833"/>
      <c r="Z260" s="833"/>
      <c r="AA260" s="833"/>
      <c r="AB260" s="833">
        <f t="shared" si="70"/>
        <v>-1020165.0445833332</v>
      </c>
      <c r="AC260" s="834"/>
      <c r="AD260" s="835"/>
      <c r="AE260" s="834"/>
      <c r="AF260" s="781">
        <f t="shared" si="59"/>
        <v>0</v>
      </c>
    </row>
    <row r="261" spans="1:32" s="2" customFormat="1">
      <c r="A261" s="779">
        <f t="shared" si="61"/>
        <v>247</v>
      </c>
      <c r="B261" s="423" t="s">
        <v>1094</v>
      </c>
      <c r="C261" s="423" t="s">
        <v>513</v>
      </c>
      <c r="D261" s="423" t="s">
        <v>1288</v>
      </c>
      <c r="E261" s="777" t="s">
        <v>1898</v>
      </c>
      <c r="F261" s="391">
        <v>4059966.67</v>
      </c>
      <c r="G261" s="391">
        <v>3212318.44</v>
      </c>
      <c r="H261" s="391">
        <v>2505235.73</v>
      </c>
      <c r="I261" s="391">
        <v>2507308.9</v>
      </c>
      <c r="J261" s="391">
        <v>2418602.59</v>
      </c>
      <c r="K261" s="391">
        <v>1964038.5</v>
      </c>
      <c r="L261" s="391">
        <v>1892252.25</v>
      </c>
      <c r="M261" s="391">
        <v>1770213.93</v>
      </c>
      <c r="N261" s="391">
        <v>1346690.53</v>
      </c>
      <c r="O261" s="391">
        <v>1062416.03</v>
      </c>
      <c r="P261" s="391">
        <v>921734.44</v>
      </c>
      <c r="Q261" s="391">
        <v>624129.18000000005</v>
      </c>
      <c r="R261" s="391">
        <v>444461.68</v>
      </c>
      <c r="S261" s="618">
        <f t="shared" si="63"/>
        <v>1873096.2245833336</v>
      </c>
      <c r="T261" s="382"/>
      <c r="U261" s="833"/>
      <c r="V261" s="833"/>
      <c r="W261" s="833"/>
      <c r="X261" s="425">
        <f t="shared" si="68"/>
        <v>1873096.2245833336</v>
      </c>
      <c r="Y261" s="833"/>
      <c r="Z261" s="833"/>
      <c r="AA261" s="833"/>
      <c r="AB261" s="833">
        <f t="shared" si="70"/>
        <v>1873096.2245833336</v>
      </c>
      <c r="AC261" s="834"/>
      <c r="AD261" s="835"/>
      <c r="AE261" s="834"/>
      <c r="AF261" s="781">
        <f t="shared" si="59"/>
        <v>0</v>
      </c>
    </row>
    <row r="262" spans="1:32" s="2" customFormat="1">
      <c r="A262" s="779">
        <f t="shared" si="61"/>
        <v>248</v>
      </c>
      <c r="B262" s="423" t="s">
        <v>1094</v>
      </c>
      <c r="C262" s="423" t="s">
        <v>513</v>
      </c>
      <c r="D262" s="423" t="s">
        <v>1289</v>
      </c>
      <c r="E262" s="777" t="s">
        <v>1899</v>
      </c>
      <c r="F262" s="391">
        <v>-3798530.42</v>
      </c>
      <c r="G262" s="391">
        <v>-2940438.59</v>
      </c>
      <c r="H262" s="391">
        <v>-2361828.59</v>
      </c>
      <c r="I262" s="391">
        <v>-1648249.97</v>
      </c>
      <c r="J262" s="391">
        <v>-1164044.82</v>
      </c>
      <c r="K262" s="391">
        <v>-862772.19</v>
      </c>
      <c r="L262" s="391">
        <v>-696504.97</v>
      </c>
      <c r="M262" s="391">
        <v>-564736.86</v>
      </c>
      <c r="N262" s="391">
        <v>-446033.26</v>
      </c>
      <c r="O262" s="391">
        <v>-321790.37</v>
      </c>
      <c r="P262" s="391">
        <v>-89201.499999999898</v>
      </c>
      <c r="Q262" s="391">
        <v>-1042158.55</v>
      </c>
      <c r="R262" s="391">
        <v>-859397.02</v>
      </c>
      <c r="S262" s="618">
        <f t="shared" ref="S262:S267" si="71">((F262+R262)+((G262+H262+I262+J262+K262+L262+M262+N262+O262+P262+Q262)*2))/24</f>
        <v>-1205560.2825</v>
      </c>
      <c r="T262" s="382"/>
      <c r="U262" s="833"/>
      <c r="V262" s="833"/>
      <c r="W262" s="833"/>
      <c r="X262" s="425">
        <f t="shared" si="68"/>
        <v>-1205560.2825</v>
      </c>
      <c r="Y262" s="833"/>
      <c r="Z262" s="833"/>
      <c r="AA262" s="833"/>
      <c r="AB262" s="833">
        <f t="shared" si="70"/>
        <v>-1205560.2825</v>
      </c>
      <c r="AC262" s="834"/>
      <c r="AD262" s="835"/>
      <c r="AE262" s="834"/>
      <c r="AF262" s="781">
        <f t="shared" si="59"/>
        <v>0</v>
      </c>
    </row>
    <row r="263" spans="1:32" s="2" customFormat="1">
      <c r="A263" s="779">
        <f t="shared" si="61"/>
        <v>249</v>
      </c>
      <c r="B263" s="423" t="s">
        <v>1066</v>
      </c>
      <c r="C263" s="423" t="s">
        <v>513</v>
      </c>
      <c r="D263" s="423" t="s">
        <v>1290</v>
      </c>
      <c r="E263" s="777" t="s">
        <v>1904</v>
      </c>
      <c r="F263" s="391">
        <v>-5899262.8300000001</v>
      </c>
      <c r="G263" s="391">
        <v>-5665638.0599999996</v>
      </c>
      <c r="H263" s="391">
        <v>-6495911.1799999997</v>
      </c>
      <c r="I263" s="391">
        <v>-6967711.3200000003</v>
      </c>
      <c r="J263" s="391">
        <v>-7545664.8799999999</v>
      </c>
      <c r="K263" s="391">
        <v>-7027571.9299999997</v>
      </c>
      <c r="L263" s="391">
        <v>-7146164.71</v>
      </c>
      <c r="M263" s="391">
        <v>-7151359.0899999999</v>
      </c>
      <c r="N263" s="391">
        <v>-6729387.8300000001</v>
      </c>
      <c r="O263" s="391">
        <v>-6838631.5999999996</v>
      </c>
      <c r="P263" s="391">
        <v>-6565400.29</v>
      </c>
      <c r="Q263" s="391">
        <v>-93709.3200000012</v>
      </c>
      <c r="R263" s="391">
        <v>1013703.17</v>
      </c>
      <c r="S263" s="618">
        <f t="shared" si="71"/>
        <v>-5889160.8366666669</v>
      </c>
      <c r="T263" s="382"/>
      <c r="U263" s="833"/>
      <c r="V263" s="833"/>
      <c r="W263" s="833"/>
      <c r="X263" s="425">
        <f t="shared" si="68"/>
        <v>-5889160.8366666669</v>
      </c>
      <c r="Y263" s="833"/>
      <c r="Z263" s="833"/>
      <c r="AA263" s="833"/>
      <c r="AB263" s="833">
        <f t="shared" si="70"/>
        <v>-5889160.8366666669</v>
      </c>
      <c r="AC263" s="834"/>
      <c r="AD263" s="835"/>
      <c r="AE263" s="834"/>
      <c r="AF263" s="781">
        <f t="shared" si="59"/>
        <v>0</v>
      </c>
    </row>
    <row r="264" spans="1:32">
      <c r="A264" s="779">
        <f t="shared" si="61"/>
        <v>250</v>
      </c>
      <c r="B264" s="423" t="s">
        <v>1066</v>
      </c>
      <c r="C264" s="423" t="s">
        <v>513</v>
      </c>
      <c r="D264" s="423" t="s">
        <v>1282</v>
      </c>
      <c r="E264" s="777" t="s">
        <v>1905</v>
      </c>
      <c r="F264" s="391">
        <v>2427759.54</v>
      </c>
      <c r="G264" s="391">
        <v>0</v>
      </c>
      <c r="H264" s="391">
        <v>0</v>
      </c>
      <c r="I264" s="391">
        <v>0</v>
      </c>
      <c r="J264" s="391">
        <v>0</v>
      </c>
      <c r="K264" s="391">
        <v>0</v>
      </c>
      <c r="L264" s="391">
        <v>0</v>
      </c>
      <c r="M264" s="391">
        <v>0</v>
      </c>
      <c r="N264" s="391">
        <v>0</v>
      </c>
      <c r="O264" s="391">
        <v>0</v>
      </c>
      <c r="P264" s="391">
        <v>0</v>
      </c>
      <c r="Q264" s="391">
        <v>0</v>
      </c>
      <c r="R264" s="391">
        <v>0</v>
      </c>
      <c r="S264" s="618">
        <f t="shared" si="71"/>
        <v>101156.64750000001</v>
      </c>
      <c r="T264" s="382"/>
      <c r="U264" s="833"/>
      <c r="V264" s="833"/>
      <c r="W264" s="833"/>
      <c r="X264" s="425">
        <f t="shared" si="68"/>
        <v>101156.64750000001</v>
      </c>
      <c r="Y264" s="833"/>
      <c r="Z264" s="833"/>
      <c r="AA264" s="833"/>
      <c r="AB264" s="833">
        <f t="shared" si="70"/>
        <v>101156.64750000001</v>
      </c>
      <c r="AC264" s="834"/>
      <c r="AD264" s="835"/>
      <c r="AE264" s="834"/>
      <c r="AF264" s="781">
        <f t="shared" si="59"/>
        <v>0</v>
      </c>
    </row>
    <row r="265" spans="1:32">
      <c r="A265" s="779">
        <f t="shared" si="61"/>
        <v>251</v>
      </c>
      <c r="B265" s="423" t="s">
        <v>1066</v>
      </c>
      <c r="C265" s="423" t="s">
        <v>513</v>
      </c>
      <c r="D265" s="423" t="s">
        <v>1283</v>
      </c>
      <c r="E265" s="777" t="s">
        <v>1906</v>
      </c>
      <c r="F265" s="391">
        <v>1511249.09</v>
      </c>
      <c r="G265" s="391">
        <v>5791633.3700000001</v>
      </c>
      <c r="H265" s="391">
        <v>6596943.9699999997</v>
      </c>
      <c r="I265" s="391">
        <v>7038725.3099999996</v>
      </c>
      <c r="J265" s="391">
        <v>7592820.75</v>
      </c>
      <c r="K265" s="391">
        <v>7057777.9500000002</v>
      </c>
      <c r="L265" s="391">
        <v>7165590.7300000004</v>
      </c>
      <c r="M265" s="391">
        <v>7161984.4100000001</v>
      </c>
      <c r="N265" s="391">
        <v>6731976.25</v>
      </c>
      <c r="O265" s="391">
        <v>6834231.7400000002</v>
      </c>
      <c r="P265" s="391">
        <v>6546122.6100000003</v>
      </c>
      <c r="Q265" s="391">
        <v>6026089.79</v>
      </c>
      <c r="R265" s="391">
        <v>4075395.82</v>
      </c>
      <c r="S265" s="618">
        <f t="shared" si="71"/>
        <v>6444768.2779166671</v>
      </c>
      <c r="T265" s="382"/>
      <c r="U265" s="833"/>
      <c r="V265" s="833"/>
      <c r="W265" s="833"/>
      <c r="X265" s="425">
        <f t="shared" si="68"/>
        <v>6444768.2779166671</v>
      </c>
      <c r="Y265" s="833"/>
      <c r="Z265" s="833"/>
      <c r="AA265" s="833"/>
      <c r="AB265" s="833">
        <f t="shared" si="69"/>
        <v>6444768.2779166671</v>
      </c>
      <c r="AC265" s="834"/>
      <c r="AD265" s="835"/>
      <c r="AE265" s="834"/>
      <c r="AF265" s="781">
        <f t="shared" si="59"/>
        <v>0</v>
      </c>
    </row>
    <row r="266" spans="1:32">
      <c r="A266" s="779">
        <f t="shared" si="61"/>
        <v>252</v>
      </c>
      <c r="B266" s="423" t="s">
        <v>1066</v>
      </c>
      <c r="C266" s="423" t="s">
        <v>513</v>
      </c>
      <c r="D266" s="423" t="s">
        <v>1701</v>
      </c>
      <c r="E266" s="777" t="s">
        <v>1907</v>
      </c>
      <c r="F266" s="391">
        <v>-162306.72</v>
      </c>
      <c r="G266" s="391">
        <v>-125995.31</v>
      </c>
      <c r="H266" s="391">
        <v>-101032.79</v>
      </c>
      <c r="I266" s="391">
        <v>-71013.990000000005</v>
      </c>
      <c r="J266" s="391">
        <v>-47155.87</v>
      </c>
      <c r="K266" s="391">
        <v>-30206.02</v>
      </c>
      <c r="L266" s="391">
        <v>-19426.02</v>
      </c>
      <c r="M266" s="391">
        <v>-10625.32</v>
      </c>
      <c r="N266" s="391">
        <v>-2588.42</v>
      </c>
      <c r="O266" s="391">
        <v>4399.8599999999997</v>
      </c>
      <c r="P266" s="391">
        <v>19277.68</v>
      </c>
      <c r="Q266" s="391">
        <v>-5932380.4699999997</v>
      </c>
      <c r="R266" s="391">
        <v>-5089098.99</v>
      </c>
      <c r="S266" s="618">
        <f t="shared" si="71"/>
        <v>-745204.12708333333</v>
      </c>
      <c r="T266" s="382"/>
      <c r="U266" s="833"/>
      <c r="V266" s="833"/>
      <c r="W266" s="833"/>
      <c r="X266" s="425">
        <f t="shared" si="68"/>
        <v>-745204.12708333333</v>
      </c>
      <c r="Y266" s="833"/>
      <c r="Z266" s="833"/>
      <c r="AA266" s="833"/>
      <c r="AB266" s="833">
        <f t="shared" si="69"/>
        <v>-745204.12708333333</v>
      </c>
      <c r="AC266" s="834"/>
      <c r="AD266" s="835"/>
      <c r="AE266" s="834"/>
      <c r="AF266" s="781">
        <f t="shared" si="59"/>
        <v>0</v>
      </c>
    </row>
    <row r="267" spans="1:32">
      <c r="A267" s="779">
        <f t="shared" si="61"/>
        <v>253</v>
      </c>
      <c r="B267" s="423" t="s">
        <v>1063</v>
      </c>
      <c r="C267" s="423" t="s">
        <v>514</v>
      </c>
      <c r="D267" s="423" t="s">
        <v>472</v>
      </c>
      <c r="E267" s="777" t="s">
        <v>1908</v>
      </c>
      <c r="F267" s="391">
        <v>4048837</v>
      </c>
      <c r="G267" s="391">
        <v>4048837</v>
      </c>
      <c r="H267" s="391">
        <v>4048837</v>
      </c>
      <c r="I267" s="391">
        <v>4048837</v>
      </c>
      <c r="J267" s="391">
        <v>4405213</v>
      </c>
      <c r="K267" s="391">
        <v>4405213</v>
      </c>
      <c r="L267" s="391">
        <v>4405213</v>
      </c>
      <c r="M267" s="391">
        <v>4405213</v>
      </c>
      <c r="N267" s="391">
        <v>4405213</v>
      </c>
      <c r="O267" s="391">
        <v>4405213</v>
      </c>
      <c r="P267" s="391">
        <v>4405213</v>
      </c>
      <c r="Q267" s="391">
        <v>4405213</v>
      </c>
      <c r="R267" s="391">
        <v>4405213</v>
      </c>
      <c r="S267" s="618">
        <f t="shared" si="71"/>
        <v>4301270</v>
      </c>
      <c r="T267" s="382"/>
      <c r="U267" s="833"/>
      <c r="V267" s="833"/>
      <c r="W267" s="833"/>
      <c r="X267" s="425">
        <f t="shared" si="68"/>
        <v>4301270</v>
      </c>
      <c r="Y267" s="833"/>
      <c r="Z267" s="833"/>
      <c r="AA267" s="833"/>
      <c r="AB267" s="833">
        <f t="shared" si="69"/>
        <v>4301270</v>
      </c>
      <c r="AC267" s="834"/>
      <c r="AD267" s="835"/>
      <c r="AE267" s="834"/>
      <c r="AF267" s="781">
        <f t="shared" si="59"/>
        <v>0</v>
      </c>
    </row>
    <row r="268" spans="1:32">
      <c r="A268" s="779">
        <f t="shared" si="61"/>
        <v>254</v>
      </c>
      <c r="B268" s="422"/>
      <c r="C268" s="422"/>
      <c r="D268" s="422"/>
      <c r="E268" s="777" t="s">
        <v>515</v>
      </c>
      <c r="F268" s="394">
        <f t="shared" ref="F268:S268" si="72">SUM(F211:F267)</f>
        <v>78608508.219999969</v>
      </c>
      <c r="G268" s="394">
        <f t="shared" si="72"/>
        <v>82958816.010000005</v>
      </c>
      <c r="H268" s="394">
        <f t="shared" si="72"/>
        <v>83117560.469999984</v>
      </c>
      <c r="I268" s="394">
        <f t="shared" si="72"/>
        <v>83407057.019999996</v>
      </c>
      <c r="J268" s="394">
        <f t="shared" si="72"/>
        <v>84194940.200000003</v>
      </c>
      <c r="K268" s="394">
        <f t="shared" si="72"/>
        <v>83887103.320000023</v>
      </c>
      <c r="L268" s="394">
        <f t="shared" si="72"/>
        <v>85047868.13000001</v>
      </c>
      <c r="M268" s="394">
        <f t="shared" si="72"/>
        <v>85638967.939999998</v>
      </c>
      <c r="N268" s="394">
        <f t="shared" si="72"/>
        <v>85995217.929999992</v>
      </c>
      <c r="O268" s="394">
        <f t="shared" si="72"/>
        <v>87356779.379999995</v>
      </c>
      <c r="P268" s="394">
        <f t="shared" si="72"/>
        <v>86818910.600000024</v>
      </c>
      <c r="Q268" s="394">
        <f t="shared" si="72"/>
        <v>86686917.339999989</v>
      </c>
      <c r="R268" s="394">
        <f t="shared" si="72"/>
        <v>90797163.850000009</v>
      </c>
      <c r="S268" s="620">
        <f t="shared" si="72"/>
        <v>84984414.53125</v>
      </c>
      <c r="T268" s="382"/>
      <c r="U268" s="833"/>
      <c r="V268" s="833"/>
      <c r="W268" s="833"/>
      <c r="X268" s="425"/>
      <c r="Y268" s="833"/>
      <c r="Z268" s="833"/>
      <c r="AA268" s="833"/>
      <c r="AB268" s="833"/>
      <c r="AC268" s="834"/>
      <c r="AD268" s="834"/>
      <c r="AE268" s="834"/>
      <c r="AF268" s="781">
        <f t="shared" si="59"/>
        <v>0</v>
      </c>
    </row>
    <row r="269" spans="1:32">
      <c r="A269" s="779">
        <f t="shared" si="61"/>
        <v>255</v>
      </c>
      <c r="B269" s="422"/>
      <c r="C269" s="422"/>
      <c r="D269" s="422"/>
      <c r="E269" s="763"/>
      <c r="F269" s="391"/>
      <c r="G269" s="420"/>
      <c r="H269" s="408"/>
      <c r="I269" s="408"/>
      <c r="J269" s="409"/>
      <c r="K269" s="410"/>
      <c r="L269" s="411"/>
      <c r="M269" s="412"/>
      <c r="N269" s="413"/>
      <c r="O269" s="414"/>
      <c r="P269" s="415"/>
      <c r="Q269" s="421"/>
      <c r="R269" s="391"/>
      <c r="S269" s="392"/>
      <c r="T269" s="382"/>
      <c r="U269" s="833"/>
      <c r="V269" s="833"/>
      <c r="W269" s="833"/>
      <c r="X269" s="425"/>
      <c r="Y269" s="833"/>
      <c r="Z269" s="833"/>
      <c r="AA269" s="833"/>
      <c r="AB269" s="833"/>
      <c r="AC269" s="834"/>
      <c r="AD269" s="834"/>
      <c r="AE269" s="834"/>
      <c r="AF269" s="781">
        <f t="shared" si="59"/>
        <v>0</v>
      </c>
    </row>
    <row r="270" spans="1:32">
      <c r="A270" s="779">
        <f t="shared" si="61"/>
        <v>256</v>
      </c>
      <c r="B270" s="423" t="s">
        <v>382</v>
      </c>
      <c r="C270" s="423" t="s">
        <v>516</v>
      </c>
      <c r="D270" s="423" t="s">
        <v>382</v>
      </c>
      <c r="E270" s="777" t="s">
        <v>517</v>
      </c>
      <c r="F270" s="391">
        <v>144114776.72</v>
      </c>
      <c r="G270" s="391">
        <v>21790189.309999999</v>
      </c>
      <c r="H270" s="391">
        <v>42147124.039999999</v>
      </c>
      <c r="I270" s="391">
        <v>58962425.490000002</v>
      </c>
      <c r="J270" s="391">
        <v>70342716.599999994</v>
      </c>
      <c r="K270" s="391">
        <v>75996700.909999996</v>
      </c>
      <c r="L270" s="391">
        <v>81176632.140000001</v>
      </c>
      <c r="M270" s="391">
        <v>85461812.150000006</v>
      </c>
      <c r="N270" s="391">
        <v>88067234.599999994</v>
      </c>
      <c r="O270" s="391">
        <v>93549872.980000004</v>
      </c>
      <c r="P270" s="391">
        <v>104197080.37</v>
      </c>
      <c r="Q270" s="391">
        <v>119701897.48999999</v>
      </c>
      <c r="R270" s="391">
        <v>139413148.13</v>
      </c>
      <c r="S270" s="618">
        <f>((F270+R270)+((G270+H270+I270+J270+K270+L270+M270+N270+O270+P270+Q270)*2))/24</f>
        <v>81929804.042083338</v>
      </c>
      <c r="T270" s="382"/>
      <c r="U270" s="833"/>
      <c r="V270" s="833"/>
      <c r="W270" s="833">
        <f t="shared" ref="W270:W273" si="73">+S270</f>
        <v>81929804.042083338</v>
      </c>
      <c r="X270" s="425"/>
      <c r="Y270" s="833"/>
      <c r="Z270" s="833"/>
      <c r="AA270" s="833"/>
      <c r="AB270" s="833"/>
      <c r="AC270" s="835">
        <f>+S270</f>
        <v>81929804.042083338</v>
      </c>
      <c r="AD270" s="834"/>
      <c r="AE270" s="834"/>
      <c r="AF270" s="781">
        <f t="shared" si="59"/>
        <v>0</v>
      </c>
    </row>
    <row r="271" spans="1:32">
      <c r="A271" s="779">
        <f t="shared" si="61"/>
        <v>257</v>
      </c>
      <c r="B271" s="423" t="s">
        <v>382</v>
      </c>
      <c r="C271" s="423" t="s">
        <v>518</v>
      </c>
      <c r="D271" s="423" t="s">
        <v>382</v>
      </c>
      <c r="E271" s="777" t="s">
        <v>519</v>
      </c>
      <c r="F271" s="391">
        <v>50276230.659999996</v>
      </c>
      <c r="G271" s="391">
        <v>5244374.67</v>
      </c>
      <c r="H271" s="391">
        <v>9620960.8900000006</v>
      </c>
      <c r="I271" s="391">
        <v>14511369.199999999</v>
      </c>
      <c r="J271" s="391">
        <v>18985259.670000002</v>
      </c>
      <c r="K271" s="391">
        <v>22808064.260000002</v>
      </c>
      <c r="L271" s="391">
        <v>26762282.68</v>
      </c>
      <c r="M271" s="391">
        <v>30771762.039999999</v>
      </c>
      <c r="N271" s="391">
        <v>35431844.210000001</v>
      </c>
      <c r="O271" s="391">
        <v>39749677.140000001</v>
      </c>
      <c r="P271" s="391">
        <v>44016316.68</v>
      </c>
      <c r="Q271" s="391">
        <v>48694380.310000002</v>
      </c>
      <c r="R271" s="391">
        <v>53526616.649999999</v>
      </c>
      <c r="S271" s="618">
        <f>((F271+R271)+((G271+H271+I271+J271+K271+L271+M271+N271+O271+P271+Q271)*2))/24</f>
        <v>29041476.283749998</v>
      </c>
      <c r="T271" s="382"/>
      <c r="U271" s="833"/>
      <c r="V271" s="833"/>
      <c r="W271" s="833">
        <f t="shared" si="73"/>
        <v>29041476.283749998</v>
      </c>
      <c r="X271" s="425"/>
      <c r="Y271" s="833"/>
      <c r="Z271" s="833"/>
      <c r="AA271" s="833"/>
      <c r="AB271" s="833"/>
      <c r="AC271" s="835">
        <f t="shared" ref="AC271:AC273" si="74">+S271</f>
        <v>29041476.283749998</v>
      </c>
      <c r="AD271" s="834"/>
      <c r="AE271" s="834"/>
      <c r="AF271" s="781">
        <f t="shared" ref="AF271:AF334" si="75">+U271+V271-AD271</f>
        <v>0</v>
      </c>
    </row>
    <row r="272" spans="1:32">
      <c r="A272" s="779">
        <f t="shared" si="61"/>
        <v>258</v>
      </c>
      <c r="B272" s="423" t="s">
        <v>382</v>
      </c>
      <c r="C272" s="423" t="s">
        <v>520</v>
      </c>
      <c r="D272" s="423" t="s">
        <v>521</v>
      </c>
      <c r="E272" s="777" t="s">
        <v>522</v>
      </c>
      <c r="F272" s="391">
        <v>0</v>
      </c>
      <c r="G272" s="391">
        <v>0</v>
      </c>
      <c r="H272" s="391">
        <v>0</v>
      </c>
      <c r="I272" s="391">
        <v>0</v>
      </c>
      <c r="J272" s="391">
        <v>0</v>
      </c>
      <c r="K272" s="391">
        <v>0</v>
      </c>
      <c r="L272" s="391">
        <v>0</v>
      </c>
      <c r="M272" s="391">
        <v>0</v>
      </c>
      <c r="N272" s="391">
        <v>0</v>
      </c>
      <c r="O272" s="391">
        <v>0</v>
      </c>
      <c r="P272" s="391">
        <v>0</v>
      </c>
      <c r="Q272" s="391">
        <v>0</v>
      </c>
      <c r="R272" s="391">
        <v>0</v>
      </c>
      <c r="S272" s="618">
        <f>((F272+R272)+((G272+H272+I272+J272+K272+L272+M272+N272+O272+P272+Q272)*2))/24</f>
        <v>0</v>
      </c>
      <c r="T272" s="382"/>
      <c r="U272" s="833"/>
      <c r="V272" s="833"/>
      <c r="W272" s="833">
        <f t="shared" si="73"/>
        <v>0</v>
      </c>
      <c r="X272" s="425"/>
      <c r="Y272" s="833"/>
      <c r="Z272" s="833"/>
      <c r="AA272" s="833"/>
      <c r="AB272" s="833"/>
      <c r="AC272" s="835">
        <f t="shared" si="74"/>
        <v>0</v>
      </c>
      <c r="AD272" s="834"/>
      <c r="AE272" s="834"/>
      <c r="AF272" s="781">
        <f t="shared" si="75"/>
        <v>0</v>
      </c>
    </row>
    <row r="273" spans="1:32">
      <c r="A273" s="779">
        <f t="shared" ref="A273:A336" si="76">+A272+1</f>
        <v>259</v>
      </c>
      <c r="B273" s="423" t="s">
        <v>382</v>
      </c>
      <c r="C273" s="423" t="s">
        <v>523</v>
      </c>
      <c r="D273" s="423" t="s">
        <v>382</v>
      </c>
      <c r="E273" s="777" t="s">
        <v>524</v>
      </c>
      <c r="F273" s="405">
        <v>7645195.1500000004</v>
      </c>
      <c r="G273" s="405">
        <v>662079.03</v>
      </c>
      <c r="H273" s="405">
        <v>1253795.29</v>
      </c>
      <c r="I273" s="405">
        <v>1941064.79</v>
      </c>
      <c r="J273" s="405">
        <v>2536308.91</v>
      </c>
      <c r="K273" s="405">
        <v>3169158.63</v>
      </c>
      <c r="L273" s="405">
        <v>3809101.68</v>
      </c>
      <c r="M273" s="405">
        <v>4398010.87</v>
      </c>
      <c r="N273" s="405">
        <v>5140319.42</v>
      </c>
      <c r="O273" s="405">
        <v>5809728.4299999997</v>
      </c>
      <c r="P273" s="405">
        <v>6622571.1200000001</v>
      </c>
      <c r="Q273" s="405">
        <v>7277178.5499999998</v>
      </c>
      <c r="R273" s="405">
        <v>8005145.8399999999</v>
      </c>
      <c r="S273" s="618">
        <f>((F273+R273)+((G273+H273+I273+J273+K273+L273+M273+N273+O273+P273+Q273)*2))/24</f>
        <v>4203707.2679166654</v>
      </c>
      <c r="T273" s="382"/>
      <c r="U273" s="833"/>
      <c r="V273" s="833"/>
      <c r="W273" s="833">
        <f t="shared" si="73"/>
        <v>4203707.2679166654</v>
      </c>
      <c r="X273" s="425"/>
      <c r="Y273" s="833"/>
      <c r="Z273" s="833"/>
      <c r="AA273" s="833"/>
      <c r="AB273" s="833"/>
      <c r="AC273" s="835">
        <f t="shared" si="74"/>
        <v>4203707.2679166654</v>
      </c>
      <c r="AD273" s="834"/>
      <c r="AE273" s="834"/>
      <c r="AF273" s="781">
        <f t="shared" si="75"/>
        <v>0</v>
      </c>
    </row>
    <row r="274" spans="1:32">
      <c r="A274" s="779">
        <f t="shared" si="76"/>
        <v>260</v>
      </c>
      <c r="B274" s="423"/>
      <c r="C274" s="423"/>
      <c r="D274" s="423"/>
      <c r="E274" s="777" t="s">
        <v>525</v>
      </c>
      <c r="F274" s="394">
        <f>SUM(F270:F273)</f>
        <v>202036202.53</v>
      </c>
      <c r="G274" s="394">
        <f t="shared" ref="G274:S274" si="77">SUM(G270:G273)</f>
        <v>27696643.009999998</v>
      </c>
      <c r="H274" s="394">
        <f t="shared" si="77"/>
        <v>53021880.219999999</v>
      </c>
      <c r="I274" s="394">
        <f t="shared" si="77"/>
        <v>75414859.480000004</v>
      </c>
      <c r="J274" s="394">
        <f t="shared" si="77"/>
        <v>91864285.179999992</v>
      </c>
      <c r="K274" s="394">
        <f t="shared" si="77"/>
        <v>101973923.8</v>
      </c>
      <c r="L274" s="394">
        <f t="shared" si="77"/>
        <v>111748016.5</v>
      </c>
      <c r="M274" s="394">
        <f t="shared" si="77"/>
        <v>120631585.06</v>
      </c>
      <c r="N274" s="394">
        <f t="shared" si="77"/>
        <v>128639398.23</v>
      </c>
      <c r="O274" s="394">
        <f t="shared" si="77"/>
        <v>139109278.55000001</v>
      </c>
      <c r="P274" s="394">
        <f t="shared" si="77"/>
        <v>154835968.17000002</v>
      </c>
      <c r="Q274" s="394">
        <f t="shared" si="77"/>
        <v>175673456.35000002</v>
      </c>
      <c r="R274" s="394">
        <f t="shared" si="77"/>
        <v>200944910.62</v>
      </c>
      <c r="S274" s="620">
        <f t="shared" si="77"/>
        <v>115174987.59375</v>
      </c>
      <c r="T274" s="382"/>
      <c r="U274" s="833"/>
      <c r="V274" s="833"/>
      <c r="W274" s="833"/>
      <c r="X274" s="425"/>
      <c r="Y274" s="833"/>
      <c r="Z274" s="833"/>
      <c r="AA274" s="833"/>
      <c r="AB274" s="833"/>
      <c r="AC274" s="834"/>
      <c r="AD274" s="834"/>
      <c r="AE274" s="834"/>
      <c r="AF274" s="781">
        <f t="shared" si="75"/>
        <v>0</v>
      </c>
    </row>
    <row r="275" spans="1:32" s="513" customFormat="1">
      <c r="A275" s="779">
        <f t="shared" si="76"/>
        <v>261</v>
      </c>
      <c r="B275" s="422"/>
      <c r="C275" s="422"/>
      <c r="D275" s="422"/>
      <c r="E275" s="763"/>
      <c r="F275" s="391"/>
      <c r="G275" s="420"/>
      <c r="H275" s="408"/>
      <c r="I275" s="408"/>
      <c r="J275" s="409"/>
      <c r="K275" s="410"/>
      <c r="L275" s="411"/>
      <c r="M275" s="412"/>
      <c r="N275" s="413"/>
      <c r="O275" s="414"/>
      <c r="P275" s="415"/>
      <c r="Q275" s="421"/>
      <c r="R275" s="391"/>
      <c r="S275" s="392"/>
      <c r="T275" s="422"/>
      <c r="U275" s="833"/>
      <c r="V275" s="833"/>
      <c r="W275" s="833"/>
      <c r="X275" s="425"/>
      <c r="Y275" s="833"/>
      <c r="Z275" s="833"/>
      <c r="AA275" s="833"/>
      <c r="AB275" s="833"/>
      <c r="AC275" s="834"/>
      <c r="AD275" s="834"/>
      <c r="AE275" s="834"/>
      <c r="AF275" s="781">
        <f t="shared" si="75"/>
        <v>0</v>
      </c>
    </row>
    <row r="276" spans="1:32" s="513" customFormat="1">
      <c r="A276" s="779">
        <f t="shared" si="76"/>
        <v>262</v>
      </c>
      <c r="B276" s="423" t="s">
        <v>1094</v>
      </c>
      <c r="C276" s="423" t="s">
        <v>526</v>
      </c>
      <c r="D276" s="422"/>
      <c r="E276" s="777" t="s">
        <v>527</v>
      </c>
      <c r="F276" s="391">
        <v>0</v>
      </c>
      <c r="G276" s="391">
        <v>0</v>
      </c>
      <c r="H276" s="391">
        <v>0</v>
      </c>
      <c r="I276" s="391">
        <v>0</v>
      </c>
      <c r="J276" s="391">
        <v>0</v>
      </c>
      <c r="K276" s="391">
        <v>0</v>
      </c>
      <c r="L276" s="391">
        <v>0</v>
      </c>
      <c r="M276" s="391">
        <v>0</v>
      </c>
      <c r="N276" s="391">
        <v>0</v>
      </c>
      <c r="O276" s="391">
        <v>0</v>
      </c>
      <c r="P276" s="391">
        <v>0</v>
      </c>
      <c r="Q276" s="391">
        <v>0</v>
      </c>
      <c r="R276" s="391">
        <v>0</v>
      </c>
      <c r="S276" s="392">
        <f>((F276+R276)+((G276+H276+I276+J276+K276+L276+M276+N276+O276+P276+Q276)*2))/24</f>
        <v>0</v>
      </c>
      <c r="T276" s="422"/>
      <c r="U276" s="833"/>
      <c r="V276" s="833"/>
      <c r="W276" s="833">
        <f t="shared" ref="W276:W293" si="78">+S276</f>
        <v>0</v>
      </c>
      <c r="X276" s="425"/>
      <c r="Y276" s="833"/>
      <c r="Z276" s="833"/>
      <c r="AA276" s="833"/>
      <c r="AB276" s="833"/>
      <c r="AC276" s="835">
        <f t="shared" ref="AC276:AC293" si="79">+S276</f>
        <v>0</v>
      </c>
      <c r="AD276" s="834"/>
      <c r="AE276" s="834"/>
      <c r="AF276" s="781">
        <f t="shared" si="75"/>
        <v>0</v>
      </c>
    </row>
    <row r="277" spans="1:32" s="513" customFormat="1">
      <c r="A277" s="779">
        <f t="shared" si="76"/>
        <v>263</v>
      </c>
      <c r="B277" s="423" t="s">
        <v>1066</v>
      </c>
      <c r="C277" s="423" t="s">
        <v>526</v>
      </c>
      <c r="D277" s="422"/>
      <c r="E277" s="777" t="s">
        <v>527</v>
      </c>
      <c r="F277" s="391">
        <v>0</v>
      </c>
      <c r="G277" s="391">
        <v>0</v>
      </c>
      <c r="H277" s="391">
        <v>0</v>
      </c>
      <c r="I277" s="391">
        <v>0</v>
      </c>
      <c r="J277" s="391">
        <v>0</v>
      </c>
      <c r="K277" s="391">
        <v>0</v>
      </c>
      <c r="L277" s="391">
        <v>0</v>
      </c>
      <c r="M277" s="391">
        <v>0</v>
      </c>
      <c r="N277" s="391">
        <v>0</v>
      </c>
      <c r="O277" s="391">
        <v>0</v>
      </c>
      <c r="P277" s="391">
        <v>0</v>
      </c>
      <c r="Q277" s="391">
        <v>0</v>
      </c>
      <c r="R277" s="391">
        <v>0</v>
      </c>
      <c r="S277" s="392">
        <f>((F277+R277)+((G277+H277+I277+J277+K277+L277+M277+N277+O277+P277+Q277)*2))/24</f>
        <v>0</v>
      </c>
      <c r="T277" s="422"/>
      <c r="U277" s="833"/>
      <c r="V277" s="833"/>
      <c r="W277" s="833">
        <f t="shared" si="78"/>
        <v>0</v>
      </c>
      <c r="X277" s="425"/>
      <c r="Y277" s="833"/>
      <c r="Z277" s="833"/>
      <c r="AA277" s="833"/>
      <c r="AB277" s="833"/>
      <c r="AC277" s="835">
        <f t="shared" si="79"/>
        <v>0</v>
      </c>
      <c r="AD277" s="834"/>
      <c r="AE277" s="834"/>
      <c r="AF277" s="781">
        <f t="shared" si="75"/>
        <v>0</v>
      </c>
    </row>
    <row r="278" spans="1:32" s="513" customFormat="1">
      <c r="A278" s="779">
        <f t="shared" si="76"/>
        <v>264</v>
      </c>
      <c r="B278" s="422"/>
      <c r="C278" s="422"/>
      <c r="D278" s="422"/>
      <c r="E278" s="763"/>
      <c r="F278" s="391"/>
      <c r="G278" s="420"/>
      <c r="H278" s="408"/>
      <c r="I278" s="408"/>
      <c r="J278" s="409"/>
      <c r="K278" s="410"/>
      <c r="L278" s="411"/>
      <c r="M278" s="412"/>
      <c r="N278" s="413"/>
      <c r="O278" s="414"/>
      <c r="P278" s="415"/>
      <c r="Q278" s="421"/>
      <c r="R278" s="391"/>
      <c r="S278" s="392"/>
      <c r="T278" s="422"/>
      <c r="U278" s="833"/>
      <c r="V278" s="833"/>
      <c r="W278" s="833">
        <f t="shared" si="78"/>
        <v>0</v>
      </c>
      <c r="X278" s="425"/>
      <c r="Y278" s="833"/>
      <c r="Z278" s="833"/>
      <c r="AA278" s="833"/>
      <c r="AB278" s="833"/>
      <c r="AC278" s="835">
        <f t="shared" si="79"/>
        <v>0</v>
      </c>
      <c r="AD278" s="834"/>
      <c r="AE278" s="834"/>
      <c r="AF278" s="781">
        <f t="shared" si="75"/>
        <v>0</v>
      </c>
    </row>
    <row r="279" spans="1:32" s="513" customFormat="1">
      <c r="A279" s="779">
        <f t="shared" si="76"/>
        <v>265</v>
      </c>
      <c r="B279" s="423" t="s">
        <v>1094</v>
      </c>
      <c r="C279" s="423" t="s">
        <v>528</v>
      </c>
      <c r="D279" s="423" t="s">
        <v>1291</v>
      </c>
      <c r="E279" s="777" t="s">
        <v>1911</v>
      </c>
      <c r="F279" s="391">
        <v>191644.21</v>
      </c>
      <c r="G279" s="391">
        <v>16034.56</v>
      </c>
      <c r="H279" s="391">
        <v>32069.119999999999</v>
      </c>
      <c r="I279" s="391">
        <v>48144.67</v>
      </c>
      <c r="J279" s="391">
        <v>64220.19</v>
      </c>
      <c r="K279" s="391">
        <v>80295.710000000006</v>
      </c>
      <c r="L279" s="391">
        <v>96371.23</v>
      </c>
      <c r="M279" s="391">
        <v>112446.75</v>
      </c>
      <c r="N279" s="391">
        <v>128522.27</v>
      </c>
      <c r="O279" s="391">
        <v>144597.79</v>
      </c>
      <c r="P279" s="391">
        <v>160673.31</v>
      </c>
      <c r="Q279" s="391">
        <v>176748.83</v>
      </c>
      <c r="R279" s="391">
        <v>192824.35</v>
      </c>
      <c r="S279" s="618">
        <f>((F279+R279)+((G279+H279+I279+J279+K279+L279+M279+N279+O279+P279+Q279)*2))/24</f>
        <v>104363.22583333334</v>
      </c>
      <c r="T279" s="422"/>
      <c r="U279" s="833"/>
      <c r="V279" s="833"/>
      <c r="W279" s="833">
        <f t="shared" si="78"/>
        <v>104363.22583333334</v>
      </c>
      <c r="X279" s="425"/>
      <c r="Y279" s="833"/>
      <c r="Z279" s="833"/>
      <c r="AA279" s="833"/>
      <c r="AB279" s="833"/>
      <c r="AC279" s="835">
        <f t="shared" si="79"/>
        <v>104363.22583333334</v>
      </c>
      <c r="AD279" s="834"/>
      <c r="AE279" s="834"/>
      <c r="AF279" s="781">
        <f t="shared" si="75"/>
        <v>0</v>
      </c>
    </row>
    <row r="280" spans="1:32" s="513" customFormat="1">
      <c r="A280" s="779">
        <f t="shared" si="76"/>
        <v>266</v>
      </c>
      <c r="B280" s="423" t="s">
        <v>1066</v>
      </c>
      <c r="C280" s="423" t="s">
        <v>528</v>
      </c>
      <c r="D280" s="423" t="s">
        <v>1291</v>
      </c>
      <c r="E280" s="777" t="s">
        <v>1910</v>
      </c>
      <c r="F280" s="391">
        <v>473580.63</v>
      </c>
      <c r="G280" s="391">
        <v>76703.429999999993</v>
      </c>
      <c r="H280" s="391">
        <v>133051.59</v>
      </c>
      <c r="I280" s="391">
        <v>197856.94</v>
      </c>
      <c r="J280" s="391">
        <v>225321.31</v>
      </c>
      <c r="K280" s="391">
        <v>256253.88</v>
      </c>
      <c r="L280" s="391">
        <v>277069.77</v>
      </c>
      <c r="M280" s="391">
        <v>295052.81</v>
      </c>
      <c r="N280" s="391">
        <v>312730.88</v>
      </c>
      <c r="O280" s="391">
        <v>330394.23</v>
      </c>
      <c r="P280" s="391">
        <v>355712.94</v>
      </c>
      <c r="Q280" s="391">
        <v>389023.6</v>
      </c>
      <c r="R280" s="391">
        <v>441440.08</v>
      </c>
      <c r="S280" s="618">
        <f t="shared" ref="S280:S292" si="80">((F280+R280)+((G280+H280+I280+J280+K280+L280+M280+N280+O280+P280+Q280)*2))/24</f>
        <v>275556.81124999997</v>
      </c>
      <c r="T280" s="422"/>
      <c r="U280" s="833"/>
      <c r="V280" s="833"/>
      <c r="W280" s="833">
        <f t="shared" si="78"/>
        <v>275556.81124999997</v>
      </c>
      <c r="X280" s="425"/>
      <c r="Y280" s="833"/>
      <c r="Z280" s="833"/>
      <c r="AA280" s="833"/>
      <c r="AB280" s="833"/>
      <c r="AC280" s="835">
        <f t="shared" si="79"/>
        <v>275556.81124999997</v>
      </c>
      <c r="AD280" s="834"/>
      <c r="AE280" s="834"/>
      <c r="AF280" s="781">
        <f t="shared" si="75"/>
        <v>0</v>
      </c>
    </row>
    <row r="281" spans="1:32" s="513" customFormat="1">
      <c r="A281" s="779">
        <f t="shared" si="76"/>
        <v>267</v>
      </c>
      <c r="B281" s="423" t="s">
        <v>1066</v>
      </c>
      <c r="C281" s="423" t="s">
        <v>528</v>
      </c>
      <c r="D281" s="423" t="s">
        <v>450</v>
      </c>
      <c r="E281" s="777" t="s">
        <v>1917</v>
      </c>
      <c r="F281" s="391">
        <v>10050925.689999999</v>
      </c>
      <c r="G281" s="391">
        <v>1721778.84</v>
      </c>
      <c r="H281" s="391">
        <v>2961931.99</v>
      </c>
      <c r="I281" s="391">
        <v>4379409.2300000004</v>
      </c>
      <c r="J281" s="391">
        <v>5369821.1399999997</v>
      </c>
      <c r="K281" s="391">
        <v>6005156.7999999998</v>
      </c>
      <c r="L281" s="391">
        <v>6418836.9100000001</v>
      </c>
      <c r="M281" s="391">
        <v>6773000.9900000002</v>
      </c>
      <c r="N281" s="391">
        <v>7116268.0499999998</v>
      </c>
      <c r="O281" s="391">
        <v>7449068.79</v>
      </c>
      <c r="P281" s="391">
        <v>7939639.3600000003</v>
      </c>
      <c r="Q281" s="391">
        <v>8631453.1099999994</v>
      </c>
      <c r="R281" s="391">
        <v>9826025.0600000005</v>
      </c>
      <c r="S281" s="618">
        <f t="shared" si="80"/>
        <v>6225403.3820833331</v>
      </c>
      <c r="T281" s="422"/>
      <c r="U281" s="833"/>
      <c r="V281" s="833"/>
      <c r="W281" s="833">
        <f t="shared" si="78"/>
        <v>6225403.3820833331</v>
      </c>
      <c r="X281" s="425"/>
      <c r="Y281" s="833"/>
      <c r="Z281" s="833"/>
      <c r="AA281" s="833"/>
      <c r="AB281" s="833"/>
      <c r="AC281" s="835">
        <f t="shared" si="79"/>
        <v>6225403.3820833331</v>
      </c>
      <c r="AD281" s="834"/>
      <c r="AE281" s="834"/>
      <c r="AF281" s="781">
        <f t="shared" si="75"/>
        <v>0</v>
      </c>
    </row>
    <row r="282" spans="1:32" s="513" customFormat="1">
      <c r="A282" s="779">
        <f t="shared" si="76"/>
        <v>268</v>
      </c>
      <c r="B282" s="423" t="s">
        <v>1066</v>
      </c>
      <c r="C282" s="423" t="s">
        <v>528</v>
      </c>
      <c r="D282" s="423" t="s">
        <v>451</v>
      </c>
      <c r="E282" s="777" t="s">
        <v>1918</v>
      </c>
      <c r="F282" s="391">
        <v>9000910.9199999999</v>
      </c>
      <c r="G282" s="391">
        <v>1265439.75</v>
      </c>
      <c r="H282" s="391">
        <v>2451600.96</v>
      </c>
      <c r="I282" s="391">
        <v>3451493.27</v>
      </c>
      <c r="J282" s="391">
        <v>4164721.85</v>
      </c>
      <c r="K282" s="391">
        <v>4572915.22</v>
      </c>
      <c r="L282" s="391">
        <v>4951671.29</v>
      </c>
      <c r="M282" s="391">
        <v>5291700.78</v>
      </c>
      <c r="N282" s="391">
        <v>5540237.2699999996</v>
      </c>
      <c r="O282" s="391">
        <v>5936580.6200000001</v>
      </c>
      <c r="P282" s="391">
        <v>6568266.7400000002</v>
      </c>
      <c r="Q282" s="391">
        <v>7458462.8200000003</v>
      </c>
      <c r="R282" s="391">
        <v>8579658.0999999996</v>
      </c>
      <c r="S282" s="618">
        <f t="shared" si="80"/>
        <v>5036947.9233333329</v>
      </c>
      <c r="T282" s="422"/>
      <c r="U282" s="833"/>
      <c r="V282" s="833"/>
      <c r="W282" s="833">
        <f t="shared" si="78"/>
        <v>5036947.9233333329</v>
      </c>
      <c r="X282" s="425"/>
      <c r="Y282" s="833"/>
      <c r="Z282" s="833"/>
      <c r="AA282" s="833"/>
      <c r="AB282" s="833"/>
      <c r="AC282" s="835">
        <f t="shared" si="79"/>
        <v>5036947.9233333329</v>
      </c>
      <c r="AD282" s="834"/>
      <c r="AE282" s="834"/>
      <c r="AF282" s="781">
        <f t="shared" si="75"/>
        <v>0</v>
      </c>
    </row>
    <row r="283" spans="1:32" s="513" customFormat="1">
      <c r="A283" s="779">
        <f t="shared" si="76"/>
        <v>269</v>
      </c>
      <c r="B283" s="423" t="s">
        <v>1094</v>
      </c>
      <c r="C283" s="423" t="s">
        <v>528</v>
      </c>
      <c r="D283" s="657" t="s">
        <v>1292</v>
      </c>
      <c r="E283" s="777" t="s">
        <v>1914</v>
      </c>
      <c r="F283" s="391">
        <v>81572.55</v>
      </c>
      <c r="G283" s="391">
        <v>7343.64</v>
      </c>
      <c r="H283" s="391">
        <v>14687.28</v>
      </c>
      <c r="I283" s="391">
        <v>22030.92</v>
      </c>
      <c r="J283" s="391">
        <v>29374.560000000001</v>
      </c>
      <c r="K283" s="391">
        <v>36718.199999999997</v>
      </c>
      <c r="L283" s="391">
        <v>43615.82</v>
      </c>
      <c r="M283" s="391">
        <v>50513.4</v>
      </c>
      <c r="N283" s="391">
        <v>57410.98</v>
      </c>
      <c r="O283" s="391">
        <v>64308.56</v>
      </c>
      <c r="P283" s="391">
        <v>71206.14</v>
      </c>
      <c r="Q283" s="391">
        <v>78103.72</v>
      </c>
      <c r="R283" s="391">
        <v>85001.3</v>
      </c>
      <c r="S283" s="618">
        <f t="shared" si="80"/>
        <v>46550.012083333335</v>
      </c>
      <c r="T283" s="422"/>
      <c r="U283" s="833"/>
      <c r="V283" s="833"/>
      <c r="W283" s="833">
        <f t="shared" si="78"/>
        <v>46550.012083333335</v>
      </c>
      <c r="X283" s="425"/>
      <c r="Y283" s="833"/>
      <c r="Z283" s="833"/>
      <c r="AA283" s="833"/>
      <c r="AB283" s="833"/>
      <c r="AC283" s="835">
        <f t="shared" si="79"/>
        <v>46550.012083333335</v>
      </c>
      <c r="AD283" s="834"/>
      <c r="AE283" s="834"/>
      <c r="AF283" s="781">
        <f t="shared" si="75"/>
        <v>0</v>
      </c>
    </row>
    <row r="284" spans="1:32" s="513" customFormat="1">
      <c r="A284" s="779">
        <f t="shared" si="76"/>
        <v>270</v>
      </c>
      <c r="B284" s="423" t="s">
        <v>1094</v>
      </c>
      <c r="C284" s="423" t="s">
        <v>528</v>
      </c>
      <c r="D284" s="657" t="s">
        <v>1293</v>
      </c>
      <c r="E284" s="777" t="s">
        <v>1915</v>
      </c>
      <c r="F284" s="391">
        <v>1574276.88</v>
      </c>
      <c r="G284" s="391">
        <v>207254.84</v>
      </c>
      <c r="H284" s="391">
        <v>394848.75</v>
      </c>
      <c r="I284" s="391">
        <v>567060.63</v>
      </c>
      <c r="J284" s="391">
        <v>681436.02</v>
      </c>
      <c r="K284" s="391">
        <v>745847.49</v>
      </c>
      <c r="L284" s="391">
        <v>799825.05</v>
      </c>
      <c r="M284" s="391">
        <v>844214.43</v>
      </c>
      <c r="N284" s="391">
        <v>873646.59</v>
      </c>
      <c r="O284" s="391">
        <v>929012.22</v>
      </c>
      <c r="P284" s="391">
        <v>1035573.13</v>
      </c>
      <c r="Q284" s="391">
        <v>1202265.6499999999</v>
      </c>
      <c r="R284" s="391">
        <v>1424187.05</v>
      </c>
      <c r="S284" s="618">
        <f t="shared" si="80"/>
        <v>815018.06374999986</v>
      </c>
      <c r="T284" s="422"/>
      <c r="U284" s="833"/>
      <c r="V284" s="833"/>
      <c r="W284" s="833">
        <f t="shared" si="78"/>
        <v>815018.06374999986</v>
      </c>
      <c r="X284" s="425"/>
      <c r="Y284" s="833"/>
      <c r="Z284" s="833"/>
      <c r="AA284" s="833"/>
      <c r="AB284" s="833"/>
      <c r="AC284" s="835">
        <f t="shared" si="79"/>
        <v>815018.06374999986</v>
      </c>
      <c r="AD284" s="834"/>
      <c r="AE284" s="834"/>
      <c r="AF284" s="781">
        <f t="shared" si="75"/>
        <v>0</v>
      </c>
    </row>
    <row r="285" spans="1:32" s="513" customFormat="1">
      <c r="A285" s="779">
        <f t="shared" si="76"/>
        <v>271</v>
      </c>
      <c r="B285" s="423" t="s">
        <v>1066</v>
      </c>
      <c r="C285" s="423" t="s">
        <v>528</v>
      </c>
      <c r="D285" s="423" t="s">
        <v>1293</v>
      </c>
      <c r="E285" s="777" t="s">
        <v>1915</v>
      </c>
      <c r="F285" s="391">
        <v>117721.31</v>
      </c>
      <c r="G285" s="391">
        <v>33477.589999999997</v>
      </c>
      <c r="H285" s="391">
        <v>58924.93</v>
      </c>
      <c r="I285" s="391">
        <v>90500.61</v>
      </c>
      <c r="J285" s="391">
        <v>113126.71</v>
      </c>
      <c r="K285" s="391">
        <v>130160.74</v>
      </c>
      <c r="L285" s="391">
        <v>139688.99</v>
      </c>
      <c r="M285" s="391">
        <v>147975.31</v>
      </c>
      <c r="N285" s="391">
        <v>155068.54999999999</v>
      </c>
      <c r="O285" s="391">
        <v>161937.72</v>
      </c>
      <c r="P285" s="391">
        <v>171532.01</v>
      </c>
      <c r="Q285" s="391">
        <v>186152.77</v>
      </c>
      <c r="R285" s="391">
        <v>208767.15</v>
      </c>
      <c r="S285" s="618">
        <f t="shared" si="80"/>
        <v>129315.84666666668</v>
      </c>
      <c r="T285" s="422"/>
      <c r="U285" s="833"/>
      <c r="V285" s="833"/>
      <c r="W285" s="833">
        <f t="shared" si="78"/>
        <v>129315.84666666668</v>
      </c>
      <c r="X285" s="425"/>
      <c r="Y285" s="833"/>
      <c r="Z285" s="833"/>
      <c r="AA285" s="833"/>
      <c r="AB285" s="833"/>
      <c r="AC285" s="835">
        <f t="shared" si="79"/>
        <v>129315.84666666668</v>
      </c>
      <c r="AD285" s="834"/>
      <c r="AE285" s="834"/>
      <c r="AF285" s="781">
        <f t="shared" si="75"/>
        <v>0</v>
      </c>
    </row>
    <row r="286" spans="1:32" s="513" customFormat="1">
      <c r="A286" s="779">
        <f t="shared" si="76"/>
        <v>272</v>
      </c>
      <c r="B286" s="423" t="s">
        <v>1094</v>
      </c>
      <c r="C286" s="423" t="s">
        <v>528</v>
      </c>
      <c r="D286" s="423" t="s">
        <v>1294</v>
      </c>
      <c r="E286" s="777" t="s">
        <v>1916</v>
      </c>
      <c r="F286" s="391">
        <v>1167768.6299999999</v>
      </c>
      <c r="G286" s="391">
        <v>195362.41</v>
      </c>
      <c r="H286" s="391">
        <v>328402.13</v>
      </c>
      <c r="I286" s="391">
        <v>491479</v>
      </c>
      <c r="J286" s="391">
        <v>603090.49</v>
      </c>
      <c r="K286" s="391">
        <v>676344.93</v>
      </c>
      <c r="L286" s="391">
        <v>719202.96</v>
      </c>
      <c r="M286" s="391">
        <v>754531.38</v>
      </c>
      <c r="N286" s="391">
        <v>787082.54</v>
      </c>
      <c r="O286" s="391">
        <v>820953.59999999998</v>
      </c>
      <c r="P286" s="391">
        <v>876482.38</v>
      </c>
      <c r="Q286" s="391">
        <v>959129.94</v>
      </c>
      <c r="R286" s="391">
        <v>1111049.94</v>
      </c>
      <c r="S286" s="618">
        <f t="shared" si="80"/>
        <v>695955.92041666666</v>
      </c>
      <c r="T286" s="422"/>
      <c r="U286" s="833"/>
      <c r="V286" s="833"/>
      <c r="W286" s="833">
        <f t="shared" si="78"/>
        <v>695955.92041666666</v>
      </c>
      <c r="X286" s="425"/>
      <c r="Y286" s="833"/>
      <c r="Z286" s="833"/>
      <c r="AA286" s="833"/>
      <c r="AB286" s="833"/>
      <c r="AC286" s="835">
        <f t="shared" si="79"/>
        <v>695955.92041666666</v>
      </c>
      <c r="AD286" s="834"/>
      <c r="AE286" s="834"/>
      <c r="AF286" s="781">
        <f t="shared" si="75"/>
        <v>0</v>
      </c>
    </row>
    <row r="287" spans="1:32" s="513" customFormat="1">
      <c r="A287" s="779">
        <f t="shared" si="76"/>
        <v>273</v>
      </c>
      <c r="B287" s="423" t="s">
        <v>1063</v>
      </c>
      <c r="C287" s="423" t="s">
        <v>528</v>
      </c>
      <c r="D287" s="423" t="s">
        <v>1295</v>
      </c>
      <c r="E287" s="777" t="s">
        <v>1912</v>
      </c>
      <c r="F287" s="391">
        <v>272590.59000000003</v>
      </c>
      <c r="G287" s="391">
        <v>22989</v>
      </c>
      <c r="H287" s="391">
        <v>45978</v>
      </c>
      <c r="I287" s="391">
        <v>68967</v>
      </c>
      <c r="J287" s="391">
        <v>93394</v>
      </c>
      <c r="K287" s="391">
        <v>120497.49</v>
      </c>
      <c r="L287" s="391">
        <v>146770.73000000001</v>
      </c>
      <c r="M287" s="391">
        <v>173043.73</v>
      </c>
      <c r="N287" s="391">
        <v>179905.73</v>
      </c>
      <c r="O287" s="391">
        <v>203752.73</v>
      </c>
      <c r="P287" s="391">
        <v>227599.73</v>
      </c>
      <c r="Q287" s="391">
        <v>251446.73</v>
      </c>
      <c r="R287" s="391">
        <v>275293.73</v>
      </c>
      <c r="S287" s="618">
        <f t="shared" si="80"/>
        <v>150690.58583333332</v>
      </c>
      <c r="T287" s="422"/>
      <c r="U287" s="833"/>
      <c r="V287" s="833"/>
      <c r="W287" s="833">
        <f t="shared" si="78"/>
        <v>150690.58583333332</v>
      </c>
      <c r="X287" s="425"/>
      <c r="Y287" s="833"/>
      <c r="Z287" s="833"/>
      <c r="AA287" s="833"/>
      <c r="AB287" s="833"/>
      <c r="AC287" s="835">
        <f t="shared" si="79"/>
        <v>150690.58583333332</v>
      </c>
      <c r="AD287" s="834"/>
      <c r="AE287" s="834"/>
      <c r="AF287" s="781">
        <f t="shared" si="75"/>
        <v>0</v>
      </c>
    </row>
    <row r="288" spans="1:32" s="513" customFormat="1">
      <c r="A288" s="779">
        <f t="shared" si="76"/>
        <v>274</v>
      </c>
      <c r="B288" s="423" t="s">
        <v>1094</v>
      </c>
      <c r="C288" s="423" t="s">
        <v>528</v>
      </c>
      <c r="D288" s="423" t="s">
        <v>1295</v>
      </c>
      <c r="E288" s="777" t="s">
        <v>1912</v>
      </c>
      <c r="F288" s="391">
        <v>1458277.32</v>
      </c>
      <c r="G288" s="391">
        <v>129057</v>
      </c>
      <c r="H288" s="391">
        <v>258114</v>
      </c>
      <c r="I288" s="391">
        <v>387171</v>
      </c>
      <c r="J288" s="391">
        <v>516228</v>
      </c>
      <c r="K288" s="391">
        <v>645285</v>
      </c>
      <c r="L288" s="391">
        <v>774342</v>
      </c>
      <c r="M288" s="391">
        <v>914662</v>
      </c>
      <c r="N288" s="391">
        <v>1054982</v>
      </c>
      <c r="O288" s="391">
        <v>1195302</v>
      </c>
      <c r="P288" s="391">
        <v>1335622</v>
      </c>
      <c r="Q288" s="391">
        <v>1476140.04</v>
      </c>
      <c r="R288" s="391">
        <v>1616657.04</v>
      </c>
      <c r="S288" s="618">
        <f>((F288+R288)+((G288+H288+I288+J288+K288+L288+M288+N288+O288+P288+Q288)*2))/24</f>
        <v>852031.0183333332</v>
      </c>
      <c r="T288" s="422"/>
      <c r="U288" s="833"/>
      <c r="V288" s="833"/>
      <c r="W288" s="833">
        <f t="shared" si="78"/>
        <v>852031.0183333332</v>
      </c>
      <c r="X288" s="425"/>
      <c r="Y288" s="833"/>
      <c r="Z288" s="833"/>
      <c r="AA288" s="833"/>
      <c r="AB288" s="833"/>
      <c r="AC288" s="835">
        <f t="shared" si="79"/>
        <v>852031.0183333332</v>
      </c>
      <c r="AD288" s="834"/>
      <c r="AE288" s="834"/>
      <c r="AF288" s="781">
        <f t="shared" si="75"/>
        <v>0</v>
      </c>
    </row>
    <row r="289" spans="1:32" s="513" customFormat="1">
      <c r="A289" s="779">
        <f t="shared" si="76"/>
        <v>275</v>
      </c>
      <c r="B289" s="423" t="s">
        <v>1066</v>
      </c>
      <c r="C289" s="423" t="s">
        <v>528</v>
      </c>
      <c r="D289" s="423" t="s">
        <v>1295</v>
      </c>
      <c r="E289" s="777" t="s">
        <v>1912</v>
      </c>
      <c r="F289" s="391">
        <v>2406207.75</v>
      </c>
      <c r="G289" s="391">
        <v>214824</v>
      </c>
      <c r="H289" s="391">
        <v>429648</v>
      </c>
      <c r="I289" s="391">
        <v>644472</v>
      </c>
      <c r="J289" s="391">
        <v>872495</v>
      </c>
      <c r="K289" s="391">
        <v>1092155</v>
      </c>
      <c r="L289" s="391">
        <v>1305474.8899999999</v>
      </c>
      <c r="M289" s="391">
        <v>1518759.09</v>
      </c>
      <c r="N289" s="391">
        <v>1574468.09</v>
      </c>
      <c r="O289" s="391">
        <v>1768093.19</v>
      </c>
      <c r="P289" s="391">
        <v>1961515.16</v>
      </c>
      <c r="Q289" s="391">
        <v>2155133.16</v>
      </c>
      <c r="R289" s="391">
        <v>2348751.16</v>
      </c>
      <c r="S289" s="618">
        <f t="shared" si="80"/>
        <v>1326209.7529166667</v>
      </c>
      <c r="T289" s="422"/>
      <c r="U289" s="833"/>
      <c r="V289" s="833"/>
      <c r="W289" s="833">
        <f t="shared" si="78"/>
        <v>1326209.7529166667</v>
      </c>
      <c r="X289" s="425"/>
      <c r="Y289" s="833"/>
      <c r="Z289" s="833"/>
      <c r="AA289" s="833"/>
      <c r="AB289" s="833"/>
      <c r="AC289" s="835">
        <f t="shared" si="79"/>
        <v>1326209.7529166667</v>
      </c>
      <c r="AD289" s="834"/>
      <c r="AE289" s="834"/>
      <c r="AF289" s="781">
        <f t="shared" si="75"/>
        <v>0</v>
      </c>
    </row>
    <row r="290" spans="1:32" s="513" customFormat="1">
      <c r="A290" s="779">
        <f t="shared" si="76"/>
        <v>276</v>
      </c>
      <c r="B290" s="423" t="s">
        <v>1063</v>
      </c>
      <c r="C290" s="423" t="s">
        <v>528</v>
      </c>
      <c r="D290" s="423" t="s">
        <v>1296</v>
      </c>
      <c r="E290" s="777" t="s">
        <v>1913</v>
      </c>
      <c r="F290" s="391">
        <v>993.6</v>
      </c>
      <c r="G290" s="391">
        <v>283.89</v>
      </c>
      <c r="H290" s="391">
        <v>321.83</v>
      </c>
      <c r="I290" s="391">
        <v>611.27</v>
      </c>
      <c r="J290" s="391">
        <v>919.59</v>
      </c>
      <c r="K290" s="391">
        <v>1764.06</v>
      </c>
      <c r="L290" s="391">
        <v>1785.22</v>
      </c>
      <c r="M290" s="391">
        <v>1785.22</v>
      </c>
      <c r="N290" s="391">
        <v>1785.22</v>
      </c>
      <c r="O290" s="391">
        <v>1785.22</v>
      </c>
      <c r="P290" s="391">
        <v>1785.22</v>
      </c>
      <c r="Q290" s="391">
        <v>1858.08</v>
      </c>
      <c r="R290" s="391">
        <v>2223.23</v>
      </c>
      <c r="S290" s="618">
        <f t="shared" si="80"/>
        <v>1357.769583333333</v>
      </c>
      <c r="T290" s="422"/>
      <c r="U290" s="833"/>
      <c r="V290" s="833"/>
      <c r="W290" s="833">
        <f t="shared" si="78"/>
        <v>1357.769583333333</v>
      </c>
      <c r="X290" s="425"/>
      <c r="Y290" s="833"/>
      <c r="Z290" s="833"/>
      <c r="AA290" s="833"/>
      <c r="AB290" s="833"/>
      <c r="AC290" s="835">
        <f t="shared" si="79"/>
        <v>1357.769583333333</v>
      </c>
      <c r="AD290" s="834"/>
      <c r="AE290" s="834"/>
      <c r="AF290" s="781">
        <f t="shared" si="75"/>
        <v>0</v>
      </c>
    </row>
    <row r="291" spans="1:32" s="513" customFormat="1">
      <c r="A291" s="779">
        <f t="shared" si="76"/>
        <v>277</v>
      </c>
      <c r="B291" s="423" t="s">
        <v>1094</v>
      </c>
      <c r="C291" s="423" t="s">
        <v>528</v>
      </c>
      <c r="D291" s="423" t="s">
        <v>1296</v>
      </c>
      <c r="E291" s="777" t="s">
        <v>1913</v>
      </c>
      <c r="F291" s="391">
        <v>29229.57</v>
      </c>
      <c r="G291" s="391">
        <v>264.72000000000003</v>
      </c>
      <c r="H291" s="391">
        <v>751.59</v>
      </c>
      <c r="I291" s="391">
        <v>1063.97</v>
      </c>
      <c r="J291" s="391">
        <v>1591.66</v>
      </c>
      <c r="K291" s="391">
        <v>1933.52</v>
      </c>
      <c r="L291" s="391">
        <v>2311.75</v>
      </c>
      <c r="M291" s="391">
        <v>3643.57</v>
      </c>
      <c r="N291" s="391">
        <v>4250.1400000000003</v>
      </c>
      <c r="O291" s="391">
        <v>24844.639999999999</v>
      </c>
      <c r="P291" s="391">
        <v>25351.48</v>
      </c>
      <c r="Q291" s="391">
        <v>26056.49</v>
      </c>
      <c r="R291" s="391">
        <v>26450.98</v>
      </c>
      <c r="S291" s="618">
        <f t="shared" si="80"/>
        <v>9991.9837499999994</v>
      </c>
      <c r="T291" s="422"/>
      <c r="U291" s="833"/>
      <c r="V291" s="833"/>
      <c r="W291" s="833">
        <f t="shared" si="78"/>
        <v>9991.9837499999994</v>
      </c>
      <c r="X291" s="425"/>
      <c r="Y291" s="833"/>
      <c r="Z291" s="833"/>
      <c r="AA291" s="833"/>
      <c r="AB291" s="833"/>
      <c r="AC291" s="835">
        <f t="shared" si="79"/>
        <v>9991.9837499999994</v>
      </c>
      <c r="AD291" s="834"/>
      <c r="AE291" s="834"/>
      <c r="AF291" s="781">
        <f t="shared" si="75"/>
        <v>0</v>
      </c>
    </row>
    <row r="292" spans="1:32" s="513" customFormat="1">
      <c r="A292" s="779">
        <f t="shared" si="76"/>
        <v>278</v>
      </c>
      <c r="B292" s="423" t="s">
        <v>1066</v>
      </c>
      <c r="C292" s="423" t="s">
        <v>528</v>
      </c>
      <c r="D292" s="423" t="s">
        <v>1296</v>
      </c>
      <c r="E292" s="777" t="s">
        <v>1913</v>
      </c>
      <c r="F292" s="391">
        <v>9156.3799999999992</v>
      </c>
      <c r="G292" s="391">
        <v>-797.11</v>
      </c>
      <c r="H292" s="391">
        <v>-673.76</v>
      </c>
      <c r="I292" s="391">
        <v>14873.58</v>
      </c>
      <c r="J292" s="391">
        <v>20785.689999999999</v>
      </c>
      <c r="K292" s="391">
        <v>22336.83</v>
      </c>
      <c r="L292" s="391">
        <v>23071.86</v>
      </c>
      <c r="M292" s="391">
        <v>23791.4</v>
      </c>
      <c r="N292" s="391">
        <v>33454.019999999997</v>
      </c>
      <c r="O292" s="391">
        <v>33591.9</v>
      </c>
      <c r="P292" s="391">
        <v>34194.379999999997</v>
      </c>
      <c r="Q292" s="391">
        <v>34421.81</v>
      </c>
      <c r="R292" s="391">
        <v>34335.31</v>
      </c>
      <c r="S292" s="618">
        <f t="shared" si="80"/>
        <v>21733.037083333333</v>
      </c>
      <c r="T292" s="422"/>
      <c r="U292" s="833"/>
      <c r="V292" s="833"/>
      <c r="W292" s="833">
        <f t="shared" si="78"/>
        <v>21733.037083333333</v>
      </c>
      <c r="X292" s="425"/>
      <c r="Y292" s="833"/>
      <c r="Z292" s="833"/>
      <c r="AA292" s="833"/>
      <c r="AB292" s="833"/>
      <c r="AC292" s="835">
        <f t="shared" si="79"/>
        <v>21733.037083333333</v>
      </c>
      <c r="AD292" s="834"/>
      <c r="AE292" s="834"/>
      <c r="AF292" s="781">
        <f t="shared" si="75"/>
        <v>0</v>
      </c>
    </row>
    <row r="293" spans="1:32" s="513" customFormat="1">
      <c r="A293" s="779">
        <f t="shared" si="76"/>
        <v>279</v>
      </c>
      <c r="B293" s="422" t="s">
        <v>382</v>
      </c>
      <c r="C293" s="422" t="s">
        <v>529</v>
      </c>
      <c r="D293" s="422" t="s">
        <v>382</v>
      </c>
      <c r="E293" s="777" t="s">
        <v>1919</v>
      </c>
      <c r="F293" s="405">
        <v>2221137.12</v>
      </c>
      <c r="G293" s="405">
        <v>220730.39</v>
      </c>
      <c r="H293" s="405">
        <v>458372.11</v>
      </c>
      <c r="I293" s="405">
        <v>650749.69999999995</v>
      </c>
      <c r="J293" s="405">
        <v>835744.55</v>
      </c>
      <c r="K293" s="405">
        <v>1030779.05</v>
      </c>
      <c r="L293" s="405">
        <v>1218045.7</v>
      </c>
      <c r="M293" s="405">
        <v>1384451.07</v>
      </c>
      <c r="N293" s="405">
        <v>1590059.19</v>
      </c>
      <c r="O293" s="405">
        <v>1748289.82</v>
      </c>
      <c r="P293" s="405">
        <v>1925989.99</v>
      </c>
      <c r="Q293" s="405">
        <v>2099139.1</v>
      </c>
      <c r="R293" s="405">
        <v>2257640.98</v>
      </c>
      <c r="S293" s="618">
        <f>((F293+R293)+((G293+H293+I293+J293+K293+L293+M293+N293+O293+P293+Q293)*2))/24</f>
        <v>1283478.3099999998</v>
      </c>
      <c r="T293" s="422"/>
      <c r="U293" s="833"/>
      <c r="V293" s="833"/>
      <c r="W293" s="833">
        <f t="shared" si="78"/>
        <v>1283478.3099999998</v>
      </c>
      <c r="X293" s="425"/>
      <c r="Y293" s="833"/>
      <c r="Z293" s="833"/>
      <c r="AA293" s="833"/>
      <c r="AB293" s="833"/>
      <c r="AC293" s="835">
        <f t="shared" si="79"/>
        <v>1283478.3099999998</v>
      </c>
      <c r="AD293" s="834"/>
      <c r="AE293" s="834"/>
      <c r="AF293" s="781">
        <f t="shared" si="75"/>
        <v>0</v>
      </c>
    </row>
    <row r="294" spans="1:32" s="513" customFormat="1">
      <c r="A294" s="779">
        <f t="shared" si="76"/>
        <v>280</v>
      </c>
      <c r="B294" s="422"/>
      <c r="C294" s="422"/>
      <c r="D294" s="422"/>
      <c r="E294" s="763" t="s">
        <v>530</v>
      </c>
      <c r="F294" s="394">
        <f t="shared" ref="F294:S294" si="81">SUM(F279:F293)</f>
        <v>29055993.149999999</v>
      </c>
      <c r="G294" s="394">
        <f t="shared" si="81"/>
        <v>4110746.9500000007</v>
      </c>
      <c r="H294" s="394">
        <f t="shared" si="81"/>
        <v>7568028.5200000005</v>
      </c>
      <c r="I294" s="394">
        <f t="shared" si="81"/>
        <v>11015883.790000001</v>
      </c>
      <c r="J294" s="394">
        <f t="shared" si="81"/>
        <v>13592270.760000002</v>
      </c>
      <c r="K294" s="394">
        <f t="shared" si="81"/>
        <v>15418443.92</v>
      </c>
      <c r="L294" s="394">
        <f t="shared" si="81"/>
        <v>16918084.170000002</v>
      </c>
      <c r="M294" s="394">
        <f t="shared" si="81"/>
        <v>18289571.93</v>
      </c>
      <c r="N294" s="394">
        <f t="shared" si="81"/>
        <v>19409871.52</v>
      </c>
      <c r="O294" s="394">
        <f t="shared" si="81"/>
        <v>20812513.030000001</v>
      </c>
      <c r="P294" s="394">
        <f t="shared" si="81"/>
        <v>22691143.969999999</v>
      </c>
      <c r="Q294" s="394">
        <f t="shared" si="81"/>
        <v>25125535.849999998</v>
      </c>
      <c r="R294" s="394">
        <f t="shared" si="81"/>
        <v>28430305.460000001</v>
      </c>
      <c r="S294" s="620">
        <f t="shared" si="81"/>
        <v>16974603.642916668</v>
      </c>
      <c r="T294" s="422"/>
      <c r="U294" s="833"/>
      <c r="V294" s="833"/>
      <c r="W294" s="833"/>
      <c r="X294" s="425"/>
      <c r="Y294" s="833"/>
      <c r="Z294" s="833"/>
      <c r="AA294" s="833"/>
      <c r="AB294" s="833"/>
      <c r="AC294" s="834"/>
      <c r="AD294" s="834"/>
      <c r="AE294" s="834"/>
      <c r="AF294" s="781">
        <f t="shared" si="75"/>
        <v>0</v>
      </c>
    </row>
    <row r="295" spans="1:32">
      <c r="A295" s="779">
        <f t="shared" si="76"/>
        <v>281</v>
      </c>
      <c r="B295" s="422"/>
      <c r="C295" s="422"/>
      <c r="D295" s="422"/>
      <c r="E295" s="763"/>
      <c r="F295" s="391"/>
      <c r="G295" s="420"/>
      <c r="H295" s="408"/>
      <c r="I295" s="408"/>
      <c r="J295" s="409"/>
      <c r="K295" s="410"/>
      <c r="L295" s="411"/>
      <c r="M295" s="412"/>
      <c r="N295" s="413"/>
      <c r="O295" s="414"/>
      <c r="P295" s="415"/>
      <c r="Q295" s="421"/>
      <c r="R295" s="391"/>
      <c r="S295" s="392"/>
      <c r="T295" s="382"/>
      <c r="U295" s="833"/>
      <c r="V295" s="833"/>
      <c r="W295" s="833"/>
      <c r="X295" s="425"/>
      <c r="Y295" s="833"/>
      <c r="Z295" s="833"/>
      <c r="AA295" s="833"/>
      <c r="AB295" s="833"/>
      <c r="AC295" s="834"/>
      <c r="AD295" s="834"/>
      <c r="AE295" s="834"/>
      <c r="AF295" s="781">
        <f t="shared" si="75"/>
        <v>0</v>
      </c>
    </row>
    <row r="296" spans="1:32">
      <c r="A296" s="779">
        <f t="shared" si="76"/>
        <v>282</v>
      </c>
      <c r="B296" s="423" t="s">
        <v>1063</v>
      </c>
      <c r="C296" s="423" t="s">
        <v>531</v>
      </c>
      <c r="D296" s="422"/>
      <c r="E296" s="777" t="s">
        <v>1920</v>
      </c>
      <c r="F296" s="391">
        <v>24014068.280000001</v>
      </c>
      <c r="G296" s="391">
        <v>2110085.92</v>
      </c>
      <c r="H296" s="391">
        <v>4229201.8499999996</v>
      </c>
      <c r="I296" s="391">
        <v>6355417.0899999999</v>
      </c>
      <c r="J296" s="391">
        <v>8489935.3300000001</v>
      </c>
      <c r="K296" s="391">
        <v>10637381.52</v>
      </c>
      <c r="L296" s="391">
        <v>12799582.960000001</v>
      </c>
      <c r="M296" s="391">
        <v>14988069.859999999</v>
      </c>
      <c r="N296" s="391">
        <v>17192360</v>
      </c>
      <c r="O296" s="391">
        <v>19425118.199999999</v>
      </c>
      <c r="P296" s="391">
        <v>21687934.18</v>
      </c>
      <c r="Q296" s="391">
        <v>23984099.579999998</v>
      </c>
      <c r="R296" s="391">
        <v>26303412.609999999</v>
      </c>
      <c r="S296" s="392">
        <f>((F296+R296)+((G296+H296+I296+J296+K296+L296+M296+N296+O296+P296+Q296)*2))/24</f>
        <v>13921493.911250001</v>
      </c>
      <c r="T296" s="382"/>
      <c r="U296" s="833"/>
      <c r="V296" s="833"/>
      <c r="W296" s="833">
        <f t="shared" ref="W296:W298" si="82">+S296</f>
        <v>13921493.911250001</v>
      </c>
      <c r="X296" s="425"/>
      <c r="Y296" s="833"/>
      <c r="Z296" s="833"/>
      <c r="AA296" s="833"/>
      <c r="AB296" s="833"/>
      <c r="AC296" s="835">
        <f t="shared" ref="AC296:AC297" si="83">+S296</f>
        <v>13921493.911250001</v>
      </c>
      <c r="AD296" s="834"/>
      <c r="AE296" s="834"/>
      <c r="AF296" s="781">
        <f t="shared" si="75"/>
        <v>0</v>
      </c>
    </row>
    <row r="297" spans="1:32">
      <c r="A297" s="779">
        <f t="shared" si="76"/>
        <v>283</v>
      </c>
      <c r="B297" s="423" t="s">
        <v>1063</v>
      </c>
      <c r="C297" s="423" t="s">
        <v>532</v>
      </c>
      <c r="D297" s="422"/>
      <c r="E297" s="777" t="s">
        <v>1921</v>
      </c>
      <c r="F297" s="391">
        <v>3032663.23</v>
      </c>
      <c r="G297" s="391">
        <v>284802.90999999997</v>
      </c>
      <c r="H297" s="391">
        <v>569721.69999999995</v>
      </c>
      <c r="I297" s="391">
        <v>854751.9</v>
      </c>
      <c r="J297" s="391">
        <v>1139861.95</v>
      </c>
      <c r="K297" s="391">
        <v>1424808.91</v>
      </c>
      <c r="L297" s="391">
        <v>1709755.87</v>
      </c>
      <c r="M297" s="391">
        <v>1994920.73</v>
      </c>
      <c r="N297" s="391">
        <v>2280085.7999999998</v>
      </c>
      <c r="O297" s="391">
        <v>2565268.1800000002</v>
      </c>
      <c r="P297" s="391">
        <v>2850451.84</v>
      </c>
      <c r="Q297" s="391">
        <v>3135636.98</v>
      </c>
      <c r="R297" s="391">
        <v>3486360.4</v>
      </c>
      <c r="S297" s="392">
        <f>((F297+R297)+((G297+H297+I297+J297+K297+L297+M297+N297+O297+P297+Q297)*2))/24</f>
        <v>1839131.5487500001</v>
      </c>
      <c r="T297" s="382"/>
      <c r="U297" s="833"/>
      <c r="V297" s="833"/>
      <c r="W297" s="833">
        <f t="shared" si="82"/>
        <v>1839131.5487500001</v>
      </c>
      <c r="X297" s="425"/>
      <c r="Y297" s="833"/>
      <c r="Z297" s="833"/>
      <c r="AA297" s="833"/>
      <c r="AB297" s="833"/>
      <c r="AC297" s="835">
        <f t="shared" si="83"/>
        <v>1839131.5487500001</v>
      </c>
      <c r="AD297" s="834"/>
      <c r="AE297" s="834"/>
      <c r="AF297" s="781">
        <f t="shared" si="75"/>
        <v>0</v>
      </c>
    </row>
    <row r="298" spans="1:32">
      <c r="A298" s="779">
        <f t="shared" si="76"/>
        <v>284</v>
      </c>
      <c r="B298" s="423" t="s">
        <v>1063</v>
      </c>
      <c r="C298" s="657" t="s">
        <v>533</v>
      </c>
      <c r="D298" s="422"/>
      <c r="E298" s="777" t="s">
        <v>1922</v>
      </c>
      <c r="F298" s="405">
        <v>0</v>
      </c>
      <c r="G298" s="405">
        <v>0</v>
      </c>
      <c r="H298" s="405">
        <v>0</v>
      </c>
      <c r="I298" s="405">
        <v>0</v>
      </c>
      <c r="J298" s="405">
        <v>0</v>
      </c>
      <c r="K298" s="405">
        <v>0</v>
      </c>
      <c r="L298" s="405">
        <v>0</v>
      </c>
      <c r="M298" s="405">
        <v>0</v>
      </c>
      <c r="N298" s="405">
        <v>0</v>
      </c>
      <c r="O298" s="405">
        <v>0</v>
      </c>
      <c r="P298" s="405">
        <v>0</v>
      </c>
      <c r="Q298" s="405">
        <v>0</v>
      </c>
      <c r="R298" s="405">
        <v>0</v>
      </c>
      <c r="S298" s="392">
        <f>((F298+R298)+((G298+H298+I298+J298+K298+L298+M298+N298+O298+P298+Q298)*2))/24</f>
        <v>0</v>
      </c>
      <c r="T298" s="382"/>
      <c r="U298" s="833"/>
      <c r="V298" s="833"/>
      <c r="W298" s="833">
        <f t="shared" si="82"/>
        <v>0</v>
      </c>
      <c r="X298" s="425"/>
      <c r="Y298" s="833"/>
      <c r="Z298" s="833"/>
      <c r="AA298" s="833"/>
      <c r="AB298" s="833"/>
      <c r="AC298" s="835">
        <f>+S298</f>
        <v>0</v>
      </c>
      <c r="AD298" s="834"/>
      <c r="AE298" s="834"/>
      <c r="AF298" s="781">
        <f t="shared" si="75"/>
        <v>0</v>
      </c>
    </row>
    <row r="299" spans="1:32">
      <c r="A299" s="779">
        <f t="shared" si="76"/>
        <v>285</v>
      </c>
      <c r="B299" s="422"/>
      <c r="C299" s="422"/>
      <c r="D299" s="422"/>
      <c r="E299" s="777" t="s">
        <v>534</v>
      </c>
      <c r="F299" s="394">
        <f>SUM(F296:F298)</f>
        <v>27046731.510000002</v>
      </c>
      <c r="G299" s="394">
        <f t="shared" ref="G299:S299" si="84">SUM(G296:G298)</f>
        <v>2394888.83</v>
      </c>
      <c r="H299" s="394">
        <f t="shared" si="84"/>
        <v>4798923.55</v>
      </c>
      <c r="I299" s="394">
        <f t="shared" si="84"/>
        <v>7210168.9900000002</v>
      </c>
      <c r="J299" s="394">
        <f t="shared" si="84"/>
        <v>9629797.2799999993</v>
      </c>
      <c r="K299" s="394">
        <f t="shared" si="84"/>
        <v>12062190.43</v>
      </c>
      <c r="L299" s="394">
        <f t="shared" si="84"/>
        <v>14509338.830000002</v>
      </c>
      <c r="M299" s="394">
        <f t="shared" si="84"/>
        <v>16982990.59</v>
      </c>
      <c r="N299" s="394">
        <f t="shared" si="84"/>
        <v>19472445.800000001</v>
      </c>
      <c r="O299" s="394">
        <f t="shared" si="84"/>
        <v>21990386.379999999</v>
      </c>
      <c r="P299" s="394">
        <f t="shared" si="84"/>
        <v>24538386.02</v>
      </c>
      <c r="Q299" s="394">
        <f t="shared" si="84"/>
        <v>27119736.559999999</v>
      </c>
      <c r="R299" s="394">
        <f t="shared" si="84"/>
        <v>29789773.009999998</v>
      </c>
      <c r="S299" s="395">
        <f t="shared" si="84"/>
        <v>15760625.460000001</v>
      </c>
      <c r="T299" s="382"/>
      <c r="U299" s="833"/>
      <c r="V299" s="833"/>
      <c r="W299" s="833"/>
      <c r="X299" s="425"/>
      <c r="Y299" s="833"/>
      <c r="Z299" s="833"/>
      <c r="AA299" s="833"/>
      <c r="AB299" s="833"/>
      <c r="AC299" s="834"/>
      <c r="AD299" s="834"/>
      <c r="AE299" s="834"/>
      <c r="AF299" s="781">
        <f t="shared" si="75"/>
        <v>0</v>
      </c>
    </row>
    <row r="300" spans="1:32">
      <c r="A300" s="779">
        <f t="shared" si="76"/>
        <v>286</v>
      </c>
      <c r="B300" s="422"/>
      <c r="C300" s="422"/>
      <c r="D300" s="422"/>
      <c r="E300" s="763"/>
      <c r="F300" s="391"/>
      <c r="G300" s="420"/>
      <c r="H300" s="408"/>
      <c r="I300" s="408"/>
      <c r="J300" s="409"/>
      <c r="K300" s="410"/>
      <c r="L300" s="411"/>
      <c r="M300" s="412"/>
      <c r="N300" s="413"/>
      <c r="O300" s="414"/>
      <c r="P300" s="415"/>
      <c r="Q300" s="421"/>
      <c r="R300" s="391"/>
      <c r="S300" s="392"/>
      <c r="T300" s="382"/>
      <c r="U300" s="833"/>
      <c r="V300" s="833"/>
      <c r="W300" s="833"/>
      <c r="X300" s="425"/>
      <c r="Y300" s="833"/>
      <c r="Z300" s="833"/>
      <c r="AA300" s="833"/>
      <c r="AB300" s="833"/>
      <c r="AC300" s="834"/>
      <c r="AD300" s="834"/>
      <c r="AE300" s="834"/>
      <c r="AF300" s="781">
        <f t="shared" si="75"/>
        <v>0</v>
      </c>
    </row>
    <row r="301" spans="1:32">
      <c r="A301" s="779">
        <f t="shared" si="76"/>
        <v>287</v>
      </c>
      <c r="B301" s="423" t="s">
        <v>1063</v>
      </c>
      <c r="C301" s="423" t="s">
        <v>535</v>
      </c>
      <c r="D301" s="422"/>
      <c r="E301" s="777" t="s">
        <v>536</v>
      </c>
      <c r="F301" s="391">
        <v>0</v>
      </c>
      <c r="G301" s="391">
        <v>0</v>
      </c>
      <c r="H301" s="391">
        <v>0</v>
      </c>
      <c r="I301" s="391">
        <v>0</v>
      </c>
      <c r="J301" s="391">
        <v>0</v>
      </c>
      <c r="K301" s="391">
        <v>0</v>
      </c>
      <c r="L301" s="391">
        <v>0</v>
      </c>
      <c r="M301" s="391">
        <v>0</v>
      </c>
      <c r="N301" s="391">
        <v>0</v>
      </c>
      <c r="O301" s="391">
        <v>0</v>
      </c>
      <c r="P301" s="391">
        <v>0</v>
      </c>
      <c r="Q301" s="391">
        <v>0</v>
      </c>
      <c r="R301" s="391">
        <v>0</v>
      </c>
      <c r="S301" s="618">
        <f>((F301+R301)+((G301+H301+I301+J301+K301+L301+M301+N301+O301+P301+Q301)*2))/24</f>
        <v>0</v>
      </c>
      <c r="T301" s="382"/>
      <c r="U301" s="833"/>
      <c r="V301" s="833"/>
      <c r="W301" s="833"/>
      <c r="X301" s="425"/>
      <c r="Y301" s="833"/>
      <c r="Z301" s="833"/>
      <c r="AA301" s="833"/>
      <c r="AB301" s="833"/>
      <c r="AC301" s="834"/>
      <c r="AD301" s="834"/>
      <c r="AE301" s="834"/>
      <c r="AF301" s="781">
        <f t="shared" si="75"/>
        <v>0</v>
      </c>
    </row>
    <row r="302" spans="1:32">
      <c r="A302" s="779">
        <f t="shared" si="76"/>
        <v>288</v>
      </c>
      <c r="B302" s="423" t="s">
        <v>1063</v>
      </c>
      <c r="C302" s="423" t="s">
        <v>537</v>
      </c>
      <c r="D302" s="422"/>
      <c r="E302" s="777" t="s">
        <v>538</v>
      </c>
      <c r="F302" s="391">
        <v>11142249.390000001</v>
      </c>
      <c r="G302" s="391">
        <v>928402.29</v>
      </c>
      <c r="H302" s="391">
        <v>1856695.2</v>
      </c>
      <c r="I302" s="391">
        <v>2784988.12</v>
      </c>
      <c r="J302" s="391">
        <v>3713281.03</v>
      </c>
      <c r="K302" s="391">
        <v>4641552.08</v>
      </c>
      <c r="L302" s="391">
        <v>5569823.1299999999</v>
      </c>
      <c r="M302" s="391">
        <v>6498094.1699999999</v>
      </c>
      <c r="N302" s="391">
        <v>7426365.21</v>
      </c>
      <c r="O302" s="391">
        <v>8354636.2599999998</v>
      </c>
      <c r="P302" s="391">
        <v>9282907.2899999991</v>
      </c>
      <c r="Q302" s="391">
        <v>10211003.310000001</v>
      </c>
      <c r="R302" s="391">
        <v>11139099.369999999</v>
      </c>
      <c r="S302" s="618">
        <f>((F302+R302)+((G302+H302+I302+J302+K302+L302+M302+N302+O302+P302+Q302)*2))/24</f>
        <v>6034035.2058333335</v>
      </c>
      <c r="T302" s="382"/>
      <c r="U302" s="833"/>
      <c r="V302" s="833"/>
      <c r="W302" s="833">
        <f t="shared" ref="W302:W312" si="85">+S302</f>
        <v>6034035.2058333335</v>
      </c>
      <c r="X302" s="425"/>
      <c r="Y302" s="833"/>
      <c r="Z302" s="833"/>
      <c r="AA302" s="833"/>
      <c r="AB302" s="833"/>
      <c r="AC302" s="835">
        <f t="shared" ref="AC302:AC312" si="86">+S302</f>
        <v>6034035.2058333335</v>
      </c>
      <c r="AD302" s="834"/>
      <c r="AE302" s="834"/>
      <c r="AF302" s="781">
        <f t="shared" si="75"/>
        <v>0</v>
      </c>
    </row>
    <row r="303" spans="1:32">
      <c r="A303" s="779">
        <f t="shared" si="76"/>
        <v>289</v>
      </c>
      <c r="B303" s="423" t="s">
        <v>1063</v>
      </c>
      <c r="C303" s="423" t="s">
        <v>537</v>
      </c>
      <c r="D303" s="423" t="s">
        <v>539</v>
      </c>
      <c r="E303" s="764" t="s">
        <v>540</v>
      </c>
      <c r="F303" s="391">
        <v>261191.14</v>
      </c>
      <c r="G303" s="391">
        <v>42333.91</v>
      </c>
      <c r="H303" s="391">
        <v>61985.96</v>
      </c>
      <c r="I303" s="391">
        <v>83051.03</v>
      </c>
      <c r="J303" s="391">
        <v>88985.27</v>
      </c>
      <c r="K303" s="391">
        <v>93618.16</v>
      </c>
      <c r="L303" s="391">
        <v>99620.89</v>
      </c>
      <c r="M303" s="391">
        <v>122364.04</v>
      </c>
      <c r="N303" s="391">
        <v>187132.93</v>
      </c>
      <c r="O303" s="391">
        <v>266875.86</v>
      </c>
      <c r="P303" s="391">
        <v>308847.27</v>
      </c>
      <c r="Q303" s="391">
        <v>392534.75</v>
      </c>
      <c r="R303" s="391">
        <v>548333.80000000005</v>
      </c>
      <c r="S303" s="618">
        <f>((F303+R303)+((G303+H303+I303+J303+K303+L303+M303+N303+O303+P303+Q303)*2))/24</f>
        <v>179342.71166666667</v>
      </c>
      <c r="T303" s="382"/>
      <c r="U303" s="833"/>
      <c r="V303" s="833"/>
      <c r="W303" s="833">
        <f t="shared" si="85"/>
        <v>179342.71166666667</v>
      </c>
      <c r="X303" s="425"/>
      <c r="Y303" s="833"/>
      <c r="Z303" s="833"/>
      <c r="AA303" s="833"/>
      <c r="AB303" s="833"/>
      <c r="AC303" s="835">
        <f t="shared" si="86"/>
        <v>179342.71166666667</v>
      </c>
      <c r="AD303" s="834"/>
      <c r="AE303" s="834"/>
      <c r="AF303" s="781">
        <f t="shared" si="75"/>
        <v>0</v>
      </c>
    </row>
    <row r="304" spans="1:32">
      <c r="A304" s="779">
        <f t="shared" si="76"/>
        <v>290</v>
      </c>
      <c r="B304" s="423" t="s">
        <v>1063</v>
      </c>
      <c r="C304" s="423" t="s">
        <v>541</v>
      </c>
      <c r="D304" s="423" t="s">
        <v>393</v>
      </c>
      <c r="E304" s="777" t="s">
        <v>1924</v>
      </c>
      <c r="F304" s="391">
        <v>85069.48</v>
      </c>
      <c r="G304" s="391">
        <v>8072.92</v>
      </c>
      <c r="H304" s="391">
        <v>15364.59</v>
      </c>
      <c r="I304" s="391">
        <v>23437.52</v>
      </c>
      <c r="J304" s="391">
        <v>31250.02</v>
      </c>
      <c r="K304" s="391">
        <v>39322.94</v>
      </c>
      <c r="L304" s="391">
        <v>47135.44</v>
      </c>
      <c r="M304" s="391">
        <v>55208.36</v>
      </c>
      <c r="N304" s="391">
        <v>63281.279999999999</v>
      </c>
      <c r="O304" s="391">
        <v>71093.789999999994</v>
      </c>
      <c r="P304" s="391">
        <v>79166.710000000006</v>
      </c>
      <c r="Q304" s="391">
        <v>86979.21</v>
      </c>
      <c r="R304" s="391">
        <v>95052.07</v>
      </c>
      <c r="S304" s="618">
        <f>((F304+R304)+((G304+H304+I304+J304+K304+L304+M304+N304+O304+P304+Q304)*2))/24</f>
        <v>50864.462916666664</v>
      </c>
      <c r="T304" s="382"/>
      <c r="U304" s="833"/>
      <c r="V304" s="833"/>
      <c r="W304" s="833">
        <f t="shared" si="85"/>
        <v>50864.462916666664</v>
      </c>
      <c r="X304" s="425"/>
      <c r="Y304" s="833"/>
      <c r="Z304" s="833"/>
      <c r="AA304" s="833"/>
      <c r="AB304" s="833"/>
      <c r="AC304" s="835">
        <f t="shared" si="86"/>
        <v>50864.462916666664</v>
      </c>
      <c r="AD304" s="834"/>
      <c r="AE304" s="834"/>
      <c r="AF304" s="781">
        <f t="shared" si="75"/>
        <v>0</v>
      </c>
    </row>
    <row r="305" spans="1:32">
      <c r="A305" s="779">
        <f t="shared" si="76"/>
        <v>291</v>
      </c>
      <c r="B305" s="423" t="s">
        <v>1094</v>
      </c>
      <c r="C305" s="423" t="s">
        <v>541</v>
      </c>
      <c r="D305" s="423" t="s">
        <v>1297</v>
      </c>
      <c r="E305" s="777" t="s">
        <v>1925</v>
      </c>
      <c r="F305" s="391">
        <v>1654.56</v>
      </c>
      <c r="G305" s="391">
        <v>23.85</v>
      </c>
      <c r="H305" s="391">
        <v>76.52</v>
      </c>
      <c r="I305" s="391">
        <v>150.68</v>
      </c>
      <c r="J305" s="391">
        <v>248.8</v>
      </c>
      <c r="K305" s="391">
        <v>366.3</v>
      </c>
      <c r="L305" s="391">
        <v>524.48</v>
      </c>
      <c r="M305" s="391">
        <v>663.72</v>
      </c>
      <c r="N305" s="391">
        <v>886.31</v>
      </c>
      <c r="O305" s="391">
        <v>1088.95</v>
      </c>
      <c r="P305" s="391">
        <v>1379.47</v>
      </c>
      <c r="Q305" s="391">
        <v>1543.27</v>
      </c>
      <c r="R305" s="391">
        <v>3105.24</v>
      </c>
      <c r="S305" s="618">
        <f t="shared" ref="S305:S310" si="87">((F305+R305)+((G305+H305+I305+J305+K305+L305+M305+N305+O305+P305+Q305)*2))/24</f>
        <v>777.6875</v>
      </c>
      <c r="T305" s="382"/>
      <c r="U305" s="833"/>
      <c r="V305" s="833"/>
      <c r="W305" s="833">
        <f t="shared" si="85"/>
        <v>777.6875</v>
      </c>
      <c r="X305" s="425"/>
      <c r="Y305" s="833"/>
      <c r="Z305" s="833"/>
      <c r="AA305" s="833"/>
      <c r="AB305" s="833"/>
      <c r="AC305" s="835">
        <f t="shared" si="86"/>
        <v>777.6875</v>
      </c>
      <c r="AD305" s="834"/>
      <c r="AE305" s="834"/>
      <c r="AF305" s="781">
        <f t="shared" si="75"/>
        <v>0</v>
      </c>
    </row>
    <row r="306" spans="1:32">
      <c r="A306" s="779">
        <f t="shared" si="76"/>
        <v>292</v>
      </c>
      <c r="B306" s="423" t="s">
        <v>1094</v>
      </c>
      <c r="C306" s="423" t="s">
        <v>541</v>
      </c>
      <c r="D306" s="423" t="s">
        <v>1298</v>
      </c>
      <c r="E306" s="777" t="s">
        <v>1926</v>
      </c>
      <c r="F306" s="391">
        <v>168887.29</v>
      </c>
      <c r="G306" s="391">
        <v>8389.86</v>
      </c>
      <c r="H306" s="391">
        <v>17240.2</v>
      </c>
      <c r="I306" s="391">
        <v>30002.5</v>
      </c>
      <c r="J306" s="391">
        <v>46646.75</v>
      </c>
      <c r="K306" s="391">
        <v>64650.63</v>
      </c>
      <c r="L306" s="391">
        <v>82674.87</v>
      </c>
      <c r="M306" s="391">
        <v>101522.38</v>
      </c>
      <c r="N306" s="391">
        <v>119460.57</v>
      </c>
      <c r="O306" s="391">
        <v>134014.20000000001</v>
      </c>
      <c r="P306" s="391">
        <v>149548.85</v>
      </c>
      <c r="Q306" s="391">
        <v>156077.73000000001</v>
      </c>
      <c r="R306" s="391">
        <v>156518.59</v>
      </c>
      <c r="S306" s="618">
        <f t="shared" si="87"/>
        <v>89410.956666666665</v>
      </c>
      <c r="T306" s="382"/>
      <c r="U306" s="833"/>
      <c r="V306" s="833"/>
      <c r="W306" s="833">
        <f t="shared" si="85"/>
        <v>89410.956666666665</v>
      </c>
      <c r="X306" s="425"/>
      <c r="Y306" s="833"/>
      <c r="Z306" s="833"/>
      <c r="AA306" s="833"/>
      <c r="AB306" s="833"/>
      <c r="AC306" s="835">
        <f t="shared" si="86"/>
        <v>89410.956666666665</v>
      </c>
      <c r="AD306" s="834"/>
      <c r="AE306" s="834"/>
      <c r="AF306" s="781">
        <f t="shared" si="75"/>
        <v>0</v>
      </c>
    </row>
    <row r="307" spans="1:32">
      <c r="A307" s="779">
        <f t="shared" si="76"/>
        <v>293</v>
      </c>
      <c r="B307" s="423" t="s">
        <v>1094</v>
      </c>
      <c r="C307" s="423" t="s">
        <v>541</v>
      </c>
      <c r="D307" s="423" t="s">
        <v>1299</v>
      </c>
      <c r="E307" s="777" t="s">
        <v>1927</v>
      </c>
      <c r="F307" s="391">
        <v>179247.51</v>
      </c>
      <c r="G307" s="391">
        <v>4696.57</v>
      </c>
      <c r="H307" s="391">
        <v>7291.76</v>
      </c>
      <c r="I307" s="391">
        <v>8200.83</v>
      </c>
      <c r="J307" s="391">
        <v>12096.23</v>
      </c>
      <c r="K307" s="391">
        <v>17769.509999999998</v>
      </c>
      <c r="L307" s="391">
        <v>21844.14</v>
      </c>
      <c r="M307" s="391">
        <v>26395.13</v>
      </c>
      <c r="N307" s="391">
        <v>26395.13</v>
      </c>
      <c r="O307" s="391">
        <v>27405.49</v>
      </c>
      <c r="P307" s="391">
        <v>27405.49</v>
      </c>
      <c r="Q307" s="391">
        <v>39378.44</v>
      </c>
      <c r="R307" s="391">
        <v>39378.44</v>
      </c>
      <c r="S307" s="618">
        <f t="shared" si="87"/>
        <v>27349.307916666668</v>
      </c>
      <c r="T307" s="382"/>
      <c r="U307" s="833"/>
      <c r="V307" s="833"/>
      <c r="W307" s="833">
        <f t="shared" si="85"/>
        <v>27349.307916666668</v>
      </c>
      <c r="X307" s="425"/>
      <c r="Y307" s="833"/>
      <c r="Z307" s="833"/>
      <c r="AA307" s="833"/>
      <c r="AB307" s="833"/>
      <c r="AC307" s="835">
        <f t="shared" si="86"/>
        <v>27349.307916666668</v>
      </c>
      <c r="AD307" s="834"/>
      <c r="AE307" s="834"/>
      <c r="AF307" s="781">
        <f t="shared" si="75"/>
        <v>0</v>
      </c>
    </row>
    <row r="308" spans="1:32">
      <c r="A308" s="779">
        <f t="shared" si="76"/>
        <v>294</v>
      </c>
      <c r="B308" s="423" t="s">
        <v>1066</v>
      </c>
      <c r="C308" s="423" t="s">
        <v>541</v>
      </c>
      <c r="D308" s="423" t="s">
        <v>1297</v>
      </c>
      <c r="E308" s="777" t="s">
        <v>1925</v>
      </c>
      <c r="F308" s="391">
        <v>4905.9799999999996</v>
      </c>
      <c r="G308" s="391">
        <v>78.69</v>
      </c>
      <c r="H308" s="391">
        <v>254.3</v>
      </c>
      <c r="I308" s="391">
        <v>584.65</v>
      </c>
      <c r="J308" s="391">
        <v>897.67</v>
      </c>
      <c r="K308" s="391">
        <v>1561.51</v>
      </c>
      <c r="L308" s="391">
        <v>2092</v>
      </c>
      <c r="M308" s="391">
        <v>2748.54</v>
      </c>
      <c r="N308" s="391">
        <v>3548.58</v>
      </c>
      <c r="O308" s="391">
        <v>4157.6400000000003</v>
      </c>
      <c r="P308" s="391">
        <v>5079.43</v>
      </c>
      <c r="Q308" s="391">
        <v>5759.62</v>
      </c>
      <c r="R308" s="391">
        <v>12321.35</v>
      </c>
      <c r="S308" s="618">
        <f t="shared" si="87"/>
        <v>2948.0245833333333</v>
      </c>
      <c r="T308" s="382"/>
      <c r="U308" s="833"/>
      <c r="V308" s="833"/>
      <c r="W308" s="833">
        <f t="shared" si="85"/>
        <v>2948.0245833333333</v>
      </c>
      <c r="X308" s="425"/>
      <c r="Y308" s="833"/>
      <c r="Z308" s="833"/>
      <c r="AA308" s="833"/>
      <c r="AB308" s="833"/>
      <c r="AC308" s="835">
        <f t="shared" si="86"/>
        <v>2948.0245833333333</v>
      </c>
      <c r="AD308" s="834"/>
      <c r="AE308" s="834"/>
      <c r="AF308" s="781">
        <f t="shared" si="75"/>
        <v>0</v>
      </c>
    </row>
    <row r="309" spans="1:32">
      <c r="A309" s="779">
        <f t="shared" si="76"/>
        <v>295</v>
      </c>
      <c r="B309" s="423" t="s">
        <v>1066</v>
      </c>
      <c r="C309" s="423" t="s">
        <v>541</v>
      </c>
      <c r="D309" s="423" t="s">
        <v>1298</v>
      </c>
      <c r="E309" s="777" t="s">
        <v>1926</v>
      </c>
      <c r="F309" s="391">
        <v>1058.1500000000001</v>
      </c>
      <c r="G309" s="391">
        <v>0</v>
      </c>
      <c r="H309" s="391">
        <v>0</v>
      </c>
      <c r="I309" s="391">
        <v>0</v>
      </c>
      <c r="J309" s="391">
        <v>0</v>
      </c>
      <c r="K309" s="391">
        <v>0</v>
      </c>
      <c r="L309" s="391">
        <v>0</v>
      </c>
      <c r="M309" s="391">
        <v>0</v>
      </c>
      <c r="N309" s="391">
        <v>0</v>
      </c>
      <c r="O309" s="391">
        <v>0</v>
      </c>
      <c r="P309" s="391">
        <v>0</v>
      </c>
      <c r="Q309" s="391">
        <v>0</v>
      </c>
      <c r="R309" s="391">
        <v>0</v>
      </c>
      <c r="S309" s="618">
        <f t="shared" si="87"/>
        <v>44.089583333333337</v>
      </c>
      <c r="T309" s="382"/>
      <c r="U309" s="833"/>
      <c r="V309" s="833"/>
      <c r="W309" s="833">
        <f t="shared" si="85"/>
        <v>44.089583333333337</v>
      </c>
      <c r="X309" s="425"/>
      <c r="Y309" s="833"/>
      <c r="Z309" s="833"/>
      <c r="AA309" s="833"/>
      <c r="AB309" s="833"/>
      <c r="AC309" s="835">
        <f t="shared" si="86"/>
        <v>44.089583333333337</v>
      </c>
      <c r="AD309" s="834"/>
      <c r="AE309" s="834"/>
      <c r="AF309" s="781">
        <f t="shared" si="75"/>
        <v>0</v>
      </c>
    </row>
    <row r="310" spans="1:32" s="2" customFormat="1">
      <c r="A310" s="779">
        <f t="shared" si="76"/>
        <v>296</v>
      </c>
      <c r="B310" s="423" t="s">
        <v>1066</v>
      </c>
      <c r="C310" s="423" t="s">
        <v>541</v>
      </c>
      <c r="D310" s="423" t="s">
        <v>1299</v>
      </c>
      <c r="E310" s="777" t="s">
        <v>1927</v>
      </c>
      <c r="F310" s="391">
        <v>64353.77</v>
      </c>
      <c r="G310" s="391">
        <v>5457.45</v>
      </c>
      <c r="H310" s="391">
        <v>10373.77</v>
      </c>
      <c r="I310" s="391">
        <v>18287.18</v>
      </c>
      <c r="J310" s="391">
        <v>27787.22</v>
      </c>
      <c r="K310" s="391">
        <v>38874.339999999997</v>
      </c>
      <c r="L310" s="391">
        <v>45487.45</v>
      </c>
      <c r="M310" s="391">
        <v>50544.39</v>
      </c>
      <c r="N310" s="391">
        <v>53464.6</v>
      </c>
      <c r="O310" s="391">
        <v>53464.6</v>
      </c>
      <c r="P310" s="391">
        <v>53464.6</v>
      </c>
      <c r="Q310" s="391">
        <v>53464.6</v>
      </c>
      <c r="R310" s="391">
        <v>53464.6</v>
      </c>
      <c r="S310" s="618">
        <f t="shared" si="87"/>
        <v>39131.61541666666</v>
      </c>
      <c r="T310" s="382"/>
      <c r="U310" s="833"/>
      <c r="V310" s="833"/>
      <c r="W310" s="833">
        <f t="shared" si="85"/>
        <v>39131.61541666666</v>
      </c>
      <c r="X310" s="425"/>
      <c r="Y310" s="833"/>
      <c r="Z310" s="833"/>
      <c r="AA310" s="833"/>
      <c r="AB310" s="833"/>
      <c r="AC310" s="835">
        <f t="shared" si="86"/>
        <v>39131.61541666666</v>
      </c>
      <c r="AD310" s="834"/>
      <c r="AE310" s="834"/>
      <c r="AF310" s="781">
        <f t="shared" si="75"/>
        <v>0</v>
      </c>
    </row>
    <row r="311" spans="1:32">
      <c r="A311" s="779">
        <f t="shared" si="76"/>
        <v>297</v>
      </c>
      <c r="B311" s="423" t="s">
        <v>1063</v>
      </c>
      <c r="C311" s="423" t="s">
        <v>542</v>
      </c>
      <c r="D311" s="422"/>
      <c r="E311" s="777" t="s">
        <v>543</v>
      </c>
      <c r="F311" s="391">
        <v>454448.18</v>
      </c>
      <c r="G311" s="391">
        <v>16476.89</v>
      </c>
      <c r="H311" s="391">
        <v>33874.15</v>
      </c>
      <c r="I311" s="391">
        <v>50346.5</v>
      </c>
      <c r="J311" s="391">
        <v>66818.850000000006</v>
      </c>
      <c r="K311" s="391">
        <v>83472.56</v>
      </c>
      <c r="L311" s="391">
        <v>99944.01</v>
      </c>
      <c r="M311" s="391">
        <v>116415.46</v>
      </c>
      <c r="N311" s="391">
        <v>132886.91</v>
      </c>
      <c r="O311" s="391">
        <v>149358.35999999999</v>
      </c>
      <c r="P311" s="391">
        <v>165829.81</v>
      </c>
      <c r="Q311" s="391">
        <v>183708.56</v>
      </c>
      <c r="R311" s="391">
        <v>200172.75</v>
      </c>
      <c r="S311" s="618">
        <f>((F311+R311)+((G311+H311+I311+J311+K311+L311+M311+N311+O311+P311+Q311)*2))/24</f>
        <v>118870.21041666665</v>
      </c>
      <c r="T311" s="382"/>
      <c r="U311" s="833"/>
      <c r="V311" s="833"/>
      <c r="W311" s="833">
        <f t="shared" si="85"/>
        <v>118870.21041666665</v>
      </c>
      <c r="X311" s="425"/>
      <c r="Y311" s="833"/>
      <c r="Z311" s="833"/>
      <c r="AA311" s="833"/>
      <c r="AB311" s="833"/>
      <c r="AC311" s="835">
        <f t="shared" si="86"/>
        <v>118870.21041666665</v>
      </c>
      <c r="AD311" s="834"/>
      <c r="AE311" s="834"/>
      <c r="AF311" s="781">
        <f t="shared" si="75"/>
        <v>0</v>
      </c>
    </row>
    <row r="312" spans="1:32">
      <c r="A312" s="779">
        <f t="shared" si="76"/>
        <v>298</v>
      </c>
      <c r="B312" s="423" t="s">
        <v>1063</v>
      </c>
      <c r="C312" s="423" t="s">
        <v>544</v>
      </c>
      <c r="D312" s="422"/>
      <c r="E312" s="777" t="s">
        <v>1923</v>
      </c>
      <c r="F312" s="405">
        <v>40970.639999999999</v>
      </c>
      <c r="G312" s="405">
        <v>3414.22</v>
      </c>
      <c r="H312" s="405">
        <v>6828.44</v>
      </c>
      <c r="I312" s="405">
        <v>10242.66</v>
      </c>
      <c r="J312" s="405">
        <v>13656.88</v>
      </c>
      <c r="K312" s="405">
        <v>17071.099999999999</v>
      </c>
      <c r="L312" s="405">
        <v>20485.32</v>
      </c>
      <c r="M312" s="405">
        <v>23899.54</v>
      </c>
      <c r="N312" s="405">
        <v>27313.759999999998</v>
      </c>
      <c r="O312" s="405">
        <v>30727.98</v>
      </c>
      <c r="P312" s="405">
        <v>34142.199999999997</v>
      </c>
      <c r="Q312" s="405">
        <v>37556.42</v>
      </c>
      <c r="R312" s="405">
        <v>40970.639999999999</v>
      </c>
      <c r="S312" s="618">
        <f>((F312+R312)+((G312+H312+I312+J312+K312+L312+M312+N312+O312+P312+Q312)*2))/24</f>
        <v>22192.429999999997</v>
      </c>
      <c r="T312" s="382"/>
      <c r="U312" s="833"/>
      <c r="V312" s="833"/>
      <c r="W312" s="833">
        <f t="shared" si="85"/>
        <v>22192.429999999997</v>
      </c>
      <c r="X312" s="425"/>
      <c r="Y312" s="833"/>
      <c r="Z312" s="833"/>
      <c r="AA312" s="833"/>
      <c r="AB312" s="833"/>
      <c r="AC312" s="835">
        <f t="shared" si="86"/>
        <v>22192.429999999997</v>
      </c>
      <c r="AD312" s="834"/>
      <c r="AE312" s="834"/>
      <c r="AF312" s="781">
        <f t="shared" si="75"/>
        <v>0</v>
      </c>
    </row>
    <row r="313" spans="1:32">
      <c r="A313" s="779">
        <f t="shared" si="76"/>
        <v>299</v>
      </c>
      <c r="B313" s="422"/>
      <c r="C313" s="422"/>
      <c r="D313" s="422"/>
      <c r="E313" s="777" t="s">
        <v>545</v>
      </c>
      <c r="F313" s="394">
        <f t="shared" ref="F313:S313" si="88">SUM(F301:F312)</f>
        <v>12404036.090000002</v>
      </c>
      <c r="G313" s="394">
        <f t="shared" si="88"/>
        <v>1017346.6499999999</v>
      </c>
      <c r="H313" s="394">
        <f t="shared" si="88"/>
        <v>2009984.89</v>
      </c>
      <c r="I313" s="394">
        <f t="shared" si="88"/>
        <v>3009291.6700000004</v>
      </c>
      <c r="J313" s="394">
        <f t="shared" si="88"/>
        <v>4001668.7199999997</v>
      </c>
      <c r="K313" s="394">
        <f t="shared" si="88"/>
        <v>4998259.129999999</v>
      </c>
      <c r="L313" s="394">
        <f t="shared" si="88"/>
        <v>5989631.7300000004</v>
      </c>
      <c r="M313" s="394">
        <f t="shared" si="88"/>
        <v>6997855.7299999995</v>
      </c>
      <c r="N313" s="394">
        <f t="shared" si="88"/>
        <v>8040735.2799999993</v>
      </c>
      <c r="O313" s="394">
        <f t="shared" si="88"/>
        <v>9092823.1299999971</v>
      </c>
      <c r="P313" s="394">
        <f t="shared" si="88"/>
        <v>10107771.119999999</v>
      </c>
      <c r="Q313" s="394">
        <f t="shared" si="88"/>
        <v>11168005.91</v>
      </c>
      <c r="R313" s="394">
        <f t="shared" si="88"/>
        <v>12288416.85</v>
      </c>
      <c r="S313" s="620">
        <f t="shared" si="88"/>
        <v>6564966.7024999997</v>
      </c>
      <c r="T313" s="382"/>
      <c r="U313" s="833"/>
      <c r="V313" s="833"/>
      <c r="W313" s="833"/>
      <c r="X313" s="425"/>
      <c r="Y313" s="833"/>
      <c r="Z313" s="833"/>
      <c r="AA313" s="833"/>
      <c r="AB313" s="833"/>
      <c r="AC313" s="834"/>
      <c r="AD313" s="834"/>
      <c r="AE313" s="834"/>
      <c r="AF313" s="781">
        <f t="shared" si="75"/>
        <v>0</v>
      </c>
    </row>
    <row r="314" spans="1:32">
      <c r="A314" s="779">
        <f t="shared" si="76"/>
        <v>300</v>
      </c>
      <c r="B314" s="422"/>
      <c r="C314" s="422"/>
      <c r="D314" s="422"/>
      <c r="E314" s="777"/>
      <c r="F314" s="391"/>
      <c r="G314" s="420"/>
      <c r="H314" s="408"/>
      <c r="I314" s="408"/>
      <c r="J314" s="409"/>
      <c r="K314" s="410"/>
      <c r="L314" s="411"/>
      <c r="M314" s="412"/>
      <c r="N314" s="413"/>
      <c r="O314" s="414"/>
      <c r="P314" s="415"/>
      <c r="Q314" s="421"/>
      <c r="R314" s="391"/>
      <c r="S314" s="392"/>
      <c r="T314" s="382"/>
      <c r="U314" s="833"/>
      <c r="V314" s="833"/>
      <c r="W314" s="833"/>
      <c r="X314" s="425"/>
      <c r="Y314" s="833"/>
      <c r="Z314" s="833"/>
      <c r="AA314" s="833"/>
      <c r="AB314" s="833"/>
      <c r="AC314" s="834"/>
      <c r="AD314" s="834"/>
      <c r="AE314" s="834"/>
      <c r="AF314" s="781">
        <f t="shared" si="75"/>
        <v>0</v>
      </c>
    </row>
    <row r="315" spans="1:32">
      <c r="A315" s="779">
        <f t="shared" si="76"/>
        <v>301</v>
      </c>
      <c r="B315" s="423" t="s">
        <v>1094</v>
      </c>
      <c r="C315" s="423" t="s">
        <v>546</v>
      </c>
      <c r="D315" s="423" t="s">
        <v>1300</v>
      </c>
      <c r="E315" s="777" t="s">
        <v>1930</v>
      </c>
      <c r="F315" s="391">
        <v>-726060.63</v>
      </c>
      <c r="G315" s="391">
        <v>471441.39</v>
      </c>
      <c r="H315" s="391">
        <v>973982.66</v>
      </c>
      <c r="I315" s="391">
        <v>1130947.54</v>
      </c>
      <c r="J315" s="391">
        <v>1341467.48</v>
      </c>
      <c r="K315" s="391">
        <v>1280308.51</v>
      </c>
      <c r="L315" s="391">
        <v>991473.83</v>
      </c>
      <c r="M315" s="391">
        <v>648610</v>
      </c>
      <c r="N315" s="391">
        <v>213367.17</v>
      </c>
      <c r="O315" s="391">
        <v>62602.18</v>
      </c>
      <c r="P315" s="391">
        <v>104804.63</v>
      </c>
      <c r="Q315" s="391">
        <v>162973.6</v>
      </c>
      <c r="R315" s="391">
        <v>477754.1</v>
      </c>
      <c r="S315" s="618">
        <f t="shared" ref="S315:S335" si="89">((F315+R315)+((G315+H315+I315+J315+K315+L315+M315+N315+O315+P315+Q315)*2))/24</f>
        <v>604818.81041666667</v>
      </c>
      <c r="T315" s="382"/>
      <c r="U315" s="833"/>
      <c r="V315" s="833"/>
      <c r="W315" s="833">
        <f t="shared" ref="W315:W335" si="90">+S315</f>
        <v>604818.81041666667</v>
      </c>
      <c r="X315" s="425"/>
      <c r="Y315" s="833"/>
      <c r="Z315" s="833"/>
      <c r="AA315" s="833"/>
      <c r="AB315" s="833"/>
      <c r="AC315" s="835">
        <f t="shared" ref="AC315:AC335" si="91">+S315</f>
        <v>604818.81041666667</v>
      </c>
      <c r="AD315" s="834"/>
      <c r="AE315" s="834"/>
      <c r="AF315" s="781">
        <f t="shared" si="75"/>
        <v>0</v>
      </c>
    </row>
    <row r="316" spans="1:32">
      <c r="A316" s="779">
        <f t="shared" si="76"/>
        <v>302</v>
      </c>
      <c r="B316" s="423" t="s">
        <v>1094</v>
      </c>
      <c r="C316" s="423" t="s">
        <v>546</v>
      </c>
      <c r="D316" s="423" t="s">
        <v>1301</v>
      </c>
      <c r="E316" s="777" t="s">
        <v>1931</v>
      </c>
      <c r="F316" s="391">
        <v>-129100.83</v>
      </c>
      <c r="G316" s="391">
        <v>203205.71</v>
      </c>
      <c r="H316" s="391">
        <v>379205.11</v>
      </c>
      <c r="I316" s="391">
        <v>494235.77</v>
      </c>
      <c r="J316" s="391">
        <v>522484.32</v>
      </c>
      <c r="K316" s="391">
        <v>526580.18999999994</v>
      </c>
      <c r="L316" s="391">
        <v>466833.05</v>
      </c>
      <c r="M316" s="391">
        <v>368883.92</v>
      </c>
      <c r="N316" s="391">
        <v>250347.5</v>
      </c>
      <c r="O316" s="391">
        <v>148847.37</v>
      </c>
      <c r="P316" s="391">
        <v>178053.06</v>
      </c>
      <c r="Q316" s="391">
        <v>87729.580000000104</v>
      </c>
      <c r="R316" s="391">
        <v>-461581.72</v>
      </c>
      <c r="S316" s="618">
        <f t="shared" si="89"/>
        <v>277588.69208333333</v>
      </c>
      <c r="T316" s="382"/>
      <c r="U316" s="833"/>
      <c r="V316" s="833"/>
      <c r="W316" s="833">
        <f t="shared" si="90"/>
        <v>277588.69208333333</v>
      </c>
      <c r="X316" s="425"/>
      <c r="Y316" s="833"/>
      <c r="Z316" s="833"/>
      <c r="AA316" s="833"/>
      <c r="AB316" s="833"/>
      <c r="AC316" s="835">
        <f t="shared" si="91"/>
        <v>277588.69208333333</v>
      </c>
      <c r="AD316" s="834"/>
      <c r="AE316" s="834"/>
      <c r="AF316" s="781">
        <f t="shared" si="75"/>
        <v>0</v>
      </c>
    </row>
    <row r="317" spans="1:32">
      <c r="A317" s="779">
        <f t="shared" si="76"/>
        <v>303</v>
      </c>
      <c r="B317" s="423" t="s">
        <v>1066</v>
      </c>
      <c r="C317" s="423" t="s">
        <v>546</v>
      </c>
      <c r="D317" s="423" t="s">
        <v>1300</v>
      </c>
      <c r="E317" s="777" t="s">
        <v>1930</v>
      </c>
      <c r="F317" s="391">
        <v>-1508118.62</v>
      </c>
      <c r="G317" s="391">
        <v>1857814.51</v>
      </c>
      <c r="H317" s="391">
        <v>3374154.2</v>
      </c>
      <c r="I317" s="391">
        <v>4495657.09</v>
      </c>
      <c r="J317" s="391">
        <v>4615315.21</v>
      </c>
      <c r="K317" s="391">
        <v>4730529.49</v>
      </c>
      <c r="L317" s="391">
        <v>4344768.4000000004</v>
      </c>
      <c r="M317" s="391">
        <v>3576862.39</v>
      </c>
      <c r="N317" s="391">
        <v>2666081.7999999998</v>
      </c>
      <c r="O317" s="391">
        <v>1366671.32</v>
      </c>
      <c r="P317" s="391">
        <v>1641939.08</v>
      </c>
      <c r="Q317" s="391">
        <v>745463.47000000102</v>
      </c>
      <c r="R317" s="391">
        <v>-5897972.5800000001</v>
      </c>
      <c r="S317" s="618">
        <f t="shared" si="89"/>
        <v>2476017.6133333337</v>
      </c>
      <c r="T317" s="382"/>
      <c r="U317" s="833"/>
      <c r="V317" s="833"/>
      <c r="W317" s="833">
        <f t="shared" si="90"/>
        <v>2476017.6133333337</v>
      </c>
      <c r="X317" s="425"/>
      <c r="Y317" s="833"/>
      <c r="Z317" s="833"/>
      <c r="AA317" s="833"/>
      <c r="AB317" s="833"/>
      <c r="AC317" s="835">
        <f t="shared" si="91"/>
        <v>2476017.6133333337</v>
      </c>
      <c r="AD317" s="834"/>
      <c r="AE317" s="834"/>
      <c r="AF317" s="781">
        <f t="shared" si="75"/>
        <v>0</v>
      </c>
    </row>
    <row r="318" spans="1:32">
      <c r="A318" s="779">
        <f t="shared" si="76"/>
        <v>304</v>
      </c>
      <c r="B318" s="423" t="s">
        <v>1063</v>
      </c>
      <c r="C318" s="423" t="s">
        <v>547</v>
      </c>
      <c r="D318" s="423" t="s">
        <v>1300</v>
      </c>
      <c r="E318" s="777" t="s">
        <v>1928</v>
      </c>
      <c r="F318" s="391">
        <v>-1365.19</v>
      </c>
      <c r="G318" s="391">
        <v>34750.9</v>
      </c>
      <c r="H318" s="391">
        <v>-65523.98</v>
      </c>
      <c r="I318" s="391">
        <v>144863.85</v>
      </c>
      <c r="J318" s="391">
        <v>114751.96</v>
      </c>
      <c r="K318" s="391">
        <v>-224509.59</v>
      </c>
      <c r="L318" s="391">
        <v>-239544.81</v>
      </c>
      <c r="M318" s="391">
        <v>-222182.6</v>
      </c>
      <c r="N318" s="391">
        <v>-168358.7</v>
      </c>
      <c r="O318" s="391">
        <v>-20428.259999999998</v>
      </c>
      <c r="P318" s="391">
        <v>-168978.67</v>
      </c>
      <c r="Q318" s="391">
        <v>-43506.03</v>
      </c>
      <c r="R318" s="391">
        <v>-0.66000000003987203</v>
      </c>
      <c r="S318" s="618">
        <f t="shared" si="89"/>
        <v>-71612.404583333337</v>
      </c>
      <c r="T318" s="382"/>
      <c r="U318" s="833"/>
      <c r="V318" s="833"/>
      <c r="W318" s="833">
        <f t="shared" si="90"/>
        <v>-71612.404583333337</v>
      </c>
      <c r="X318" s="425"/>
      <c r="Y318" s="833"/>
      <c r="Z318" s="833"/>
      <c r="AA318" s="833"/>
      <c r="AB318" s="833"/>
      <c r="AC318" s="835">
        <f t="shared" si="91"/>
        <v>-71612.404583333337</v>
      </c>
      <c r="AD318" s="834"/>
      <c r="AE318" s="834"/>
      <c r="AF318" s="781">
        <f t="shared" si="75"/>
        <v>0</v>
      </c>
    </row>
    <row r="319" spans="1:32">
      <c r="A319" s="779">
        <f t="shared" si="76"/>
        <v>305</v>
      </c>
      <c r="B319" s="423" t="s">
        <v>1066</v>
      </c>
      <c r="C319" s="423" t="s">
        <v>547</v>
      </c>
      <c r="D319" s="423" t="s">
        <v>1300</v>
      </c>
      <c r="E319" s="777" t="s">
        <v>1928</v>
      </c>
      <c r="F319" s="391">
        <v>0</v>
      </c>
      <c r="G319" s="391">
        <v>0</v>
      </c>
      <c r="H319" s="391">
        <v>0</v>
      </c>
      <c r="I319" s="391">
        <v>0</v>
      </c>
      <c r="J319" s="391">
        <v>0</v>
      </c>
      <c r="K319" s="391">
        <v>0</v>
      </c>
      <c r="L319" s="391">
        <v>0</v>
      </c>
      <c r="M319" s="391">
        <v>0</v>
      </c>
      <c r="N319" s="391">
        <v>0</v>
      </c>
      <c r="O319" s="391">
        <v>0</v>
      </c>
      <c r="P319" s="391">
        <v>0</v>
      </c>
      <c r="Q319" s="391">
        <v>0</v>
      </c>
      <c r="R319" s="391">
        <v>-202795.88</v>
      </c>
      <c r="S319" s="618">
        <f t="shared" si="89"/>
        <v>-8449.8283333333329</v>
      </c>
      <c r="T319" s="382"/>
      <c r="U319" s="833"/>
      <c r="V319" s="833"/>
      <c r="W319" s="833">
        <f t="shared" si="90"/>
        <v>-8449.8283333333329</v>
      </c>
      <c r="X319" s="425"/>
      <c r="Y319" s="833"/>
      <c r="Z319" s="833"/>
      <c r="AA319" s="833"/>
      <c r="AB319" s="833"/>
      <c r="AC319" s="835">
        <f t="shared" si="91"/>
        <v>-8449.8283333333329</v>
      </c>
      <c r="AD319" s="834"/>
      <c r="AE319" s="834"/>
      <c r="AF319" s="781">
        <f t="shared" si="75"/>
        <v>0</v>
      </c>
    </row>
    <row r="320" spans="1:32">
      <c r="A320" s="779">
        <f t="shared" si="76"/>
        <v>306</v>
      </c>
      <c r="B320" s="423" t="s">
        <v>1094</v>
      </c>
      <c r="C320" s="423" t="s">
        <v>547</v>
      </c>
      <c r="D320" s="423" t="s">
        <v>1300</v>
      </c>
      <c r="E320" s="777" t="s">
        <v>1928</v>
      </c>
      <c r="F320" s="391">
        <v>0</v>
      </c>
      <c r="G320" s="391">
        <v>0</v>
      </c>
      <c r="H320" s="391">
        <v>0</v>
      </c>
      <c r="I320" s="391">
        <v>0</v>
      </c>
      <c r="J320" s="391">
        <v>0</v>
      </c>
      <c r="K320" s="391">
        <v>0</v>
      </c>
      <c r="L320" s="391">
        <v>0</v>
      </c>
      <c r="M320" s="391">
        <v>0</v>
      </c>
      <c r="N320" s="391">
        <v>0</v>
      </c>
      <c r="O320" s="391">
        <v>0</v>
      </c>
      <c r="P320" s="391">
        <v>0</v>
      </c>
      <c r="Q320" s="391">
        <v>0</v>
      </c>
      <c r="R320" s="391">
        <v>-41879.49</v>
      </c>
      <c r="S320" s="618">
        <f t="shared" si="89"/>
        <v>-1744.97875</v>
      </c>
      <c r="T320" s="382"/>
      <c r="U320" s="833"/>
      <c r="V320" s="833"/>
      <c r="W320" s="833">
        <f t="shared" si="90"/>
        <v>-1744.97875</v>
      </c>
      <c r="X320" s="425"/>
      <c r="Y320" s="833"/>
      <c r="Z320" s="833"/>
      <c r="AA320" s="833"/>
      <c r="AB320" s="833"/>
      <c r="AC320" s="835">
        <f t="shared" si="91"/>
        <v>-1744.97875</v>
      </c>
      <c r="AD320" s="834"/>
      <c r="AE320" s="834"/>
      <c r="AF320" s="781">
        <f t="shared" si="75"/>
        <v>0</v>
      </c>
    </row>
    <row r="321" spans="1:32">
      <c r="A321" s="779">
        <f t="shared" si="76"/>
        <v>307</v>
      </c>
      <c r="B321" s="423" t="s">
        <v>1094</v>
      </c>
      <c r="C321" s="423" t="s">
        <v>547</v>
      </c>
      <c r="D321" s="423" t="s">
        <v>1301</v>
      </c>
      <c r="E321" s="777" t="s">
        <v>1932</v>
      </c>
      <c r="F321" s="391">
        <v>1079.19</v>
      </c>
      <c r="G321" s="391">
        <v>3031.69</v>
      </c>
      <c r="H321" s="391">
        <v>-5714.41</v>
      </c>
      <c r="I321" s="391">
        <v>12724.71</v>
      </c>
      <c r="J321" s="391">
        <v>10065.19</v>
      </c>
      <c r="K321" s="391">
        <v>-19668.189999999999</v>
      </c>
      <c r="L321" s="391">
        <v>-20956.21</v>
      </c>
      <c r="M321" s="391">
        <v>-19396.55</v>
      </c>
      <c r="N321" s="391">
        <v>-14637.59</v>
      </c>
      <c r="O321" s="391">
        <v>-2127.44</v>
      </c>
      <c r="P321" s="391">
        <v>-17224.72</v>
      </c>
      <c r="Q321" s="391">
        <v>-4201.46</v>
      </c>
      <c r="R321" s="391">
        <v>-27118.1</v>
      </c>
      <c r="S321" s="618">
        <f t="shared" si="89"/>
        <v>-7593.702916666668</v>
      </c>
      <c r="T321" s="382"/>
      <c r="U321" s="833"/>
      <c r="V321" s="833"/>
      <c r="W321" s="833">
        <f t="shared" si="90"/>
        <v>-7593.702916666668</v>
      </c>
      <c r="X321" s="425"/>
      <c r="Y321" s="833"/>
      <c r="Z321" s="833"/>
      <c r="AA321" s="833"/>
      <c r="AB321" s="833"/>
      <c r="AC321" s="835">
        <f t="shared" si="91"/>
        <v>-7593.702916666668</v>
      </c>
      <c r="AD321" s="834"/>
      <c r="AE321" s="834"/>
      <c r="AF321" s="781">
        <f t="shared" si="75"/>
        <v>0</v>
      </c>
    </row>
    <row r="322" spans="1:32">
      <c r="A322" s="779">
        <f t="shared" si="76"/>
        <v>308</v>
      </c>
      <c r="B322" s="423" t="s">
        <v>1094</v>
      </c>
      <c r="C322" s="423" t="s">
        <v>548</v>
      </c>
      <c r="D322" s="423" t="s">
        <v>1300</v>
      </c>
      <c r="E322" s="777" t="s">
        <v>1933</v>
      </c>
      <c r="F322" s="391">
        <v>2219473.83</v>
      </c>
      <c r="G322" s="391">
        <v>-229453.82</v>
      </c>
      <c r="H322" s="391">
        <v>-461410.93</v>
      </c>
      <c r="I322" s="391">
        <v>-629975.46</v>
      </c>
      <c r="J322" s="391">
        <v>-813237.88</v>
      </c>
      <c r="K322" s="391">
        <v>-881990.25</v>
      </c>
      <c r="L322" s="391">
        <v>-823415.27</v>
      </c>
      <c r="M322" s="391">
        <v>-661544.01</v>
      </c>
      <c r="N322" s="391">
        <v>-291376.15999999997</v>
      </c>
      <c r="O322" s="391">
        <v>-155940.25</v>
      </c>
      <c r="P322" s="391">
        <v>-233325.1</v>
      </c>
      <c r="Q322" s="391">
        <v>-399990.5</v>
      </c>
      <c r="R322" s="391">
        <v>1030111.29</v>
      </c>
      <c r="S322" s="618">
        <f t="shared" si="89"/>
        <v>-329738.92249999999</v>
      </c>
      <c r="T322" s="382"/>
      <c r="U322" s="833"/>
      <c r="V322" s="833"/>
      <c r="W322" s="833">
        <f t="shared" si="90"/>
        <v>-329738.92249999999</v>
      </c>
      <c r="X322" s="425"/>
      <c r="Y322" s="833"/>
      <c r="Z322" s="833"/>
      <c r="AA322" s="833"/>
      <c r="AB322" s="833"/>
      <c r="AC322" s="835">
        <f t="shared" si="91"/>
        <v>-329738.92249999999</v>
      </c>
      <c r="AD322" s="834"/>
      <c r="AE322" s="834"/>
      <c r="AF322" s="781">
        <f t="shared" si="75"/>
        <v>0</v>
      </c>
    </row>
    <row r="323" spans="1:32">
      <c r="A323" s="779">
        <f t="shared" si="76"/>
        <v>309</v>
      </c>
      <c r="B323" s="423" t="s">
        <v>1094</v>
      </c>
      <c r="C323" s="423" t="s">
        <v>548</v>
      </c>
      <c r="D323" s="422" t="s">
        <v>1301</v>
      </c>
      <c r="E323" s="777" t="s">
        <v>1934</v>
      </c>
      <c r="F323" s="391">
        <v>520139.46</v>
      </c>
      <c r="G323" s="391">
        <v>-75667.360000000001</v>
      </c>
      <c r="H323" s="391">
        <v>-133176.59</v>
      </c>
      <c r="I323" s="391">
        <v>-207482.15</v>
      </c>
      <c r="J323" s="391">
        <v>-225672</v>
      </c>
      <c r="K323" s="391">
        <v>-248469.61</v>
      </c>
      <c r="L323" s="391">
        <v>-250375.71</v>
      </c>
      <c r="M323" s="391">
        <v>-206154.6</v>
      </c>
      <c r="N323" s="391">
        <v>-148126.51</v>
      </c>
      <c r="O323" s="391">
        <v>-90589.33</v>
      </c>
      <c r="P323" s="391">
        <v>-94354.9</v>
      </c>
      <c r="Q323" s="391">
        <v>85041.17</v>
      </c>
      <c r="R323" s="391">
        <v>1414436.22</v>
      </c>
      <c r="S323" s="618">
        <f t="shared" si="89"/>
        <v>-52311.645833333343</v>
      </c>
      <c r="T323" s="382"/>
      <c r="U323" s="833"/>
      <c r="V323" s="833"/>
      <c r="W323" s="833">
        <f t="shared" si="90"/>
        <v>-52311.645833333343</v>
      </c>
      <c r="X323" s="425"/>
      <c r="Y323" s="833"/>
      <c r="Z323" s="833"/>
      <c r="AA323" s="833"/>
      <c r="AB323" s="833"/>
      <c r="AC323" s="835">
        <f t="shared" si="91"/>
        <v>-52311.645833333343</v>
      </c>
      <c r="AD323" s="834"/>
      <c r="AE323" s="834"/>
      <c r="AF323" s="781">
        <f t="shared" si="75"/>
        <v>0</v>
      </c>
    </row>
    <row r="324" spans="1:32">
      <c r="A324" s="779">
        <f t="shared" si="76"/>
        <v>310</v>
      </c>
      <c r="B324" s="423" t="s">
        <v>1066</v>
      </c>
      <c r="C324" s="423" t="s">
        <v>548</v>
      </c>
      <c r="D324" s="422" t="s">
        <v>1300</v>
      </c>
      <c r="E324" s="777" t="s">
        <v>1933</v>
      </c>
      <c r="F324" s="391">
        <v>8394939.3200000003</v>
      </c>
      <c r="G324" s="391">
        <v>-904211.28</v>
      </c>
      <c r="H324" s="391">
        <v>-1598459.31</v>
      </c>
      <c r="I324" s="391">
        <v>-2504230.83</v>
      </c>
      <c r="J324" s="391">
        <v>-2797942.74</v>
      </c>
      <c r="K324" s="391">
        <v>-3258809.04</v>
      </c>
      <c r="L324" s="391">
        <v>-3608313.85</v>
      </c>
      <c r="M324" s="391">
        <v>-3648188.97</v>
      </c>
      <c r="N324" s="391">
        <v>-3640825.78</v>
      </c>
      <c r="O324" s="391">
        <v>-3404339.38</v>
      </c>
      <c r="P324" s="391">
        <v>-3655426.51</v>
      </c>
      <c r="Q324" s="391">
        <v>-1829610.89</v>
      </c>
      <c r="R324" s="391">
        <v>14687003.68</v>
      </c>
      <c r="S324" s="618">
        <f t="shared" si="89"/>
        <v>-1609115.5899999999</v>
      </c>
      <c r="T324" s="382"/>
      <c r="U324" s="833"/>
      <c r="V324" s="833"/>
      <c r="W324" s="833">
        <f t="shared" si="90"/>
        <v>-1609115.5899999999</v>
      </c>
      <c r="X324" s="425"/>
      <c r="Y324" s="833"/>
      <c r="Z324" s="833"/>
      <c r="AA324" s="833"/>
      <c r="AB324" s="833"/>
      <c r="AC324" s="835">
        <f t="shared" si="91"/>
        <v>-1609115.5899999999</v>
      </c>
      <c r="AD324" s="834"/>
      <c r="AE324" s="834"/>
      <c r="AF324" s="781">
        <f t="shared" si="75"/>
        <v>0</v>
      </c>
    </row>
    <row r="325" spans="1:32" s="2" customFormat="1">
      <c r="A325" s="779">
        <f t="shared" si="76"/>
        <v>311</v>
      </c>
      <c r="B325" s="423" t="s">
        <v>1063</v>
      </c>
      <c r="C325" s="423" t="s">
        <v>549</v>
      </c>
      <c r="D325" s="422" t="s">
        <v>1300</v>
      </c>
      <c r="E325" s="777" t="s">
        <v>1929</v>
      </c>
      <c r="F325" s="391">
        <v>0</v>
      </c>
      <c r="G325" s="391">
        <v>0</v>
      </c>
      <c r="H325" s="391">
        <v>0</v>
      </c>
      <c r="I325" s="391">
        <v>-5095.59</v>
      </c>
      <c r="J325" s="391">
        <v>-6926.41</v>
      </c>
      <c r="K325" s="391">
        <v>-9972.77</v>
      </c>
      <c r="L325" s="391">
        <v>-12046.71</v>
      </c>
      <c r="M325" s="391">
        <v>-14120.64</v>
      </c>
      <c r="N325" s="391">
        <v>-16194.58</v>
      </c>
      <c r="O325" s="391">
        <v>-18268.509999999998</v>
      </c>
      <c r="P325" s="391">
        <v>-20342.45</v>
      </c>
      <c r="Q325" s="391">
        <v>-67444.56</v>
      </c>
      <c r="R325" s="391">
        <v>-9.9999999947613105E-3</v>
      </c>
      <c r="S325" s="618">
        <f t="shared" si="89"/>
        <v>-14201.018749999997</v>
      </c>
      <c r="T325" s="382"/>
      <c r="U325" s="833"/>
      <c r="V325" s="833"/>
      <c r="W325" s="833">
        <f t="shared" si="90"/>
        <v>-14201.018749999997</v>
      </c>
      <c r="X325" s="425"/>
      <c r="Y325" s="833"/>
      <c r="Z325" s="833"/>
      <c r="AA325" s="833"/>
      <c r="AB325" s="833"/>
      <c r="AC325" s="835">
        <f t="shared" si="91"/>
        <v>-14201.018749999997</v>
      </c>
      <c r="AD325" s="834"/>
      <c r="AE325" s="834"/>
      <c r="AF325" s="781">
        <f t="shared" si="75"/>
        <v>0</v>
      </c>
    </row>
    <row r="326" spans="1:32" s="2" customFormat="1">
      <c r="A326" s="779">
        <f t="shared" si="76"/>
        <v>312</v>
      </c>
      <c r="B326" s="423" t="s">
        <v>1066</v>
      </c>
      <c r="C326" s="423" t="s">
        <v>549</v>
      </c>
      <c r="D326" s="422" t="s">
        <v>1300</v>
      </c>
      <c r="E326" s="777" t="s">
        <v>1929</v>
      </c>
      <c r="F326" s="391">
        <v>0</v>
      </c>
      <c r="G326" s="391">
        <v>0</v>
      </c>
      <c r="H326" s="391">
        <v>0</v>
      </c>
      <c r="I326" s="391">
        <v>0</v>
      </c>
      <c r="J326" s="391">
        <v>0</v>
      </c>
      <c r="K326" s="391">
        <v>0</v>
      </c>
      <c r="L326" s="391">
        <v>0</v>
      </c>
      <c r="M326" s="391">
        <v>0</v>
      </c>
      <c r="N326" s="391">
        <v>0</v>
      </c>
      <c r="O326" s="391">
        <v>0</v>
      </c>
      <c r="P326" s="391">
        <v>0</v>
      </c>
      <c r="Q326" s="391">
        <v>0</v>
      </c>
      <c r="R326" s="391">
        <v>107145.27</v>
      </c>
      <c r="S326" s="618">
        <f t="shared" si="89"/>
        <v>4464.3862500000005</v>
      </c>
      <c r="T326" s="382"/>
      <c r="U326" s="833"/>
      <c r="V326" s="833"/>
      <c r="W326" s="833">
        <f t="shared" si="90"/>
        <v>4464.3862500000005</v>
      </c>
      <c r="X326" s="425"/>
      <c r="Y326" s="833"/>
      <c r="Z326" s="833"/>
      <c r="AA326" s="833"/>
      <c r="AB326" s="833"/>
      <c r="AC326" s="835">
        <f t="shared" si="91"/>
        <v>4464.3862500000005</v>
      </c>
      <c r="AD326" s="834"/>
      <c r="AE326" s="834"/>
      <c r="AF326" s="781">
        <f t="shared" si="75"/>
        <v>0</v>
      </c>
    </row>
    <row r="327" spans="1:32" s="2" customFormat="1">
      <c r="A327" s="779">
        <f t="shared" si="76"/>
        <v>313</v>
      </c>
      <c r="B327" s="423" t="s">
        <v>1094</v>
      </c>
      <c r="C327" s="423" t="s">
        <v>549</v>
      </c>
      <c r="D327" s="422" t="s">
        <v>1300</v>
      </c>
      <c r="E327" s="777" t="s">
        <v>1929</v>
      </c>
      <c r="F327" s="391">
        <v>0</v>
      </c>
      <c r="G327" s="391">
        <v>0</v>
      </c>
      <c r="H327" s="391">
        <v>0</v>
      </c>
      <c r="I327" s="391">
        <v>0</v>
      </c>
      <c r="J327" s="391">
        <v>0</v>
      </c>
      <c r="K327" s="391">
        <v>0</v>
      </c>
      <c r="L327" s="391">
        <v>0</v>
      </c>
      <c r="M327" s="391">
        <v>0</v>
      </c>
      <c r="N327" s="391">
        <v>0</v>
      </c>
      <c r="O327" s="391">
        <v>0</v>
      </c>
      <c r="P327" s="391">
        <v>0</v>
      </c>
      <c r="Q327" s="391">
        <v>0</v>
      </c>
      <c r="R327" s="391">
        <v>36001.379999999997</v>
      </c>
      <c r="S327" s="618">
        <f t="shared" si="89"/>
        <v>1500.0574999999999</v>
      </c>
      <c r="T327" s="382"/>
      <c r="U327" s="833"/>
      <c r="V327" s="833"/>
      <c r="W327" s="833">
        <f t="shared" si="90"/>
        <v>1500.0574999999999</v>
      </c>
      <c r="X327" s="425"/>
      <c r="Y327" s="833"/>
      <c r="Z327" s="833"/>
      <c r="AA327" s="833"/>
      <c r="AB327" s="833"/>
      <c r="AC327" s="835">
        <f t="shared" si="91"/>
        <v>1500.0574999999999</v>
      </c>
      <c r="AD327" s="834"/>
      <c r="AE327" s="834"/>
      <c r="AF327" s="781">
        <f t="shared" si="75"/>
        <v>0</v>
      </c>
    </row>
    <row r="328" spans="1:32" s="2" customFormat="1">
      <c r="A328" s="779">
        <f t="shared" si="76"/>
        <v>314</v>
      </c>
      <c r="B328" s="423" t="s">
        <v>1094</v>
      </c>
      <c r="C328" s="423" t="s">
        <v>549</v>
      </c>
      <c r="D328" s="422" t="s">
        <v>1301</v>
      </c>
      <c r="E328" s="777" t="s">
        <v>1935</v>
      </c>
      <c r="F328" s="391">
        <v>0</v>
      </c>
      <c r="G328" s="391">
        <v>0</v>
      </c>
      <c r="H328" s="391">
        <v>0</v>
      </c>
      <c r="I328" s="391">
        <v>-445.99</v>
      </c>
      <c r="J328" s="391">
        <v>-606.24</v>
      </c>
      <c r="K328" s="391">
        <v>-872.87</v>
      </c>
      <c r="L328" s="391">
        <v>-1054.4000000000001</v>
      </c>
      <c r="M328" s="391">
        <v>-1235.92</v>
      </c>
      <c r="N328" s="391">
        <v>-1417.44</v>
      </c>
      <c r="O328" s="391">
        <v>-1598.97</v>
      </c>
      <c r="P328" s="391">
        <v>-1780.49</v>
      </c>
      <c r="Q328" s="391">
        <v>-5903.14</v>
      </c>
      <c r="R328" s="391">
        <v>9512.19</v>
      </c>
      <c r="S328" s="618">
        <f t="shared" si="89"/>
        <v>-846.6137500000001</v>
      </c>
      <c r="T328" s="382"/>
      <c r="U328" s="833"/>
      <c r="V328" s="833"/>
      <c r="W328" s="833">
        <f t="shared" si="90"/>
        <v>-846.6137500000001</v>
      </c>
      <c r="X328" s="425"/>
      <c r="Y328" s="833"/>
      <c r="Z328" s="833"/>
      <c r="AA328" s="833"/>
      <c r="AB328" s="833"/>
      <c r="AC328" s="835">
        <f t="shared" si="91"/>
        <v>-846.6137500000001</v>
      </c>
      <c r="AD328" s="834"/>
      <c r="AE328" s="834"/>
      <c r="AF328" s="781">
        <f t="shared" si="75"/>
        <v>0</v>
      </c>
    </row>
    <row r="329" spans="1:32" s="2" customFormat="1">
      <c r="A329" s="779">
        <f t="shared" si="76"/>
        <v>315</v>
      </c>
      <c r="B329" s="423" t="s">
        <v>1094</v>
      </c>
      <c r="C329" s="423" t="s">
        <v>550</v>
      </c>
      <c r="D329" s="422" t="s">
        <v>1300</v>
      </c>
      <c r="E329" s="777" t="s">
        <v>1936</v>
      </c>
      <c r="F329" s="391">
        <v>0</v>
      </c>
      <c r="G329" s="391">
        <v>0</v>
      </c>
      <c r="H329" s="391">
        <v>0</v>
      </c>
      <c r="I329" s="391">
        <v>0</v>
      </c>
      <c r="J329" s="391">
        <v>0</v>
      </c>
      <c r="K329" s="391">
        <v>0</v>
      </c>
      <c r="L329" s="391">
        <v>0</v>
      </c>
      <c r="M329" s="391">
        <v>0</v>
      </c>
      <c r="N329" s="391">
        <v>0</v>
      </c>
      <c r="O329" s="391">
        <v>0</v>
      </c>
      <c r="P329" s="391">
        <v>0</v>
      </c>
      <c r="Q329" s="391">
        <v>0</v>
      </c>
      <c r="R329" s="391">
        <v>-1752961.74</v>
      </c>
      <c r="S329" s="618">
        <f t="shared" si="89"/>
        <v>-73040.072499999995</v>
      </c>
      <c r="T329" s="382"/>
      <c r="U329" s="833"/>
      <c r="V329" s="833"/>
      <c r="W329" s="833">
        <f t="shared" si="90"/>
        <v>-73040.072499999995</v>
      </c>
      <c r="X329" s="425"/>
      <c r="Y329" s="833"/>
      <c r="Z329" s="833"/>
      <c r="AA329" s="833"/>
      <c r="AB329" s="833"/>
      <c r="AC329" s="835">
        <f t="shared" si="91"/>
        <v>-73040.072499999995</v>
      </c>
      <c r="AD329" s="834"/>
      <c r="AE329" s="834"/>
      <c r="AF329" s="781">
        <f t="shared" si="75"/>
        <v>0</v>
      </c>
    </row>
    <row r="330" spans="1:32" s="2" customFormat="1">
      <c r="A330" s="779">
        <f t="shared" si="76"/>
        <v>316</v>
      </c>
      <c r="B330" s="423" t="s">
        <v>1094</v>
      </c>
      <c r="C330" s="423" t="s">
        <v>550</v>
      </c>
      <c r="D330" s="422" t="s">
        <v>1301</v>
      </c>
      <c r="E330" s="777" t="s">
        <v>1937</v>
      </c>
      <c r="F330" s="391">
        <v>0</v>
      </c>
      <c r="G330" s="391">
        <v>0</v>
      </c>
      <c r="H330" s="391">
        <v>0</v>
      </c>
      <c r="I330" s="391">
        <v>0</v>
      </c>
      <c r="J330" s="391">
        <v>0</v>
      </c>
      <c r="K330" s="391">
        <v>0</v>
      </c>
      <c r="L330" s="391">
        <v>0</v>
      </c>
      <c r="M330" s="391">
        <v>0</v>
      </c>
      <c r="N330" s="391">
        <v>0</v>
      </c>
      <c r="O330" s="391">
        <v>0</v>
      </c>
      <c r="P330" s="391">
        <v>0</v>
      </c>
      <c r="Q330" s="391">
        <v>0</v>
      </c>
      <c r="R330" s="391">
        <v>-603695.05000000005</v>
      </c>
      <c r="S330" s="618">
        <f t="shared" si="89"/>
        <v>-25153.960416666669</v>
      </c>
      <c r="T330" s="382"/>
      <c r="U330" s="833"/>
      <c r="V330" s="833"/>
      <c r="W330" s="833">
        <f t="shared" si="90"/>
        <v>-25153.960416666669</v>
      </c>
      <c r="X330" s="425"/>
      <c r="Y330" s="833"/>
      <c r="Z330" s="833"/>
      <c r="AA330" s="833"/>
      <c r="AB330" s="833"/>
      <c r="AC330" s="835">
        <f t="shared" si="91"/>
        <v>-25153.960416666669</v>
      </c>
      <c r="AD330" s="834"/>
      <c r="AE330" s="834"/>
      <c r="AF330" s="781">
        <f t="shared" si="75"/>
        <v>0</v>
      </c>
    </row>
    <row r="331" spans="1:32" s="2" customFormat="1">
      <c r="A331" s="779">
        <f t="shared" si="76"/>
        <v>317</v>
      </c>
      <c r="B331" s="423" t="s">
        <v>1066</v>
      </c>
      <c r="C331" s="423" t="s">
        <v>550</v>
      </c>
      <c r="D331" s="422" t="s">
        <v>1300</v>
      </c>
      <c r="E331" s="777" t="s">
        <v>1936</v>
      </c>
      <c r="F331" s="391">
        <v>0</v>
      </c>
      <c r="G331" s="391">
        <v>0</v>
      </c>
      <c r="H331" s="391">
        <v>0</v>
      </c>
      <c r="I331" s="391">
        <v>0</v>
      </c>
      <c r="J331" s="391">
        <v>0</v>
      </c>
      <c r="K331" s="391">
        <v>0</v>
      </c>
      <c r="L331" s="391">
        <v>0</v>
      </c>
      <c r="M331" s="391">
        <v>0</v>
      </c>
      <c r="N331" s="391">
        <v>0</v>
      </c>
      <c r="O331" s="391">
        <v>0</v>
      </c>
      <c r="P331" s="391">
        <v>0</v>
      </c>
      <c r="Q331" s="391">
        <v>0</v>
      </c>
      <c r="R331" s="391">
        <v>-8395783.8699999992</v>
      </c>
      <c r="S331" s="618">
        <f t="shared" si="89"/>
        <v>-349824.32791666663</v>
      </c>
      <c r="T331" s="382"/>
      <c r="U331" s="833"/>
      <c r="V331" s="833"/>
      <c r="W331" s="833">
        <f t="shared" si="90"/>
        <v>-349824.32791666663</v>
      </c>
      <c r="X331" s="425"/>
      <c r="Y331" s="833"/>
      <c r="Z331" s="833"/>
      <c r="AA331" s="833"/>
      <c r="AB331" s="833"/>
      <c r="AC331" s="835">
        <f t="shared" si="91"/>
        <v>-349824.32791666663</v>
      </c>
      <c r="AD331" s="834"/>
      <c r="AE331" s="834"/>
      <c r="AF331" s="781">
        <f t="shared" si="75"/>
        <v>0</v>
      </c>
    </row>
    <row r="332" spans="1:32" s="2" customFormat="1">
      <c r="A332" s="779">
        <f t="shared" si="76"/>
        <v>318</v>
      </c>
      <c r="B332" s="423" t="s">
        <v>1094</v>
      </c>
      <c r="C332" s="423" t="s">
        <v>551</v>
      </c>
      <c r="D332" s="422" t="s">
        <v>1300</v>
      </c>
      <c r="E332" s="777" t="s">
        <v>1938</v>
      </c>
      <c r="F332" s="391">
        <v>0</v>
      </c>
      <c r="G332" s="391">
        <v>0</v>
      </c>
      <c r="H332" s="391">
        <v>0</v>
      </c>
      <c r="I332" s="391">
        <v>0</v>
      </c>
      <c r="J332" s="391">
        <v>0</v>
      </c>
      <c r="K332" s="391">
        <v>0</v>
      </c>
      <c r="L332" s="391">
        <v>0</v>
      </c>
      <c r="M332" s="391">
        <v>0</v>
      </c>
      <c r="N332" s="391">
        <v>0</v>
      </c>
      <c r="O332" s="391">
        <v>0</v>
      </c>
      <c r="P332" s="391">
        <v>0</v>
      </c>
      <c r="Q332" s="391">
        <v>0</v>
      </c>
      <c r="R332" s="391">
        <v>-27116.89</v>
      </c>
      <c r="S332" s="618">
        <f t="shared" si="89"/>
        <v>-1129.8704166666666</v>
      </c>
      <c r="T332" s="382"/>
      <c r="U332" s="833"/>
      <c r="V332" s="833"/>
      <c r="W332" s="833">
        <f t="shared" si="90"/>
        <v>-1129.8704166666666</v>
      </c>
      <c r="X332" s="425"/>
      <c r="Y332" s="833"/>
      <c r="Z332" s="833"/>
      <c r="AA332" s="833"/>
      <c r="AB332" s="833"/>
      <c r="AC332" s="835">
        <f t="shared" si="91"/>
        <v>-1129.8704166666666</v>
      </c>
      <c r="AD332" s="834"/>
      <c r="AE332" s="834"/>
      <c r="AF332" s="781">
        <f t="shared" si="75"/>
        <v>0</v>
      </c>
    </row>
    <row r="333" spans="1:32" s="2" customFormat="1">
      <c r="A333" s="779">
        <f t="shared" si="76"/>
        <v>319</v>
      </c>
      <c r="B333" s="423" t="s">
        <v>1094</v>
      </c>
      <c r="C333" s="423" t="s">
        <v>551</v>
      </c>
      <c r="D333" s="422" t="s">
        <v>1301</v>
      </c>
      <c r="E333" s="777" t="s">
        <v>1939</v>
      </c>
      <c r="F333" s="391">
        <v>0</v>
      </c>
      <c r="G333" s="391">
        <v>0</v>
      </c>
      <c r="H333" s="391">
        <v>0</v>
      </c>
      <c r="I333" s="391">
        <v>0</v>
      </c>
      <c r="J333" s="391">
        <v>0</v>
      </c>
      <c r="K333" s="391">
        <v>0</v>
      </c>
      <c r="L333" s="391">
        <v>0</v>
      </c>
      <c r="M333" s="391">
        <v>0</v>
      </c>
      <c r="N333" s="391">
        <v>0</v>
      </c>
      <c r="O333" s="391">
        <v>0</v>
      </c>
      <c r="P333" s="391">
        <v>0</v>
      </c>
      <c r="Q333" s="391">
        <v>0</v>
      </c>
      <c r="R333" s="391">
        <v>-6420.25</v>
      </c>
      <c r="S333" s="618">
        <f t="shared" si="89"/>
        <v>-267.51041666666669</v>
      </c>
      <c r="T333" s="382"/>
      <c r="U333" s="833"/>
      <c r="V333" s="833"/>
      <c r="W333" s="833">
        <f t="shared" si="90"/>
        <v>-267.51041666666669</v>
      </c>
      <c r="X333" s="425"/>
      <c r="Y333" s="833"/>
      <c r="Z333" s="833"/>
      <c r="AA333" s="833"/>
      <c r="AB333" s="833"/>
      <c r="AC333" s="835">
        <f t="shared" si="91"/>
        <v>-267.51041666666669</v>
      </c>
      <c r="AD333" s="834"/>
      <c r="AE333" s="834"/>
      <c r="AF333" s="781">
        <f t="shared" si="75"/>
        <v>0</v>
      </c>
    </row>
    <row r="334" spans="1:32" s="2" customFormat="1">
      <c r="A334" s="779">
        <f t="shared" si="76"/>
        <v>320</v>
      </c>
      <c r="B334" s="423" t="s">
        <v>1066</v>
      </c>
      <c r="C334" s="423" t="s">
        <v>551</v>
      </c>
      <c r="D334" s="422" t="s">
        <v>1300</v>
      </c>
      <c r="E334" s="777" t="s">
        <v>1938</v>
      </c>
      <c r="F334" s="391">
        <v>0</v>
      </c>
      <c r="G334" s="391">
        <v>0</v>
      </c>
      <c r="H334" s="391">
        <v>0</v>
      </c>
      <c r="I334" s="391">
        <v>0</v>
      </c>
      <c r="J334" s="391">
        <v>0</v>
      </c>
      <c r="K334" s="391">
        <v>0</v>
      </c>
      <c r="L334" s="391">
        <v>0</v>
      </c>
      <c r="M334" s="391">
        <v>0</v>
      </c>
      <c r="N334" s="391">
        <v>0</v>
      </c>
      <c r="O334" s="391">
        <v>0</v>
      </c>
      <c r="P334" s="391">
        <v>0</v>
      </c>
      <c r="Q334" s="391">
        <v>0</v>
      </c>
      <c r="R334" s="391">
        <v>-80703.789999999994</v>
      </c>
      <c r="S334" s="618">
        <f t="shared" si="89"/>
        <v>-3362.6579166666666</v>
      </c>
      <c r="T334" s="382"/>
      <c r="U334" s="833"/>
      <c r="V334" s="833"/>
      <c r="W334" s="833">
        <f t="shared" si="90"/>
        <v>-3362.6579166666666</v>
      </c>
      <c r="X334" s="425"/>
      <c r="Y334" s="833"/>
      <c r="Z334" s="833"/>
      <c r="AA334" s="833"/>
      <c r="AB334" s="833"/>
      <c r="AC334" s="835">
        <f t="shared" si="91"/>
        <v>-3362.6579166666666</v>
      </c>
      <c r="AD334" s="834"/>
      <c r="AE334" s="834"/>
      <c r="AF334" s="781">
        <f t="shared" si="75"/>
        <v>0</v>
      </c>
    </row>
    <row r="335" spans="1:32">
      <c r="A335" s="779">
        <f t="shared" si="76"/>
        <v>321</v>
      </c>
      <c r="B335" s="423" t="s">
        <v>1063</v>
      </c>
      <c r="C335" s="423" t="s">
        <v>1302</v>
      </c>
      <c r="D335" s="422"/>
      <c r="E335" s="777" t="s">
        <v>552</v>
      </c>
      <c r="F335" s="391">
        <v>-38175</v>
      </c>
      <c r="G335" s="391">
        <v>-3566.83</v>
      </c>
      <c r="H335" s="391">
        <v>-7133.67</v>
      </c>
      <c r="I335" s="391">
        <v>-10700.5</v>
      </c>
      <c r="J335" s="391">
        <v>-14267.33</v>
      </c>
      <c r="K335" s="391">
        <v>-17834.169999999998</v>
      </c>
      <c r="L335" s="391">
        <v>-21401</v>
      </c>
      <c r="M335" s="391">
        <v>-24967.83</v>
      </c>
      <c r="N335" s="391">
        <v>-28534.67</v>
      </c>
      <c r="O335" s="391">
        <v>-32101.5</v>
      </c>
      <c r="P335" s="391">
        <v>-35668.33</v>
      </c>
      <c r="Q335" s="391">
        <v>-38682.42</v>
      </c>
      <c r="R335" s="391">
        <v>-42184</v>
      </c>
      <c r="S335" s="618">
        <f t="shared" si="89"/>
        <v>-22919.8125</v>
      </c>
      <c r="T335" s="382"/>
      <c r="U335" s="833"/>
      <c r="V335" s="833"/>
      <c r="W335" s="833">
        <f t="shared" si="90"/>
        <v>-22919.8125</v>
      </c>
      <c r="X335" s="425"/>
      <c r="Y335" s="833"/>
      <c r="Z335" s="833"/>
      <c r="AA335" s="833"/>
      <c r="AB335" s="833"/>
      <c r="AC335" s="835">
        <f t="shared" si="91"/>
        <v>-22919.8125</v>
      </c>
      <c r="AD335" s="834"/>
      <c r="AE335" s="834"/>
      <c r="AF335" s="781">
        <f t="shared" ref="AF335:AF398" si="92">+U335+V335-AD335</f>
        <v>0</v>
      </c>
    </row>
    <row r="336" spans="1:32" s="513" customFormat="1">
      <c r="A336" s="779">
        <f t="shared" si="76"/>
        <v>322</v>
      </c>
      <c r="B336" s="422"/>
      <c r="C336" s="422"/>
      <c r="D336" s="422"/>
      <c r="E336" s="777" t="s">
        <v>553</v>
      </c>
      <c r="F336" s="394">
        <f t="shared" ref="F336:S336" si="93">SUM(F315:F335)</f>
        <v>8732811.5300000012</v>
      </c>
      <c r="G336" s="394">
        <f t="shared" si="93"/>
        <v>1357344.91</v>
      </c>
      <c r="H336" s="394">
        <f t="shared" si="93"/>
        <v>2455923.0800000005</v>
      </c>
      <c r="I336" s="394">
        <f t="shared" si="93"/>
        <v>2920498.4399999995</v>
      </c>
      <c r="J336" s="394">
        <f t="shared" si="93"/>
        <v>2745431.5599999996</v>
      </c>
      <c r="K336" s="394">
        <f t="shared" si="93"/>
        <v>1875291.6999999997</v>
      </c>
      <c r="L336" s="394">
        <f t="shared" si="93"/>
        <v>825967.32000000018</v>
      </c>
      <c r="M336" s="394">
        <f t="shared" si="93"/>
        <v>-203434.80999999901</v>
      </c>
      <c r="N336" s="394">
        <f t="shared" si="93"/>
        <v>-1179674.96</v>
      </c>
      <c r="O336" s="394">
        <f t="shared" si="93"/>
        <v>-2147272.77</v>
      </c>
      <c r="P336" s="394">
        <f t="shared" si="93"/>
        <v>-2302304.4000000004</v>
      </c>
      <c r="Q336" s="394">
        <f t="shared" si="93"/>
        <v>-1308131.1799999985</v>
      </c>
      <c r="R336" s="394">
        <f t="shared" si="93"/>
        <v>221750.09999999934</v>
      </c>
      <c r="S336" s="620">
        <f t="shared" si="93"/>
        <v>793076.64208333392</v>
      </c>
      <c r="T336" s="422"/>
      <c r="U336" s="833"/>
      <c r="V336" s="833"/>
      <c r="W336" s="833"/>
      <c r="X336" s="425"/>
      <c r="Y336" s="833"/>
      <c r="Z336" s="833"/>
      <c r="AA336" s="833"/>
      <c r="AB336" s="833"/>
      <c r="AC336" s="834"/>
      <c r="AD336" s="834"/>
      <c r="AE336" s="834"/>
      <c r="AF336" s="781">
        <f t="shared" si="92"/>
        <v>0</v>
      </c>
    </row>
    <row r="337" spans="1:32" s="513" customFormat="1">
      <c r="A337" s="779">
        <f t="shared" ref="A337:A400" si="94">+A336+1</f>
        <v>323</v>
      </c>
      <c r="B337" s="422"/>
      <c r="C337" s="422"/>
      <c r="D337" s="422"/>
      <c r="E337" s="777"/>
      <c r="F337" s="391"/>
      <c r="G337" s="420"/>
      <c r="H337" s="408"/>
      <c r="I337" s="408"/>
      <c r="J337" s="409"/>
      <c r="K337" s="410"/>
      <c r="L337" s="411"/>
      <c r="M337" s="412"/>
      <c r="N337" s="413"/>
      <c r="O337" s="414"/>
      <c r="P337" s="415"/>
      <c r="Q337" s="421"/>
      <c r="R337" s="391"/>
      <c r="S337" s="392"/>
      <c r="T337" s="422"/>
      <c r="U337" s="833"/>
      <c r="V337" s="833"/>
      <c r="W337" s="833"/>
      <c r="X337" s="425"/>
      <c r="Y337" s="833"/>
      <c r="Z337" s="833"/>
      <c r="AA337" s="833"/>
      <c r="AB337" s="833"/>
      <c r="AC337" s="834"/>
      <c r="AD337" s="834"/>
      <c r="AE337" s="834"/>
      <c r="AF337" s="781">
        <f t="shared" si="92"/>
        <v>0</v>
      </c>
    </row>
    <row r="338" spans="1:32" s="513" customFormat="1">
      <c r="A338" s="779">
        <f t="shared" si="94"/>
        <v>324</v>
      </c>
      <c r="B338" s="422"/>
      <c r="C338" s="422"/>
      <c r="D338" s="422"/>
      <c r="E338" s="777"/>
      <c r="F338" s="391"/>
      <c r="G338" s="420"/>
      <c r="H338" s="408"/>
      <c r="I338" s="408"/>
      <c r="J338" s="409"/>
      <c r="K338" s="410"/>
      <c r="L338" s="411"/>
      <c r="M338" s="412"/>
      <c r="N338" s="413"/>
      <c r="O338" s="414"/>
      <c r="P338" s="415"/>
      <c r="Q338" s="421"/>
      <c r="R338" s="391"/>
      <c r="S338" s="392"/>
      <c r="T338" s="422"/>
      <c r="U338" s="833"/>
      <c r="V338" s="833"/>
      <c r="W338" s="833"/>
      <c r="X338" s="425"/>
      <c r="Y338" s="833"/>
      <c r="Z338" s="833"/>
      <c r="AA338" s="833"/>
      <c r="AB338" s="833"/>
      <c r="AC338" s="834"/>
      <c r="AD338" s="834"/>
      <c r="AE338" s="834"/>
      <c r="AF338" s="781">
        <f t="shared" si="92"/>
        <v>0</v>
      </c>
    </row>
    <row r="339" spans="1:32" s="513" customFormat="1">
      <c r="A339" s="779">
        <f t="shared" si="94"/>
        <v>325</v>
      </c>
      <c r="B339" s="423" t="s">
        <v>1063</v>
      </c>
      <c r="C339" s="423" t="s">
        <v>554</v>
      </c>
      <c r="D339" s="422"/>
      <c r="E339" s="777" t="s">
        <v>1940</v>
      </c>
      <c r="F339" s="391">
        <v>0</v>
      </c>
      <c r="G339" s="391">
        <v>0</v>
      </c>
      <c r="H339" s="391">
        <v>0</v>
      </c>
      <c r="I339" s="391">
        <v>0</v>
      </c>
      <c r="J339" s="391">
        <v>0</v>
      </c>
      <c r="K339" s="391">
        <v>0</v>
      </c>
      <c r="L339" s="391">
        <v>0</v>
      </c>
      <c r="M339" s="391">
        <v>0</v>
      </c>
      <c r="N339" s="391">
        <v>0</v>
      </c>
      <c r="O339" s="391">
        <v>0</v>
      </c>
      <c r="P339" s="391">
        <v>0</v>
      </c>
      <c r="Q339" s="391">
        <v>0</v>
      </c>
      <c r="R339" s="391">
        <v>0</v>
      </c>
      <c r="S339" s="618">
        <f t="shared" ref="S339:S348" si="95">((F339+R339)+((G339+H339+I339+J339+K339+L339+M339+N339+O339+P339+Q339)*2))/24</f>
        <v>0</v>
      </c>
      <c r="T339" s="422"/>
      <c r="U339" s="833"/>
      <c r="V339" s="833"/>
      <c r="W339" s="833">
        <f t="shared" ref="W339:W347" si="96">+S339</f>
        <v>0</v>
      </c>
      <c r="X339" s="425"/>
      <c r="Y339" s="833"/>
      <c r="Z339" s="833"/>
      <c r="AA339" s="833"/>
      <c r="AB339" s="833"/>
      <c r="AC339" s="835">
        <f t="shared" ref="AC339:AC348" si="97">+S339</f>
        <v>0</v>
      </c>
      <c r="AD339" s="834"/>
      <c r="AE339" s="834"/>
      <c r="AF339" s="781">
        <f t="shared" si="92"/>
        <v>0</v>
      </c>
    </row>
    <row r="340" spans="1:32" s="513" customFormat="1">
      <c r="A340" s="779">
        <f t="shared" si="94"/>
        <v>326</v>
      </c>
      <c r="B340" s="423" t="s">
        <v>1063</v>
      </c>
      <c r="C340" s="423" t="s">
        <v>556</v>
      </c>
      <c r="D340" s="422"/>
      <c r="E340" s="777" t="s">
        <v>1941</v>
      </c>
      <c r="F340" s="391">
        <v>0</v>
      </c>
      <c r="G340" s="391">
        <v>0</v>
      </c>
      <c r="H340" s="391">
        <v>0</v>
      </c>
      <c r="I340" s="391">
        <v>0</v>
      </c>
      <c r="J340" s="391">
        <v>0</v>
      </c>
      <c r="K340" s="391">
        <v>0</v>
      </c>
      <c r="L340" s="391">
        <v>0</v>
      </c>
      <c r="M340" s="391">
        <v>0</v>
      </c>
      <c r="N340" s="391">
        <v>0</v>
      </c>
      <c r="O340" s="391">
        <v>0</v>
      </c>
      <c r="P340" s="391">
        <v>0</v>
      </c>
      <c r="Q340" s="391">
        <v>0</v>
      </c>
      <c r="R340" s="391">
        <v>0</v>
      </c>
      <c r="S340" s="618">
        <f t="shared" si="95"/>
        <v>0</v>
      </c>
      <c r="T340" s="422"/>
      <c r="U340" s="833"/>
      <c r="V340" s="833"/>
      <c r="W340" s="833">
        <f t="shared" si="96"/>
        <v>0</v>
      </c>
      <c r="X340" s="425"/>
      <c r="Y340" s="833"/>
      <c r="Z340" s="833"/>
      <c r="AA340" s="833"/>
      <c r="AB340" s="833"/>
      <c r="AC340" s="835">
        <f t="shared" si="97"/>
        <v>0</v>
      </c>
      <c r="AD340" s="834"/>
      <c r="AE340" s="834"/>
      <c r="AF340" s="781">
        <f t="shared" si="92"/>
        <v>0</v>
      </c>
    </row>
    <row r="341" spans="1:32" s="513" customFormat="1">
      <c r="A341" s="779">
        <f t="shared" si="94"/>
        <v>327</v>
      </c>
      <c r="B341" s="659" t="s">
        <v>382</v>
      </c>
      <c r="C341" s="659" t="s">
        <v>382</v>
      </c>
      <c r="D341" s="423" t="s">
        <v>557</v>
      </c>
      <c r="E341" s="777" t="s">
        <v>1942</v>
      </c>
      <c r="F341" s="391">
        <v>299157.34999999998</v>
      </c>
      <c r="G341" s="391">
        <v>54030</v>
      </c>
      <c r="H341" s="391">
        <v>79330</v>
      </c>
      <c r="I341" s="391">
        <v>92319</v>
      </c>
      <c r="J341" s="391">
        <v>102669</v>
      </c>
      <c r="K341" s="391">
        <v>105757.04</v>
      </c>
      <c r="L341" s="391">
        <v>117757.04</v>
      </c>
      <c r="M341" s="391">
        <v>118898.59</v>
      </c>
      <c r="N341" s="391">
        <v>126822.82</v>
      </c>
      <c r="O341" s="391">
        <v>127868.98</v>
      </c>
      <c r="P341" s="391">
        <v>134480.73000000001</v>
      </c>
      <c r="Q341" s="391">
        <v>139021.71</v>
      </c>
      <c r="R341" s="391">
        <v>147336.4</v>
      </c>
      <c r="S341" s="618">
        <f t="shared" si="95"/>
        <v>118516.81541666666</v>
      </c>
      <c r="T341" s="422"/>
      <c r="U341" s="833"/>
      <c r="V341" s="833"/>
      <c r="W341" s="833">
        <f t="shared" si="96"/>
        <v>118516.81541666666</v>
      </c>
      <c r="X341" s="425"/>
      <c r="Y341" s="833"/>
      <c r="Z341" s="833"/>
      <c r="AA341" s="833"/>
      <c r="AB341" s="833"/>
      <c r="AC341" s="835">
        <f t="shared" si="97"/>
        <v>118516.81541666666</v>
      </c>
      <c r="AD341" s="834"/>
      <c r="AE341" s="834"/>
      <c r="AF341" s="781">
        <f t="shared" si="92"/>
        <v>0</v>
      </c>
    </row>
    <row r="342" spans="1:32" s="513" customFormat="1">
      <c r="A342" s="779">
        <f t="shared" si="94"/>
        <v>328</v>
      </c>
      <c r="B342" s="659" t="s">
        <v>382</v>
      </c>
      <c r="C342" s="659" t="s">
        <v>382</v>
      </c>
      <c r="D342" s="423" t="s">
        <v>1704</v>
      </c>
      <c r="E342" s="777" t="s">
        <v>1943</v>
      </c>
      <c r="F342" s="391">
        <v>-291752.32000000001</v>
      </c>
      <c r="G342" s="391">
        <v>-110886.66</v>
      </c>
      <c r="H342" s="391">
        <v>194720.11</v>
      </c>
      <c r="I342" s="391">
        <v>-398788.38</v>
      </c>
      <c r="J342" s="391">
        <v>-296885</v>
      </c>
      <c r="K342" s="391">
        <v>-383065.25</v>
      </c>
      <c r="L342" s="391">
        <v>-372289.33</v>
      </c>
      <c r="M342" s="391">
        <v>-381825.08</v>
      </c>
      <c r="N342" s="391">
        <v>-515431.54</v>
      </c>
      <c r="O342" s="391">
        <v>-474704.79</v>
      </c>
      <c r="P342" s="391">
        <v>116919.03</v>
      </c>
      <c r="Q342" s="391">
        <v>87521.269999999902</v>
      </c>
      <c r="R342" s="391">
        <v>452956.61</v>
      </c>
      <c r="S342" s="618">
        <f t="shared" si="95"/>
        <v>-204509.45625000002</v>
      </c>
      <c r="T342" s="422"/>
      <c r="U342" s="833"/>
      <c r="V342" s="833"/>
      <c r="W342" s="833">
        <f t="shared" si="96"/>
        <v>-204509.45625000002</v>
      </c>
      <c r="X342" s="425"/>
      <c r="Y342" s="833"/>
      <c r="Z342" s="833"/>
      <c r="AA342" s="833"/>
      <c r="AB342" s="833"/>
      <c r="AC342" s="835">
        <f t="shared" si="97"/>
        <v>-204509.45625000002</v>
      </c>
      <c r="AD342" s="834"/>
      <c r="AE342" s="834"/>
      <c r="AF342" s="781">
        <f t="shared" si="92"/>
        <v>0</v>
      </c>
    </row>
    <row r="343" spans="1:32" s="513" customFormat="1">
      <c r="A343" s="779">
        <f t="shared" si="94"/>
        <v>329</v>
      </c>
      <c r="B343" s="659" t="s">
        <v>382</v>
      </c>
      <c r="C343" s="659" t="s">
        <v>382</v>
      </c>
      <c r="D343" s="423" t="s">
        <v>558</v>
      </c>
      <c r="E343" s="777" t="s">
        <v>1944</v>
      </c>
      <c r="F343" s="391">
        <v>0</v>
      </c>
      <c r="G343" s="391">
        <v>0</v>
      </c>
      <c r="H343" s="391">
        <v>0</v>
      </c>
      <c r="I343" s="391">
        <v>0</v>
      </c>
      <c r="J343" s="391">
        <v>0</v>
      </c>
      <c r="K343" s="391">
        <v>0</v>
      </c>
      <c r="L343" s="391">
        <v>0</v>
      </c>
      <c r="M343" s="391">
        <v>50.76</v>
      </c>
      <c r="N343" s="391">
        <v>50.76</v>
      </c>
      <c r="O343" s="391">
        <v>50.76</v>
      </c>
      <c r="P343" s="391">
        <v>50.76</v>
      </c>
      <c r="Q343" s="391">
        <v>50.76</v>
      </c>
      <c r="R343" s="391">
        <v>50.76</v>
      </c>
      <c r="S343" s="618">
        <f t="shared" si="95"/>
        <v>23.265000000000001</v>
      </c>
      <c r="T343" s="422"/>
      <c r="U343" s="833"/>
      <c r="V343" s="833"/>
      <c r="W343" s="833">
        <f t="shared" si="96"/>
        <v>23.265000000000001</v>
      </c>
      <c r="X343" s="425"/>
      <c r="Y343" s="833"/>
      <c r="Z343" s="833"/>
      <c r="AA343" s="833"/>
      <c r="AB343" s="833"/>
      <c r="AC343" s="835">
        <f t="shared" si="97"/>
        <v>23.265000000000001</v>
      </c>
      <c r="AD343" s="834"/>
      <c r="AE343" s="834"/>
      <c r="AF343" s="781">
        <f t="shared" si="92"/>
        <v>0</v>
      </c>
    </row>
    <row r="344" spans="1:32" s="513" customFormat="1">
      <c r="A344" s="779">
        <f t="shared" si="94"/>
        <v>330</v>
      </c>
      <c r="B344" s="659" t="s">
        <v>382</v>
      </c>
      <c r="C344" s="659" t="s">
        <v>382</v>
      </c>
      <c r="D344" s="423" t="s">
        <v>559</v>
      </c>
      <c r="E344" s="777" t="s">
        <v>1945</v>
      </c>
      <c r="F344" s="391">
        <v>128933.23</v>
      </c>
      <c r="G344" s="391">
        <v>13497.83</v>
      </c>
      <c r="H344" s="391">
        <v>21997.83</v>
      </c>
      <c r="I344" s="391">
        <v>30647.83</v>
      </c>
      <c r="J344" s="391">
        <v>39754.480000000003</v>
      </c>
      <c r="K344" s="391">
        <v>49754.48</v>
      </c>
      <c r="L344" s="391">
        <v>58254.48</v>
      </c>
      <c r="M344" s="391">
        <v>66834.94</v>
      </c>
      <c r="N344" s="391">
        <v>127888.1</v>
      </c>
      <c r="O344" s="391">
        <v>136388.1</v>
      </c>
      <c r="P344" s="391">
        <v>149888.1</v>
      </c>
      <c r="Q344" s="391">
        <v>157077.54</v>
      </c>
      <c r="R344" s="391">
        <v>165577.54</v>
      </c>
      <c r="S344" s="618">
        <f t="shared" si="95"/>
        <v>83269.924583333326</v>
      </c>
      <c r="T344" s="422"/>
      <c r="U344" s="833"/>
      <c r="V344" s="833"/>
      <c r="W344" s="833">
        <f t="shared" si="96"/>
        <v>83269.924583333326</v>
      </c>
      <c r="X344" s="425"/>
      <c r="Y344" s="833"/>
      <c r="Z344" s="833"/>
      <c r="AA344" s="833"/>
      <c r="AB344" s="833"/>
      <c r="AC344" s="835">
        <f t="shared" si="97"/>
        <v>83269.924583333326</v>
      </c>
      <c r="AD344" s="834"/>
      <c r="AE344" s="834"/>
      <c r="AF344" s="781">
        <f t="shared" si="92"/>
        <v>0</v>
      </c>
    </row>
    <row r="345" spans="1:32" s="513" customFormat="1">
      <c r="A345" s="779">
        <f t="shared" si="94"/>
        <v>331</v>
      </c>
      <c r="B345" s="660" t="s">
        <v>382</v>
      </c>
      <c r="C345" s="660" t="s">
        <v>382</v>
      </c>
      <c r="D345" s="423" t="s">
        <v>560</v>
      </c>
      <c r="E345" s="777" t="s">
        <v>1946</v>
      </c>
      <c r="F345" s="391">
        <v>1097</v>
      </c>
      <c r="G345" s="391">
        <v>0</v>
      </c>
      <c r="H345" s="391">
        <v>0</v>
      </c>
      <c r="I345" s="391">
        <v>0</v>
      </c>
      <c r="J345" s="391">
        <v>0</v>
      </c>
      <c r="K345" s="391">
        <v>1007417.53</v>
      </c>
      <c r="L345" s="391">
        <v>1007417.53</v>
      </c>
      <c r="M345" s="391">
        <v>1007417.53</v>
      </c>
      <c r="N345" s="391">
        <v>1007417.53</v>
      </c>
      <c r="O345" s="391">
        <v>615677.14</v>
      </c>
      <c r="P345" s="391">
        <v>615677.14</v>
      </c>
      <c r="Q345" s="391">
        <v>615677.14</v>
      </c>
      <c r="R345" s="391">
        <v>615677.14</v>
      </c>
      <c r="S345" s="618">
        <f t="shared" si="95"/>
        <v>515424.05083333328</v>
      </c>
      <c r="T345" s="422"/>
      <c r="U345" s="833"/>
      <c r="V345" s="833"/>
      <c r="W345" s="833">
        <f t="shared" si="96"/>
        <v>515424.05083333328</v>
      </c>
      <c r="X345" s="425"/>
      <c r="Y345" s="833"/>
      <c r="Z345" s="833"/>
      <c r="AA345" s="833"/>
      <c r="AB345" s="833"/>
      <c r="AC345" s="835">
        <f t="shared" si="97"/>
        <v>515424.05083333328</v>
      </c>
      <c r="AD345" s="834"/>
      <c r="AE345" s="834"/>
      <c r="AF345" s="781">
        <f t="shared" si="92"/>
        <v>0</v>
      </c>
    </row>
    <row r="346" spans="1:32" s="513" customFormat="1">
      <c r="A346" s="779">
        <f t="shared" si="94"/>
        <v>332</v>
      </c>
      <c r="B346" s="661" t="s">
        <v>382</v>
      </c>
      <c r="C346" s="661" t="s">
        <v>382</v>
      </c>
      <c r="D346" s="423" t="s">
        <v>561</v>
      </c>
      <c r="E346" s="777" t="s">
        <v>1947</v>
      </c>
      <c r="F346" s="391">
        <v>0</v>
      </c>
      <c r="G346" s="391">
        <v>0</v>
      </c>
      <c r="H346" s="391">
        <v>0</v>
      </c>
      <c r="I346" s="391">
        <v>0</v>
      </c>
      <c r="J346" s="391">
        <v>0</v>
      </c>
      <c r="K346" s="391">
        <v>0</v>
      </c>
      <c r="L346" s="391">
        <v>0</v>
      </c>
      <c r="M346" s="391">
        <v>0</v>
      </c>
      <c r="N346" s="391">
        <v>0</v>
      </c>
      <c r="O346" s="391">
        <v>0</v>
      </c>
      <c r="P346" s="391">
        <v>0</v>
      </c>
      <c r="Q346" s="391">
        <v>0</v>
      </c>
      <c r="R346" s="391">
        <v>0</v>
      </c>
      <c r="S346" s="618">
        <f t="shared" si="95"/>
        <v>0</v>
      </c>
      <c r="T346" s="422"/>
      <c r="U346" s="833"/>
      <c r="V346" s="833"/>
      <c r="W346" s="833">
        <f t="shared" si="96"/>
        <v>0</v>
      </c>
      <c r="X346" s="425"/>
      <c r="Y346" s="833"/>
      <c r="Z346" s="833"/>
      <c r="AA346" s="833"/>
      <c r="AB346" s="833"/>
      <c r="AC346" s="835">
        <f t="shared" si="97"/>
        <v>0</v>
      </c>
      <c r="AD346" s="834"/>
      <c r="AE346" s="834"/>
      <c r="AF346" s="781">
        <f t="shared" si="92"/>
        <v>0</v>
      </c>
    </row>
    <row r="347" spans="1:32" s="513" customFormat="1">
      <c r="A347" s="779">
        <f t="shared" si="94"/>
        <v>333</v>
      </c>
      <c r="B347" s="423" t="s">
        <v>382</v>
      </c>
      <c r="C347" s="423" t="s">
        <v>562</v>
      </c>
      <c r="D347" s="423" t="s">
        <v>561</v>
      </c>
      <c r="E347" s="427" t="s">
        <v>1948</v>
      </c>
      <c r="F347" s="391">
        <v>0</v>
      </c>
      <c r="G347" s="391">
        <v>0</v>
      </c>
      <c r="H347" s="391">
        <v>0</v>
      </c>
      <c r="I347" s="391">
        <v>0</v>
      </c>
      <c r="J347" s="391">
        <v>0</v>
      </c>
      <c r="K347" s="391">
        <v>0</v>
      </c>
      <c r="L347" s="391">
        <v>0</v>
      </c>
      <c r="M347" s="391">
        <v>0</v>
      </c>
      <c r="N347" s="391">
        <v>0</v>
      </c>
      <c r="O347" s="391">
        <v>0</v>
      </c>
      <c r="P347" s="391">
        <v>0</v>
      </c>
      <c r="Q347" s="391">
        <v>0</v>
      </c>
      <c r="R347" s="391">
        <v>0</v>
      </c>
      <c r="S347" s="618">
        <f t="shared" si="95"/>
        <v>0</v>
      </c>
      <c r="T347" s="422"/>
      <c r="U347" s="833"/>
      <c r="V347" s="833"/>
      <c r="W347" s="833">
        <f t="shared" si="96"/>
        <v>0</v>
      </c>
      <c r="X347" s="425"/>
      <c r="Y347" s="833"/>
      <c r="Z347" s="833"/>
      <c r="AA347" s="833"/>
      <c r="AB347" s="833"/>
      <c r="AC347" s="835">
        <f t="shared" si="97"/>
        <v>0</v>
      </c>
      <c r="AD347" s="834"/>
      <c r="AE347" s="834"/>
      <c r="AF347" s="781">
        <f t="shared" si="92"/>
        <v>0</v>
      </c>
    </row>
    <row r="348" spans="1:32" s="513" customFormat="1">
      <c r="A348" s="779">
        <f t="shared" si="94"/>
        <v>334</v>
      </c>
      <c r="B348" s="423" t="s">
        <v>1066</v>
      </c>
      <c r="C348" s="423" t="s">
        <v>563</v>
      </c>
      <c r="D348" s="423" t="s">
        <v>1295</v>
      </c>
      <c r="E348" s="777" t="s">
        <v>1949</v>
      </c>
      <c r="F348" s="405">
        <v>1105.79</v>
      </c>
      <c r="G348" s="405">
        <v>0</v>
      </c>
      <c r="H348" s="405">
        <v>0</v>
      </c>
      <c r="I348" s="405">
        <v>0</v>
      </c>
      <c r="J348" s="405">
        <v>572.34</v>
      </c>
      <c r="K348" s="405">
        <v>572.34</v>
      </c>
      <c r="L348" s="405">
        <v>572.34</v>
      </c>
      <c r="M348" s="405">
        <v>572.34</v>
      </c>
      <c r="N348" s="405">
        <v>1144.68</v>
      </c>
      <c r="O348" s="405">
        <v>1144.68</v>
      </c>
      <c r="P348" s="405">
        <v>1144.68</v>
      </c>
      <c r="Q348" s="405">
        <v>1144.68</v>
      </c>
      <c r="R348" s="405">
        <v>1144.68</v>
      </c>
      <c r="S348" s="618">
        <f t="shared" si="95"/>
        <v>666.10958333333338</v>
      </c>
      <c r="T348" s="422"/>
      <c r="U348" s="833"/>
      <c r="V348" s="833"/>
      <c r="W348" s="833">
        <f>+S348</f>
        <v>666.10958333333338</v>
      </c>
      <c r="X348" s="425"/>
      <c r="Y348" s="833"/>
      <c r="Z348" s="833"/>
      <c r="AA348" s="833"/>
      <c r="AB348" s="833"/>
      <c r="AC348" s="835">
        <f t="shared" si="97"/>
        <v>666.10958333333338</v>
      </c>
      <c r="AD348" s="834"/>
      <c r="AE348" s="834"/>
      <c r="AF348" s="781">
        <f t="shared" si="92"/>
        <v>0</v>
      </c>
    </row>
    <row r="349" spans="1:32" s="513" customFormat="1">
      <c r="A349" s="779">
        <f t="shared" si="94"/>
        <v>335</v>
      </c>
      <c r="B349" s="422"/>
      <c r="C349" s="422"/>
      <c r="D349" s="422"/>
      <c r="E349" s="777" t="s">
        <v>564</v>
      </c>
      <c r="F349" s="394">
        <f>SUM(F339:F348)</f>
        <v>138541.04999999996</v>
      </c>
      <c r="G349" s="394">
        <f t="shared" ref="G349:S349" si="98">SUM(G339:G348)</f>
        <v>-43358.83</v>
      </c>
      <c r="H349" s="394">
        <f t="shared" si="98"/>
        <v>296047.94</v>
      </c>
      <c r="I349" s="394">
        <f t="shared" si="98"/>
        <v>-275821.55</v>
      </c>
      <c r="J349" s="394">
        <f t="shared" si="98"/>
        <v>-153889.18</v>
      </c>
      <c r="K349" s="394">
        <f t="shared" si="98"/>
        <v>780436.14</v>
      </c>
      <c r="L349" s="394">
        <f t="shared" si="98"/>
        <v>811712.05999999994</v>
      </c>
      <c r="M349" s="394">
        <f t="shared" si="98"/>
        <v>811949.08</v>
      </c>
      <c r="N349" s="394">
        <f t="shared" si="98"/>
        <v>747892.35000000009</v>
      </c>
      <c r="O349" s="394">
        <f t="shared" si="98"/>
        <v>406424.87000000005</v>
      </c>
      <c r="P349" s="394">
        <f t="shared" si="98"/>
        <v>1018160.4400000001</v>
      </c>
      <c r="Q349" s="394">
        <f t="shared" si="98"/>
        <v>1000493.1</v>
      </c>
      <c r="R349" s="394">
        <f t="shared" si="98"/>
        <v>1382743.1300000001</v>
      </c>
      <c r="S349" s="620">
        <f t="shared" si="98"/>
        <v>513390.70916666655</v>
      </c>
      <c r="T349" s="422"/>
      <c r="U349" s="833"/>
      <c r="V349" s="833"/>
      <c r="W349" s="833"/>
      <c r="X349" s="425"/>
      <c r="Y349" s="833"/>
      <c r="Z349" s="833"/>
      <c r="AA349" s="833"/>
      <c r="AB349" s="833"/>
      <c r="AC349" s="834"/>
      <c r="AD349" s="834"/>
      <c r="AE349" s="834"/>
      <c r="AF349" s="781">
        <f t="shared" si="92"/>
        <v>0</v>
      </c>
    </row>
    <row r="350" spans="1:32" s="513" customFormat="1">
      <c r="A350" s="779">
        <f t="shared" si="94"/>
        <v>336</v>
      </c>
      <c r="B350" s="422"/>
      <c r="C350" s="422"/>
      <c r="D350" s="422"/>
      <c r="E350" s="777"/>
      <c r="F350" s="391"/>
      <c r="G350" s="420"/>
      <c r="H350" s="408"/>
      <c r="I350" s="408"/>
      <c r="J350" s="409"/>
      <c r="K350" s="410"/>
      <c r="L350" s="411"/>
      <c r="M350" s="412"/>
      <c r="N350" s="413"/>
      <c r="O350" s="414"/>
      <c r="P350" s="415"/>
      <c r="Q350" s="421"/>
      <c r="R350" s="391"/>
      <c r="S350" s="392"/>
      <c r="T350" s="422"/>
      <c r="U350" s="833"/>
      <c r="V350" s="833"/>
      <c r="W350" s="833"/>
      <c r="X350" s="425"/>
      <c r="Y350" s="833"/>
      <c r="Z350" s="833"/>
      <c r="AA350" s="833"/>
      <c r="AB350" s="833"/>
      <c r="AC350" s="834"/>
      <c r="AD350" s="834"/>
      <c r="AE350" s="834"/>
      <c r="AF350" s="781">
        <f t="shared" si="92"/>
        <v>0</v>
      </c>
    </row>
    <row r="351" spans="1:32" s="513" customFormat="1">
      <c r="A351" s="779">
        <f t="shared" si="94"/>
        <v>337</v>
      </c>
      <c r="B351" s="423" t="s">
        <v>1063</v>
      </c>
      <c r="C351" s="423" t="s">
        <v>565</v>
      </c>
      <c r="D351" s="423" t="s">
        <v>539</v>
      </c>
      <c r="E351" s="777" t="s">
        <v>566</v>
      </c>
      <c r="F351" s="405">
        <v>13200000</v>
      </c>
      <c r="G351" s="405">
        <v>0</v>
      </c>
      <c r="H351" s="405">
        <v>2550000</v>
      </c>
      <c r="I351" s="405">
        <v>2550000</v>
      </c>
      <c r="J351" s="405">
        <v>2550000</v>
      </c>
      <c r="K351" s="405">
        <v>5100000</v>
      </c>
      <c r="L351" s="405">
        <v>5100000</v>
      </c>
      <c r="M351" s="405">
        <v>5100000</v>
      </c>
      <c r="N351" s="405">
        <v>7650000</v>
      </c>
      <c r="O351" s="405">
        <v>7650000</v>
      </c>
      <c r="P351" s="405">
        <v>7650000</v>
      </c>
      <c r="Q351" s="405">
        <v>10610000</v>
      </c>
      <c r="R351" s="405">
        <v>10610000</v>
      </c>
      <c r="S351" s="618">
        <f>((F351+R351)+((G351+H351+I351+J351+K351+L351+M351+N351+O351+P351+Q351)*2))/24</f>
        <v>5701250</v>
      </c>
      <c r="T351" s="422"/>
      <c r="U351" s="833"/>
      <c r="V351" s="833"/>
      <c r="W351" s="833">
        <f>+S351</f>
        <v>5701250</v>
      </c>
      <c r="X351" s="425"/>
      <c r="Y351" s="833"/>
      <c r="Z351" s="833"/>
      <c r="AA351" s="833"/>
      <c r="AB351" s="833"/>
      <c r="AC351" s="835">
        <f>+S351</f>
        <v>5701250</v>
      </c>
      <c r="AD351" s="834"/>
      <c r="AE351" s="834"/>
      <c r="AF351" s="781">
        <f t="shared" si="92"/>
        <v>0</v>
      </c>
    </row>
    <row r="352" spans="1:32" s="513" customFormat="1">
      <c r="A352" s="779">
        <f t="shared" si="94"/>
        <v>338</v>
      </c>
      <c r="B352" s="422"/>
      <c r="C352" s="422"/>
      <c r="D352" s="422"/>
      <c r="E352" s="777" t="s">
        <v>567</v>
      </c>
      <c r="F352" s="394">
        <f>+F351</f>
        <v>13200000</v>
      </c>
      <c r="G352" s="394">
        <f t="shared" ref="G352:S352" si="99">+G351</f>
        <v>0</v>
      </c>
      <c r="H352" s="394">
        <f t="shared" si="99"/>
        <v>2550000</v>
      </c>
      <c r="I352" s="394">
        <f t="shared" si="99"/>
        <v>2550000</v>
      </c>
      <c r="J352" s="394">
        <f t="shared" si="99"/>
        <v>2550000</v>
      </c>
      <c r="K352" s="394">
        <f t="shared" si="99"/>
        <v>5100000</v>
      </c>
      <c r="L352" s="394">
        <f t="shared" si="99"/>
        <v>5100000</v>
      </c>
      <c r="M352" s="394">
        <f t="shared" si="99"/>
        <v>5100000</v>
      </c>
      <c r="N352" s="394">
        <f t="shared" si="99"/>
        <v>7650000</v>
      </c>
      <c r="O352" s="394">
        <f t="shared" si="99"/>
        <v>7650000</v>
      </c>
      <c r="P352" s="394">
        <f t="shared" si="99"/>
        <v>7650000</v>
      </c>
      <c r="Q352" s="394">
        <f t="shared" si="99"/>
        <v>10610000</v>
      </c>
      <c r="R352" s="394">
        <f t="shared" si="99"/>
        <v>10610000</v>
      </c>
      <c r="S352" s="620">
        <f t="shared" si="99"/>
        <v>5701250</v>
      </c>
      <c r="T352" s="422"/>
      <c r="U352" s="833"/>
      <c r="V352" s="833"/>
      <c r="W352" s="833"/>
      <c r="X352" s="425"/>
      <c r="Y352" s="833"/>
      <c r="Z352" s="833"/>
      <c r="AA352" s="833"/>
      <c r="AB352" s="833"/>
      <c r="AC352" s="834"/>
      <c r="AD352" s="834"/>
      <c r="AE352" s="834"/>
      <c r="AF352" s="781">
        <f t="shared" si="92"/>
        <v>0</v>
      </c>
    </row>
    <row r="353" spans="1:32" s="513" customFormat="1">
      <c r="A353" s="779">
        <f t="shared" si="94"/>
        <v>339</v>
      </c>
      <c r="B353" s="422"/>
      <c r="C353" s="422"/>
      <c r="D353" s="422"/>
      <c r="E353" s="777"/>
      <c r="F353" s="396"/>
      <c r="G353" s="428"/>
      <c r="H353" s="397"/>
      <c r="I353" s="397"/>
      <c r="J353" s="398"/>
      <c r="K353" s="399"/>
      <c r="L353" s="400"/>
      <c r="M353" s="401"/>
      <c r="N353" s="402"/>
      <c r="O353" s="403"/>
      <c r="P353" s="404"/>
      <c r="Q353" s="429"/>
      <c r="R353" s="396"/>
      <c r="S353" s="392"/>
      <c r="T353" s="422"/>
      <c r="U353" s="833"/>
      <c r="V353" s="833"/>
      <c r="W353" s="833"/>
      <c r="X353" s="425"/>
      <c r="Y353" s="833"/>
      <c r="Z353" s="833"/>
      <c r="AA353" s="833"/>
      <c r="AB353" s="833"/>
      <c r="AC353" s="834"/>
      <c r="AD353" s="834"/>
      <c r="AE353" s="834"/>
      <c r="AF353" s="781">
        <f t="shared" si="92"/>
        <v>0</v>
      </c>
    </row>
    <row r="354" spans="1:32" s="513" customFormat="1" ht="15.75" thickBot="1">
      <c r="A354" s="779">
        <f t="shared" si="94"/>
        <v>340</v>
      </c>
      <c r="B354" s="662"/>
      <c r="C354" s="662"/>
      <c r="D354" s="662"/>
      <c r="E354" s="771" t="s">
        <v>568</v>
      </c>
      <c r="F354" s="431">
        <f t="shared" ref="F354:S354" si="100">+F352+F349+F336+F313+F299+F294+F277+F276+F274+F268+F209+F206+F191+F189+F172+F160+F142+F116+F60+F42+F35+F32+F57+F174+F175+F176+F177+F178+F179+F180+F181+F182+F183+F184+F186+F185+F187+F188+F190</f>
        <v>1010058740.9000001</v>
      </c>
      <c r="G354" s="431">
        <f t="shared" si="100"/>
        <v>755596030.13999987</v>
      </c>
      <c r="H354" s="431">
        <f t="shared" si="100"/>
        <v>785949713.56999993</v>
      </c>
      <c r="I354" s="431">
        <f t="shared" si="100"/>
        <v>809849531.25999987</v>
      </c>
      <c r="J354" s="431">
        <f t="shared" si="100"/>
        <v>821119251.98000026</v>
      </c>
      <c r="K354" s="431">
        <f t="shared" si="100"/>
        <v>834114722.88999987</v>
      </c>
      <c r="L354" s="431">
        <f t="shared" si="100"/>
        <v>850558705.20000017</v>
      </c>
      <c r="M354" s="431">
        <f t="shared" si="100"/>
        <v>868721350.27999997</v>
      </c>
      <c r="N354" s="431">
        <f t="shared" si="100"/>
        <v>891100472.71000004</v>
      </c>
      <c r="O354" s="431">
        <f t="shared" si="100"/>
        <v>918592888.94000041</v>
      </c>
      <c r="P354" s="431">
        <f t="shared" si="100"/>
        <v>955424093.4599998</v>
      </c>
      <c r="Q354" s="431">
        <f t="shared" si="100"/>
        <v>1022043333.5399998</v>
      </c>
      <c r="R354" s="431">
        <f t="shared" si="100"/>
        <v>1117173255.4100006</v>
      </c>
      <c r="S354" s="431">
        <f t="shared" si="100"/>
        <v>881390507.67708349</v>
      </c>
      <c r="T354" s="662"/>
      <c r="U354" s="838"/>
      <c r="V354" s="838"/>
      <c r="W354" s="838"/>
      <c r="X354" s="664"/>
      <c r="Y354" s="838"/>
      <c r="Z354" s="838"/>
      <c r="AA354" s="838"/>
      <c r="AB354" s="838"/>
      <c r="AC354" s="839"/>
      <c r="AD354" s="839"/>
      <c r="AE354" s="839"/>
      <c r="AF354" s="781">
        <f t="shared" si="92"/>
        <v>0</v>
      </c>
    </row>
    <row r="355" spans="1:32" s="513" customFormat="1" ht="15.75" thickTop="1">
      <c r="A355" s="779">
        <f t="shared" si="94"/>
        <v>341</v>
      </c>
      <c r="B355" s="422"/>
      <c r="C355" s="422"/>
      <c r="D355" s="422"/>
      <c r="E355" s="777"/>
      <c r="F355" s="391"/>
      <c r="G355" s="420"/>
      <c r="H355" s="408"/>
      <c r="I355" s="408"/>
      <c r="J355" s="409"/>
      <c r="K355" s="410"/>
      <c r="L355" s="411"/>
      <c r="M355" s="412"/>
      <c r="N355" s="413"/>
      <c r="O355" s="414"/>
      <c r="P355" s="415"/>
      <c r="Q355" s="421"/>
      <c r="R355" s="391"/>
      <c r="S355" s="392"/>
      <c r="T355" s="422"/>
      <c r="U355" s="833"/>
      <c r="V355" s="833"/>
      <c r="W355" s="833"/>
      <c r="X355" s="425"/>
      <c r="Y355" s="833"/>
      <c r="Z355" s="833"/>
      <c r="AA355" s="833"/>
      <c r="AB355" s="833"/>
      <c r="AC355" s="834"/>
      <c r="AD355" s="834"/>
      <c r="AE355" s="834"/>
      <c r="AF355" s="781">
        <f t="shared" si="92"/>
        <v>0</v>
      </c>
    </row>
    <row r="356" spans="1:32">
      <c r="A356" s="779">
        <f t="shared" si="94"/>
        <v>342</v>
      </c>
      <c r="B356" s="422"/>
      <c r="C356" s="422"/>
      <c r="D356" s="422"/>
      <c r="E356" s="777"/>
      <c r="F356" s="391"/>
      <c r="G356" s="420"/>
      <c r="H356" s="408"/>
      <c r="I356" s="408"/>
      <c r="J356" s="409"/>
      <c r="K356" s="410"/>
      <c r="L356" s="411"/>
      <c r="M356" s="412"/>
      <c r="N356" s="413"/>
      <c r="O356" s="414"/>
      <c r="P356" s="415"/>
      <c r="Q356" s="421"/>
      <c r="R356" s="391"/>
      <c r="S356" s="392"/>
      <c r="T356" s="382"/>
      <c r="U356" s="833"/>
      <c r="V356" s="833"/>
      <c r="W356" s="833"/>
      <c r="X356" s="425"/>
      <c r="Y356" s="833"/>
      <c r="Z356" s="833"/>
      <c r="AA356" s="833"/>
      <c r="AB356" s="833"/>
      <c r="AC356" s="834"/>
      <c r="AD356" s="834"/>
      <c r="AE356" s="834"/>
      <c r="AF356" s="781">
        <f t="shared" si="92"/>
        <v>0</v>
      </c>
    </row>
    <row r="357" spans="1:32">
      <c r="A357" s="779">
        <f t="shared" si="94"/>
        <v>343</v>
      </c>
      <c r="B357" s="423" t="s">
        <v>1063</v>
      </c>
      <c r="C357" s="423" t="s">
        <v>569</v>
      </c>
      <c r="D357" s="423" t="s">
        <v>1303</v>
      </c>
      <c r="E357" s="763" t="s">
        <v>570</v>
      </c>
      <c r="F357" s="391">
        <v>-1000</v>
      </c>
      <c r="G357" s="391">
        <v>-1000</v>
      </c>
      <c r="H357" s="391">
        <v>-1000</v>
      </c>
      <c r="I357" s="391">
        <v>-1000</v>
      </c>
      <c r="J357" s="391">
        <v>-1000</v>
      </c>
      <c r="K357" s="391">
        <v>-1000</v>
      </c>
      <c r="L357" s="391">
        <v>-1000</v>
      </c>
      <c r="M357" s="391">
        <v>-1000</v>
      </c>
      <c r="N357" s="391">
        <v>-1000</v>
      </c>
      <c r="O357" s="391">
        <v>-1000</v>
      </c>
      <c r="P357" s="391">
        <v>-1000</v>
      </c>
      <c r="Q357" s="391">
        <v>-1000</v>
      </c>
      <c r="R357" s="391">
        <v>-1000</v>
      </c>
      <c r="S357" s="618">
        <f>((F357+R357)+((G357+H357+I357+J357+K357+L357+M357+N357+O357+P357+Q357)*2))/24</f>
        <v>-1000</v>
      </c>
      <c r="T357" s="382"/>
      <c r="U357" s="833"/>
      <c r="V357" s="833"/>
      <c r="W357" s="833">
        <f>+S357</f>
        <v>-1000</v>
      </c>
      <c r="X357" s="425"/>
      <c r="Y357" s="833"/>
      <c r="Z357" s="833"/>
      <c r="AA357" s="833"/>
      <c r="AB357" s="833"/>
      <c r="AC357" s="835">
        <f>+S357</f>
        <v>-1000</v>
      </c>
      <c r="AD357" s="834"/>
      <c r="AE357" s="834"/>
      <c r="AF357" s="781">
        <f t="shared" si="92"/>
        <v>0</v>
      </c>
    </row>
    <row r="358" spans="1:32">
      <c r="A358" s="779">
        <f t="shared" si="94"/>
        <v>344</v>
      </c>
      <c r="B358" s="423" t="s">
        <v>1063</v>
      </c>
      <c r="C358" s="423" t="s">
        <v>571</v>
      </c>
      <c r="D358" s="423" t="s">
        <v>539</v>
      </c>
      <c r="E358" s="763" t="s">
        <v>572</v>
      </c>
      <c r="F358" s="391">
        <v>-31852511.100000001</v>
      </c>
      <c r="G358" s="391">
        <v>-30688673.449999999</v>
      </c>
      <c r="H358" s="391">
        <v>-30688673.449999999</v>
      </c>
      <c r="I358" s="391">
        <v>-30688673.449999999</v>
      </c>
      <c r="J358" s="391">
        <v>-30688673.449999999</v>
      </c>
      <c r="K358" s="391">
        <v>-30688673.449999999</v>
      </c>
      <c r="L358" s="391">
        <v>-30688673.449999999</v>
      </c>
      <c r="M358" s="391">
        <v>-30688673.449999999</v>
      </c>
      <c r="N358" s="391">
        <v>-30688673.449999999</v>
      </c>
      <c r="O358" s="391">
        <v>-30688673.449999999</v>
      </c>
      <c r="P358" s="391">
        <v>-30688673.449999999</v>
      </c>
      <c r="Q358" s="391">
        <v>-30688673.449999999</v>
      </c>
      <c r="R358" s="391">
        <v>-30688673.449999999</v>
      </c>
      <c r="S358" s="618">
        <f>((F358+R358)+((G358+H358+I358+J358+K358+L358+M358+N358+O358+P358+Q358)*2))/24</f>
        <v>-30737166.685416657</v>
      </c>
      <c r="T358" s="382"/>
      <c r="U358" s="833"/>
      <c r="V358" s="833"/>
      <c r="W358" s="833">
        <f>+S358</f>
        <v>-30737166.685416657</v>
      </c>
      <c r="X358" s="425"/>
      <c r="Y358" s="833"/>
      <c r="Z358" s="833"/>
      <c r="AA358" s="833"/>
      <c r="AB358" s="833"/>
      <c r="AC358" s="835">
        <f>+W358</f>
        <v>-30737166.685416657</v>
      </c>
      <c r="AD358" s="834"/>
      <c r="AE358" s="834"/>
      <c r="AF358" s="781">
        <f t="shared" si="92"/>
        <v>0</v>
      </c>
    </row>
    <row r="359" spans="1:32">
      <c r="A359" s="779">
        <f t="shared" si="94"/>
        <v>345</v>
      </c>
      <c r="B359" s="423" t="s">
        <v>1063</v>
      </c>
      <c r="C359" s="423" t="s">
        <v>571</v>
      </c>
      <c r="D359" s="423" t="s">
        <v>573</v>
      </c>
      <c r="E359" s="763" t="s">
        <v>574</v>
      </c>
      <c r="F359" s="391">
        <v>0</v>
      </c>
      <c r="G359" s="391">
        <v>0</v>
      </c>
      <c r="H359" s="391">
        <v>0</v>
      </c>
      <c r="I359" s="391">
        <v>0</v>
      </c>
      <c r="J359" s="391">
        <v>0</v>
      </c>
      <c r="K359" s="391">
        <v>0</v>
      </c>
      <c r="L359" s="391">
        <v>0</v>
      </c>
      <c r="M359" s="391">
        <v>0</v>
      </c>
      <c r="N359" s="391">
        <v>0</v>
      </c>
      <c r="O359" s="391">
        <v>0</v>
      </c>
      <c r="P359" s="391">
        <v>0</v>
      </c>
      <c r="Q359" s="391">
        <v>0</v>
      </c>
      <c r="R359" s="391">
        <v>0</v>
      </c>
      <c r="S359" s="618">
        <f t="shared" ref="S359:S413" si="101">((F359+R359)+((G359+H359+I359+J359+K359+L359+M359+N359+O359+P359+Q359)*2))/24</f>
        <v>0</v>
      </c>
      <c r="T359" s="382"/>
      <c r="U359" s="833"/>
      <c r="V359" s="833"/>
      <c r="W359" s="833">
        <f>+S359</f>
        <v>0</v>
      </c>
      <c r="X359" s="425"/>
      <c r="Y359" s="833"/>
      <c r="Z359" s="833"/>
      <c r="AA359" s="833"/>
      <c r="AB359" s="833"/>
      <c r="AC359" s="835">
        <f t="shared" ref="AC359:AC365" si="102">+S359</f>
        <v>0</v>
      </c>
      <c r="AD359" s="834"/>
      <c r="AE359" s="834"/>
      <c r="AF359" s="781">
        <f t="shared" si="92"/>
        <v>0</v>
      </c>
    </row>
    <row r="360" spans="1:32">
      <c r="A360" s="779">
        <f t="shared" si="94"/>
        <v>346</v>
      </c>
      <c r="B360" s="423" t="s">
        <v>1063</v>
      </c>
      <c r="C360" s="423" t="s">
        <v>571</v>
      </c>
      <c r="D360" s="423" t="s">
        <v>575</v>
      </c>
      <c r="E360" s="763" t="s">
        <v>576</v>
      </c>
      <c r="F360" s="391">
        <v>38242</v>
      </c>
      <c r="G360" s="391">
        <v>2423</v>
      </c>
      <c r="H360" s="391">
        <v>278526.51</v>
      </c>
      <c r="I360" s="391">
        <v>280949.51</v>
      </c>
      <c r="J360" s="391">
        <v>283372.51</v>
      </c>
      <c r="K360" s="391">
        <v>285795.51</v>
      </c>
      <c r="L360" s="391">
        <v>288218.51</v>
      </c>
      <c r="M360" s="391">
        <v>290641.51</v>
      </c>
      <c r="N360" s="391">
        <v>293064.51</v>
      </c>
      <c r="O360" s="391">
        <v>295487.51</v>
      </c>
      <c r="P360" s="391">
        <v>297910.51</v>
      </c>
      <c r="Q360" s="391">
        <v>26653</v>
      </c>
      <c r="R360" s="391">
        <v>42776</v>
      </c>
      <c r="S360" s="618">
        <f t="shared" si="101"/>
        <v>221962.63249999998</v>
      </c>
      <c r="T360" s="382"/>
      <c r="U360" s="833"/>
      <c r="V360" s="833"/>
      <c r="W360" s="833">
        <f t="shared" ref="W360:W365" si="103">+S360</f>
        <v>221962.63249999998</v>
      </c>
      <c r="X360" s="425"/>
      <c r="Y360" s="833"/>
      <c r="Z360" s="833"/>
      <c r="AA360" s="833"/>
      <c r="AB360" s="833"/>
      <c r="AC360" s="835">
        <f t="shared" si="102"/>
        <v>221962.63249999998</v>
      </c>
      <c r="AD360" s="834"/>
      <c r="AE360" s="834"/>
      <c r="AF360" s="781">
        <f t="shared" si="92"/>
        <v>0</v>
      </c>
    </row>
    <row r="361" spans="1:32">
      <c r="A361" s="779">
        <f t="shared" si="94"/>
        <v>347</v>
      </c>
      <c r="B361" s="423" t="s">
        <v>1063</v>
      </c>
      <c r="C361" s="423" t="s">
        <v>577</v>
      </c>
      <c r="D361" s="423" t="s">
        <v>539</v>
      </c>
      <c r="E361" s="763" t="s">
        <v>578</v>
      </c>
      <c r="F361" s="391">
        <v>0</v>
      </c>
      <c r="G361" s="391">
        <v>0</v>
      </c>
      <c r="H361" s="391">
        <v>0</v>
      </c>
      <c r="I361" s="391">
        <v>0</v>
      </c>
      <c r="J361" s="391">
        <v>0</v>
      </c>
      <c r="K361" s="391">
        <v>0</v>
      </c>
      <c r="L361" s="391">
        <v>0</v>
      </c>
      <c r="M361" s="391">
        <v>0</v>
      </c>
      <c r="N361" s="391">
        <v>0</v>
      </c>
      <c r="O361" s="391">
        <v>0</v>
      </c>
      <c r="P361" s="391">
        <v>0</v>
      </c>
      <c r="Q361" s="391">
        <v>0</v>
      </c>
      <c r="R361" s="391">
        <v>0</v>
      </c>
      <c r="S361" s="618">
        <f t="shared" si="101"/>
        <v>0</v>
      </c>
      <c r="T361" s="382"/>
      <c r="U361" s="833"/>
      <c r="V361" s="833"/>
      <c r="W361" s="833">
        <f t="shared" si="103"/>
        <v>0</v>
      </c>
      <c r="X361" s="425"/>
      <c r="Y361" s="833"/>
      <c r="Z361" s="833"/>
      <c r="AA361" s="833"/>
      <c r="AB361" s="833"/>
      <c r="AC361" s="835">
        <f t="shared" si="102"/>
        <v>0</v>
      </c>
      <c r="AD361" s="834"/>
      <c r="AE361" s="834"/>
      <c r="AF361" s="781">
        <f t="shared" si="92"/>
        <v>0</v>
      </c>
    </row>
    <row r="362" spans="1:32">
      <c r="A362" s="779">
        <f t="shared" si="94"/>
        <v>348</v>
      </c>
      <c r="B362" s="423" t="s">
        <v>1063</v>
      </c>
      <c r="C362" s="423" t="s">
        <v>579</v>
      </c>
      <c r="D362" s="423" t="s">
        <v>539</v>
      </c>
      <c r="E362" s="763" t="s">
        <v>580</v>
      </c>
      <c r="F362" s="391">
        <v>-192553016.58000001</v>
      </c>
      <c r="G362" s="391">
        <v>-192553016.58000001</v>
      </c>
      <c r="H362" s="391">
        <v>-192117553.21000001</v>
      </c>
      <c r="I362" s="391">
        <v>-192117553.21000001</v>
      </c>
      <c r="J362" s="391">
        <v>-192117553.21000001</v>
      </c>
      <c r="K362" s="391">
        <v>-192117553.21000001</v>
      </c>
      <c r="L362" s="391">
        <v>-192117553.21000001</v>
      </c>
      <c r="M362" s="391">
        <v>-192117553.21000001</v>
      </c>
      <c r="N362" s="391">
        <v>-192117553.21000001</v>
      </c>
      <c r="O362" s="391">
        <v>-222117553.21000001</v>
      </c>
      <c r="P362" s="391">
        <v>-222117553.21000001</v>
      </c>
      <c r="Q362" s="391">
        <v>-222117553.21000001</v>
      </c>
      <c r="R362" s="391">
        <v>-222117553.21000001</v>
      </c>
      <c r="S362" s="618">
        <f>((F362+R362)+((G362+H362+I362+J362+K362+L362+M362+N362+O362+P362+Q362)*2))/24</f>
        <v>-200921986.13125002</v>
      </c>
      <c r="T362" s="382"/>
      <c r="U362" s="833"/>
      <c r="V362" s="833"/>
      <c r="W362" s="833">
        <f t="shared" si="103"/>
        <v>-200921986.13125002</v>
      </c>
      <c r="X362" s="425"/>
      <c r="Y362" s="833"/>
      <c r="Z362" s="833"/>
      <c r="AA362" s="833"/>
      <c r="AB362" s="833"/>
      <c r="AC362" s="835">
        <f t="shared" si="102"/>
        <v>-200921986.13125002</v>
      </c>
      <c r="AD362" s="834"/>
      <c r="AE362" s="834"/>
      <c r="AF362" s="781">
        <f t="shared" si="92"/>
        <v>0</v>
      </c>
    </row>
    <row r="363" spans="1:32">
      <c r="A363" s="779">
        <f t="shared" si="94"/>
        <v>349</v>
      </c>
      <c r="B363" s="423" t="s">
        <v>1063</v>
      </c>
      <c r="C363" s="423" t="s">
        <v>1705</v>
      </c>
      <c r="D363" s="423"/>
      <c r="E363" s="763" t="s">
        <v>582</v>
      </c>
      <c r="F363" s="391">
        <v>0</v>
      </c>
      <c r="G363" s="391">
        <v>0</v>
      </c>
      <c r="H363" s="391">
        <v>0</v>
      </c>
      <c r="I363" s="391">
        <v>0</v>
      </c>
      <c r="J363" s="391">
        <v>0</v>
      </c>
      <c r="K363" s="391">
        <v>0</v>
      </c>
      <c r="L363" s="391">
        <v>0</v>
      </c>
      <c r="M363" s="391">
        <v>0</v>
      </c>
      <c r="N363" s="391">
        <v>0</v>
      </c>
      <c r="O363" s="391">
        <v>0</v>
      </c>
      <c r="P363" s="391">
        <v>0</v>
      </c>
      <c r="Q363" s="391">
        <v>273680.51</v>
      </c>
      <c r="R363" s="391">
        <v>273680.51</v>
      </c>
      <c r="S363" s="618">
        <f t="shared" si="101"/>
        <v>34210.063750000001</v>
      </c>
      <c r="T363" s="382"/>
      <c r="U363" s="833"/>
      <c r="V363" s="833"/>
      <c r="W363" s="833">
        <f t="shared" si="103"/>
        <v>34210.063750000001</v>
      </c>
      <c r="X363" s="425"/>
      <c r="Y363" s="833"/>
      <c r="Z363" s="833"/>
      <c r="AA363" s="833"/>
      <c r="AB363" s="833"/>
      <c r="AC363" s="835">
        <f t="shared" si="102"/>
        <v>34210.063750000001</v>
      </c>
      <c r="AD363" s="834"/>
      <c r="AE363" s="834"/>
      <c r="AF363" s="781">
        <f t="shared" si="92"/>
        <v>0</v>
      </c>
    </row>
    <row r="364" spans="1:32">
      <c r="A364" s="779">
        <f t="shared" si="94"/>
        <v>350</v>
      </c>
      <c r="B364" s="423" t="s">
        <v>1063</v>
      </c>
      <c r="C364" s="423" t="s">
        <v>583</v>
      </c>
      <c r="D364" s="422" t="s">
        <v>382</v>
      </c>
      <c r="E364" s="763" t="s">
        <v>1950</v>
      </c>
      <c r="F364" s="778">
        <v>-1489849.51</v>
      </c>
      <c r="G364" s="778">
        <v>-1489849.51</v>
      </c>
      <c r="H364" s="778">
        <v>-1810739.96</v>
      </c>
      <c r="I364" s="778">
        <v>-1810739.96</v>
      </c>
      <c r="J364" s="778">
        <v>-1810739.96</v>
      </c>
      <c r="K364" s="778">
        <v>-1810739.96</v>
      </c>
      <c r="L364" s="778">
        <v>-1810739.96</v>
      </c>
      <c r="M364" s="778">
        <v>-1810739.96</v>
      </c>
      <c r="N364" s="778">
        <v>-1810739.96</v>
      </c>
      <c r="O364" s="778">
        <v>-1810739.96</v>
      </c>
      <c r="P364" s="778">
        <v>-1810739.96</v>
      </c>
      <c r="Q364" s="778">
        <v>-1810739.96</v>
      </c>
      <c r="R364" s="778">
        <v>-2402882.85</v>
      </c>
      <c r="S364" s="618">
        <f t="shared" si="101"/>
        <v>-1795301.2741666669</v>
      </c>
      <c r="T364" s="382"/>
      <c r="U364" s="833"/>
      <c r="V364" s="833"/>
      <c r="W364" s="833">
        <f t="shared" si="103"/>
        <v>-1795301.2741666669</v>
      </c>
      <c r="X364" s="425"/>
      <c r="Y364" s="833"/>
      <c r="Z364" s="833"/>
      <c r="AA364" s="833"/>
      <c r="AB364" s="833"/>
      <c r="AC364" s="835">
        <f t="shared" si="102"/>
        <v>-1795301.2741666669</v>
      </c>
      <c r="AD364" s="834"/>
      <c r="AE364" s="834"/>
      <c r="AF364" s="781">
        <f t="shared" si="92"/>
        <v>0</v>
      </c>
    </row>
    <row r="365" spans="1:32">
      <c r="A365" s="779">
        <f t="shared" si="94"/>
        <v>351</v>
      </c>
      <c r="B365" s="423" t="s">
        <v>1063</v>
      </c>
      <c r="C365" s="423" t="s">
        <v>584</v>
      </c>
      <c r="D365" s="423" t="s">
        <v>1303</v>
      </c>
      <c r="E365" s="763" t="s">
        <v>1951</v>
      </c>
      <c r="F365" s="405">
        <v>219189.01</v>
      </c>
      <c r="G365" s="405">
        <v>219189.01</v>
      </c>
      <c r="H365" s="405">
        <v>266398.95</v>
      </c>
      <c r="I365" s="405">
        <v>266398.95</v>
      </c>
      <c r="J365" s="405">
        <v>266398.95</v>
      </c>
      <c r="K365" s="405">
        <v>266398.95</v>
      </c>
      <c r="L365" s="405">
        <v>266398.95</v>
      </c>
      <c r="M365" s="405">
        <v>266398.95</v>
      </c>
      <c r="N365" s="405">
        <v>266398.95</v>
      </c>
      <c r="O365" s="405">
        <v>266398.95</v>
      </c>
      <c r="P365" s="405">
        <v>266398.95</v>
      </c>
      <c r="Q365" s="405">
        <v>266398.95</v>
      </c>
      <c r="R365" s="405">
        <v>84425.49</v>
      </c>
      <c r="S365" s="619">
        <f t="shared" si="101"/>
        <v>252915.48</v>
      </c>
      <c r="T365" s="382"/>
      <c r="U365" s="833"/>
      <c r="V365" s="833"/>
      <c r="W365" s="833">
        <f t="shared" si="103"/>
        <v>252915.48</v>
      </c>
      <c r="X365" s="425"/>
      <c r="Y365" s="833"/>
      <c r="Z365" s="833"/>
      <c r="AA365" s="833"/>
      <c r="AB365" s="833"/>
      <c r="AC365" s="835">
        <f t="shared" si="102"/>
        <v>252915.48</v>
      </c>
      <c r="AD365" s="834"/>
      <c r="AE365" s="834"/>
      <c r="AF365" s="781">
        <f t="shared" si="92"/>
        <v>0</v>
      </c>
    </row>
    <row r="366" spans="1:32">
      <c r="A366" s="779">
        <f t="shared" si="94"/>
        <v>352</v>
      </c>
      <c r="B366" s="422"/>
      <c r="C366" s="422"/>
      <c r="D366" s="422"/>
      <c r="E366" s="763" t="s">
        <v>585</v>
      </c>
      <c r="F366" s="394">
        <f t="shared" ref="F366:S366" si="104">SUM(F357:F365)</f>
        <v>-225638946.18000001</v>
      </c>
      <c r="G366" s="394">
        <f t="shared" si="104"/>
        <v>-224510927.53</v>
      </c>
      <c r="H366" s="394">
        <f t="shared" si="104"/>
        <v>-224073041.16000003</v>
      </c>
      <c r="I366" s="394">
        <f t="shared" si="104"/>
        <v>-224070618.16000003</v>
      </c>
      <c r="J366" s="394">
        <f t="shared" si="104"/>
        <v>-224068195.16000003</v>
      </c>
      <c r="K366" s="394">
        <f t="shared" si="104"/>
        <v>-224065772.16000003</v>
      </c>
      <c r="L366" s="394">
        <f t="shared" si="104"/>
        <v>-224063349.16000003</v>
      </c>
      <c r="M366" s="394">
        <f t="shared" si="104"/>
        <v>-224060926.16000003</v>
      </c>
      <c r="N366" s="394">
        <f t="shared" si="104"/>
        <v>-224058503.16000003</v>
      </c>
      <c r="O366" s="394">
        <f t="shared" si="104"/>
        <v>-254056080.16000003</v>
      </c>
      <c r="P366" s="394">
        <f t="shared" si="104"/>
        <v>-254053657.16000003</v>
      </c>
      <c r="Q366" s="394">
        <f t="shared" si="104"/>
        <v>-254051234.16000003</v>
      </c>
      <c r="R366" s="394">
        <f t="shared" si="104"/>
        <v>-254809227.50999999</v>
      </c>
      <c r="S366" s="620">
        <f t="shared" si="104"/>
        <v>-232946365.91458336</v>
      </c>
      <c r="T366" s="382"/>
      <c r="U366" s="833"/>
      <c r="V366" s="833"/>
      <c r="W366" s="833"/>
      <c r="X366" s="425"/>
      <c r="Y366" s="833"/>
      <c r="Z366" s="833"/>
      <c r="AA366" s="833"/>
      <c r="AB366" s="833"/>
      <c r="AC366" s="834"/>
      <c r="AD366" s="834"/>
      <c r="AE366" s="834"/>
      <c r="AF366" s="781">
        <f t="shared" si="92"/>
        <v>0</v>
      </c>
    </row>
    <row r="367" spans="1:32">
      <c r="A367" s="779">
        <f t="shared" si="94"/>
        <v>353</v>
      </c>
      <c r="B367" s="422"/>
      <c r="C367" s="422"/>
      <c r="D367" s="422"/>
      <c r="E367" s="763"/>
      <c r="F367" s="419"/>
      <c r="G367" s="434"/>
      <c r="H367" s="435"/>
      <c r="I367" s="435"/>
      <c r="J367" s="436"/>
      <c r="K367" s="437"/>
      <c r="L367" s="438"/>
      <c r="M367" s="439"/>
      <c r="N367" s="440"/>
      <c r="O367" s="418"/>
      <c r="P367" s="441"/>
      <c r="Q367" s="442"/>
      <c r="R367" s="419"/>
      <c r="S367" s="392"/>
      <c r="T367" s="382"/>
      <c r="U367" s="833"/>
      <c r="V367" s="833"/>
      <c r="W367" s="833"/>
      <c r="X367" s="425"/>
      <c r="Y367" s="833"/>
      <c r="Z367" s="833"/>
      <c r="AA367" s="833"/>
      <c r="AB367" s="833"/>
      <c r="AC367" s="834"/>
      <c r="AD367" s="834"/>
      <c r="AE367" s="834"/>
      <c r="AF367" s="781">
        <f t="shared" si="92"/>
        <v>0</v>
      </c>
    </row>
    <row r="368" spans="1:32">
      <c r="A368" s="779">
        <f t="shared" si="94"/>
        <v>354</v>
      </c>
      <c r="B368" s="423" t="s">
        <v>1063</v>
      </c>
      <c r="C368" s="423" t="s">
        <v>586</v>
      </c>
      <c r="D368" s="423" t="s">
        <v>482</v>
      </c>
      <c r="E368" s="767" t="s">
        <v>587</v>
      </c>
      <c r="F368" s="391">
        <v>-20000000</v>
      </c>
      <c r="G368" s="391">
        <v>-20000000</v>
      </c>
      <c r="H368" s="391">
        <v>-20000000</v>
      </c>
      <c r="I368" s="391">
        <v>-20000000</v>
      </c>
      <c r="J368" s="391">
        <v>-20000000</v>
      </c>
      <c r="K368" s="391">
        <v>-20000000</v>
      </c>
      <c r="L368" s="391">
        <v>-20000000</v>
      </c>
      <c r="M368" s="391">
        <v>-20000000</v>
      </c>
      <c r="N368" s="391">
        <v>-20000000</v>
      </c>
      <c r="O368" s="391">
        <v>-20000000</v>
      </c>
      <c r="P368" s="391">
        <v>-20000000</v>
      </c>
      <c r="Q368" s="391">
        <v>-20000000</v>
      </c>
      <c r="R368" s="391">
        <v>-20000000</v>
      </c>
      <c r="S368" s="618">
        <f t="shared" si="101"/>
        <v>-20000000</v>
      </c>
      <c r="T368" s="382"/>
      <c r="U368" s="833"/>
      <c r="V368" s="833"/>
      <c r="W368" s="833">
        <f t="shared" ref="W368:W380" si="105">+S368</f>
        <v>-20000000</v>
      </c>
      <c r="X368" s="425"/>
      <c r="Y368" s="833"/>
      <c r="Z368" s="833"/>
      <c r="AA368" s="833"/>
      <c r="AB368" s="833"/>
      <c r="AC368" s="835">
        <f t="shared" ref="AC368:AC380" si="106">+S368</f>
        <v>-20000000</v>
      </c>
      <c r="AD368" s="834"/>
      <c r="AE368" s="834"/>
      <c r="AF368" s="781">
        <f t="shared" si="92"/>
        <v>0</v>
      </c>
    </row>
    <row r="369" spans="1:32">
      <c r="A369" s="779">
        <f t="shared" si="94"/>
        <v>355</v>
      </c>
      <c r="B369" s="423" t="s">
        <v>1063</v>
      </c>
      <c r="C369" s="423" t="s">
        <v>586</v>
      </c>
      <c r="D369" s="423" t="s">
        <v>484</v>
      </c>
      <c r="E369" s="767" t="s">
        <v>588</v>
      </c>
      <c r="F369" s="391">
        <v>-15000000</v>
      </c>
      <c r="G369" s="391">
        <v>-15000000</v>
      </c>
      <c r="H369" s="391">
        <v>-15000000</v>
      </c>
      <c r="I369" s="391">
        <v>-15000000</v>
      </c>
      <c r="J369" s="391">
        <v>-15000000</v>
      </c>
      <c r="K369" s="391">
        <v>-15000000</v>
      </c>
      <c r="L369" s="391">
        <v>-15000000</v>
      </c>
      <c r="M369" s="391">
        <v>-15000000</v>
      </c>
      <c r="N369" s="391">
        <v>-15000000</v>
      </c>
      <c r="O369" s="391">
        <v>-15000000</v>
      </c>
      <c r="P369" s="391">
        <v>-15000000</v>
      </c>
      <c r="Q369" s="391">
        <v>-15000000</v>
      </c>
      <c r="R369" s="391">
        <v>-15000000</v>
      </c>
      <c r="S369" s="618">
        <f t="shared" si="101"/>
        <v>-15000000</v>
      </c>
      <c r="T369" s="382"/>
      <c r="U369" s="833"/>
      <c r="V369" s="833"/>
      <c r="W369" s="833">
        <f t="shared" si="105"/>
        <v>-15000000</v>
      </c>
      <c r="X369" s="425"/>
      <c r="Y369" s="833"/>
      <c r="Z369" s="833"/>
      <c r="AA369" s="833"/>
      <c r="AB369" s="833"/>
      <c r="AC369" s="835">
        <f t="shared" si="106"/>
        <v>-15000000</v>
      </c>
      <c r="AD369" s="834"/>
      <c r="AE369" s="834"/>
      <c r="AF369" s="781">
        <f t="shared" si="92"/>
        <v>0</v>
      </c>
    </row>
    <row r="370" spans="1:32">
      <c r="A370" s="779">
        <f t="shared" si="94"/>
        <v>356</v>
      </c>
      <c r="B370" s="423" t="s">
        <v>1063</v>
      </c>
      <c r="C370" s="423" t="s">
        <v>586</v>
      </c>
      <c r="D370" s="423" t="s">
        <v>486</v>
      </c>
      <c r="E370" s="767" t="s">
        <v>589</v>
      </c>
      <c r="F370" s="391">
        <v>-24431000</v>
      </c>
      <c r="G370" s="391">
        <v>-24431000</v>
      </c>
      <c r="H370" s="391">
        <v>-24406000</v>
      </c>
      <c r="I370" s="391">
        <v>-24406000</v>
      </c>
      <c r="J370" s="391">
        <v>-24406000</v>
      </c>
      <c r="K370" s="391">
        <v>-24401000</v>
      </c>
      <c r="L370" s="391">
        <v>-24401000</v>
      </c>
      <c r="M370" s="391">
        <v>-24401000</v>
      </c>
      <c r="N370" s="391">
        <v>-24401000</v>
      </c>
      <c r="O370" s="391">
        <v>-24401000</v>
      </c>
      <c r="P370" s="391">
        <v>-24401000</v>
      </c>
      <c r="Q370" s="391">
        <v>-24361000</v>
      </c>
      <c r="R370" s="391">
        <v>-24361000</v>
      </c>
      <c r="S370" s="618">
        <f t="shared" si="101"/>
        <v>-24401000</v>
      </c>
      <c r="T370" s="382"/>
      <c r="U370" s="833"/>
      <c r="V370" s="833"/>
      <c r="W370" s="833">
        <f t="shared" si="105"/>
        <v>-24401000</v>
      </c>
      <c r="X370" s="425"/>
      <c r="Y370" s="833"/>
      <c r="Z370" s="833"/>
      <c r="AA370" s="833"/>
      <c r="AB370" s="833"/>
      <c r="AC370" s="835">
        <f t="shared" si="106"/>
        <v>-24401000</v>
      </c>
      <c r="AD370" s="834"/>
      <c r="AE370" s="834"/>
      <c r="AF370" s="781">
        <f t="shared" si="92"/>
        <v>0</v>
      </c>
    </row>
    <row r="371" spans="1:32">
      <c r="A371" s="779">
        <f t="shared" si="94"/>
        <v>357</v>
      </c>
      <c r="B371" s="423" t="s">
        <v>1063</v>
      </c>
      <c r="C371" s="423" t="s">
        <v>586</v>
      </c>
      <c r="D371" s="423" t="s">
        <v>488</v>
      </c>
      <c r="E371" s="767" t="s">
        <v>590</v>
      </c>
      <c r="F371" s="391">
        <v>-15000000</v>
      </c>
      <c r="G371" s="391">
        <v>-15000000</v>
      </c>
      <c r="H371" s="391">
        <v>-15000000</v>
      </c>
      <c r="I371" s="391">
        <v>-15000000</v>
      </c>
      <c r="J371" s="391">
        <v>-15000000</v>
      </c>
      <c r="K371" s="391">
        <v>-15000000</v>
      </c>
      <c r="L371" s="391">
        <v>-15000000</v>
      </c>
      <c r="M371" s="391">
        <v>-15000000</v>
      </c>
      <c r="N371" s="391">
        <v>-15000000</v>
      </c>
      <c r="O371" s="391">
        <v>-15000000</v>
      </c>
      <c r="P371" s="391">
        <v>-15000000</v>
      </c>
      <c r="Q371" s="391">
        <v>-15000000</v>
      </c>
      <c r="R371" s="391">
        <v>-15000000</v>
      </c>
      <c r="S371" s="618">
        <f t="shared" si="101"/>
        <v>-15000000</v>
      </c>
      <c r="T371" s="382"/>
      <c r="U371" s="833"/>
      <c r="V371" s="833"/>
      <c r="W371" s="833">
        <f t="shared" si="105"/>
        <v>-15000000</v>
      </c>
      <c r="X371" s="425"/>
      <c r="Y371" s="833"/>
      <c r="Z371" s="833"/>
      <c r="AA371" s="833"/>
      <c r="AB371" s="833"/>
      <c r="AC371" s="835">
        <f t="shared" si="106"/>
        <v>-15000000</v>
      </c>
      <c r="AD371" s="834"/>
      <c r="AE371" s="834"/>
      <c r="AF371" s="781">
        <f t="shared" si="92"/>
        <v>0</v>
      </c>
    </row>
    <row r="372" spans="1:32">
      <c r="A372" s="779">
        <f t="shared" si="94"/>
        <v>358</v>
      </c>
      <c r="B372" s="423" t="s">
        <v>1063</v>
      </c>
      <c r="C372" s="423" t="s">
        <v>586</v>
      </c>
      <c r="D372" s="423" t="s">
        <v>490</v>
      </c>
      <c r="E372" s="767" t="s">
        <v>591</v>
      </c>
      <c r="F372" s="391">
        <v>-40000000</v>
      </c>
      <c r="G372" s="391">
        <v>-40000000</v>
      </c>
      <c r="H372" s="391">
        <v>-40000000</v>
      </c>
      <c r="I372" s="391">
        <v>-40000000</v>
      </c>
      <c r="J372" s="391">
        <v>-40000000</v>
      </c>
      <c r="K372" s="391">
        <v>-40000000</v>
      </c>
      <c r="L372" s="391">
        <v>-40000000</v>
      </c>
      <c r="M372" s="391">
        <v>-40000000</v>
      </c>
      <c r="N372" s="391">
        <v>-40000000</v>
      </c>
      <c r="O372" s="391">
        <v>-40000000</v>
      </c>
      <c r="P372" s="391">
        <v>-40000000</v>
      </c>
      <c r="Q372" s="391">
        <v>-40000000</v>
      </c>
      <c r="R372" s="391">
        <v>-40000000</v>
      </c>
      <c r="S372" s="618">
        <f t="shared" si="101"/>
        <v>-40000000</v>
      </c>
      <c r="T372" s="382"/>
      <c r="U372" s="833"/>
      <c r="V372" s="833"/>
      <c r="W372" s="833">
        <f t="shared" si="105"/>
        <v>-40000000</v>
      </c>
      <c r="X372" s="425"/>
      <c r="Y372" s="833"/>
      <c r="Z372" s="833"/>
      <c r="AA372" s="833"/>
      <c r="AB372" s="833"/>
      <c r="AC372" s="835">
        <f t="shared" si="106"/>
        <v>-40000000</v>
      </c>
      <c r="AD372" s="834"/>
      <c r="AE372" s="834"/>
      <c r="AF372" s="781">
        <f t="shared" si="92"/>
        <v>0</v>
      </c>
    </row>
    <row r="373" spans="1:32">
      <c r="A373" s="779">
        <f t="shared" si="94"/>
        <v>359</v>
      </c>
      <c r="B373" s="423" t="s">
        <v>1063</v>
      </c>
      <c r="C373" s="423" t="s">
        <v>586</v>
      </c>
      <c r="D373" s="423" t="s">
        <v>492</v>
      </c>
      <c r="E373" s="663" t="s">
        <v>592</v>
      </c>
      <c r="F373" s="391">
        <v>-25000000</v>
      </c>
      <c r="G373" s="391">
        <v>-25000000</v>
      </c>
      <c r="H373" s="391">
        <v>-25000000</v>
      </c>
      <c r="I373" s="391">
        <v>-25000000</v>
      </c>
      <c r="J373" s="391">
        <v>-25000000</v>
      </c>
      <c r="K373" s="391">
        <v>-25000000</v>
      </c>
      <c r="L373" s="391">
        <v>-25000000</v>
      </c>
      <c r="M373" s="391">
        <v>-25000000</v>
      </c>
      <c r="N373" s="391">
        <v>-25000000</v>
      </c>
      <c r="O373" s="391">
        <v>-25000000</v>
      </c>
      <c r="P373" s="391">
        <v>-25000000</v>
      </c>
      <c r="Q373" s="391">
        <v>-25000000</v>
      </c>
      <c r="R373" s="391">
        <v>-25000000</v>
      </c>
      <c r="S373" s="618">
        <f t="shared" si="101"/>
        <v>-25000000</v>
      </c>
      <c r="T373" s="382"/>
      <c r="U373" s="833"/>
      <c r="V373" s="833"/>
      <c r="W373" s="833">
        <f t="shared" si="105"/>
        <v>-25000000</v>
      </c>
      <c r="X373" s="425"/>
      <c r="Y373" s="833"/>
      <c r="Z373" s="833"/>
      <c r="AA373" s="833"/>
      <c r="AB373" s="833"/>
      <c r="AC373" s="835">
        <f t="shared" si="106"/>
        <v>-25000000</v>
      </c>
      <c r="AD373" s="834"/>
      <c r="AE373" s="834"/>
      <c r="AF373" s="781">
        <f t="shared" si="92"/>
        <v>0</v>
      </c>
    </row>
    <row r="374" spans="1:32">
      <c r="A374" s="779">
        <f t="shared" si="94"/>
        <v>360</v>
      </c>
      <c r="B374" s="423" t="s">
        <v>1063</v>
      </c>
      <c r="C374" s="423" t="s">
        <v>586</v>
      </c>
      <c r="D374" s="423" t="s">
        <v>494</v>
      </c>
      <c r="E374" s="663" t="s">
        <v>593</v>
      </c>
      <c r="F374" s="391">
        <v>-25000000</v>
      </c>
      <c r="G374" s="391">
        <v>-25000000</v>
      </c>
      <c r="H374" s="391">
        <v>-25000000</v>
      </c>
      <c r="I374" s="391">
        <v>-25000000</v>
      </c>
      <c r="J374" s="391">
        <v>-25000000</v>
      </c>
      <c r="K374" s="391">
        <v>-25000000</v>
      </c>
      <c r="L374" s="391">
        <v>-25000000</v>
      </c>
      <c r="M374" s="391">
        <v>-25000000</v>
      </c>
      <c r="N374" s="391">
        <v>-25000000</v>
      </c>
      <c r="O374" s="391">
        <v>-25000000</v>
      </c>
      <c r="P374" s="391">
        <v>-25000000</v>
      </c>
      <c r="Q374" s="391">
        <v>-25000000</v>
      </c>
      <c r="R374" s="391">
        <v>-25000000</v>
      </c>
      <c r="S374" s="618">
        <f t="shared" si="101"/>
        <v>-25000000</v>
      </c>
      <c r="T374" s="382"/>
      <c r="U374" s="833"/>
      <c r="V374" s="833"/>
      <c r="W374" s="833">
        <f t="shared" si="105"/>
        <v>-25000000</v>
      </c>
      <c r="X374" s="425"/>
      <c r="Y374" s="833"/>
      <c r="Z374" s="833"/>
      <c r="AA374" s="833"/>
      <c r="AB374" s="833"/>
      <c r="AC374" s="835">
        <f t="shared" si="106"/>
        <v>-25000000</v>
      </c>
      <c r="AD374" s="834"/>
      <c r="AE374" s="834"/>
      <c r="AF374" s="781">
        <f t="shared" si="92"/>
        <v>0</v>
      </c>
    </row>
    <row r="375" spans="1:32">
      <c r="A375" s="779">
        <f t="shared" si="94"/>
        <v>361</v>
      </c>
      <c r="B375" s="423" t="s">
        <v>1063</v>
      </c>
      <c r="C375" s="423" t="s">
        <v>586</v>
      </c>
      <c r="D375" s="423" t="s">
        <v>497</v>
      </c>
      <c r="E375" s="663" t="s">
        <v>1952</v>
      </c>
      <c r="F375" s="391">
        <v>-12500000</v>
      </c>
      <c r="G375" s="391">
        <v>-12500000</v>
      </c>
      <c r="H375" s="391">
        <v>-12500000</v>
      </c>
      <c r="I375" s="391">
        <v>-12500000</v>
      </c>
      <c r="J375" s="391">
        <v>-12500000</v>
      </c>
      <c r="K375" s="391">
        <v>-12500000</v>
      </c>
      <c r="L375" s="391">
        <v>-12500000</v>
      </c>
      <c r="M375" s="391">
        <v>-12500000</v>
      </c>
      <c r="N375" s="391">
        <v>-12500000</v>
      </c>
      <c r="O375" s="391">
        <v>-12500000</v>
      </c>
      <c r="P375" s="391">
        <v>-12500000</v>
      </c>
      <c r="Q375" s="391">
        <v>-12500000</v>
      </c>
      <c r="R375" s="391">
        <v>-12500000</v>
      </c>
      <c r="S375" s="618">
        <f t="shared" si="101"/>
        <v>-12500000</v>
      </c>
      <c r="T375" s="382"/>
      <c r="U375" s="833"/>
      <c r="V375" s="833"/>
      <c r="W375" s="833">
        <f t="shared" si="105"/>
        <v>-12500000</v>
      </c>
      <c r="X375" s="425"/>
      <c r="Y375" s="833"/>
      <c r="Z375" s="833"/>
      <c r="AA375" s="833"/>
      <c r="AB375" s="833"/>
      <c r="AC375" s="835">
        <f t="shared" si="106"/>
        <v>-12500000</v>
      </c>
      <c r="AD375" s="834"/>
      <c r="AE375" s="834"/>
      <c r="AF375" s="781">
        <f t="shared" si="92"/>
        <v>0</v>
      </c>
    </row>
    <row r="376" spans="1:32">
      <c r="A376" s="779">
        <f t="shared" si="94"/>
        <v>362</v>
      </c>
      <c r="B376" s="423" t="s">
        <v>1063</v>
      </c>
      <c r="C376" s="423" t="s">
        <v>586</v>
      </c>
      <c r="D376" s="423" t="s">
        <v>499</v>
      </c>
      <c r="E376" s="663" t="s">
        <v>1953</v>
      </c>
      <c r="F376" s="391">
        <v>-12500000</v>
      </c>
      <c r="G376" s="391">
        <v>-12500000</v>
      </c>
      <c r="H376" s="391">
        <v>-12500000</v>
      </c>
      <c r="I376" s="391">
        <v>-12500000</v>
      </c>
      <c r="J376" s="391">
        <v>-12500000</v>
      </c>
      <c r="K376" s="391">
        <v>-12500000</v>
      </c>
      <c r="L376" s="391">
        <v>-12500000</v>
      </c>
      <c r="M376" s="391">
        <v>-12500000</v>
      </c>
      <c r="N376" s="391">
        <v>-12500000</v>
      </c>
      <c r="O376" s="391">
        <v>-12500000</v>
      </c>
      <c r="P376" s="391">
        <v>-12500000</v>
      </c>
      <c r="Q376" s="391">
        <v>-12500000</v>
      </c>
      <c r="R376" s="391">
        <v>-12500000</v>
      </c>
      <c r="S376" s="618">
        <f t="shared" si="101"/>
        <v>-12500000</v>
      </c>
      <c r="T376" s="382"/>
      <c r="U376" s="833"/>
      <c r="V376" s="833"/>
      <c r="W376" s="833">
        <f t="shared" si="105"/>
        <v>-12500000</v>
      </c>
      <c r="X376" s="425"/>
      <c r="Y376" s="833"/>
      <c r="Z376" s="833"/>
      <c r="AA376" s="833"/>
      <c r="AB376" s="833"/>
      <c r="AC376" s="835">
        <f t="shared" si="106"/>
        <v>-12500000</v>
      </c>
      <c r="AD376" s="834"/>
      <c r="AE376" s="834"/>
      <c r="AF376" s="781">
        <f t="shared" si="92"/>
        <v>0</v>
      </c>
    </row>
    <row r="377" spans="1:32">
      <c r="A377" s="779">
        <f t="shared" si="94"/>
        <v>363</v>
      </c>
      <c r="B377" s="423" t="s">
        <v>1063</v>
      </c>
      <c r="C377" s="423" t="s">
        <v>586</v>
      </c>
      <c r="D377" s="423" t="s">
        <v>501</v>
      </c>
      <c r="E377" s="663" t="s">
        <v>1954</v>
      </c>
      <c r="F377" s="391">
        <v>-12500000</v>
      </c>
      <c r="G377" s="391">
        <v>-12500000</v>
      </c>
      <c r="H377" s="391">
        <v>-12500000</v>
      </c>
      <c r="I377" s="391">
        <v>-12500000</v>
      </c>
      <c r="J377" s="391">
        <v>-12500000</v>
      </c>
      <c r="K377" s="391">
        <v>-12500000</v>
      </c>
      <c r="L377" s="391">
        <v>-12500000</v>
      </c>
      <c r="M377" s="391">
        <v>-12500000</v>
      </c>
      <c r="N377" s="391">
        <v>-12500000</v>
      </c>
      <c r="O377" s="391">
        <v>-12500000</v>
      </c>
      <c r="P377" s="391">
        <v>-12500000</v>
      </c>
      <c r="Q377" s="391">
        <v>-12500000</v>
      </c>
      <c r="R377" s="391">
        <v>-12500000</v>
      </c>
      <c r="S377" s="618">
        <f t="shared" si="101"/>
        <v>-12500000</v>
      </c>
      <c r="T377" s="382"/>
      <c r="U377" s="833"/>
      <c r="V377" s="833"/>
      <c r="W377" s="833">
        <f t="shared" si="105"/>
        <v>-12500000</v>
      </c>
      <c r="X377" s="425"/>
      <c r="Y377" s="833"/>
      <c r="Z377" s="833"/>
      <c r="AA377" s="833"/>
      <c r="AB377" s="833"/>
      <c r="AC377" s="835">
        <f t="shared" si="106"/>
        <v>-12500000</v>
      </c>
      <c r="AD377" s="834"/>
      <c r="AE377" s="834"/>
      <c r="AF377" s="781">
        <f t="shared" si="92"/>
        <v>0</v>
      </c>
    </row>
    <row r="378" spans="1:32">
      <c r="A378" s="779">
        <f t="shared" si="94"/>
        <v>364</v>
      </c>
      <c r="B378" s="423" t="s">
        <v>1063</v>
      </c>
      <c r="C378" s="423" t="s">
        <v>586</v>
      </c>
      <c r="D378" s="423" t="s">
        <v>502</v>
      </c>
      <c r="E378" s="663" t="s">
        <v>1955</v>
      </c>
      <c r="F378" s="391">
        <v>-12500000</v>
      </c>
      <c r="G378" s="391">
        <v>-12500000</v>
      </c>
      <c r="H378" s="391">
        <v>-12500000</v>
      </c>
      <c r="I378" s="391">
        <v>-12500000</v>
      </c>
      <c r="J378" s="391">
        <v>-12500000</v>
      </c>
      <c r="K378" s="391">
        <v>-12500000</v>
      </c>
      <c r="L378" s="391">
        <v>-12500000</v>
      </c>
      <c r="M378" s="391">
        <v>-12500000</v>
      </c>
      <c r="N378" s="391">
        <v>-12500000</v>
      </c>
      <c r="O378" s="391">
        <v>-12500000</v>
      </c>
      <c r="P378" s="391">
        <v>-12500000</v>
      </c>
      <c r="Q378" s="391">
        <v>-12500000</v>
      </c>
      <c r="R378" s="391">
        <v>-12500000</v>
      </c>
      <c r="S378" s="618">
        <f t="shared" si="101"/>
        <v>-12500000</v>
      </c>
      <c r="T378" s="382"/>
      <c r="U378" s="833"/>
      <c r="V378" s="833"/>
      <c r="W378" s="833">
        <f t="shared" si="105"/>
        <v>-12500000</v>
      </c>
      <c r="X378" s="425"/>
      <c r="Y378" s="833"/>
      <c r="Z378" s="833"/>
      <c r="AA378" s="833"/>
      <c r="AB378" s="833"/>
      <c r="AC378" s="835">
        <f t="shared" si="106"/>
        <v>-12500000</v>
      </c>
      <c r="AD378" s="834"/>
      <c r="AE378" s="834"/>
      <c r="AF378" s="781">
        <f t="shared" si="92"/>
        <v>0</v>
      </c>
    </row>
    <row r="379" spans="1:32">
      <c r="A379" s="779">
        <f t="shared" si="94"/>
        <v>365</v>
      </c>
      <c r="B379" s="423" t="s">
        <v>1063</v>
      </c>
      <c r="C379" s="423" t="s">
        <v>586</v>
      </c>
      <c r="D379" s="423" t="s">
        <v>754</v>
      </c>
      <c r="E379" s="663" t="s">
        <v>756</v>
      </c>
      <c r="F379" s="391">
        <v>1646971.61</v>
      </c>
      <c r="G379" s="391">
        <v>1637077.15</v>
      </c>
      <c r="H379" s="391">
        <v>1626262.32</v>
      </c>
      <c r="I379" s="391">
        <v>1616372.4</v>
      </c>
      <c r="J379" s="391">
        <v>1606482.48</v>
      </c>
      <c r="K379" s="391">
        <v>1596411.2</v>
      </c>
      <c r="L379" s="391">
        <v>1586522.18</v>
      </c>
      <c r="M379" s="391">
        <v>1576633.16</v>
      </c>
      <c r="N379" s="391">
        <v>1566744.14</v>
      </c>
      <c r="O379" s="391">
        <v>1556855.12</v>
      </c>
      <c r="P379" s="391">
        <v>1546966.1</v>
      </c>
      <c r="Q379" s="391">
        <v>1535669.78</v>
      </c>
      <c r="R379" s="391">
        <v>1525788.02</v>
      </c>
      <c r="S379" s="618">
        <f t="shared" si="101"/>
        <v>1586531.3204166668</v>
      </c>
      <c r="T379" s="382"/>
      <c r="U379" s="833"/>
      <c r="V379" s="833"/>
      <c r="W379" s="833">
        <f t="shared" si="105"/>
        <v>1586531.3204166668</v>
      </c>
      <c r="X379" s="425"/>
      <c r="Y379" s="833"/>
      <c r="Z379" s="833"/>
      <c r="AA379" s="833"/>
      <c r="AB379" s="833"/>
      <c r="AC379" s="835">
        <f t="shared" si="106"/>
        <v>1586531.3204166668</v>
      </c>
      <c r="AD379" s="834"/>
      <c r="AE379" s="834"/>
      <c r="AF379" s="781">
        <f t="shared" si="92"/>
        <v>0</v>
      </c>
    </row>
    <row r="380" spans="1:32">
      <c r="A380" s="779">
        <f t="shared" si="94"/>
        <v>366</v>
      </c>
      <c r="B380" s="423" t="s">
        <v>1063</v>
      </c>
      <c r="C380" s="423" t="s">
        <v>596</v>
      </c>
      <c r="D380" s="423" t="s">
        <v>472</v>
      </c>
      <c r="E380" s="769" t="s">
        <v>597</v>
      </c>
      <c r="F380" s="405">
        <v>-17300000</v>
      </c>
      <c r="G380" s="405">
        <v>-16150000</v>
      </c>
      <c r="H380" s="405">
        <v>-14300000</v>
      </c>
      <c r="I380" s="405">
        <v>-5900000</v>
      </c>
      <c r="J380" s="405">
        <v>-4200000</v>
      </c>
      <c r="K380" s="405">
        <v>-2050000</v>
      </c>
      <c r="L380" s="405">
        <v>-4550000</v>
      </c>
      <c r="M380" s="405">
        <v>-10400000</v>
      </c>
      <c r="N380" s="405">
        <v>-21850000</v>
      </c>
      <c r="O380" s="405">
        <v>-7050000</v>
      </c>
      <c r="P380" s="405">
        <v>-19250000</v>
      </c>
      <c r="Q380" s="405">
        <v>-33850000</v>
      </c>
      <c r="R380" s="405">
        <v>-53850000</v>
      </c>
      <c r="S380" s="619">
        <f>((F380+R380)+((G380+H380+I380+J380+K380+L380+M380+N380+O380+P380+Q380)*2))/24</f>
        <v>-14593750</v>
      </c>
      <c r="T380" s="382"/>
      <c r="U380" s="833"/>
      <c r="V380" s="833"/>
      <c r="W380" s="833">
        <f t="shared" si="105"/>
        <v>-14593750</v>
      </c>
      <c r="X380" s="425"/>
      <c r="Y380" s="833"/>
      <c r="Z380" s="833"/>
      <c r="AA380" s="833"/>
      <c r="AB380" s="833"/>
      <c r="AC380" s="835">
        <f t="shared" si="106"/>
        <v>-14593750</v>
      </c>
      <c r="AD380" s="834"/>
      <c r="AE380" s="834"/>
      <c r="AF380" s="781">
        <f t="shared" si="92"/>
        <v>0</v>
      </c>
    </row>
    <row r="381" spans="1:32">
      <c r="A381" s="779">
        <f t="shared" si="94"/>
        <v>367</v>
      </c>
      <c r="B381" s="422"/>
      <c r="C381" s="422"/>
      <c r="D381" s="422"/>
      <c r="E381" s="763" t="s">
        <v>598</v>
      </c>
      <c r="F381" s="394">
        <f t="shared" ref="F381:S381" si="107">SUM(F368:F380)</f>
        <v>-230084028.38999999</v>
      </c>
      <c r="G381" s="394">
        <f t="shared" si="107"/>
        <v>-228943922.84999999</v>
      </c>
      <c r="H381" s="394">
        <f t="shared" si="107"/>
        <v>-227079737.68000001</v>
      </c>
      <c r="I381" s="394">
        <f t="shared" si="107"/>
        <v>-218689627.59999999</v>
      </c>
      <c r="J381" s="394">
        <f t="shared" si="107"/>
        <v>-216999517.52000001</v>
      </c>
      <c r="K381" s="394">
        <f t="shared" si="107"/>
        <v>-214854588.80000001</v>
      </c>
      <c r="L381" s="394">
        <f t="shared" si="107"/>
        <v>-217364477.81999999</v>
      </c>
      <c r="M381" s="394">
        <f t="shared" si="107"/>
        <v>-223224366.84</v>
      </c>
      <c r="N381" s="394">
        <f t="shared" si="107"/>
        <v>-234684255.86000001</v>
      </c>
      <c r="O381" s="394">
        <f t="shared" si="107"/>
        <v>-219894144.88</v>
      </c>
      <c r="P381" s="394">
        <f t="shared" si="107"/>
        <v>-232104033.90000001</v>
      </c>
      <c r="Q381" s="394">
        <f t="shared" si="107"/>
        <v>-246675330.22</v>
      </c>
      <c r="R381" s="394">
        <f t="shared" si="107"/>
        <v>-266685211.97999999</v>
      </c>
      <c r="S381" s="620">
        <f t="shared" si="107"/>
        <v>-227408218.67958334</v>
      </c>
      <c r="T381" s="382"/>
      <c r="U381" s="833"/>
      <c r="V381" s="833"/>
      <c r="W381" s="833"/>
      <c r="X381" s="425"/>
      <c r="Y381" s="833"/>
      <c r="Z381" s="833"/>
      <c r="AA381" s="833"/>
      <c r="AB381" s="833"/>
      <c r="AC381" s="834"/>
      <c r="AD381" s="834"/>
      <c r="AE381" s="834"/>
      <c r="AF381" s="781">
        <f t="shared" si="92"/>
        <v>0</v>
      </c>
    </row>
    <row r="382" spans="1:32" s="513" customFormat="1">
      <c r="A382" s="779">
        <f t="shared" si="94"/>
        <v>368</v>
      </c>
      <c r="B382" s="422"/>
      <c r="C382" s="422"/>
      <c r="D382" s="422"/>
      <c r="E382" s="763"/>
      <c r="F382" s="391"/>
      <c r="G382" s="420"/>
      <c r="H382" s="408"/>
      <c r="I382" s="408"/>
      <c r="J382" s="409"/>
      <c r="K382" s="410"/>
      <c r="L382" s="411"/>
      <c r="M382" s="412"/>
      <c r="N382" s="413"/>
      <c r="O382" s="414"/>
      <c r="P382" s="415"/>
      <c r="Q382" s="421"/>
      <c r="R382" s="391"/>
      <c r="S382" s="392"/>
      <c r="T382" s="422"/>
      <c r="U382" s="833"/>
      <c r="V382" s="833"/>
      <c r="W382" s="833"/>
      <c r="X382" s="425"/>
      <c r="Y382" s="833"/>
      <c r="Z382" s="833"/>
      <c r="AA382" s="833"/>
      <c r="AB382" s="833"/>
      <c r="AC382" s="834"/>
      <c r="AD382" s="834"/>
      <c r="AE382" s="834"/>
      <c r="AF382" s="781">
        <f t="shared" si="92"/>
        <v>0</v>
      </c>
    </row>
    <row r="383" spans="1:32" s="513" customFormat="1">
      <c r="A383" s="779">
        <f t="shared" si="94"/>
        <v>369</v>
      </c>
      <c r="B383" s="423" t="s">
        <v>1063</v>
      </c>
      <c r="C383" s="423" t="s">
        <v>599</v>
      </c>
      <c r="D383" s="422" t="s">
        <v>382</v>
      </c>
      <c r="E383" s="763" t="s">
        <v>600</v>
      </c>
      <c r="F383" s="391">
        <v>0</v>
      </c>
      <c r="G383" s="391">
        <v>0</v>
      </c>
      <c r="H383" s="391">
        <v>0</v>
      </c>
      <c r="I383" s="391">
        <v>0</v>
      </c>
      <c r="J383" s="391">
        <v>0</v>
      </c>
      <c r="K383" s="391">
        <v>0</v>
      </c>
      <c r="L383" s="391">
        <v>0</v>
      </c>
      <c r="M383" s="391">
        <v>0</v>
      </c>
      <c r="N383" s="391">
        <v>0</v>
      </c>
      <c r="O383" s="391">
        <v>0</v>
      </c>
      <c r="P383" s="391">
        <v>0</v>
      </c>
      <c r="Q383" s="391">
        <v>0</v>
      </c>
      <c r="R383" s="391">
        <v>0</v>
      </c>
      <c r="S383" s="392">
        <f t="shared" si="101"/>
        <v>0</v>
      </c>
      <c r="T383" s="422"/>
      <c r="U383" s="833"/>
      <c r="V383" s="833"/>
      <c r="W383" s="833">
        <f t="shared" ref="W383:W384" si="108">+S383</f>
        <v>0</v>
      </c>
      <c r="X383" s="425"/>
      <c r="Y383" s="833"/>
      <c r="Z383" s="833"/>
      <c r="AA383" s="833"/>
      <c r="AB383" s="833"/>
      <c r="AC383" s="835">
        <f>+S383</f>
        <v>0</v>
      </c>
      <c r="AD383" s="834"/>
      <c r="AE383" s="834"/>
      <c r="AF383" s="781">
        <f t="shared" si="92"/>
        <v>0</v>
      </c>
    </row>
    <row r="384" spans="1:32" s="513" customFormat="1">
      <c r="A384" s="779">
        <f t="shared" si="94"/>
        <v>370</v>
      </c>
      <c r="B384" s="423" t="s">
        <v>1063</v>
      </c>
      <c r="C384" s="423" t="s">
        <v>601</v>
      </c>
      <c r="D384" s="423" t="s">
        <v>602</v>
      </c>
      <c r="E384" s="769" t="s">
        <v>603</v>
      </c>
      <c r="F384" s="391">
        <v>0</v>
      </c>
      <c r="G384" s="391">
        <v>0</v>
      </c>
      <c r="H384" s="391">
        <v>0</v>
      </c>
      <c r="I384" s="391">
        <v>0</v>
      </c>
      <c r="J384" s="391">
        <v>0</v>
      </c>
      <c r="K384" s="391">
        <v>0</v>
      </c>
      <c r="L384" s="391">
        <v>0</v>
      </c>
      <c r="M384" s="391">
        <v>0</v>
      </c>
      <c r="N384" s="391">
        <v>0</v>
      </c>
      <c r="O384" s="391">
        <v>0</v>
      </c>
      <c r="P384" s="391">
        <v>0</v>
      </c>
      <c r="Q384" s="391">
        <v>0</v>
      </c>
      <c r="R384" s="391">
        <v>0</v>
      </c>
      <c r="S384" s="392">
        <f t="shared" si="101"/>
        <v>0</v>
      </c>
      <c r="T384" s="422"/>
      <c r="U384" s="833"/>
      <c r="V384" s="833"/>
      <c r="W384" s="833">
        <f t="shared" si="108"/>
        <v>0</v>
      </c>
      <c r="X384" s="425"/>
      <c r="Y384" s="833"/>
      <c r="Z384" s="833"/>
      <c r="AA384" s="833"/>
      <c r="AB384" s="833"/>
      <c r="AC384" s="835">
        <f>+S384</f>
        <v>0</v>
      </c>
      <c r="AD384" s="834"/>
      <c r="AE384" s="834"/>
      <c r="AF384" s="781">
        <f t="shared" si="92"/>
        <v>0</v>
      </c>
    </row>
    <row r="385" spans="1:32" s="513" customFormat="1">
      <c r="A385" s="779">
        <f t="shared" si="94"/>
        <v>371</v>
      </c>
      <c r="B385" s="422"/>
      <c r="C385" s="422"/>
      <c r="D385" s="422"/>
      <c r="E385" s="763"/>
      <c r="F385" s="391"/>
      <c r="G385" s="420"/>
      <c r="H385" s="408"/>
      <c r="I385" s="408"/>
      <c r="J385" s="409"/>
      <c r="K385" s="410"/>
      <c r="L385" s="411"/>
      <c r="M385" s="412"/>
      <c r="N385" s="413"/>
      <c r="O385" s="414"/>
      <c r="P385" s="415"/>
      <c r="Q385" s="421"/>
      <c r="R385" s="391"/>
      <c r="S385" s="392"/>
      <c r="T385" s="422"/>
      <c r="U385" s="833"/>
      <c r="V385" s="833"/>
      <c r="W385" s="833"/>
      <c r="X385" s="425"/>
      <c r="Y385" s="833"/>
      <c r="Z385" s="833"/>
      <c r="AA385" s="833"/>
      <c r="AB385" s="833"/>
      <c r="AC385" s="834"/>
      <c r="AD385" s="834"/>
      <c r="AE385" s="834"/>
      <c r="AF385" s="781">
        <f t="shared" si="92"/>
        <v>0</v>
      </c>
    </row>
    <row r="386" spans="1:32" s="513" customFormat="1">
      <c r="A386" s="779">
        <f t="shared" si="94"/>
        <v>372</v>
      </c>
      <c r="B386" s="423" t="s">
        <v>1063</v>
      </c>
      <c r="C386" s="423" t="s">
        <v>604</v>
      </c>
      <c r="D386" s="423" t="s">
        <v>539</v>
      </c>
      <c r="E386" s="763" t="s">
        <v>1956</v>
      </c>
      <c r="F386" s="391">
        <v>-3070839.47</v>
      </c>
      <c r="G386" s="391">
        <v>-2123757.98</v>
      </c>
      <c r="H386" s="391">
        <v>-2315397.48</v>
      </c>
      <c r="I386" s="391">
        <v>-1498199.67</v>
      </c>
      <c r="J386" s="391">
        <v>-2271164.38</v>
      </c>
      <c r="K386" s="391">
        <v>-2828507.28</v>
      </c>
      <c r="L386" s="391">
        <v>-2134190.5499999998</v>
      </c>
      <c r="M386" s="391">
        <v>-4064939</v>
      </c>
      <c r="N386" s="391">
        <v>-6557557.4699999997</v>
      </c>
      <c r="O386" s="391">
        <v>-3455427.92</v>
      </c>
      <c r="P386" s="391">
        <v>-4486884.1500000004</v>
      </c>
      <c r="Q386" s="391">
        <v>-4330573.6100000003</v>
      </c>
      <c r="R386" s="391">
        <v>-6429388.5499999998</v>
      </c>
      <c r="S386" s="618">
        <f t="shared" si="101"/>
        <v>-3401392.791666666</v>
      </c>
      <c r="T386" s="422"/>
      <c r="U386" s="833"/>
      <c r="V386" s="833">
        <f t="shared" ref="V386:V398" si="109">+S386</f>
        <v>-3401392.791666666</v>
      </c>
      <c r="W386" s="833"/>
      <c r="X386" s="425"/>
      <c r="Y386" s="833"/>
      <c r="Z386" s="833"/>
      <c r="AA386" s="833"/>
      <c r="AB386" s="833"/>
      <c r="AC386" s="834"/>
      <c r="AD386" s="835">
        <f t="shared" ref="AD386:AD399" si="110">+V386</f>
        <v>-3401392.791666666</v>
      </c>
      <c r="AE386" s="834"/>
      <c r="AF386" s="781">
        <f t="shared" si="92"/>
        <v>0</v>
      </c>
    </row>
    <row r="387" spans="1:32">
      <c r="A387" s="779">
        <f t="shared" si="94"/>
        <v>373</v>
      </c>
      <c r="B387" s="423" t="s">
        <v>1063</v>
      </c>
      <c r="C387" s="423" t="s">
        <v>605</v>
      </c>
      <c r="D387" s="423" t="s">
        <v>757</v>
      </c>
      <c r="E387" s="772" t="s">
        <v>1957</v>
      </c>
      <c r="F387" s="391">
        <v>-189624.16</v>
      </c>
      <c r="G387" s="391">
        <v>-38219.69</v>
      </c>
      <c r="H387" s="391">
        <v>-34276.35</v>
      </c>
      <c r="I387" s="391">
        <v>-55869.52</v>
      </c>
      <c r="J387" s="391">
        <v>-40027.61</v>
      </c>
      <c r="K387" s="391">
        <v>-112085.78</v>
      </c>
      <c r="L387" s="391">
        <v>-255917.7</v>
      </c>
      <c r="M387" s="391">
        <v>-242410.65</v>
      </c>
      <c r="N387" s="391">
        <v>-252891.51999999999</v>
      </c>
      <c r="O387" s="391">
        <v>-588341.68999999994</v>
      </c>
      <c r="P387" s="391">
        <v>-1037202.61</v>
      </c>
      <c r="Q387" s="391">
        <v>-627009.79</v>
      </c>
      <c r="R387" s="391">
        <v>-557521.93999999994</v>
      </c>
      <c r="S387" s="618">
        <f t="shared" si="101"/>
        <v>-304818.82999999996</v>
      </c>
      <c r="T387" s="382"/>
      <c r="U387" s="833"/>
      <c r="V387" s="833">
        <f t="shared" si="109"/>
        <v>-304818.82999999996</v>
      </c>
      <c r="W387" s="833"/>
      <c r="X387" s="425"/>
      <c r="Y387" s="833"/>
      <c r="Z387" s="833"/>
      <c r="AA387" s="833"/>
      <c r="AB387" s="833"/>
      <c r="AC387" s="834"/>
      <c r="AD387" s="835">
        <f t="shared" si="110"/>
        <v>-304818.82999999996</v>
      </c>
      <c r="AE387" s="834"/>
      <c r="AF387" s="781">
        <f t="shared" si="92"/>
        <v>0</v>
      </c>
    </row>
    <row r="388" spans="1:32">
      <c r="A388" s="779">
        <f t="shared" si="94"/>
        <v>374</v>
      </c>
      <c r="B388" s="423" t="s">
        <v>1063</v>
      </c>
      <c r="C388" s="423" t="s">
        <v>605</v>
      </c>
      <c r="D388" s="423" t="s">
        <v>1304</v>
      </c>
      <c r="E388" s="763" t="s">
        <v>606</v>
      </c>
      <c r="F388" s="391">
        <v>-21966194.609999999</v>
      </c>
      <c r="G388" s="391">
        <v>-19787732.48</v>
      </c>
      <c r="H388" s="391">
        <v>-13664331.699999999</v>
      </c>
      <c r="I388" s="391">
        <v>-13307495.970000001</v>
      </c>
      <c r="J388" s="391">
        <v>-10095715.27</v>
      </c>
      <c r="K388" s="391">
        <v>-7514853.4100000001</v>
      </c>
      <c r="L388" s="391">
        <v>-6443448.4900000002</v>
      </c>
      <c r="M388" s="391">
        <v>-7504343.7800000003</v>
      </c>
      <c r="N388" s="391">
        <v>-7152777.5</v>
      </c>
      <c r="O388" s="391">
        <v>-7696069.1299999999</v>
      </c>
      <c r="P388" s="391">
        <v>-9121499</v>
      </c>
      <c r="Q388" s="391">
        <v>-25832388.699999999</v>
      </c>
      <c r="R388" s="391">
        <v>-43539082.770000003</v>
      </c>
      <c r="S388" s="618">
        <f t="shared" si="101"/>
        <v>-13406107.843333334</v>
      </c>
      <c r="T388" s="382"/>
      <c r="U388" s="833"/>
      <c r="V388" s="833">
        <f t="shared" si="109"/>
        <v>-13406107.843333334</v>
      </c>
      <c r="W388" s="833"/>
      <c r="X388" s="425"/>
      <c r="Y388" s="833"/>
      <c r="Z388" s="833"/>
      <c r="AA388" s="833"/>
      <c r="AB388" s="833"/>
      <c r="AC388" s="834"/>
      <c r="AD388" s="835">
        <f t="shared" si="110"/>
        <v>-13406107.843333334</v>
      </c>
      <c r="AE388" s="834"/>
      <c r="AF388" s="781">
        <f t="shared" si="92"/>
        <v>0</v>
      </c>
    </row>
    <row r="389" spans="1:32">
      <c r="A389" s="779">
        <f t="shared" si="94"/>
        <v>375</v>
      </c>
      <c r="B389" s="423" t="s">
        <v>1063</v>
      </c>
      <c r="C389" s="423" t="s">
        <v>605</v>
      </c>
      <c r="D389" s="423" t="s">
        <v>426</v>
      </c>
      <c r="E389" s="769" t="s">
        <v>1959</v>
      </c>
      <c r="F389" s="391">
        <v>-265853.38</v>
      </c>
      <c r="G389" s="391">
        <v>0</v>
      </c>
      <c r="H389" s="391">
        <v>-45648.39</v>
      </c>
      <c r="I389" s="391">
        <v>-79738.27</v>
      </c>
      <c r="J389" s="391">
        <v>-101286.78</v>
      </c>
      <c r="K389" s="391">
        <v>-103824.04</v>
      </c>
      <c r="L389" s="391">
        <v>-125449.06</v>
      </c>
      <c r="M389" s="391">
        <v>-144091.67000000001</v>
      </c>
      <c r="N389" s="391">
        <v>-164607.32</v>
      </c>
      <c r="O389" s="391">
        <v>-184075.09</v>
      </c>
      <c r="P389" s="391">
        <v>-202484.92</v>
      </c>
      <c r="Q389" s="391">
        <v>-224365.5</v>
      </c>
      <c r="R389" s="391">
        <v>-245670.98</v>
      </c>
      <c r="S389" s="618">
        <f t="shared" si="101"/>
        <v>-135944.435</v>
      </c>
      <c r="T389" s="382"/>
      <c r="U389" s="833"/>
      <c r="V389" s="833">
        <f t="shared" si="109"/>
        <v>-135944.435</v>
      </c>
      <c r="W389" s="833"/>
      <c r="X389" s="425"/>
      <c r="Y389" s="833"/>
      <c r="Z389" s="833"/>
      <c r="AA389" s="833"/>
      <c r="AB389" s="833"/>
      <c r="AC389" s="834"/>
      <c r="AD389" s="835">
        <f t="shared" si="110"/>
        <v>-135944.435</v>
      </c>
      <c r="AE389" s="834"/>
      <c r="AF389" s="781">
        <f t="shared" si="92"/>
        <v>0</v>
      </c>
    </row>
    <row r="390" spans="1:32">
      <c r="A390" s="779">
        <f t="shared" si="94"/>
        <v>376</v>
      </c>
      <c r="B390" s="423" t="s">
        <v>1063</v>
      </c>
      <c r="C390" s="423" t="s">
        <v>605</v>
      </c>
      <c r="D390" s="423" t="s">
        <v>1305</v>
      </c>
      <c r="E390" s="769" t="s">
        <v>1958</v>
      </c>
      <c r="F390" s="391">
        <v>-2669194.88</v>
      </c>
      <c r="G390" s="391">
        <v>-1971396.65</v>
      </c>
      <c r="H390" s="391">
        <v>-1567605.58</v>
      </c>
      <c r="I390" s="391">
        <v>-2030382.68</v>
      </c>
      <c r="J390" s="391">
        <v>-2338930.25</v>
      </c>
      <c r="K390" s="391">
        <v>-4028498.02</v>
      </c>
      <c r="L390" s="391">
        <v>-5831197.6600000001</v>
      </c>
      <c r="M390" s="391">
        <v>-6863199.3799999999</v>
      </c>
      <c r="N390" s="391">
        <v>-6768688.2300000004</v>
      </c>
      <c r="O390" s="391">
        <v>-7151385.7599999998</v>
      </c>
      <c r="P390" s="391">
        <v>-6287907.9100000001</v>
      </c>
      <c r="Q390" s="391">
        <v>-5341565.2</v>
      </c>
      <c r="R390" s="391">
        <v>-11172210.310000001</v>
      </c>
      <c r="S390" s="618">
        <f t="shared" si="101"/>
        <v>-4758454.9929166669</v>
      </c>
      <c r="T390" s="382"/>
      <c r="U390" s="833"/>
      <c r="V390" s="833">
        <f t="shared" si="109"/>
        <v>-4758454.9929166669</v>
      </c>
      <c r="W390" s="833"/>
      <c r="X390" s="425"/>
      <c r="Y390" s="833"/>
      <c r="Z390" s="833"/>
      <c r="AA390" s="833"/>
      <c r="AB390" s="833"/>
      <c r="AC390" s="834"/>
      <c r="AD390" s="835">
        <f t="shared" si="110"/>
        <v>-4758454.9929166669</v>
      </c>
      <c r="AE390" s="834"/>
      <c r="AF390" s="781">
        <f t="shared" si="92"/>
        <v>0</v>
      </c>
    </row>
    <row r="391" spans="1:32">
      <c r="A391" s="779">
        <f t="shared" si="94"/>
        <v>377</v>
      </c>
      <c r="B391" s="423" t="s">
        <v>1063</v>
      </c>
      <c r="C391" s="423" t="s">
        <v>605</v>
      </c>
      <c r="D391" s="423" t="s">
        <v>1306</v>
      </c>
      <c r="E391" s="763" t="s">
        <v>607</v>
      </c>
      <c r="F391" s="391">
        <v>-662213.44999999995</v>
      </c>
      <c r="G391" s="391">
        <v>-604306.79</v>
      </c>
      <c r="H391" s="391">
        <v>-511248.94</v>
      </c>
      <c r="I391" s="391">
        <v>-427256.47</v>
      </c>
      <c r="J391" s="391">
        <v>-605787.44999999995</v>
      </c>
      <c r="K391" s="391">
        <v>-516015.09</v>
      </c>
      <c r="L391" s="391">
        <v>-494839.57</v>
      </c>
      <c r="M391" s="391">
        <v>-486733.16</v>
      </c>
      <c r="N391" s="391">
        <v>-817857.78</v>
      </c>
      <c r="O391" s="391">
        <v>-1101309.97</v>
      </c>
      <c r="P391" s="391">
        <v>-513415.82</v>
      </c>
      <c r="Q391" s="391">
        <v>-621343.18000000005</v>
      </c>
      <c r="R391" s="391">
        <v>-3247355.18</v>
      </c>
      <c r="S391" s="618">
        <f t="shared" si="101"/>
        <v>-721241.54458333331</v>
      </c>
      <c r="T391" s="382"/>
      <c r="U391" s="833"/>
      <c r="V391" s="833">
        <f t="shared" si="109"/>
        <v>-721241.54458333331</v>
      </c>
      <c r="W391" s="833"/>
      <c r="X391" s="425"/>
      <c r="Y391" s="833"/>
      <c r="Z391" s="833"/>
      <c r="AA391" s="833"/>
      <c r="AB391" s="833"/>
      <c r="AC391" s="834"/>
      <c r="AD391" s="835">
        <f t="shared" si="110"/>
        <v>-721241.54458333331</v>
      </c>
      <c r="AE391" s="834"/>
      <c r="AF391" s="781">
        <f t="shared" si="92"/>
        <v>0</v>
      </c>
    </row>
    <row r="392" spans="1:32">
      <c r="A392" s="779">
        <f t="shared" si="94"/>
        <v>378</v>
      </c>
      <c r="B392" s="423" t="s">
        <v>1063</v>
      </c>
      <c r="C392" s="423" t="s">
        <v>605</v>
      </c>
      <c r="D392" s="423" t="s">
        <v>1307</v>
      </c>
      <c r="E392" s="763" t="s">
        <v>1965</v>
      </c>
      <c r="F392" s="391">
        <v>-266.98</v>
      </c>
      <c r="G392" s="391">
        <v>-5340.97</v>
      </c>
      <c r="H392" s="391">
        <v>-14849.86</v>
      </c>
      <c r="I392" s="391">
        <v>-239.98</v>
      </c>
      <c r="J392" s="391">
        <v>-3383.39</v>
      </c>
      <c r="K392" s="391">
        <v>-2230.67</v>
      </c>
      <c r="L392" s="391">
        <v>-291.88999999999902</v>
      </c>
      <c r="M392" s="391">
        <v>-7842</v>
      </c>
      <c r="N392" s="391">
        <v>-6523.45</v>
      </c>
      <c r="O392" s="391">
        <v>-327.66999999999899</v>
      </c>
      <c r="P392" s="391">
        <v>-652.69999999999902</v>
      </c>
      <c r="Q392" s="391">
        <v>-6792.37</v>
      </c>
      <c r="R392" s="391">
        <v>-1523.6</v>
      </c>
      <c r="S392" s="618">
        <f t="shared" si="101"/>
        <v>-4114.1866666666665</v>
      </c>
      <c r="T392" s="382"/>
      <c r="U392" s="833"/>
      <c r="V392" s="833">
        <f t="shared" si="109"/>
        <v>-4114.1866666666665</v>
      </c>
      <c r="W392" s="833"/>
      <c r="X392" s="425"/>
      <c r="Y392" s="833"/>
      <c r="Z392" s="833"/>
      <c r="AA392" s="833"/>
      <c r="AB392" s="833"/>
      <c r="AC392" s="834"/>
      <c r="AD392" s="835">
        <f t="shared" si="110"/>
        <v>-4114.1866666666665</v>
      </c>
      <c r="AE392" s="834"/>
      <c r="AF392" s="781">
        <f t="shared" si="92"/>
        <v>0</v>
      </c>
    </row>
    <row r="393" spans="1:32">
      <c r="A393" s="779">
        <f t="shared" si="94"/>
        <v>379</v>
      </c>
      <c r="B393" s="423" t="s">
        <v>1063</v>
      </c>
      <c r="C393" s="423" t="s">
        <v>605</v>
      </c>
      <c r="D393" s="423" t="s">
        <v>1308</v>
      </c>
      <c r="E393" s="763" t="s">
        <v>1960</v>
      </c>
      <c r="F393" s="391">
        <v>0</v>
      </c>
      <c r="G393" s="391">
        <v>0</v>
      </c>
      <c r="H393" s="391">
        <v>0</v>
      </c>
      <c r="I393" s="391">
        <v>0</v>
      </c>
      <c r="J393" s="391">
        <v>0</v>
      </c>
      <c r="K393" s="391">
        <v>0</v>
      </c>
      <c r="L393" s="391">
        <v>0</v>
      </c>
      <c r="M393" s="391">
        <v>99.24</v>
      </c>
      <c r="N393" s="391">
        <v>0</v>
      </c>
      <c r="O393" s="391">
        <v>0</v>
      </c>
      <c r="P393" s="391">
        <v>0</v>
      </c>
      <c r="Q393" s="391">
        <v>0</v>
      </c>
      <c r="R393" s="391">
        <v>0</v>
      </c>
      <c r="S393" s="618">
        <f t="shared" si="101"/>
        <v>8.27</v>
      </c>
      <c r="T393" s="382"/>
      <c r="U393" s="833"/>
      <c r="V393" s="833">
        <f t="shared" si="109"/>
        <v>8.27</v>
      </c>
      <c r="W393" s="833"/>
      <c r="X393" s="425"/>
      <c r="Y393" s="833"/>
      <c r="Z393" s="833"/>
      <c r="AA393" s="833"/>
      <c r="AB393" s="833"/>
      <c r="AC393" s="834"/>
      <c r="AD393" s="835">
        <f t="shared" si="110"/>
        <v>8.27</v>
      </c>
      <c r="AE393" s="834"/>
      <c r="AF393" s="781">
        <f t="shared" si="92"/>
        <v>0</v>
      </c>
    </row>
    <row r="394" spans="1:32">
      <c r="A394" s="779">
        <f t="shared" si="94"/>
        <v>380</v>
      </c>
      <c r="B394" s="423" t="s">
        <v>1063</v>
      </c>
      <c r="C394" s="423" t="s">
        <v>605</v>
      </c>
      <c r="D394" s="423" t="s">
        <v>1309</v>
      </c>
      <c r="E394" s="763" t="s">
        <v>1961</v>
      </c>
      <c r="F394" s="391">
        <v>1.45519152283669E-11</v>
      </c>
      <c r="G394" s="391">
        <v>-117180.98</v>
      </c>
      <c r="H394" s="391">
        <v>-116181.9</v>
      </c>
      <c r="I394" s="391">
        <v>-116919.13</v>
      </c>
      <c r="J394" s="391">
        <v>1.45519152283669E-11</v>
      </c>
      <c r="K394" s="391">
        <v>1.45519152283669E-11</v>
      </c>
      <c r="L394" s="391">
        <v>-5883.3599999999897</v>
      </c>
      <c r="M394" s="391">
        <v>-88615.61</v>
      </c>
      <c r="N394" s="391">
        <v>-110319.8</v>
      </c>
      <c r="O394" s="391">
        <v>-109300.26</v>
      </c>
      <c r="P394" s="391">
        <v>-108470.85</v>
      </c>
      <c r="Q394" s="391">
        <v>-298.44999999999698</v>
      </c>
      <c r="R394" s="391">
        <v>2.89901436190121E-12</v>
      </c>
      <c r="S394" s="618">
        <f t="shared" si="101"/>
        <v>-64430.861666666664</v>
      </c>
      <c r="T394" s="382"/>
      <c r="U394" s="833"/>
      <c r="V394" s="833">
        <f t="shared" si="109"/>
        <v>-64430.861666666664</v>
      </c>
      <c r="W394" s="833"/>
      <c r="X394" s="425"/>
      <c r="Y394" s="833"/>
      <c r="Z394" s="833"/>
      <c r="AA394" s="833"/>
      <c r="AB394" s="833"/>
      <c r="AC394" s="834"/>
      <c r="AD394" s="835">
        <f t="shared" si="110"/>
        <v>-64430.861666666664</v>
      </c>
      <c r="AE394" s="834"/>
      <c r="AF394" s="781">
        <f t="shared" si="92"/>
        <v>0</v>
      </c>
    </row>
    <row r="395" spans="1:32">
      <c r="A395" s="779">
        <f t="shared" si="94"/>
        <v>381</v>
      </c>
      <c r="B395" s="423" t="s">
        <v>1063</v>
      </c>
      <c r="C395" s="423" t="s">
        <v>605</v>
      </c>
      <c r="D395" s="423" t="s">
        <v>1310</v>
      </c>
      <c r="E395" s="763" t="s">
        <v>1962</v>
      </c>
      <c r="F395" s="391">
        <v>-17421.45</v>
      </c>
      <c r="G395" s="391">
        <v>-19671.77</v>
      </c>
      <c r="H395" s="391">
        <v>-16777.41</v>
      </c>
      <c r="I395" s="391">
        <v>-17590.599999999999</v>
      </c>
      <c r="J395" s="391">
        <v>-16097.29</v>
      </c>
      <c r="K395" s="391">
        <v>-11714.13</v>
      </c>
      <c r="L395" s="391">
        <v>-11258.3</v>
      </c>
      <c r="M395" s="391">
        <v>-16887.54</v>
      </c>
      <c r="N395" s="391">
        <v>-16176.82</v>
      </c>
      <c r="O395" s="391">
        <v>-17489.5</v>
      </c>
      <c r="P395" s="391">
        <v>-17998.41</v>
      </c>
      <c r="Q395" s="391">
        <v>-18728.46</v>
      </c>
      <c r="R395" s="391">
        <v>-20867.39</v>
      </c>
      <c r="S395" s="618">
        <f t="shared" si="101"/>
        <v>-16627.887500000001</v>
      </c>
      <c r="T395" s="382"/>
      <c r="U395" s="833"/>
      <c r="V395" s="833">
        <f t="shared" si="109"/>
        <v>-16627.887500000001</v>
      </c>
      <c r="W395" s="833"/>
      <c r="X395" s="425"/>
      <c r="Y395" s="833"/>
      <c r="Z395" s="833"/>
      <c r="AA395" s="833"/>
      <c r="AB395" s="833"/>
      <c r="AC395" s="834"/>
      <c r="AD395" s="835">
        <f t="shared" si="110"/>
        <v>-16627.887500000001</v>
      </c>
      <c r="AE395" s="834"/>
      <c r="AF395" s="781">
        <f t="shared" si="92"/>
        <v>0</v>
      </c>
    </row>
    <row r="396" spans="1:32">
      <c r="A396" s="779">
        <f t="shared" si="94"/>
        <v>382</v>
      </c>
      <c r="B396" s="423" t="s">
        <v>1063</v>
      </c>
      <c r="C396" s="423" t="s">
        <v>605</v>
      </c>
      <c r="D396" s="423" t="s">
        <v>1311</v>
      </c>
      <c r="E396" s="763" t="s">
        <v>1963</v>
      </c>
      <c r="F396" s="391">
        <v>0</v>
      </c>
      <c r="G396" s="391">
        <v>0</v>
      </c>
      <c r="H396" s="391">
        <v>0</v>
      </c>
      <c r="I396" s="391">
        <v>0</v>
      </c>
      <c r="J396" s="391">
        <v>0</v>
      </c>
      <c r="K396" s="391">
        <v>0</v>
      </c>
      <c r="L396" s="391">
        <v>0</v>
      </c>
      <c r="M396" s="391">
        <v>0</v>
      </c>
      <c r="N396" s="391">
        <v>0</v>
      </c>
      <c r="O396" s="391">
        <v>-21479.1</v>
      </c>
      <c r="P396" s="391">
        <v>0</v>
      </c>
      <c r="Q396" s="391">
        <v>0</v>
      </c>
      <c r="R396" s="391">
        <v>0</v>
      </c>
      <c r="S396" s="618">
        <f t="shared" si="101"/>
        <v>-1789.925</v>
      </c>
      <c r="T396" s="382"/>
      <c r="U396" s="833"/>
      <c r="V396" s="833">
        <f t="shared" si="109"/>
        <v>-1789.925</v>
      </c>
      <c r="W396" s="833"/>
      <c r="X396" s="425"/>
      <c r="Y396" s="833"/>
      <c r="Z396" s="833"/>
      <c r="AA396" s="833"/>
      <c r="AB396" s="833"/>
      <c r="AC396" s="834"/>
      <c r="AD396" s="835">
        <f t="shared" si="110"/>
        <v>-1789.925</v>
      </c>
      <c r="AE396" s="834"/>
      <c r="AF396" s="781">
        <f t="shared" si="92"/>
        <v>0</v>
      </c>
    </row>
    <row r="397" spans="1:32">
      <c r="A397" s="779">
        <f t="shared" si="94"/>
        <v>383</v>
      </c>
      <c r="B397" s="423" t="s">
        <v>1063</v>
      </c>
      <c r="C397" s="423" t="s">
        <v>605</v>
      </c>
      <c r="D397" s="423" t="s">
        <v>1312</v>
      </c>
      <c r="E397" s="763" t="s">
        <v>1964</v>
      </c>
      <c r="F397" s="391">
        <v>0</v>
      </c>
      <c r="G397" s="391">
        <v>-22107.41</v>
      </c>
      <c r="H397" s="391">
        <v>-22435.83</v>
      </c>
      <c r="I397" s="391">
        <v>-23016.44</v>
      </c>
      <c r="J397" s="391">
        <v>-26.4499999999971</v>
      </c>
      <c r="K397" s="391">
        <v>2.9096725029376099E-12</v>
      </c>
      <c r="L397" s="391">
        <v>2.9096725029376099E-12</v>
      </c>
      <c r="M397" s="391">
        <v>-22153.35</v>
      </c>
      <c r="N397" s="391">
        <v>-22705.48</v>
      </c>
      <c r="O397" s="391">
        <v>-23550.04</v>
      </c>
      <c r="P397" s="391">
        <v>-23671.99</v>
      </c>
      <c r="Q397" s="391">
        <v>3.6379788070917101E-12</v>
      </c>
      <c r="R397" s="391">
        <v>3.6379788070917101E-12</v>
      </c>
      <c r="S397" s="618">
        <f t="shared" si="101"/>
        <v>-13305.582499999999</v>
      </c>
      <c r="T397" s="382"/>
      <c r="U397" s="833"/>
      <c r="V397" s="833">
        <f t="shared" si="109"/>
        <v>-13305.582499999999</v>
      </c>
      <c r="W397" s="833"/>
      <c r="X397" s="425"/>
      <c r="Y397" s="833"/>
      <c r="Z397" s="833"/>
      <c r="AA397" s="833"/>
      <c r="AB397" s="833"/>
      <c r="AC397" s="834"/>
      <c r="AD397" s="835">
        <f t="shared" si="110"/>
        <v>-13305.582499999999</v>
      </c>
      <c r="AE397" s="834"/>
      <c r="AF397" s="781">
        <f t="shared" si="92"/>
        <v>0</v>
      </c>
    </row>
    <row r="398" spans="1:32">
      <c r="A398" s="779">
        <f t="shared" si="94"/>
        <v>384</v>
      </c>
      <c r="B398" s="423" t="s">
        <v>1063</v>
      </c>
      <c r="C398" s="423" t="s">
        <v>608</v>
      </c>
      <c r="D398" s="423" t="s">
        <v>539</v>
      </c>
      <c r="E398" s="763" t="s">
        <v>609</v>
      </c>
      <c r="F398" s="391">
        <v>-927111.63</v>
      </c>
      <c r="G398" s="391">
        <v>-119686.84</v>
      </c>
      <c r="H398" s="391">
        <v>-320365.93</v>
      </c>
      <c r="I398" s="391">
        <v>-157339.4</v>
      </c>
      <c r="J398" s="391">
        <v>-824919.94</v>
      </c>
      <c r="K398" s="391">
        <v>-1408542.43</v>
      </c>
      <c r="L398" s="391">
        <v>-809604.64</v>
      </c>
      <c r="M398" s="391">
        <v>-950752.57</v>
      </c>
      <c r="N398" s="391">
        <v>-1107878.17</v>
      </c>
      <c r="O398" s="391">
        <v>-1003242.03</v>
      </c>
      <c r="P398" s="391">
        <v>-2134950.41</v>
      </c>
      <c r="Q398" s="391">
        <v>-1155697.0900000001</v>
      </c>
      <c r="R398" s="391">
        <v>-1225497.53</v>
      </c>
      <c r="S398" s="618">
        <f t="shared" si="101"/>
        <v>-922440.33583333332</v>
      </c>
      <c r="T398" s="382"/>
      <c r="U398" s="833"/>
      <c r="V398" s="833">
        <f t="shared" si="109"/>
        <v>-922440.33583333332</v>
      </c>
      <c r="W398" s="833"/>
      <c r="X398" s="425"/>
      <c r="Y398" s="833"/>
      <c r="Z398" s="833"/>
      <c r="AA398" s="833"/>
      <c r="AB398" s="833"/>
      <c r="AC398" s="834"/>
      <c r="AD398" s="835">
        <f t="shared" si="110"/>
        <v>-922440.33583333332</v>
      </c>
      <c r="AE398" s="834"/>
      <c r="AF398" s="781">
        <f t="shared" si="92"/>
        <v>0</v>
      </c>
    </row>
    <row r="399" spans="1:32">
      <c r="A399" s="779">
        <f t="shared" si="94"/>
        <v>385</v>
      </c>
      <c r="B399" s="422"/>
      <c r="C399" s="422"/>
      <c r="D399" s="422"/>
      <c r="E399" s="763"/>
      <c r="F399" s="391"/>
      <c r="G399" s="420"/>
      <c r="H399" s="408"/>
      <c r="I399" s="408"/>
      <c r="J399" s="409"/>
      <c r="K399" s="410"/>
      <c r="L399" s="411"/>
      <c r="M399" s="412"/>
      <c r="N399" s="413"/>
      <c r="O399" s="414"/>
      <c r="P399" s="415"/>
      <c r="Q399" s="421"/>
      <c r="R399" s="391"/>
      <c r="S399" s="618"/>
      <c r="T399" s="382"/>
      <c r="U399" s="833"/>
      <c r="V399" s="833"/>
      <c r="W399" s="833"/>
      <c r="X399" s="425"/>
      <c r="Y399" s="833"/>
      <c r="Z399" s="833"/>
      <c r="AA399" s="833"/>
      <c r="AB399" s="833"/>
      <c r="AC399" s="834"/>
      <c r="AD399" s="835">
        <f t="shared" si="110"/>
        <v>0</v>
      </c>
      <c r="AE399" s="834"/>
      <c r="AF399" s="781">
        <f t="shared" ref="AF399:AF462" si="111">+U399+V399-AD399</f>
        <v>0</v>
      </c>
    </row>
    <row r="400" spans="1:32">
      <c r="A400" s="779">
        <f t="shared" si="94"/>
        <v>386</v>
      </c>
      <c r="B400" s="423" t="s">
        <v>1063</v>
      </c>
      <c r="C400" s="423" t="s">
        <v>610</v>
      </c>
      <c r="D400" s="423" t="s">
        <v>430</v>
      </c>
      <c r="E400" s="765" t="s">
        <v>1706</v>
      </c>
      <c r="F400" s="391">
        <v>-1363428.29</v>
      </c>
      <c r="G400" s="391">
        <v>-1554224.84</v>
      </c>
      <c r="H400" s="391">
        <v>-1791445.43</v>
      </c>
      <c r="I400" s="391">
        <v>-1393490.55</v>
      </c>
      <c r="J400" s="391">
        <v>-1395691.25</v>
      </c>
      <c r="K400" s="391">
        <v>-1142264.6299999999</v>
      </c>
      <c r="L400" s="391">
        <v>-960915.29</v>
      </c>
      <c r="M400" s="391">
        <v>-1308587.21</v>
      </c>
      <c r="N400" s="391">
        <v>-1059495.57</v>
      </c>
      <c r="O400" s="391">
        <v>-1136177.3</v>
      </c>
      <c r="P400" s="391">
        <v>-1512179.61</v>
      </c>
      <c r="Q400" s="391">
        <v>-1344384.84</v>
      </c>
      <c r="R400" s="391">
        <v>-1704352.31</v>
      </c>
      <c r="S400" s="618">
        <f t="shared" si="101"/>
        <v>-1344395.5683333334</v>
      </c>
      <c r="T400" s="382"/>
      <c r="U400" s="833"/>
      <c r="V400" s="833"/>
      <c r="W400" s="833"/>
      <c r="X400" s="425">
        <f>+S400</f>
        <v>-1344395.5683333334</v>
      </c>
      <c r="Y400" s="833"/>
      <c r="Z400" s="833"/>
      <c r="AA400" s="833"/>
      <c r="AB400" s="833">
        <f t="shared" ref="AB400:AB407" si="112">+S400</f>
        <v>-1344395.5683333334</v>
      </c>
      <c r="AC400" s="834"/>
      <c r="AD400" s="835"/>
      <c r="AE400" s="834"/>
      <c r="AF400" s="781">
        <f t="shared" si="111"/>
        <v>0</v>
      </c>
    </row>
    <row r="401" spans="1:32">
      <c r="A401" s="779">
        <f t="shared" ref="A401:A464" si="113">+A400+1</f>
        <v>387</v>
      </c>
      <c r="B401" s="423" t="s">
        <v>1063</v>
      </c>
      <c r="C401" s="423" t="s">
        <v>610</v>
      </c>
      <c r="D401" s="423" t="s">
        <v>1707</v>
      </c>
      <c r="E401" s="763" t="s">
        <v>1966</v>
      </c>
      <c r="F401" s="391">
        <v>0</v>
      </c>
      <c r="G401" s="391">
        <v>-3127.29</v>
      </c>
      <c r="H401" s="391">
        <v>0</v>
      </c>
      <c r="I401" s="391">
        <v>0</v>
      </c>
      <c r="J401" s="391">
        <v>0</v>
      </c>
      <c r="K401" s="391">
        <v>0</v>
      </c>
      <c r="L401" s="391">
        <v>0</v>
      </c>
      <c r="M401" s="391">
        <v>0</v>
      </c>
      <c r="N401" s="391">
        <v>0</v>
      </c>
      <c r="O401" s="391">
        <v>0</v>
      </c>
      <c r="P401" s="391">
        <v>0</v>
      </c>
      <c r="Q401" s="391">
        <v>0</v>
      </c>
      <c r="R401" s="391">
        <v>0</v>
      </c>
      <c r="S401" s="618">
        <f t="shared" si="101"/>
        <v>-260.60750000000002</v>
      </c>
      <c r="T401" s="382"/>
      <c r="U401" s="833"/>
      <c r="V401" s="833"/>
      <c r="W401" s="833"/>
      <c r="X401" s="425">
        <f t="shared" ref="X401:X407" si="114">+S401</f>
        <v>-260.60750000000002</v>
      </c>
      <c r="Y401" s="833"/>
      <c r="Z401" s="833"/>
      <c r="AA401" s="833"/>
      <c r="AB401" s="833">
        <f t="shared" si="112"/>
        <v>-260.60750000000002</v>
      </c>
      <c r="AC401" s="834"/>
      <c r="AD401" s="835"/>
      <c r="AE401" s="834"/>
      <c r="AF401" s="781">
        <f t="shared" si="111"/>
        <v>0</v>
      </c>
    </row>
    <row r="402" spans="1:32">
      <c r="A402" s="779">
        <f t="shared" si="113"/>
        <v>388</v>
      </c>
      <c r="B402" s="423" t="s">
        <v>1063</v>
      </c>
      <c r="C402" s="423" t="s">
        <v>610</v>
      </c>
      <c r="D402" s="423" t="s">
        <v>1313</v>
      </c>
      <c r="E402" s="763" t="s">
        <v>1967</v>
      </c>
      <c r="F402" s="391">
        <v>-20459.330000000002</v>
      </c>
      <c r="G402" s="391">
        <v>-1062717.32</v>
      </c>
      <c r="H402" s="391">
        <v>-1161409.1200000001</v>
      </c>
      <c r="I402" s="391">
        <v>-1181675.49</v>
      </c>
      <c r="J402" s="391">
        <v>-4617.7100000002001</v>
      </c>
      <c r="K402" s="391">
        <v>-1394.0000000002001</v>
      </c>
      <c r="L402" s="391">
        <v>-45363.300000000199</v>
      </c>
      <c r="M402" s="391">
        <v>-332.000000000196</v>
      </c>
      <c r="N402" s="391">
        <v>-3030.3500000002</v>
      </c>
      <c r="O402" s="391">
        <v>-47584.330000000198</v>
      </c>
      <c r="P402" s="391">
        <v>-43944.9800000002</v>
      </c>
      <c r="Q402" s="391">
        <v>-154330.98000000001</v>
      </c>
      <c r="R402" s="391">
        <v>-154330.98000000001</v>
      </c>
      <c r="S402" s="618">
        <f t="shared" si="101"/>
        <v>-316149.56125000009</v>
      </c>
      <c r="T402" s="382"/>
      <c r="U402" s="833"/>
      <c r="V402" s="833"/>
      <c r="W402" s="833"/>
      <c r="X402" s="425">
        <f t="shared" si="114"/>
        <v>-316149.56125000009</v>
      </c>
      <c r="Y402" s="833"/>
      <c r="Z402" s="833"/>
      <c r="AA402" s="833"/>
      <c r="AB402" s="833">
        <f t="shared" si="112"/>
        <v>-316149.56125000009</v>
      </c>
      <c r="AC402" s="834"/>
      <c r="AD402" s="835"/>
      <c r="AE402" s="834"/>
      <c r="AF402" s="781">
        <f t="shared" si="111"/>
        <v>0</v>
      </c>
    </row>
    <row r="403" spans="1:32">
      <c r="A403" s="779">
        <f t="shared" si="113"/>
        <v>389</v>
      </c>
      <c r="B403" s="423" t="s">
        <v>1063</v>
      </c>
      <c r="C403" s="423" t="s">
        <v>610</v>
      </c>
      <c r="D403" s="423" t="s">
        <v>1314</v>
      </c>
      <c r="E403" s="765" t="s">
        <v>611</v>
      </c>
      <c r="F403" s="391">
        <v>-148996.9</v>
      </c>
      <c r="G403" s="391">
        <v>0</v>
      </c>
      <c r="H403" s="391">
        <v>0</v>
      </c>
      <c r="I403" s="391">
        <v>0</v>
      </c>
      <c r="J403" s="391">
        <v>0</v>
      </c>
      <c r="K403" s="391">
        <v>0</v>
      </c>
      <c r="L403" s="391">
        <v>-8328.33</v>
      </c>
      <c r="M403" s="391">
        <v>0</v>
      </c>
      <c r="N403" s="391">
        <v>0</v>
      </c>
      <c r="O403" s="391">
        <v>0</v>
      </c>
      <c r="P403" s="391">
        <v>0</v>
      </c>
      <c r="Q403" s="391">
        <v>0</v>
      </c>
      <c r="R403" s="391">
        <v>0</v>
      </c>
      <c r="S403" s="618">
        <f t="shared" si="101"/>
        <v>-6902.2316666666666</v>
      </c>
      <c r="T403" s="382"/>
      <c r="U403" s="833"/>
      <c r="V403" s="833"/>
      <c r="W403" s="833"/>
      <c r="X403" s="425">
        <f t="shared" si="114"/>
        <v>-6902.2316666666666</v>
      </c>
      <c r="Y403" s="833"/>
      <c r="Z403" s="833"/>
      <c r="AA403" s="833"/>
      <c r="AB403" s="833">
        <f t="shared" si="112"/>
        <v>-6902.2316666666666</v>
      </c>
      <c r="AC403" s="834"/>
      <c r="AD403" s="835"/>
      <c r="AE403" s="834"/>
      <c r="AF403" s="781">
        <f t="shared" si="111"/>
        <v>0</v>
      </c>
    </row>
    <row r="404" spans="1:32">
      <c r="A404" s="779">
        <f t="shared" si="113"/>
        <v>390</v>
      </c>
      <c r="B404" s="423" t="s">
        <v>1063</v>
      </c>
      <c r="C404" s="423" t="s">
        <v>610</v>
      </c>
      <c r="D404" s="423" t="s">
        <v>612</v>
      </c>
      <c r="E404" s="765" t="s">
        <v>613</v>
      </c>
      <c r="F404" s="391">
        <v>-3428.33</v>
      </c>
      <c r="G404" s="391">
        <v>-3129.15</v>
      </c>
      <c r="H404" s="391">
        <v>-283.24</v>
      </c>
      <c r="I404" s="391">
        <v>1288.8599999999999</v>
      </c>
      <c r="J404" s="391">
        <v>-2.2737367544323201E-13</v>
      </c>
      <c r="K404" s="391">
        <v>-2.2737367544323201E-13</v>
      </c>
      <c r="L404" s="391">
        <v>1108.24</v>
      </c>
      <c r="M404" s="391">
        <v>-9351.35</v>
      </c>
      <c r="N404" s="391">
        <v>-1596.21</v>
      </c>
      <c r="O404" s="391">
        <v>0</v>
      </c>
      <c r="P404" s="391">
        <v>-10688.32</v>
      </c>
      <c r="Q404" s="391">
        <v>-2560.31</v>
      </c>
      <c r="R404" s="391">
        <v>-7846.82</v>
      </c>
      <c r="S404" s="618">
        <f t="shared" si="101"/>
        <v>-2570.7545833333338</v>
      </c>
      <c r="T404" s="382"/>
      <c r="U404" s="833"/>
      <c r="V404" s="833"/>
      <c r="W404" s="833"/>
      <c r="X404" s="425">
        <f t="shared" si="114"/>
        <v>-2570.7545833333338</v>
      </c>
      <c r="Y404" s="833"/>
      <c r="Z404" s="833"/>
      <c r="AA404" s="833"/>
      <c r="AB404" s="833">
        <f t="shared" si="112"/>
        <v>-2570.7545833333338</v>
      </c>
      <c r="AC404" s="834"/>
      <c r="AD404" s="835"/>
      <c r="AE404" s="834"/>
      <c r="AF404" s="781">
        <f t="shared" si="111"/>
        <v>0</v>
      </c>
    </row>
    <row r="405" spans="1:32">
      <c r="A405" s="779">
        <f t="shared" si="113"/>
        <v>391</v>
      </c>
      <c r="B405" s="423" t="s">
        <v>1063</v>
      </c>
      <c r="C405" s="423" t="s">
        <v>610</v>
      </c>
      <c r="D405" s="423" t="s">
        <v>432</v>
      </c>
      <c r="E405" s="765" t="s">
        <v>614</v>
      </c>
      <c r="F405" s="391">
        <v>0</v>
      </c>
      <c r="G405" s="391">
        <v>0</v>
      </c>
      <c r="H405" s="391">
        <v>0</v>
      </c>
      <c r="I405" s="391">
        <v>0</v>
      </c>
      <c r="J405" s="391">
        <v>0</v>
      </c>
      <c r="K405" s="391">
        <v>0</v>
      </c>
      <c r="L405" s="391">
        <v>0</v>
      </c>
      <c r="M405" s="391">
        <v>0</v>
      </c>
      <c r="N405" s="391">
        <v>0</v>
      </c>
      <c r="O405" s="391">
        <v>0</v>
      </c>
      <c r="P405" s="391">
        <v>0</v>
      </c>
      <c r="Q405" s="391">
        <v>0</v>
      </c>
      <c r="R405" s="391">
        <v>0</v>
      </c>
      <c r="S405" s="618">
        <f t="shared" si="101"/>
        <v>0</v>
      </c>
      <c r="T405" s="382"/>
      <c r="U405" s="833"/>
      <c r="V405" s="833"/>
      <c r="W405" s="833"/>
      <c r="X405" s="425">
        <f t="shared" si="114"/>
        <v>0</v>
      </c>
      <c r="Y405" s="833"/>
      <c r="Z405" s="833"/>
      <c r="AA405" s="833"/>
      <c r="AB405" s="833">
        <f t="shared" si="112"/>
        <v>0</v>
      </c>
      <c r="AC405" s="834"/>
      <c r="AD405" s="835"/>
      <c r="AE405" s="834"/>
      <c r="AF405" s="781">
        <f t="shared" si="111"/>
        <v>0</v>
      </c>
    </row>
    <row r="406" spans="1:32" s="2" customFormat="1">
      <c r="A406" s="779">
        <f t="shared" si="113"/>
        <v>392</v>
      </c>
      <c r="B406" s="423" t="s">
        <v>1063</v>
      </c>
      <c r="C406" s="423" t="s">
        <v>610</v>
      </c>
      <c r="D406" s="423" t="s">
        <v>436</v>
      </c>
      <c r="E406" s="763" t="s">
        <v>615</v>
      </c>
      <c r="F406" s="391">
        <v>0</v>
      </c>
      <c r="G406" s="391">
        <v>0</v>
      </c>
      <c r="H406" s="391">
        <v>0</v>
      </c>
      <c r="I406" s="391">
        <v>0</v>
      </c>
      <c r="J406" s="391">
        <v>0</v>
      </c>
      <c r="K406" s="391">
        <v>0</v>
      </c>
      <c r="L406" s="391">
        <v>0</v>
      </c>
      <c r="M406" s="391">
        <v>0</v>
      </c>
      <c r="N406" s="391">
        <v>0</v>
      </c>
      <c r="O406" s="391">
        <v>0</v>
      </c>
      <c r="P406" s="391">
        <v>0</v>
      </c>
      <c r="Q406" s="391">
        <v>0</v>
      </c>
      <c r="R406" s="391">
        <v>0</v>
      </c>
      <c r="S406" s="618"/>
      <c r="T406" s="382"/>
      <c r="U406" s="833"/>
      <c r="V406" s="833"/>
      <c r="W406" s="833"/>
      <c r="X406" s="425"/>
      <c r="Y406" s="833"/>
      <c r="Z406" s="833"/>
      <c r="AA406" s="833"/>
      <c r="AB406" s="833"/>
      <c r="AC406" s="834"/>
      <c r="AD406" s="835"/>
      <c r="AE406" s="834"/>
      <c r="AF406" s="781">
        <f t="shared" si="111"/>
        <v>0</v>
      </c>
    </row>
    <row r="407" spans="1:32">
      <c r="A407" s="779">
        <f t="shared" si="113"/>
        <v>393</v>
      </c>
      <c r="B407" s="423" t="s">
        <v>1063</v>
      </c>
      <c r="C407" s="423" t="s">
        <v>610</v>
      </c>
      <c r="D407" s="423" t="s">
        <v>440</v>
      </c>
      <c r="E407" s="763" t="s">
        <v>1968</v>
      </c>
      <c r="F407" s="405">
        <v>-154488.57</v>
      </c>
      <c r="G407" s="405">
        <v>-170227.37</v>
      </c>
      <c r="H407" s="405">
        <v>-151013.84</v>
      </c>
      <c r="I407" s="405">
        <v>-146434.26</v>
      </c>
      <c r="J407" s="405">
        <v>-171847.13</v>
      </c>
      <c r="K407" s="405">
        <v>-277330.14</v>
      </c>
      <c r="L407" s="405">
        <v>-177110</v>
      </c>
      <c r="M407" s="405">
        <v>-140415.9</v>
      </c>
      <c r="N407" s="405">
        <v>-139413.17000000001</v>
      </c>
      <c r="O407" s="405">
        <v>-97915.57</v>
      </c>
      <c r="P407" s="405">
        <v>-115612.82</v>
      </c>
      <c r="Q407" s="405">
        <v>-125575.45</v>
      </c>
      <c r="R407" s="405">
        <v>-141047.06</v>
      </c>
      <c r="S407" s="618">
        <f t="shared" si="101"/>
        <v>-155055.28874999998</v>
      </c>
      <c r="T407" s="382"/>
      <c r="U407" s="833"/>
      <c r="V407" s="833"/>
      <c r="W407" s="833"/>
      <c r="X407" s="425">
        <f t="shared" si="114"/>
        <v>-155055.28874999998</v>
      </c>
      <c r="Y407" s="833"/>
      <c r="Z407" s="833"/>
      <c r="AA407" s="833"/>
      <c r="AB407" s="833">
        <f t="shared" si="112"/>
        <v>-155055.28874999998</v>
      </c>
      <c r="AC407" s="834"/>
      <c r="AD407" s="835"/>
      <c r="AE407" s="834"/>
      <c r="AF407" s="781">
        <f t="shared" si="111"/>
        <v>0</v>
      </c>
    </row>
    <row r="408" spans="1:32">
      <c r="A408" s="779">
        <f t="shared" si="113"/>
        <v>394</v>
      </c>
      <c r="B408" s="422"/>
      <c r="C408" s="422"/>
      <c r="D408" s="422"/>
      <c r="E408" s="763" t="s">
        <v>616</v>
      </c>
      <c r="F408" s="394">
        <f t="shared" ref="F408:S408" si="115">SUM(F400:F407)</f>
        <v>-1690801.4200000002</v>
      </c>
      <c r="G408" s="394">
        <f t="shared" si="115"/>
        <v>-2793425.97</v>
      </c>
      <c r="H408" s="394">
        <f t="shared" si="115"/>
        <v>-3104151.63</v>
      </c>
      <c r="I408" s="394">
        <f t="shared" si="115"/>
        <v>-2720311.4400000004</v>
      </c>
      <c r="J408" s="394">
        <f t="shared" si="115"/>
        <v>-1572156.0900000003</v>
      </c>
      <c r="K408" s="394">
        <f t="shared" si="115"/>
        <v>-1420988.77</v>
      </c>
      <c r="L408" s="394">
        <f t="shared" si="115"/>
        <v>-1190608.6800000002</v>
      </c>
      <c r="M408" s="394">
        <f t="shared" si="115"/>
        <v>-1458686.4600000002</v>
      </c>
      <c r="N408" s="394">
        <f t="shared" si="115"/>
        <v>-1203535.3</v>
      </c>
      <c r="O408" s="394">
        <f t="shared" si="115"/>
        <v>-1281677.2000000004</v>
      </c>
      <c r="P408" s="394">
        <f t="shared" si="115"/>
        <v>-1682425.7300000004</v>
      </c>
      <c r="Q408" s="394">
        <f t="shared" si="115"/>
        <v>-1626851.58</v>
      </c>
      <c r="R408" s="394">
        <f t="shared" si="115"/>
        <v>-2007577.1700000002</v>
      </c>
      <c r="S408" s="620">
        <f t="shared" si="115"/>
        <v>-1825334.0120833335</v>
      </c>
      <c r="T408" s="382"/>
      <c r="U408" s="833"/>
      <c r="V408" s="833"/>
      <c r="W408" s="833"/>
      <c r="X408" s="425"/>
      <c r="Y408" s="833"/>
      <c r="Z408" s="833"/>
      <c r="AA408" s="833"/>
      <c r="AB408" s="833"/>
      <c r="AC408" s="834"/>
      <c r="AD408" s="834"/>
      <c r="AE408" s="834"/>
      <c r="AF408" s="781">
        <f t="shared" si="111"/>
        <v>0</v>
      </c>
    </row>
    <row r="409" spans="1:32">
      <c r="A409" s="779">
        <f t="shared" si="113"/>
        <v>395</v>
      </c>
      <c r="B409" s="422"/>
      <c r="C409" s="422"/>
      <c r="D409" s="422"/>
      <c r="E409" s="763"/>
      <c r="F409" s="391"/>
      <c r="G409" s="420"/>
      <c r="H409" s="408"/>
      <c r="I409" s="408"/>
      <c r="J409" s="409"/>
      <c r="K409" s="410"/>
      <c r="L409" s="411"/>
      <c r="M409" s="412"/>
      <c r="N409" s="413"/>
      <c r="O409" s="414"/>
      <c r="P409" s="415"/>
      <c r="Q409" s="421"/>
      <c r="R409" s="391"/>
      <c r="S409" s="392"/>
      <c r="T409" s="382"/>
      <c r="U409" s="833"/>
      <c r="V409" s="833"/>
      <c r="W409" s="833"/>
      <c r="X409" s="425"/>
      <c r="Y409" s="833"/>
      <c r="Z409" s="833"/>
      <c r="AA409" s="833"/>
      <c r="AB409" s="833"/>
      <c r="AC409" s="834"/>
      <c r="AD409" s="834"/>
      <c r="AE409" s="834"/>
      <c r="AF409" s="781">
        <f t="shared" si="111"/>
        <v>0</v>
      </c>
    </row>
    <row r="410" spans="1:32">
      <c r="A410" s="779">
        <f t="shared" si="113"/>
        <v>396</v>
      </c>
      <c r="B410" s="423" t="s">
        <v>1063</v>
      </c>
      <c r="C410" s="423" t="s">
        <v>617</v>
      </c>
      <c r="D410" s="422" t="s">
        <v>83</v>
      </c>
      <c r="E410" s="763" t="s">
        <v>1971</v>
      </c>
      <c r="F410" s="391">
        <v>0</v>
      </c>
      <c r="G410" s="391">
        <v>0</v>
      </c>
      <c r="H410" s="391">
        <v>0</v>
      </c>
      <c r="I410" s="391">
        <v>0</v>
      </c>
      <c r="J410" s="391">
        <v>-159.9</v>
      </c>
      <c r="K410" s="391">
        <v>0</v>
      </c>
      <c r="L410" s="391">
        <v>-509.02</v>
      </c>
      <c r="M410" s="391">
        <v>-9667.42</v>
      </c>
      <c r="N410" s="391">
        <v>-14970.74</v>
      </c>
      <c r="O410" s="391">
        <v>-14261.62</v>
      </c>
      <c r="P410" s="391">
        <v>1.8189894035458601E-12</v>
      </c>
      <c r="Q410" s="391">
        <v>-340.449999999998</v>
      </c>
      <c r="R410" s="391">
        <v>1.8189894035458601E-12</v>
      </c>
      <c r="S410" s="618">
        <f t="shared" si="101"/>
        <v>-3325.7625000000003</v>
      </c>
      <c r="T410" s="382"/>
      <c r="U410" s="833"/>
      <c r="V410" s="833">
        <f t="shared" ref="V410:V413" si="116">+S410</f>
        <v>-3325.7625000000003</v>
      </c>
      <c r="W410" s="833"/>
      <c r="X410" s="425"/>
      <c r="Y410" s="833"/>
      <c r="Z410" s="833"/>
      <c r="AA410" s="833"/>
      <c r="AB410" s="833"/>
      <c r="AC410" s="834"/>
      <c r="AD410" s="835">
        <f t="shared" ref="AD410:AD413" si="117">+V410</f>
        <v>-3325.7625000000003</v>
      </c>
      <c r="AE410" s="834"/>
      <c r="AF410" s="781">
        <f t="shared" si="111"/>
        <v>0</v>
      </c>
    </row>
    <row r="411" spans="1:32" s="2" customFormat="1">
      <c r="A411" s="779">
        <f t="shared" si="113"/>
        <v>397</v>
      </c>
      <c r="B411" s="423" t="s">
        <v>1063</v>
      </c>
      <c r="C411" s="423" t="s">
        <v>617</v>
      </c>
      <c r="D411" s="422" t="s">
        <v>1708</v>
      </c>
      <c r="E411" s="763" t="s">
        <v>1972</v>
      </c>
      <c r="F411" s="391">
        <v>0</v>
      </c>
      <c r="G411" s="391">
        <v>0</v>
      </c>
      <c r="H411" s="391">
        <v>0</v>
      </c>
      <c r="I411" s="391">
        <v>0</v>
      </c>
      <c r="J411" s="391">
        <v>0</v>
      </c>
      <c r="K411" s="391">
        <v>0</v>
      </c>
      <c r="L411" s="391">
        <v>0</v>
      </c>
      <c r="M411" s="391">
        <v>-593.05999999999995</v>
      </c>
      <c r="N411" s="391">
        <v>-1049.1500000000001</v>
      </c>
      <c r="O411" s="391">
        <v>-1474.78</v>
      </c>
      <c r="P411" s="391">
        <v>-442.87</v>
      </c>
      <c r="Q411" s="391">
        <v>-878.43</v>
      </c>
      <c r="R411" s="391">
        <v>-1309.05</v>
      </c>
      <c r="S411" s="618">
        <f t="shared" si="101"/>
        <v>-424.40124999999995</v>
      </c>
      <c r="T411" s="382"/>
      <c r="U411" s="833"/>
      <c r="V411" s="833">
        <f t="shared" si="116"/>
        <v>-424.40124999999995</v>
      </c>
      <c r="W411" s="833"/>
      <c r="X411" s="425"/>
      <c r="Y411" s="833"/>
      <c r="Z411" s="833"/>
      <c r="AA411" s="833"/>
      <c r="AB411" s="833"/>
      <c r="AC411" s="834"/>
      <c r="AD411" s="835">
        <f t="shared" si="117"/>
        <v>-424.40124999999995</v>
      </c>
      <c r="AE411" s="834"/>
      <c r="AF411" s="781">
        <f t="shared" si="111"/>
        <v>0</v>
      </c>
    </row>
    <row r="412" spans="1:32">
      <c r="A412" s="779">
        <f t="shared" si="113"/>
        <v>398</v>
      </c>
      <c r="B412" s="423" t="s">
        <v>1063</v>
      </c>
      <c r="C412" s="423" t="s">
        <v>618</v>
      </c>
      <c r="D412" s="423" t="s">
        <v>539</v>
      </c>
      <c r="E412" s="763" t="s">
        <v>1969</v>
      </c>
      <c r="F412" s="391">
        <v>0</v>
      </c>
      <c r="G412" s="391">
        <v>0</v>
      </c>
      <c r="H412" s="391">
        <v>0</v>
      </c>
      <c r="I412" s="391">
        <v>0</v>
      </c>
      <c r="J412" s="391">
        <v>-297.32</v>
      </c>
      <c r="K412" s="391">
        <v>0</v>
      </c>
      <c r="L412" s="391">
        <v>-11623.42</v>
      </c>
      <c r="M412" s="391">
        <v>-71907.649999999994</v>
      </c>
      <c r="N412" s="391">
        <v>-114929.45</v>
      </c>
      <c r="O412" s="391">
        <v>-116821.54</v>
      </c>
      <c r="P412" s="391">
        <v>-1.45519152283669E-11</v>
      </c>
      <c r="Q412" s="391">
        <v>-512.78000000001498</v>
      </c>
      <c r="R412" s="391">
        <v>-1.45519152283669E-11</v>
      </c>
      <c r="S412" s="618">
        <f t="shared" si="101"/>
        <v>-26341.013333333336</v>
      </c>
      <c r="T412" s="382"/>
      <c r="U412" s="833"/>
      <c r="V412" s="833">
        <f t="shared" si="116"/>
        <v>-26341.013333333336</v>
      </c>
      <c r="W412" s="833"/>
      <c r="X412" s="425"/>
      <c r="Y412" s="833"/>
      <c r="Z412" s="833"/>
      <c r="AA412" s="833"/>
      <c r="AB412" s="833"/>
      <c r="AC412" s="834"/>
      <c r="AD412" s="835">
        <f t="shared" si="117"/>
        <v>-26341.013333333336</v>
      </c>
      <c r="AE412" s="834"/>
      <c r="AF412" s="781">
        <f t="shared" si="111"/>
        <v>0</v>
      </c>
    </row>
    <row r="413" spans="1:32">
      <c r="A413" s="779">
        <f t="shared" si="113"/>
        <v>399</v>
      </c>
      <c r="B413" s="423" t="s">
        <v>1063</v>
      </c>
      <c r="C413" s="423" t="s">
        <v>618</v>
      </c>
      <c r="D413" s="423" t="s">
        <v>573</v>
      </c>
      <c r="E413" s="763" t="s">
        <v>1970</v>
      </c>
      <c r="F413" s="391">
        <v>-2.2737367544323201E-13</v>
      </c>
      <c r="G413" s="391">
        <v>0</v>
      </c>
      <c r="H413" s="391">
        <v>0</v>
      </c>
      <c r="I413" s="391">
        <v>0</v>
      </c>
      <c r="J413" s="391">
        <v>-157.27000000000001</v>
      </c>
      <c r="K413" s="391">
        <v>0</v>
      </c>
      <c r="L413" s="391">
        <v>-3730.89</v>
      </c>
      <c r="M413" s="391">
        <v>-60236.74</v>
      </c>
      <c r="N413" s="391">
        <v>-81925.81</v>
      </c>
      <c r="O413" s="391">
        <v>-82034.210000000006</v>
      </c>
      <c r="P413" s="391">
        <v>1.45519152283669E-11</v>
      </c>
      <c r="Q413" s="391">
        <v>-443.26999999998498</v>
      </c>
      <c r="R413" s="391">
        <v>1.45519152283669E-11</v>
      </c>
      <c r="S413" s="618">
        <f t="shared" si="101"/>
        <v>-19044.015833333331</v>
      </c>
      <c r="T413" s="382"/>
      <c r="U413" s="833"/>
      <c r="V413" s="833">
        <f t="shared" si="116"/>
        <v>-19044.015833333331</v>
      </c>
      <c r="W413" s="833"/>
      <c r="X413" s="425"/>
      <c r="Y413" s="833"/>
      <c r="Z413" s="833"/>
      <c r="AA413" s="833"/>
      <c r="AB413" s="833"/>
      <c r="AC413" s="834"/>
      <c r="AD413" s="835">
        <f t="shared" si="117"/>
        <v>-19044.015833333331</v>
      </c>
      <c r="AE413" s="834"/>
      <c r="AF413" s="781">
        <f t="shared" si="111"/>
        <v>0</v>
      </c>
    </row>
    <row r="414" spans="1:32" s="513" customFormat="1">
      <c r="A414" s="779">
        <f t="shared" si="113"/>
        <v>400</v>
      </c>
      <c r="B414" s="422"/>
      <c r="C414" s="422"/>
      <c r="D414" s="422"/>
      <c r="E414" s="763" t="s">
        <v>619</v>
      </c>
      <c r="F414" s="394">
        <f t="shared" ref="F414:S414" si="118">SUM(F410:F413)</f>
        <v>-2.2737367544323201E-13</v>
      </c>
      <c r="G414" s="394">
        <f t="shared" si="118"/>
        <v>0</v>
      </c>
      <c r="H414" s="394">
        <f t="shared" si="118"/>
        <v>0</v>
      </c>
      <c r="I414" s="394">
        <f t="shared" si="118"/>
        <v>0</v>
      </c>
      <c r="J414" s="394">
        <f t="shared" si="118"/>
        <v>-614.49</v>
      </c>
      <c r="K414" s="394">
        <f t="shared" si="118"/>
        <v>0</v>
      </c>
      <c r="L414" s="394">
        <f t="shared" si="118"/>
        <v>-15863.33</v>
      </c>
      <c r="M414" s="394">
        <f t="shared" si="118"/>
        <v>-142404.87</v>
      </c>
      <c r="N414" s="394">
        <f t="shared" si="118"/>
        <v>-212875.15</v>
      </c>
      <c r="O414" s="394">
        <f t="shared" si="118"/>
        <v>-214592.15000000002</v>
      </c>
      <c r="P414" s="394">
        <f t="shared" si="118"/>
        <v>-442.86999999999819</v>
      </c>
      <c r="Q414" s="394">
        <f t="shared" si="118"/>
        <v>-2174.9299999999976</v>
      </c>
      <c r="R414" s="394">
        <f t="shared" si="118"/>
        <v>-1309.0499999999981</v>
      </c>
      <c r="S414" s="620">
        <f t="shared" si="118"/>
        <v>-49135.192916666667</v>
      </c>
      <c r="T414" s="422"/>
      <c r="U414" s="833"/>
      <c r="V414" s="833"/>
      <c r="W414" s="833"/>
      <c r="X414" s="425"/>
      <c r="Y414" s="833"/>
      <c r="Z414" s="833"/>
      <c r="AA414" s="833"/>
      <c r="AB414" s="833"/>
      <c r="AC414" s="834"/>
      <c r="AD414" s="834"/>
      <c r="AE414" s="834"/>
      <c r="AF414" s="781">
        <f t="shared" si="111"/>
        <v>0</v>
      </c>
    </row>
    <row r="415" spans="1:32" s="513" customFormat="1">
      <c r="A415" s="779">
        <f t="shared" si="113"/>
        <v>401</v>
      </c>
      <c r="B415" s="422"/>
      <c r="C415" s="422"/>
      <c r="D415" s="422"/>
      <c r="E415" s="763"/>
      <c r="F415" s="391"/>
      <c r="G415" s="420"/>
      <c r="H415" s="408"/>
      <c r="I415" s="408"/>
      <c r="J415" s="409"/>
      <c r="K415" s="410"/>
      <c r="L415" s="411"/>
      <c r="M415" s="412"/>
      <c r="N415" s="413"/>
      <c r="O415" s="414"/>
      <c r="P415" s="415"/>
      <c r="Q415" s="421"/>
      <c r="R415" s="391"/>
      <c r="S415" s="392"/>
      <c r="T415" s="422"/>
      <c r="U415" s="833"/>
      <c r="V415" s="833"/>
      <c r="W415" s="833"/>
      <c r="X415" s="425"/>
      <c r="Y415" s="833"/>
      <c r="Z415" s="833"/>
      <c r="AA415" s="833"/>
      <c r="AB415" s="833"/>
      <c r="AC415" s="834"/>
      <c r="AD415" s="834"/>
      <c r="AE415" s="834"/>
      <c r="AF415" s="781">
        <f t="shared" si="111"/>
        <v>0</v>
      </c>
    </row>
    <row r="416" spans="1:32" s="513" customFormat="1">
      <c r="A416" s="779">
        <f t="shared" si="113"/>
        <v>402</v>
      </c>
      <c r="B416" s="422"/>
      <c r="C416" s="422"/>
      <c r="D416" s="422"/>
      <c r="E416" s="763" t="s">
        <v>620</v>
      </c>
      <c r="F416" s="394">
        <f t="shared" ref="F416:S416" si="119">SUM(F383:F398)+F408+F414</f>
        <v>-31459521.429999996</v>
      </c>
      <c r="G416" s="394">
        <f t="shared" si="119"/>
        <v>-27602827.529999994</v>
      </c>
      <c r="H416" s="394">
        <f t="shared" si="119"/>
        <v>-21733270.999999996</v>
      </c>
      <c r="I416" s="394">
        <f t="shared" si="119"/>
        <v>-20434359.57</v>
      </c>
      <c r="J416" s="394">
        <f t="shared" si="119"/>
        <v>-17870109.389999997</v>
      </c>
      <c r="K416" s="394">
        <f t="shared" si="119"/>
        <v>-17947259.619999997</v>
      </c>
      <c r="L416" s="394">
        <f t="shared" si="119"/>
        <v>-17318553.23</v>
      </c>
      <c r="M416" s="394">
        <f t="shared" si="119"/>
        <v>-21992960.800000004</v>
      </c>
      <c r="N416" s="394">
        <f t="shared" si="119"/>
        <v>-24394393.989999998</v>
      </c>
      <c r="O416" s="394">
        <f t="shared" si="119"/>
        <v>-22848267.510000002</v>
      </c>
      <c r="P416" s="394">
        <f t="shared" si="119"/>
        <v>-25618007.370000005</v>
      </c>
      <c r="Q416" s="394">
        <f t="shared" si="119"/>
        <v>-39787788.860000007</v>
      </c>
      <c r="R416" s="394">
        <f t="shared" si="119"/>
        <v>-68448004.469999999</v>
      </c>
      <c r="S416" s="620">
        <f t="shared" si="119"/>
        <v>-25625130.151666664</v>
      </c>
      <c r="T416" s="422"/>
      <c r="U416" s="833"/>
      <c r="V416" s="833"/>
      <c r="W416" s="833"/>
      <c r="X416" s="425"/>
      <c r="Y416" s="833"/>
      <c r="Z416" s="833"/>
      <c r="AA416" s="833"/>
      <c r="AB416" s="833"/>
      <c r="AC416" s="834"/>
      <c r="AD416" s="834"/>
      <c r="AE416" s="834"/>
      <c r="AF416" s="781">
        <f t="shared" si="111"/>
        <v>0</v>
      </c>
    </row>
    <row r="417" spans="1:32">
      <c r="A417" s="779">
        <f t="shared" si="113"/>
        <v>403</v>
      </c>
      <c r="B417" s="422"/>
      <c r="C417" s="422"/>
      <c r="D417" s="422"/>
      <c r="E417" s="763"/>
      <c r="F417" s="391"/>
      <c r="G417" s="420"/>
      <c r="H417" s="408"/>
      <c r="I417" s="408"/>
      <c r="J417" s="409"/>
      <c r="K417" s="410"/>
      <c r="L417" s="411"/>
      <c r="M417" s="412"/>
      <c r="N417" s="413"/>
      <c r="O417" s="414"/>
      <c r="P417" s="415"/>
      <c r="Q417" s="421"/>
      <c r="R417" s="391"/>
      <c r="S417" s="392"/>
      <c r="T417" s="382"/>
      <c r="U417" s="833"/>
      <c r="V417" s="833"/>
      <c r="W417" s="833"/>
      <c r="X417" s="425"/>
      <c r="Y417" s="833"/>
      <c r="Z417" s="833"/>
      <c r="AA417" s="833"/>
      <c r="AB417" s="833"/>
      <c r="AC417" s="834"/>
      <c r="AD417" s="834"/>
      <c r="AE417" s="834"/>
      <c r="AF417" s="781">
        <f t="shared" si="111"/>
        <v>0</v>
      </c>
    </row>
    <row r="418" spans="1:32">
      <c r="A418" s="779">
        <f t="shared" si="113"/>
        <v>404</v>
      </c>
      <c r="B418" s="423" t="s">
        <v>1063</v>
      </c>
      <c r="C418" s="423" t="s">
        <v>621</v>
      </c>
      <c r="D418" s="423" t="s">
        <v>1303</v>
      </c>
      <c r="E418" s="763" t="s">
        <v>622</v>
      </c>
      <c r="F418" s="391">
        <v>0</v>
      </c>
      <c r="G418" s="391">
        <v>0</v>
      </c>
      <c r="H418" s="391">
        <v>0</v>
      </c>
      <c r="I418" s="391">
        <v>0</v>
      </c>
      <c r="J418" s="391">
        <v>0</v>
      </c>
      <c r="K418" s="391">
        <v>0</v>
      </c>
      <c r="L418" s="391">
        <v>0</v>
      </c>
      <c r="M418" s="391">
        <v>0</v>
      </c>
      <c r="N418" s="391">
        <v>0</v>
      </c>
      <c r="O418" s="391">
        <v>0</v>
      </c>
      <c r="P418" s="391">
        <v>0</v>
      </c>
      <c r="Q418" s="391">
        <v>0</v>
      </c>
      <c r="R418" s="391">
        <v>0</v>
      </c>
      <c r="S418" s="618">
        <f t="shared" ref="S418:S618" si="120">((F418+R418)+((G418+H418+I418+J418+K418+L418+M418+N418+O418+P418+Q418)*2))/24</f>
        <v>0</v>
      </c>
      <c r="T418" s="382"/>
      <c r="U418" s="833"/>
      <c r="V418" s="833">
        <f t="shared" ref="V418:V439" si="121">+S418</f>
        <v>0</v>
      </c>
      <c r="W418" s="833"/>
      <c r="X418" s="425"/>
      <c r="Y418" s="833"/>
      <c r="Z418" s="833"/>
      <c r="AA418" s="833"/>
      <c r="AB418" s="833"/>
      <c r="AC418" s="834"/>
      <c r="AD418" s="835">
        <f t="shared" ref="AD418:AD435" si="122">+V418</f>
        <v>0</v>
      </c>
      <c r="AE418" s="834"/>
      <c r="AF418" s="781">
        <f t="shared" si="111"/>
        <v>0</v>
      </c>
    </row>
    <row r="419" spans="1:32">
      <c r="A419" s="779">
        <f t="shared" si="113"/>
        <v>405</v>
      </c>
      <c r="B419" s="423" t="s">
        <v>1063</v>
      </c>
      <c r="C419" s="423" t="s">
        <v>623</v>
      </c>
      <c r="D419" s="423" t="s">
        <v>1056</v>
      </c>
      <c r="E419" s="763" t="s">
        <v>1973</v>
      </c>
      <c r="F419" s="391">
        <v>-378996.92000000097</v>
      </c>
      <c r="G419" s="391">
        <v>-2743003.72</v>
      </c>
      <c r="H419" s="391">
        <v>-4661609.8</v>
      </c>
      <c r="I419" s="391">
        <v>-5708883.4000000004</v>
      </c>
      <c r="J419" s="391">
        <v>-4423949.57</v>
      </c>
      <c r="K419" s="391">
        <v>-4138743.33</v>
      </c>
      <c r="L419" s="391">
        <v>-3449112.34</v>
      </c>
      <c r="M419" s="391">
        <v>-2355704.71</v>
      </c>
      <c r="N419" s="391">
        <v>-1063505.19</v>
      </c>
      <c r="O419" s="391">
        <v>9.3132257461547893E-10</v>
      </c>
      <c r="P419" s="391">
        <v>9.3132257461547893E-10</v>
      </c>
      <c r="Q419" s="391">
        <v>9.3132257461547893E-10</v>
      </c>
      <c r="R419" s="391">
        <v>9.3132257461547893E-10</v>
      </c>
      <c r="S419" s="618">
        <f t="shared" si="120"/>
        <v>-2394500.8766666669</v>
      </c>
      <c r="T419" s="382"/>
      <c r="U419" s="833"/>
      <c r="V419" s="833">
        <f t="shared" si="121"/>
        <v>-2394500.8766666669</v>
      </c>
      <c r="W419" s="833"/>
      <c r="X419" s="425"/>
      <c r="Y419" s="833"/>
      <c r="Z419" s="833"/>
      <c r="AA419" s="833"/>
      <c r="AB419" s="833"/>
      <c r="AC419" s="834"/>
      <c r="AD419" s="835">
        <f t="shared" si="122"/>
        <v>-2394500.8766666669</v>
      </c>
      <c r="AE419" s="834"/>
      <c r="AF419" s="781">
        <f t="shared" si="111"/>
        <v>0</v>
      </c>
    </row>
    <row r="420" spans="1:32">
      <c r="A420" s="779">
        <f t="shared" si="113"/>
        <v>406</v>
      </c>
      <c r="B420" s="423" t="s">
        <v>1094</v>
      </c>
      <c r="C420" s="423" t="s">
        <v>623</v>
      </c>
      <c r="D420" s="423" t="s">
        <v>494</v>
      </c>
      <c r="E420" s="763" t="s">
        <v>622</v>
      </c>
      <c r="F420" s="391">
        <v>-2.91038304567337E-11</v>
      </c>
      <c r="G420" s="391">
        <v>-123017.18</v>
      </c>
      <c r="H420" s="391">
        <v>-290270.48</v>
      </c>
      <c r="I420" s="391">
        <v>-400550.26</v>
      </c>
      <c r="J420" s="391">
        <v>27860.71</v>
      </c>
      <c r="K420" s="391">
        <v>53498.22</v>
      </c>
      <c r="L420" s="391">
        <v>114533.38</v>
      </c>
      <c r="M420" s="391">
        <v>210922.85</v>
      </c>
      <c r="N420" s="391">
        <v>324700.31</v>
      </c>
      <c r="O420" s="391">
        <v>0</v>
      </c>
      <c r="P420" s="391">
        <v>0</v>
      </c>
      <c r="Q420" s="391">
        <v>0</v>
      </c>
      <c r="R420" s="391">
        <v>0</v>
      </c>
      <c r="S420" s="618">
        <f t="shared" si="120"/>
        <v>-6860.2041666666692</v>
      </c>
      <c r="T420" s="382"/>
      <c r="U420" s="833"/>
      <c r="V420" s="833">
        <f t="shared" si="121"/>
        <v>-6860.2041666666692</v>
      </c>
      <c r="W420" s="833"/>
      <c r="X420" s="425"/>
      <c r="Y420" s="833"/>
      <c r="Z420" s="833"/>
      <c r="AA420" s="833"/>
      <c r="AB420" s="833"/>
      <c r="AC420" s="834"/>
      <c r="AD420" s="835">
        <f t="shared" si="122"/>
        <v>-6860.2041666666692</v>
      </c>
      <c r="AE420" s="834"/>
      <c r="AF420" s="781">
        <f t="shared" si="111"/>
        <v>0</v>
      </c>
    </row>
    <row r="421" spans="1:32">
      <c r="A421" s="779">
        <f t="shared" si="113"/>
        <v>407</v>
      </c>
      <c r="B421" s="423" t="s">
        <v>1063</v>
      </c>
      <c r="C421" s="423" t="s">
        <v>624</v>
      </c>
      <c r="D421" s="423" t="s">
        <v>1055</v>
      </c>
      <c r="E421" s="763" t="s">
        <v>1974</v>
      </c>
      <c r="F421" s="391">
        <v>-99745.18</v>
      </c>
      <c r="G421" s="391">
        <v>-41406.76</v>
      </c>
      <c r="H421" s="391">
        <v>-41700.6</v>
      </c>
      <c r="I421" s="391">
        <v>-57848.44</v>
      </c>
      <c r="J421" s="391">
        <v>-67589.86</v>
      </c>
      <c r="K421" s="391">
        <v>-87739.32</v>
      </c>
      <c r="L421" s="391">
        <v>-108297.72</v>
      </c>
      <c r="M421" s="391">
        <v>-104293.54</v>
      </c>
      <c r="N421" s="391">
        <v>-163545.32</v>
      </c>
      <c r="O421" s="391">
        <v>-163563.78</v>
      </c>
      <c r="P421" s="391">
        <v>-105871.88</v>
      </c>
      <c r="Q421" s="391">
        <v>-122225.72</v>
      </c>
      <c r="R421" s="391">
        <v>-129565.47</v>
      </c>
      <c r="S421" s="618">
        <f t="shared" si="120"/>
        <v>-98228.188749999987</v>
      </c>
      <c r="T421" s="382"/>
      <c r="U421" s="833"/>
      <c r="V421" s="833">
        <f t="shared" si="121"/>
        <v>-98228.188749999987</v>
      </c>
      <c r="W421" s="833"/>
      <c r="X421" s="425"/>
      <c r="Y421" s="833"/>
      <c r="Z421" s="833"/>
      <c r="AA421" s="833"/>
      <c r="AB421" s="833"/>
      <c r="AC421" s="834"/>
      <c r="AD421" s="835">
        <f t="shared" si="122"/>
        <v>-98228.188749999987</v>
      </c>
      <c r="AE421" s="834"/>
      <c r="AF421" s="781">
        <f t="shared" si="111"/>
        <v>0</v>
      </c>
    </row>
    <row r="422" spans="1:32">
      <c r="A422" s="779">
        <f t="shared" si="113"/>
        <v>408</v>
      </c>
      <c r="B422" s="423" t="s">
        <v>1063</v>
      </c>
      <c r="C422" s="423" t="s">
        <v>624</v>
      </c>
      <c r="D422" s="423" t="s">
        <v>1304</v>
      </c>
      <c r="E422" s="763" t="s">
        <v>1975</v>
      </c>
      <c r="F422" s="391">
        <v>0</v>
      </c>
      <c r="G422" s="391">
        <v>0</v>
      </c>
      <c r="H422" s="391">
        <v>0</v>
      </c>
      <c r="I422" s="391">
        <v>0</v>
      </c>
      <c r="J422" s="391">
        <v>-40594.78</v>
      </c>
      <c r="K422" s="391">
        <v>-52857.93</v>
      </c>
      <c r="L422" s="391">
        <v>-68294.06</v>
      </c>
      <c r="M422" s="391">
        <v>-75484.52</v>
      </c>
      <c r="N422" s="391">
        <v>-85312.88</v>
      </c>
      <c r="O422" s="391">
        <v>-93244</v>
      </c>
      <c r="P422" s="391">
        <v>-102301.38</v>
      </c>
      <c r="Q422" s="391">
        <v>-111187.99</v>
      </c>
      <c r="R422" s="391">
        <v>-91467.8</v>
      </c>
      <c r="S422" s="618">
        <f t="shared" si="120"/>
        <v>-56250.953333333338</v>
      </c>
      <c r="T422" s="382"/>
      <c r="U422" s="833"/>
      <c r="V422" s="833">
        <f t="shared" si="121"/>
        <v>-56250.953333333338</v>
      </c>
      <c r="W422" s="833"/>
      <c r="X422" s="425"/>
      <c r="Y422" s="833"/>
      <c r="Z422" s="833"/>
      <c r="AA422" s="833"/>
      <c r="AB422" s="833"/>
      <c r="AC422" s="834"/>
      <c r="AD422" s="835">
        <f t="shared" si="122"/>
        <v>-56250.953333333338</v>
      </c>
      <c r="AE422" s="834"/>
      <c r="AF422" s="781">
        <f t="shared" si="111"/>
        <v>0</v>
      </c>
    </row>
    <row r="423" spans="1:32">
      <c r="A423" s="779">
        <f t="shared" si="113"/>
        <v>409</v>
      </c>
      <c r="B423" s="423" t="s">
        <v>1063</v>
      </c>
      <c r="C423" s="423" t="s">
        <v>624</v>
      </c>
      <c r="D423" s="423" t="s">
        <v>1056</v>
      </c>
      <c r="E423" s="763" t="s">
        <v>1976</v>
      </c>
      <c r="F423" s="391">
        <v>-8184.64</v>
      </c>
      <c r="G423" s="391">
        <v>-16763.88</v>
      </c>
      <c r="H423" s="391">
        <v>-14623.35</v>
      </c>
      <c r="I423" s="391">
        <v>-14684.58</v>
      </c>
      <c r="J423" s="391">
        <v>-87.1299999999992</v>
      </c>
      <c r="K423" s="391">
        <v>-218.70999999999901</v>
      </c>
      <c r="L423" s="391">
        <v>-511.86999999999898</v>
      </c>
      <c r="M423" s="391">
        <v>-439.42999999999898</v>
      </c>
      <c r="N423" s="391">
        <v>-752.31999999999903</v>
      </c>
      <c r="O423" s="391">
        <v>-897.64999999999895</v>
      </c>
      <c r="P423" s="391">
        <v>-52.479999999999301</v>
      </c>
      <c r="Q423" s="391">
        <v>-270.94999999999902</v>
      </c>
      <c r="R423" s="391">
        <v>-10477.540000000001</v>
      </c>
      <c r="S423" s="618">
        <f t="shared" si="120"/>
        <v>-4886.12</v>
      </c>
      <c r="T423" s="382"/>
      <c r="U423" s="833"/>
      <c r="V423" s="833">
        <f t="shared" si="121"/>
        <v>-4886.12</v>
      </c>
      <c r="W423" s="833"/>
      <c r="X423" s="425"/>
      <c r="Y423" s="833"/>
      <c r="Z423" s="833"/>
      <c r="AA423" s="833"/>
      <c r="AB423" s="833"/>
      <c r="AC423" s="834"/>
      <c r="AD423" s="835">
        <f t="shared" si="122"/>
        <v>-4886.12</v>
      </c>
      <c r="AE423" s="834"/>
      <c r="AF423" s="781">
        <f t="shared" si="111"/>
        <v>0</v>
      </c>
    </row>
    <row r="424" spans="1:32">
      <c r="A424" s="779">
        <f t="shared" si="113"/>
        <v>410</v>
      </c>
      <c r="B424" s="423" t="s">
        <v>1063</v>
      </c>
      <c r="C424" s="423" t="s">
        <v>624</v>
      </c>
      <c r="D424" s="423" t="s">
        <v>83</v>
      </c>
      <c r="E424" s="763" t="s">
        <v>1977</v>
      </c>
      <c r="F424" s="391">
        <v>-4873.74</v>
      </c>
      <c r="G424" s="391">
        <v>-10628.12</v>
      </c>
      <c r="H424" s="391">
        <v>-19188.23</v>
      </c>
      <c r="I424" s="391">
        <v>-25378.93</v>
      </c>
      <c r="J424" s="391">
        <v>-7569.77</v>
      </c>
      <c r="K424" s="391">
        <v>-11544.14</v>
      </c>
      <c r="L424" s="391">
        <v>-13148.46</v>
      </c>
      <c r="M424" s="391">
        <v>-1429.77</v>
      </c>
      <c r="N424" s="391">
        <v>-2093.81</v>
      </c>
      <c r="O424" s="391">
        <v>-2524.46</v>
      </c>
      <c r="P424" s="391">
        <v>-583.30999999999904</v>
      </c>
      <c r="Q424" s="391">
        <v>-961.10999999999899</v>
      </c>
      <c r="R424" s="391">
        <v>-5803.23</v>
      </c>
      <c r="S424" s="618">
        <f t="shared" si="120"/>
        <v>-8365.7162499999995</v>
      </c>
      <c r="T424" s="382"/>
      <c r="U424" s="833"/>
      <c r="V424" s="833">
        <f t="shared" si="121"/>
        <v>-8365.7162499999995</v>
      </c>
      <c r="W424" s="833"/>
      <c r="X424" s="425"/>
      <c r="Y424" s="833"/>
      <c r="Z424" s="833"/>
      <c r="AA424" s="833"/>
      <c r="AB424" s="833"/>
      <c r="AC424" s="834"/>
      <c r="AD424" s="835">
        <f t="shared" si="122"/>
        <v>-8365.7162499999995</v>
      </c>
      <c r="AE424" s="834"/>
      <c r="AF424" s="781">
        <f t="shared" si="111"/>
        <v>0</v>
      </c>
    </row>
    <row r="425" spans="1:32">
      <c r="A425" s="779">
        <f t="shared" si="113"/>
        <v>411</v>
      </c>
      <c r="B425" s="423" t="s">
        <v>1063</v>
      </c>
      <c r="C425" s="423" t="s">
        <v>624</v>
      </c>
      <c r="D425" s="422" t="s">
        <v>1273</v>
      </c>
      <c r="E425" s="763" t="s">
        <v>1978</v>
      </c>
      <c r="F425" s="391">
        <v>0</v>
      </c>
      <c r="G425" s="391">
        <v>0</v>
      </c>
      <c r="H425" s="391">
        <v>0</v>
      </c>
      <c r="I425" s="391">
        <v>0</v>
      </c>
      <c r="J425" s="391">
        <v>0</v>
      </c>
      <c r="K425" s="391">
        <v>0</v>
      </c>
      <c r="L425" s="391">
        <v>0</v>
      </c>
      <c r="M425" s="391">
        <v>0</v>
      </c>
      <c r="N425" s="391">
        <v>0</v>
      </c>
      <c r="O425" s="391">
        <v>23060.92</v>
      </c>
      <c r="P425" s="391">
        <v>0</v>
      </c>
      <c r="Q425" s="391">
        <v>0</v>
      </c>
      <c r="R425" s="391">
        <v>-985.4</v>
      </c>
      <c r="S425" s="618">
        <f t="shared" si="120"/>
        <v>1880.6849999999997</v>
      </c>
      <c r="T425" s="382"/>
      <c r="U425" s="833"/>
      <c r="V425" s="833">
        <f t="shared" si="121"/>
        <v>1880.6849999999997</v>
      </c>
      <c r="W425" s="833"/>
      <c r="X425" s="425"/>
      <c r="Y425" s="833"/>
      <c r="Z425" s="833"/>
      <c r="AA425" s="833"/>
      <c r="AB425" s="833"/>
      <c r="AC425" s="834"/>
      <c r="AD425" s="835">
        <f t="shared" si="122"/>
        <v>1880.6849999999997</v>
      </c>
      <c r="AE425" s="834"/>
      <c r="AF425" s="781">
        <f t="shared" si="111"/>
        <v>0</v>
      </c>
    </row>
    <row r="426" spans="1:32">
      <c r="A426" s="779">
        <f t="shared" si="113"/>
        <v>412</v>
      </c>
      <c r="B426" s="423" t="s">
        <v>1063</v>
      </c>
      <c r="C426" s="423" t="s">
        <v>624</v>
      </c>
      <c r="D426" s="423" t="s">
        <v>1709</v>
      </c>
      <c r="E426" s="763" t="s">
        <v>1979</v>
      </c>
      <c r="F426" s="391">
        <v>0</v>
      </c>
      <c r="G426" s="391">
        <v>-317.66000000000003</v>
      </c>
      <c r="H426" s="391">
        <v>-614.73</v>
      </c>
      <c r="I426" s="391">
        <v>-934.75</v>
      </c>
      <c r="J426" s="391">
        <v>-1250.9100000000001</v>
      </c>
      <c r="K426" s="391">
        <v>-680.76</v>
      </c>
      <c r="L426" s="391">
        <v>-985.74</v>
      </c>
      <c r="M426" s="391">
        <v>-1317.78</v>
      </c>
      <c r="N426" s="391">
        <v>-2562.17</v>
      </c>
      <c r="O426" s="391">
        <v>-1042.8699999999999</v>
      </c>
      <c r="P426" s="391">
        <v>-2196.7399999999998</v>
      </c>
      <c r="Q426" s="391">
        <v>0</v>
      </c>
      <c r="R426" s="391">
        <v>0</v>
      </c>
      <c r="S426" s="618">
        <f t="shared" si="120"/>
        <v>-992.0091666666666</v>
      </c>
      <c r="T426" s="382"/>
      <c r="U426" s="833"/>
      <c r="V426" s="833">
        <f t="shared" si="121"/>
        <v>-992.0091666666666</v>
      </c>
      <c r="W426" s="833"/>
      <c r="X426" s="425"/>
      <c r="Y426" s="833"/>
      <c r="Z426" s="833"/>
      <c r="AA426" s="833"/>
      <c r="AB426" s="833"/>
      <c r="AC426" s="834"/>
      <c r="AD426" s="835">
        <f t="shared" si="122"/>
        <v>-992.0091666666666</v>
      </c>
      <c r="AE426" s="834"/>
      <c r="AF426" s="781">
        <f t="shared" si="111"/>
        <v>0</v>
      </c>
    </row>
    <row r="427" spans="1:32">
      <c r="A427" s="779">
        <f t="shared" si="113"/>
        <v>413</v>
      </c>
      <c r="B427" s="423" t="s">
        <v>1063</v>
      </c>
      <c r="C427" s="423" t="s">
        <v>624</v>
      </c>
      <c r="D427" s="423" t="s">
        <v>106</v>
      </c>
      <c r="E427" s="763" t="s">
        <v>1980</v>
      </c>
      <c r="F427" s="391">
        <v>-7995.68</v>
      </c>
      <c r="G427" s="391">
        <v>-15578.65</v>
      </c>
      <c r="H427" s="391">
        <v>-30237.46</v>
      </c>
      <c r="I427" s="391">
        <v>-38973.519999999997</v>
      </c>
      <c r="J427" s="391">
        <v>-11041.66</v>
      </c>
      <c r="K427" s="391">
        <v>-17935.84</v>
      </c>
      <c r="L427" s="391">
        <v>-22567.200000000001</v>
      </c>
      <c r="M427" s="391">
        <v>-5188.04</v>
      </c>
      <c r="N427" s="391">
        <v>-7156.66</v>
      </c>
      <c r="O427" s="391">
        <v>-8092.39</v>
      </c>
      <c r="P427" s="391">
        <v>-1318.04</v>
      </c>
      <c r="Q427" s="391">
        <v>-2026.31</v>
      </c>
      <c r="R427" s="391">
        <v>-9109.7999999999993</v>
      </c>
      <c r="S427" s="618">
        <f t="shared" si="120"/>
        <v>-14055.709166666669</v>
      </c>
      <c r="T427" s="382"/>
      <c r="U427" s="833"/>
      <c r="V427" s="833">
        <f t="shared" si="121"/>
        <v>-14055.709166666669</v>
      </c>
      <c r="W427" s="833"/>
      <c r="X427" s="425"/>
      <c r="Y427" s="833"/>
      <c r="Z427" s="833"/>
      <c r="AA427" s="833"/>
      <c r="AB427" s="833"/>
      <c r="AC427" s="834"/>
      <c r="AD427" s="835">
        <f t="shared" si="122"/>
        <v>-14055.709166666669</v>
      </c>
      <c r="AE427" s="834"/>
      <c r="AF427" s="781">
        <f t="shared" si="111"/>
        <v>0</v>
      </c>
    </row>
    <row r="428" spans="1:32">
      <c r="A428" s="779">
        <f t="shared" si="113"/>
        <v>414</v>
      </c>
      <c r="B428" s="423" t="s">
        <v>1063</v>
      </c>
      <c r="C428" s="423" t="s">
        <v>624</v>
      </c>
      <c r="D428" s="423" t="s">
        <v>1710</v>
      </c>
      <c r="E428" s="763" t="s">
        <v>1981</v>
      </c>
      <c r="F428" s="391">
        <v>0</v>
      </c>
      <c r="G428" s="391">
        <v>-4875.83</v>
      </c>
      <c r="H428" s="391">
        <v>-10024.57</v>
      </c>
      <c r="I428" s="391">
        <v>-15442.13</v>
      </c>
      <c r="J428" s="391">
        <v>-22047.64</v>
      </c>
      <c r="K428" s="391">
        <v>-10758.37</v>
      </c>
      <c r="L428" s="391">
        <v>-15763.15</v>
      </c>
      <c r="M428" s="391">
        <v>-22586.720000000001</v>
      </c>
      <c r="N428" s="391">
        <v>-43640</v>
      </c>
      <c r="O428" s="391">
        <v>-73713.27</v>
      </c>
      <c r="P428" s="391">
        <v>-54167.5</v>
      </c>
      <c r="Q428" s="391">
        <v>0</v>
      </c>
      <c r="R428" s="391">
        <v>-71423.69</v>
      </c>
      <c r="S428" s="618">
        <f t="shared" si="120"/>
        <v>-25727.585416666669</v>
      </c>
      <c r="T428" s="382"/>
      <c r="U428" s="833"/>
      <c r="V428" s="833">
        <f t="shared" si="121"/>
        <v>-25727.585416666669</v>
      </c>
      <c r="W428" s="833"/>
      <c r="X428" s="425"/>
      <c r="Y428" s="833"/>
      <c r="Z428" s="833"/>
      <c r="AA428" s="833"/>
      <c r="AB428" s="833"/>
      <c r="AC428" s="834"/>
      <c r="AD428" s="835">
        <f t="shared" si="122"/>
        <v>-25727.585416666669</v>
      </c>
      <c r="AE428" s="834"/>
      <c r="AF428" s="781">
        <f t="shared" si="111"/>
        <v>0</v>
      </c>
    </row>
    <row r="429" spans="1:32">
      <c r="A429" s="779">
        <f t="shared" si="113"/>
        <v>415</v>
      </c>
      <c r="B429" s="423" t="s">
        <v>1063</v>
      </c>
      <c r="C429" s="423" t="s">
        <v>625</v>
      </c>
      <c r="D429" s="423"/>
      <c r="E429" s="763" t="s">
        <v>1982</v>
      </c>
      <c r="F429" s="391">
        <v>-22907.64</v>
      </c>
      <c r="G429" s="391">
        <v>-32929.69</v>
      </c>
      <c r="H429" s="391">
        <v>-15380.52</v>
      </c>
      <c r="I429" s="391">
        <v>-29435.86</v>
      </c>
      <c r="J429" s="391">
        <v>-7849.57</v>
      </c>
      <c r="K429" s="391">
        <v>-6933.32</v>
      </c>
      <c r="L429" s="391">
        <v>-17480.84</v>
      </c>
      <c r="M429" s="391">
        <v>-18943.650000000001</v>
      </c>
      <c r="N429" s="391">
        <v>-13359.02</v>
      </c>
      <c r="O429" s="391">
        <v>-1014.56</v>
      </c>
      <c r="P429" s="391">
        <v>-5246.55</v>
      </c>
      <c r="Q429" s="391">
        <v>-5201.03</v>
      </c>
      <c r="R429" s="391">
        <v>-4512.1000000000004</v>
      </c>
      <c r="S429" s="618">
        <f t="shared" si="120"/>
        <v>-13957.039999999999</v>
      </c>
      <c r="T429" s="382"/>
      <c r="U429" s="833"/>
      <c r="V429" s="833">
        <f t="shared" si="121"/>
        <v>-13957.039999999999</v>
      </c>
      <c r="W429" s="833"/>
      <c r="X429" s="425"/>
      <c r="Y429" s="833"/>
      <c r="Z429" s="833"/>
      <c r="AA429" s="833"/>
      <c r="AB429" s="833"/>
      <c r="AC429" s="834"/>
      <c r="AD429" s="835">
        <f t="shared" si="122"/>
        <v>-13957.039999999999</v>
      </c>
      <c r="AE429" s="834"/>
      <c r="AF429" s="781">
        <f t="shared" si="111"/>
        <v>0</v>
      </c>
    </row>
    <row r="430" spans="1:32">
      <c r="A430" s="779">
        <f t="shared" si="113"/>
        <v>416</v>
      </c>
      <c r="B430" s="423" t="s">
        <v>1066</v>
      </c>
      <c r="C430" s="423" t="s">
        <v>625</v>
      </c>
      <c r="D430" s="423" t="s">
        <v>539</v>
      </c>
      <c r="E430" s="763" t="s">
        <v>2013</v>
      </c>
      <c r="F430" s="391">
        <v>-14.37</v>
      </c>
      <c r="G430" s="391">
        <v>-20.82</v>
      </c>
      <c r="H430" s="391">
        <v>0</v>
      </c>
      <c r="I430" s="391">
        <v>-23.49</v>
      </c>
      <c r="J430" s="391">
        <v>-34.29</v>
      </c>
      <c r="K430" s="391">
        <v>-65.98</v>
      </c>
      <c r="L430" s="391">
        <v>-28.54</v>
      </c>
      <c r="M430" s="391">
        <v>-13.6</v>
      </c>
      <c r="N430" s="391">
        <v>-2.7700000000000098</v>
      </c>
      <c r="O430" s="391">
        <v>-6.66133814775094E-15</v>
      </c>
      <c r="P430" s="391">
        <v>-23.89</v>
      </c>
      <c r="Q430" s="391">
        <v>-7.1054273576010003E-15</v>
      </c>
      <c r="R430" s="391">
        <v>-26.14</v>
      </c>
      <c r="S430" s="618">
        <f t="shared" si="120"/>
        <v>-19.469583333333333</v>
      </c>
      <c r="T430" s="382"/>
      <c r="U430" s="833"/>
      <c r="V430" s="833">
        <f t="shared" si="121"/>
        <v>-19.469583333333333</v>
      </c>
      <c r="W430" s="833"/>
      <c r="X430" s="425"/>
      <c r="Y430" s="833"/>
      <c r="Z430" s="833"/>
      <c r="AA430" s="833"/>
      <c r="AB430" s="833"/>
      <c r="AC430" s="834"/>
      <c r="AD430" s="835">
        <f t="shared" si="122"/>
        <v>-19.469583333333333</v>
      </c>
      <c r="AE430" s="834"/>
      <c r="AF430" s="781">
        <f t="shared" si="111"/>
        <v>0</v>
      </c>
    </row>
    <row r="431" spans="1:32">
      <c r="A431" s="779">
        <f t="shared" si="113"/>
        <v>417</v>
      </c>
      <c r="B431" s="423" t="s">
        <v>1094</v>
      </c>
      <c r="C431" s="423" t="s">
        <v>626</v>
      </c>
      <c r="D431" s="423" t="s">
        <v>1055</v>
      </c>
      <c r="E431" s="763" t="s">
        <v>2014</v>
      </c>
      <c r="F431" s="391">
        <v>0</v>
      </c>
      <c r="G431" s="391">
        <v>0</v>
      </c>
      <c r="H431" s="391">
        <v>0</v>
      </c>
      <c r="I431" s="391">
        <v>0</v>
      </c>
      <c r="J431" s="391">
        <v>0</v>
      </c>
      <c r="K431" s="391">
        <v>0</v>
      </c>
      <c r="L431" s="391">
        <v>0</v>
      </c>
      <c r="M431" s="391">
        <v>-140320</v>
      </c>
      <c r="N431" s="391">
        <v>-280640</v>
      </c>
      <c r="O431" s="391">
        <v>-420960</v>
      </c>
      <c r="P431" s="391">
        <v>-561280</v>
      </c>
      <c r="Q431" s="391">
        <v>0</v>
      </c>
      <c r="R431" s="391">
        <v>0</v>
      </c>
      <c r="S431" s="618">
        <f t="shared" si="120"/>
        <v>-116933.33333333333</v>
      </c>
      <c r="T431" s="382"/>
      <c r="U431" s="833"/>
      <c r="V431" s="833">
        <f t="shared" si="121"/>
        <v>-116933.33333333333</v>
      </c>
      <c r="W431" s="833"/>
      <c r="X431" s="425"/>
      <c r="Y431" s="833"/>
      <c r="Z431" s="833"/>
      <c r="AA431" s="833"/>
      <c r="AB431" s="833"/>
      <c r="AC431" s="834"/>
      <c r="AD431" s="835">
        <f t="shared" si="122"/>
        <v>-116933.33333333333</v>
      </c>
      <c r="AE431" s="834"/>
      <c r="AF431" s="781">
        <f t="shared" si="111"/>
        <v>0</v>
      </c>
    </row>
    <row r="432" spans="1:32">
      <c r="A432" s="779">
        <f t="shared" si="113"/>
        <v>418</v>
      </c>
      <c r="B432" s="423" t="s">
        <v>1094</v>
      </c>
      <c r="C432" s="423" t="s">
        <v>626</v>
      </c>
      <c r="D432" s="423" t="s">
        <v>492</v>
      </c>
      <c r="E432" s="763" t="s">
        <v>2004</v>
      </c>
      <c r="F432" s="391">
        <v>-728132.45</v>
      </c>
      <c r="G432" s="391">
        <v>-575054.42000000004</v>
      </c>
      <c r="H432" s="391">
        <v>-721405.78</v>
      </c>
      <c r="I432" s="391">
        <v>-936950.4</v>
      </c>
      <c r="J432" s="391">
        <v>-340276.66</v>
      </c>
      <c r="K432" s="391">
        <v>-378832.98</v>
      </c>
      <c r="L432" s="391">
        <v>-412794.44</v>
      </c>
      <c r="M432" s="391">
        <v>-129657.86</v>
      </c>
      <c r="N432" s="391">
        <v>-160852.4</v>
      </c>
      <c r="O432" s="391">
        <v>-220693.77</v>
      </c>
      <c r="P432" s="391">
        <v>-207891.45</v>
      </c>
      <c r="Q432" s="391">
        <v>-409864.6</v>
      </c>
      <c r="R432" s="391">
        <v>-709456.17</v>
      </c>
      <c r="S432" s="618">
        <f t="shared" si="120"/>
        <v>-434422.42250000004</v>
      </c>
      <c r="T432" s="382"/>
      <c r="U432" s="833"/>
      <c r="V432" s="833">
        <f t="shared" si="121"/>
        <v>-434422.42250000004</v>
      </c>
      <c r="W432" s="833"/>
      <c r="X432" s="425"/>
      <c r="Y432" s="833"/>
      <c r="Z432" s="833"/>
      <c r="AA432" s="833"/>
      <c r="AB432" s="833"/>
      <c r="AC432" s="834"/>
      <c r="AD432" s="835">
        <f t="shared" si="122"/>
        <v>-434422.42250000004</v>
      </c>
      <c r="AE432" s="834"/>
      <c r="AF432" s="781">
        <f t="shared" si="111"/>
        <v>0</v>
      </c>
    </row>
    <row r="433" spans="1:32">
      <c r="A433" s="779">
        <f t="shared" si="113"/>
        <v>419</v>
      </c>
      <c r="B433" s="423" t="s">
        <v>1066</v>
      </c>
      <c r="C433" s="423" t="s">
        <v>626</v>
      </c>
      <c r="D433" s="423" t="s">
        <v>1055</v>
      </c>
      <c r="E433" s="763" t="s">
        <v>2014</v>
      </c>
      <c r="F433" s="391">
        <v>-2723571.73</v>
      </c>
      <c r="G433" s="391">
        <v>-2961384.73</v>
      </c>
      <c r="H433" s="391">
        <v>-3199197.73</v>
      </c>
      <c r="I433" s="391">
        <v>-3437010.73</v>
      </c>
      <c r="J433" s="391">
        <v>-2319375</v>
      </c>
      <c r="K433" s="391">
        <v>-2566089</v>
      </c>
      <c r="L433" s="391">
        <v>-2805682.13</v>
      </c>
      <c r="M433" s="391">
        <v>-3045275.13</v>
      </c>
      <c r="N433" s="391">
        <v>-1739723</v>
      </c>
      <c r="O433" s="391">
        <v>-1957188</v>
      </c>
      <c r="P433" s="391">
        <v>-2174653</v>
      </c>
      <c r="Q433" s="391">
        <v>-2392118</v>
      </c>
      <c r="R433" s="391">
        <v>-2609583</v>
      </c>
      <c r="S433" s="618">
        <f t="shared" si="120"/>
        <v>-2605356.1512499996</v>
      </c>
      <c r="T433" s="382"/>
      <c r="U433" s="833"/>
      <c r="V433" s="833">
        <f t="shared" si="121"/>
        <v>-2605356.1512499996</v>
      </c>
      <c r="W433" s="833"/>
      <c r="X433" s="425"/>
      <c r="Y433" s="833"/>
      <c r="Z433" s="833"/>
      <c r="AA433" s="833"/>
      <c r="AB433" s="833"/>
      <c r="AC433" s="834"/>
      <c r="AD433" s="835">
        <f t="shared" si="122"/>
        <v>-2605356.1512499996</v>
      </c>
      <c r="AE433" s="834"/>
      <c r="AF433" s="781">
        <f t="shared" si="111"/>
        <v>0</v>
      </c>
    </row>
    <row r="434" spans="1:32">
      <c r="A434" s="779">
        <f t="shared" si="113"/>
        <v>420</v>
      </c>
      <c r="B434" s="423" t="s">
        <v>1066</v>
      </c>
      <c r="C434" s="423" t="s">
        <v>626</v>
      </c>
      <c r="D434" s="423" t="s">
        <v>492</v>
      </c>
      <c r="E434" s="763" t="s">
        <v>2004</v>
      </c>
      <c r="F434" s="391">
        <v>-25177.11</v>
      </c>
      <c r="G434" s="391">
        <v>-32458.83</v>
      </c>
      <c r="H434" s="391">
        <v>-24800.98</v>
      </c>
      <c r="I434" s="391">
        <v>-30777.07</v>
      </c>
      <c r="J434" s="391">
        <v>-22118.87</v>
      </c>
      <c r="K434" s="391">
        <v>-16650.46</v>
      </c>
      <c r="L434" s="391">
        <v>-9212.24</v>
      </c>
      <c r="M434" s="391">
        <v>-8026.73</v>
      </c>
      <c r="N434" s="391">
        <v>-6834.81</v>
      </c>
      <c r="O434" s="391">
        <v>-6637.07</v>
      </c>
      <c r="P434" s="391">
        <v>-9284.09</v>
      </c>
      <c r="Q434" s="391">
        <v>-14266.02</v>
      </c>
      <c r="R434" s="391">
        <v>-21934.62</v>
      </c>
      <c r="S434" s="618">
        <f t="shared" si="120"/>
        <v>-17051.919583333332</v>
      </c>
      <c r="T434" s="382"/>
      <c r="U434" s="833"/>
      <c r="V434" s="833">
        <f t="shared" si="121"/>
        <v>-17051.919583333332</v>
      </c>
      <c r="W434" s="833"/>
      <c r="X434" s="425"/>
      <c r="Y434" s="833"/>
      <c r="Z434" s="833"/>
      <c r="AA434" s="833"/>
      <c r="AB434" s="833"/>
      <c r="AC434" s="834"/>
      <c r="AD434" s="835">
        <f t="shared" si="122"/>
        <v>-17051.919583333332</v>
      </c>
      <c r="AE434" s="834"/>
      <c r="AF434" s="781">
        <f t="shared" si="111"/>
        <v>0</v>
      </c>
    </row>
    <row r="435" spans="1:32">
      <c r="A435" s="779">
        <f t="shared" si="113"/>
        <v>421</v>
      </c>
      <c r="B435" s="423" t="s">
        <v>1066</v>
      </c>
      <c r="C435" s="423" t="s">
        <v>626</v>
      </c>
      <c r="D435" s="423" t="s">
        <v>494</v>
      </c>
      <c r="E435" s="763" t="s">
        <v>2015</v>
      </c>
      <c r="F435" s="391">
        <v>-1472281.44</v>
      </c>
      <c r="G435" s="391">
        <v>-1752186.07</v>
      </c>
      <c r="H435" s="391">
        <v>-1524555.55</v>
      </c>
      <c r="I435" s="391">
        <v>-1888150.6</v>
      </c>
      <c r="J435" s="391">
        <v>-1038255.43</v>
      </c>
      <c r="K435" s="391">
        <v>-836688.67</v>
      </c>
      <c r="L435" s="391">
        <v>-720998.43</v>
      </c>
      <c r="M435" s="391">
        <v>-410296.32000000001</v>
      </c>
      <c r="N435" s="391">
        <v>-459178.41</v>
      </c>
      <c r="O435" s="391">
        <v>-503174.24</v>
      </c>
      <c r="P435" s="391">
        <v>-547186.64</v>
      </c>
      <c r="Q435" s="391">
        <v>-827952.79</v>
      </c>
      <c r="R435" s="391">
        <v>-1426163.81</v>
      </c>
      <c r="S435" s="618">
        <f t="shared" si="120"/>
        <v>-996487.14791666681</v>
      </c>
      <c r="T435" s="382"/>
      <c r="U435" s="833"/>
      <c r="V435" s="833">
        <f t="shared" si="121"/>
        <v>-996487.14791666681</v>
      </c>
      <c r="W435" s="833"/>
      <c r="X435" s="425"/>
      <c r="Y435" s="833"/>
      <c r="Z435" s="833"/>
      <c r="AA435" s="833"/>
      <c r="AB435" s="833"/>
      <c r="AC435" s="834"/>
      <c r="AD435" s="835">
        <f t="shared" si="122"/>
        <v>-996487.14791666681</v>
      </c>
      <c r="AE435" s="834"/>
      <c r="AF435" s="781">
        <f t="shared" si="111"/>
        <v>0</v>
      </c>
    </row>
    <row r="436" spans="1:32" s="513" customFormat="1">
      <c r="A436" s="779">
        <f t="shared" si="113"/>
        <v>422</v>
      </c>
      <c r="B436" s="423" t="s">
        <v>1066</v>
      </c>
      <c r="C436" s="423" t="s">
        <v>626</v>
      </c>
      <c r="D436" s="423" t="s">
        <v>466</v>
      </c>
      <c r="E436" s="763" t="s">
        <v>2016</v>
      </c>
      <c r="F436" s="391">
        <v>-10135.92</v>
      </c>
      <c r="G436" s="391">
        <v>-12940.62</v>
      </c>
      <c r="H436" s="391">
        <v>-8011.66</v>
      </c>
      <c r="I436" s="391">
        <v>-9396.16</v>
      </c>
      <c r="J436" s="391">
        <v>-6155.57</v>
      </c>
      <c r="K436" s="391">
        <v>-3427.35</v>
      </c>
      <c r="L436" s="391">
        <v>-2193.56</v>
      </c>
      <c r="M436" s="391">
        <v>-2168.2199999999998</v>
      </c>
      <c r="N436" s="391">
        <v>-3017.88</v>
      </c>
      <c r="O436" s="391">
        <v>-2613.8200000000002</v>
      </c>
      <c r="P436" s="391">
        <v>-4363.41</v>
      </c>
      <c r="Q436" s="391">
        <v>-6292.07</v>
      </c>
      <c r="R436" s="391">
        <v>-9882.26</v>
      </c>
      <c r="S436" s="618">
        <f t="shared" si="120"/>
        <v>-5882.4508333333324</v>
      </c>
      <c r="T436" s="422"/>
      <c r="U436" s="833"/>
      <c r="V436" s="833">
        <f t="shared" si="121"/>
        <v>-5882.4508333333324</v>
      </c>
      <c r="W436" s="833"/>
      <c r="X436" s="425"/>
      <c r="Y436" s="833"/>
      <c r="Z436" s="833"/>
      <c r="AA436" s="833"/>
      <c r="AB436" s="833"/>
      <c r="AC436" s="840"/>
      <c r="AD436" s="835">
        <f>+S436</f>
        <v>-5882.4508333333324</v>
      </c>
      <c r="AE436" s="834"/>
      <c r="AF436" s="781">
        <f t="shared" si="111"/>
        <v>0</v>
      </c>
    </row>
    <row r="437" spans="1:32" s="513" customFormat="1">
      <c r="A437" s="779">
        <f t="shared" si="113"/>
        <v>423</v>
      </c>
      <c r="B437" s="423" t="s">
        <v>1066</v>
      </c>
      <c r="C437" s="423" t="s">
        <v>626</v>
      </c>
      <c r="D437" s="423" t="s">
        <v>497</v>
      </c>
      <c r="E437" s="763" t="s">
        <v>2017</v>
      </c>
      <c r="F437" s="391">
        <v>-866.16</v>
      </c>
      <c r="G437" s="391">
        <v>-1018.79</v>
      </c>
      <c r="H437" s="391">
        <v>-1665.18</v>
      </c>
      <c r="I437" s="391">
        <v>-2463.8200000000002</v>
      </c>
      <c r="J437" s="391">
        <v>-507.26</v>
      </c>
      <c r="K437" s="391">
        <v>-890.86</v>
      </c>
      <c r="L437" s="391">
        <v>-1206.9000000000001</v>
      </c>
      <c r="M437" s="391">
        <v>-259.62</v>
      </c>
      <c r="N437" s="391">
        <v>-518.08000000000004</v>
      </c>
      <c r="O437" s="391">
        <v>-750.21</v>
      </c>
      <c r="P437" s="391">
        <v>-310.23</v>
      </c>
      <c r="Q437" s="391">
        <v>-665</v>
      </c>
      <c r="R437" s="391">
        <v>-1344.79</v>
      </c>
      <c r="S437" s="618">
        <f t="shared" si="120"/>
        <v>-946.78541666666672</v>
      </c>
      <c r="T437" s="422"/>
      <c r="U437" s="833"/>
      <c r="V437" s="833">
        <f t="shared" si="121"/>
        <v>-946.78541666666672</v>
      </c>
      <c r="W437" s="833"/>
      <c r="X437" s="425"/>
      <c r="Y437" s="833"/>
      <c r="Z437" s="833"/>
      <c r="AA437" s="833"/>
      <c r="AB437" s="833"/>
      <c r="AC437" s="834"/>
      <c r="AD437" s="835">
        <f t="shared" ref="AD437:AD438" si="123">+S437</f>
        <v>-946.78541666666672</v>
      </c>
      <c r="AE437" s="834"/>
      <c r="AF437" s="781">
        <f t="shared" si="111"/>
        <v>0</v>
      </c>
    </row>
    <row r="438" spans="1:32" s="513" customFormat="1">
      <c r="A438" s="779">
        <f t="shared" si="113"/>
        <v>424</v>
      </c>
      <c r="B438" s="423" t="s">
        <v>1066</v>
      </c>
      <c r="C438" s="423" t="s">
        <v>626</v>
      </c>
      <c r="D438" s="423" t="s">
        <v>1315</v>
      </c>
      <c r="E438" s="763" t="s">
        <v>2018</v>
      </c>
      <c r="F438" s="391">
        <v>-471392.56</v>
      </c>
      <c r="G438" s="391">
        <v>-548095.99</v>
      </c>
      <c r="H438" s="391">
        <v>-604444.15</v>
      </c>
      <c r="I438" s="391">
        <v>-669260.92000000004</v>
      </c>
      <c r="J438" s="391">
        <v>-244427.13</v>
      </c>
      <c r="K438" s="391">
        <v>-275359.7</v>
      </c>
      <c r="L438" s="391">
        <v>-296175.59000000003</v>
      </c>
      <c r="M438" s="391">
        <v>-314158.63</v>
      </c>
      <c r="N438" s="391">
        <v>-331836.7</v>
      </c>
      <c r="O438" s="391">
        <v>-349500.05</v>
      </c>
      <c r="P438" s="391">
        <v>-374823.76</v>
      </c>
      <c r="Q438" s="391">
        <v>-408134.42</v>
      </c>
      <c r="R438" s="391">
        <v>-460550.9</v>
      </c>
      <c r="S438" s="618">
        <f t="shared" si="120"/>
        <v>-406849.06416666665</v>
      </c>
      <c r="T438" s="422"/>
      <c r="U438" s="833"/>
      <c r="V438" s="833">
        <f t="shared" si="121"/>
        <v>-406849.06416666665</v>
      </c>
      <c r="W438" s="833"/>
      <c r="X438" s="425"/>
      <c r="Y438" s="833"/>
      <c r="Z438" s="833"/>
      <c r="AA438" s="833"/>
      <c r="AB438" s="833"/>
      <c r="AC438" s="834"/>
      <c r="AD438" s="835">
        <f t="shared" si="123"/>
        <v>-406849.06416666665</v>
      </c>
      <c r="AE438" s="834"/>
      <c r="AF438" s="781">
        <f t="shared" si="111"/>
        <v>0</v>
      </c>
    </row>
    <row r="439" spans="1:32">
      <c r="A439" s="779">
        <f t="shared" si="113"/>
        <v>425</v>
      </c>
      <c r="B439" s="423" t="s">
        <v>1066</v>
      </c>
      <c r="C439" s="423" t="s">
        <v>626</v>
      </c>
      <c r="D439" s="423" t="s">
        <v>1316</v>
      </c>
      <c r="E439" s="763" t="s">
        <v>2019</v>
      </c>
      <c r="F439" s="391">
        <v>-2048018.51</v>
      </c>
      <c r="G439" s="391">
        <v>-2227915.69</v>
      </c>
      <c r="H439" s="391">
        <v>-1940040.92</v>
      </c>
      <c r="I439" s="391">
        <v>-1856801.49</v>
      </c>
      <c r="J439" s="391">
        <v>-1324545.1399999999</v>
      </c>
      <c r="K439" s="391">
        <v>-838941.98</v>
      </c>
      <c r="L439" s="391">
        <v>-627624.84</v>
      </c>
      <c r="M439" s="391">
        <v>-571460.75</v>
      </c>
      <c r="N439" s="391">
        <v>-480681.23</v>
      </c>
      <c r="O439" s="391">
        <v>-539745.07999999996</v>
      </c>
      <c r="P439" s="391">
        <v>-833417.67</v>
      </c>
      <c r="Q439" s="391">
        <v>-1240207.42</v>
      </c>
      <c r="R439" s="391">
        <v>-1722879.56</v>
      </c>
      <c r="S439" s="618">
        <f t="shared" si="120"/>
        <v>-1197235.9370833333</v>
      </c>
      <c r="T439" s="382"/>
      <c r="U439" s="833"/>
      <c r="V439" s="833">
        <f t="shared" si="121"/>
        <v>-1197235.9370833333</v>
      </c>
      <c r="W439" s="833"/>
      <c r="X439" s="425"/>
      <c r="Y439" s="833"/>
      <c r="Z439" s="833"/>
      <c r="AA439" s="833"/>
      <c r="AB439" s="833"/>
      <c r="AC439" s="834"/>
      <c r="AD439" s="835">
        <f>+V439</f>
        <v>-1197235.9370833333</v>
      </c>
      <c r="AE439" s="834"/>
      <c r="AF439" s="781">
        <f t="shared" si="111"/>
        <v>0</v>
      </c>
    </row>
    <row r="440" spans="1:32">
      <c r="A440" s="779">
        <f t="shared" si="113"/>
        <v>426</v>
      </c>
      <c r="B440" s="423" t="s">
        <v>1063</v>
      </c>
      <c r="C440" s="423" t="s">
        <v>627</v>
      </c>
      <c r="D440" s="422" t="s">
        <v>1229</v>
      </c>
      <c r="E440" s="763" t="s">
        <v>628</v>
      </c>
      <c r="F440" s="391">
        <v>-3300000</v>
      </c>
      <c r="G440" s="391">
        <v>0</v>
      </c>
      <c r="H440" s="391">
        <v>-2550000</v>
      </c>
      <c r="I440" s="391">
        <v>-2550000</v>
      </c>
      <c r="J440" s="391">
        <v>0</v>
      </c>
      <c r="K440" s="391">
        <v>-2550000</v>
      </c>
      <c r="L440" s="391">
        <v>-2550000</v>
      </c>
      <c r="M440" s="391">
        <v>0</v>
      </c>
      <c r="N440" s="391">
        <v>-2550000</v>
      </c>
      <c r="O440" s="391">
        <v>-2550000</v>
      </c>
      <c r="P440" s="391">
        <v>0</v>
      </c>
      <c r="Q440" s="391">
        <v>-2960000</v>
      </c>
      <c r="R440" s="391">
        <v>-2960000</v>
      </c>
      <c r="S440" s="618">
        <f t="shared" si="120"/>
        <v>-1782500</v>
      </c>
      <c r="T440" s="382"/>
      <c r="U440" s="833"/>
      <c r="V440" s="840"/>
      <c r="W440" s="833">
        <f>+S440</f>
        <v>-1782500</v>
      </c>
      <c r="X440" s="425"/>
      <c r="Y440" s="833"/>
      <c r="Z440" s="833"/>
      <c r="AA440" s="833"/>
      <c r="AB440" s="833"/>
      <c r="AC440" s="835">
        <f>+W440</f>
        <v>-1782500</v>
      </c>
      <c r="AD440" s="840"/>
      <c r="AE440" s="834"/>
      <c r="AF440" s="781">
        <f t="shared" si="111"/>
        <v>0</v>
      </c>
    </row>
    <row r="441" spans="1:32">
      <c r="A441" s="779">
        <f t="shared" si="113"/>
        <v>427</v>
      </c>
      <c r="B441" s="423" t="s">
        <v>1094</v>
      </c>
      <c r="C441" s="423" t="s">
        <v>629</v>
      </c>
      <c r="D441" s="422" t="s">
        <v>1303</v>
      </c>
      <c r="E441" s="763" t="s">
        <v>630</v>
      </c>
      <c r="F441" s="391">
        <v>-235100.39</v>
      </c>
      <c r="G441" s="391">
        <v>-238208.87</v>
      </c>
      <c r="H441" s="391">
        <v>-241336.77</v>
      </c>
      <c r="I441" s="391">
        <v>-237336.66</v>
      </c>
      <c r="J441" s="391">
        <v>-231940.19</v>
      </c>
      <c r="K441" s="391">
        <v>-227937.59</v>
      </c>
      <c r="L441" s="391">
        <v>-221373.89</v>
      </c>
      <c r="M441" s="391">
        <v>-215758.64</v>
      </c>
      <c r="N441" s="391">
        <v>-206727.98</v>
      </c>
      <c r="O441" s="391">
        <v>-203335.66</v>
      </c>
      <c r="P441" s="391">
        <v>-197426.09</v>
      </c>
      <c r="Q441" s="391">
        <v>-204019.20000000001</v>
      </c>
      <c r="R441" s="391">
        <v>-214551.55</v>
      </c>
      <c r="S441" s="618">
        <f t="shared" si="120"/>
        <v>-220852.29250000007</v>
      </c>
      <c r="T441" s="382"/>
      <c r="U441" s="833"/>
      <c r="V441" s="840"/>
      <c r="W441" s="833"/>
      <c r="X441" s="833">
        <f>+S441</f>
        <v>-220852.29250000007</v>
      </c>
      <c r="Y441" s="833"/>
      <c r="Z441" s="833"/>
      <c r="AA441" s="833"/>
      <c r="AB441" s="835">
        <f>+X441</f>
        <v>-220852.29250000007</v>
      </c>
      <c r="AC441" s="834"/>
      <c r="AD441" s="840"/>
      <c r="AE441" s="834"/>
      <c r="AF441" s="781">
        <f t="shared" si="111"/>
        <v>0</v>
      </c>
    </row>
    <row r="442" spans="1:32">
      <c r="A442" s="779">
        <f t="shared" si="113"/>
        <v>428</v>
      </c>
      <c r="B442" s="423" t="s">
        <v>1066</v>
      </c>
      <c r="C442" s="423" t="s">
        <v>629</v>
      </c>
      <c r="D442" s="423" t="s">
        <v>1303</v>
      </c>
      <c r="E442" s="763" t="s">
        <v>630</v>
      </c>
      <c r="F442" s="391">
        <v>-669802.86</v>
      </c>
      <c r="G442" s="391">
        <v>-700520.54</v>
      </c>
      <c r="H442" s="391">
        <v>-725815.9</v>
      </c>
      <c r="I442" s="391">
        <v>-727468.53</v>
      </c>
      <c r="J442" s="391">
        <v>-748200.86</v>
      </c>
      <c r="K442" s="391">
        <v>-709722.11</v>
      </c>
      <c r="L442" s="391">
        <v>-689311</v>
      </c>
      <c r="M442" s="391">
        <v>-669259.64</v>
      </c>
      <c r="N442" s="391">
        <v>-650519.93999999994</v>
      </c>
      <c r="O442" s="391">
        <v>-660279.89</v>
      </c>
      <c r="P442" s="391">
        <v>-671034.37</v>
      </c>
      <c r="Q442" s="391">
        <v>-686346.34</v>
      </c>
      <c r="R442" s="391">
        <v>-678553.58</v>
      </c>
      <c r="S442" s="618">
        <f t="shared" si="120"/>
        <v>-692721.44499999995</v>
      </c>
      <c r="T442" s="382"/>
      <c r="U442" s="833"/>
      <c r="V442" s="840"/>
      <c r="W442" s="833"/>
      <c r="X442" s="833">
        <f>+S442</f>
        <v>-692721.44499999995</v>
      </c>
      <c r="Y442" s="833"/>
      <c r="Z442" s="833"/>
      <c r="AA442" s="833"/>
      <c r="AB442" s="835">
        <f>+X442</f>
        <v>-692721.44499999995</v>
      </c>
      <c r="AC442" s="834"/>
      <c r="AD442" s="840"/>
      <c r="AE442" s="834"/>
      <c r="AF442" s="781">
        <f t="shared" si="111"/>
        <v>0</v>
      </c>
    </row>
    <row r="443" spans="1:32">
      <c r="A443" s="779">
        <f t="shared" si="113"/>
        <v>429</v>
      </c>
      <c r="B443" s="423" t="s">
        <v>1063</v>
      </c>
      <c r="C443" s="423" t="s">
        <v>631</v>
      </c>
      <c r="D443" s="423" t="s">
        <v>482</v>
      </c>
      <c r="E443" s="763" t="s">
        <v>1983</v>
      </c>
      <c r="F443" s="391">
        <v>-374000</v>
      </c>
      <c r="G443" s="391">
        <v>-498666.67</v>
      </c>
      <c r="H443" s="391">
        <v>-623333.34</v>
      </c>
      <c r="I443" s="391">
        <v>-748000</v>
      </c>
      <c r="J443" s="391">
        <v>-124666.67</v>
      </c>
      <c r="K443" s="391">
        <v>-249333.34</v>
      </c>
      <c r="L443" s="391">
        <v>-374000</v>
      </c>
      <c r="M443" s="391">
        <v>-498666.67</v>
      </c>
      <c r="N443" s="391">
        <v>-623333.34</v>
      </c>
      <c r="O443" s="391">
        <v>-748000</v>
      </c>
      <c r="P443" s="391">
        <v>-124666.67</v>
      </c>
      <c r="Q443" s="391">
        <v>-249333.34</v>
      </c>
      <c r="R443" s="391">
        <v>-374000</v>
      </c>
      <c r="S443" s="618">
        <f t="shared" si="120"/>
        <v>-436333.33666666661</v>
      </c>
      <c r="T443" s="382"/>
      <c r="U443" s="833"/>
      <c r="V443" s="833">
        <f t="shared" ref="V443:V478" si="124">+S443</f>
        <v>-436333.33666666661</v>
      </c>
      <c r="W443" s="833"/>
      <c r="X443" s="425"/>
      <c r="Y443" s="833"/>
      <c r="Z443" s="833"/>
      <c r="AA443" s="833"/>
      <c r="AB443" s="833"/>
      <c r="AC443" s="834"/>
      <c r="AD443" s="835">
        <f t="shared" ref="AD443:AD493" si="125">+V443</f>
        <v>-436333.33666666661</v>
      </c>
      <c r="AE443" s="834"/>
      <c r="AF443" s="781">
        <f t="shared" si="111"/>
        <v>0</v>
      </c>
    </row>
    <row r="444" spans="1:32">
      <c r="A444" s="779">
        <f t="shared" si="113"/>
        <v>430</v>
      </c>
      <c r="B444" s="423" t="s">
        <v>1063</v>
      </c>
      <c r="C444" s="423" t="s">
        <v>631</v>
      </c>
      <c r="D444" s="423" t="s">
        <v>484</v>
      </c>
      <c r="E444" s="763" t="s">
        <v>1984</v>
      </c>
      <c r="F444" s="391">
        <v>-266175</v>
      </c>
      <c r="G444" s="391">
        <v>-354900</v>
      </c>
      <c r="H444" s="391">
        <v>-443625</v>
      </c>
      <c r="I444" s="391">
        <v>-532350</v>
      </c>
      <c r="J444" s="391">
        <v>-88725</v>
      </c>
      <c r="K444" s="391">
        <v>-177450</v>
      </c>
      <c r="L444" s="391">
        <v>-266175</v>
      </c>
      <c r="M444" s="391">
        <v>-354900</v>
      </c>
      <c r="N444" s="391">
        <v>-443625</v>
      </c>
      <c r="O444" s="391">
        <v>-532350</v>
      </c>
      <c r="P444" s="391">
        <v>-88725</v>
      </c>
      <c r="Q444" s="391">
        <v>-177450</v>
      </c>
      <c r="R444" s="391">
        <v>-266175</v>
      </c>
      <c r="S444" s="618">
        <f t="shared" si="120"/>
        <v>-310537.5</v>
      </c>
      <c r="T444" s="382"/>
      <c r="U444" s="833"/>
      <c r="V444" s="833">
        <f t="shared" si="124"/>
        <v>-310537.5</v>
      </c>
      <c r="W444" s="833"/>
      <c r="X444" s="425"/>
      <c r="Y444" s="833"/>
      <c r="Z444" s="833"/>
      <c r="AA444" s="833"/>
      <c r="AB444" s="833"/>
      <c r="AC444" s="834"/>
      <c r="AD444" s="835">
        <f t="shared" si="125"/>
        <v>-310537.5</v>
      </c>
      <c r="AE444" s="834"/>
      <c r="AF444" s="781">
        <f t="shared" si="111"/>
        <v>0</v>
      </c>
    </row>
    <row r="445" spans="1:32">
      <c r="A445" s="779">
        <f t="shared" si="113"/>
        <v>431</v>
      </c>
      <c r="B445" s="423" t="s">
        <v>1063</v>
      </c>
      <c r="C445" s="423" t="s">
        <v>631</v>
      </c>
      <c r="D445" s="423" t="s">
        <v>486</v>
      </c>
      <c r="E445" s="763" t="s">
        <v>1985</v>
      </c>
      <c r="F445" s="391">
        <v>-213771.26</v>
      </c>
      <c r="G445" s="391">
        <v>-320656.89</v>
      </c>
      <c r="H445" s="391">
        <v>-106776.25</v>
      </c>
      <c r="I445" s="391">
        <v>-213552.5</v>
      </c>
      <c r="J445" s="391">
        <v>-320328.75</v>
      </c>
      <c r="K445" s="391">
        <v>-106754.38</v>
      </c>
      <c r="L445" s="391">
        <v>-213508.76</v>
      </c>
      <c r="M445" s="391">
        <v>-320263.14</v>
      </c>
      <c r="N445" s="391">
        <v>-106754.38</v>
      </c>
      <c r="O445" s="391">
        <v>-213508.76</v>
      </c>
      <c r="P445" s="391">
        <v>-320263.13</v>
      </c>
      <c r="Q445" s="391">
        <v>-106579.38</v>
      </c>
      <c r="R445" s="391">
        <v>-213158.76</v>
      </c>
      <c r="S445" s="618">
        <f t="shared" si="120"/>
        <v>-213534.2775</v>
      </c>
      <c r="T445" s="382"/>
      <c r="U445" s="833"/>
      <c r="V445" s="833">
        <f t="shared" si="124"/>
        <v>-213534.2775</v>
      </c>
      <c r="W445" s="833"/>
      <c r="X445" s="425"/>
      <c r="Y445" s="833"/>
      <c r="Z445" s="833"/>
      <c r="AA445" s="833"/>
      <c r="AB445" s="833"/>
      <c r="AC445" s="834"/>
      <c r="AD445" s="835">
        <f t="shared" si="125"/>
        <v>-213534.2775</v>
      </c>
      <c r="AE445" s="834"/>
      <c r="AF445" s="781">
        <f t="shared" si="111"/>
        <v>0</v>
      </c>
    </row>
    <row r="446" spans="1:32">
      <c r="A446" s="779">
        <f t="shared" si="113"/>
        <v>432</v>
      </c>
      <c r="B446" s="423" t="s">
        <v>1063</v>
      </c>
      <c r="C446" s="423" t="s">
        <v>631</v>
      </c>
      <c r="D446" s="423" t="s">
        <v>488</v>
      </c>
      <c r="E446" s="763" t="s">
        <v>1986</v>
      </c>
      <c r="F446" s="391">
        <v>-260500</v>
      </c>
      <c r="G446" s="391">
        <v>-325625</v>
      </c>
      <c r="H446" s="391">
        <v>-390750</v>
      </c>
      <c r="I446" s="391">
        <v>-65125</v>
      </c>
      <c r="J446" s="391">
        <v>-130250</v>
      </c>
      <c r="K446" s="391">
        <v>-195375</v>
      </c>
      <c r="L446" s="391">
        <v>-260500</v>
      </c>
      <c r="M446" s="391">
        <v>-325625</v>
      </c>
      <c r="N446" s="391">
        <v>-390750</v>
      </c>
      <c r="O446" s="391">
        <v>-65125</v>
      </c>
      <c r="P446" s="391">
        <v>-130250</v>
      </c>
      <c r="Q446" s="391">
        <v>-195375</v>
      </c>
      <c r="R446" s="391">
        <v>-260500</v>
      </c>
      <c r="S446" s="618">
        <f t="shared" si="120"/>
        <v>-227937.5</v>
      </c>
      <c r="T446" s="382"/>
      <c r="U446" s="833"/>
      <c r="V446" s="833">
        <f t="shared" si="124"/>
        <v>-227937.5</v>
      </c>
      <c r="W446" s="833"/>
      <c r="X446" s="425"/>
      <c r="Y446" s="833"/>
      <c r="Z446" s="833"/>
      <c r="AA446" s="833"/>
      <c r="AB446" s="833"/>
      <c r="AC446" s="834"/>
      <c r="AD446" s="835">
        <f t="shared" si="125"/>
        <v>-227937.5</v>
      </c>
      <c r="AE446" s="834"/>
      <c r="AF446" s="781">
        <f t="shared" si="111"/>
        <v>0</v>
      </c>
    </row>
    <row r="447" spans="1:32">
      <c r="A447" s="779">
        <f t="shared" si="113"/>
        <v>433</v>
      </c>
      <c r="B447" s="423" t="s">
        <v>1063</v>
      </c>
      <c r="C447" s="423" t="s">
        <v>631</v>
      </c>
      <c r="D447" s="423" t="s">
        <v>490</v>
      </c>
      <c r="E447" s="763" t="s">
        <v>1987</v>
      </c>
      <c r="F447" s="391">
        <v>-772000</v>
      </c>
      <c r="G447" s="391">
        <v>-965000</v>
      </c>
      <c r="H447" s="391">
        <v>-1158000</v>
      </c>
      <c r="I447" s="391">
        <v>-193000</v>
      </c>
      <c r="J447" s="391">
        <v>-386000</v>
      </c>
      <c r="K447" s="391">
        <v>-579000</v>
      </c>
      <c r="L447" s="391">
        <v>-772000</v>
      </c>
      <c r="M447" s="391">
        <v>-965000</v>
      </c>
      <c r="N447" s="391">
        <v>-1158000</v>
      </c>
      <c r="O447" s="391">
        <v>-193000</v>
      </c>
      <c r="P447" s="391">
        <v>-386000</v>
      </c>
      <c r="Q447" s="391">
        <v>-579000</v>
      </c>
      <c r="R447" s="391">
        <v>-772000</v>
      </c>
      <c r="S447" s="618">
        <f t="shared" si="120"/>
        <v>-675500</v>
      </c>
      <c r="T447" s="382"/>
      <c r="U447" s="833"/>
      <c r="V447" s="833">
        <f t="shared" si="124"/>
        <v>-675500</v>
      </c>
      <c r="W447" s="833"/>
      <c r="X447" s="425"/>
      <c r="Y447" s="833"/>
      <c r="Z447" s="833"/>
      <c r="AA447" s="833"/>
      <c r="AB447" s="833"/>
      <c r="AC447" s="834"/>
      <c r="AD447" s="835">
        <f t="shared" si="125"/>
        <v>-675500</v>
      </c>
      <c r="AE447" s="834"/>
      <c r="AF447" s="781">
        <f t="shared" si="111"/>
        <v>0</v>
      </c>
    </row>
    <row r="448" spans="1:32">
      <c r="A448" s="779">
        <f t="shared" si="113"/>
        <v>434</v>
      </c>
      <c r="B448" s="423" t="s">
        <v>1063</v>
      </c>
      <c r="C448" s="423" t="s">
        <v>631</v>
      </c>
      <c r="D448" s="423" t="s">
        <v>492</v>
      </c>
      <c r="E448" s="763" t="s">
        <v>1988</v>
      </c>
      <c r="F448" s="391">
        <v>-342500</v>
      </c>
      <c r="G448" s="391">
        <v>-428125</v>
      </c>
      <c r="H448" s="391">
        <v>0</v>
      </c>
      <c r="I448" s="391">
        <v>-85625</v>
      </c>
      <c r="J448" s="391">
        <v>-171250</v>
      </c>
      <c r="K448" s="391">
        <v>-256875</v>
      </c>
      <c r="L448" s="391">
        <v>-342500</v>
      </c>
      <c r="M448" s="391">
        <v>-428125</v>
      </c>
      <c r="N448" s="391">
        <v>0</v>
      </c>
      <c r="O448" s="391">
        <v>-85625</v>
      </c>
      <c r="P448" s="391">
        <v>-171250</v>
      </c>
      <c r="Q448" s="391">
        <v>-256875</v>
      </c>
      <c r="R448" s="391">
        <v>-342500</v>
      </c>
      <c r="S448" s="618">
        <f t="shared" si="120"/>
        <v>-214062.5</v>
      </c>
      <c r="T448" s="382"/>
      <c r="U448" s="833"/>
      <c r="V448" s="833">
        <f t="shared" si="124"/>
        <v>-214062.5</v>
      </c>
      <c r="W448" s="833"/>
      <c r="X448" s="425"/>
      <c r="Y448" s="833"/>
      <c r="Z448" s="833"/>
      <c r="AA448" s="833"/>
      <c r="AB448" s="833"/>
      <c r="AC448" s="834"/>
      <c r="AD448" s="835">
        <f t="shared" si="125"/>
        <v>-214062.5</v>
      </c>
      <c r="AE448" s="834"/>
      <c r="AF448" s="781">
        <f t="shared" si="111"/>
        <v>0</v>
      </c>
    </row>
    <row r="449" spans="1:32">
      <c r="A449" s="779">
        <f t="shared" si="113"/>
        <v>435</v>
      </c>
      <c r="B449" s="423" t="s">
        <v>1063</v>
      </c>
      <c r="C449" s="423" t="s">
        <v>631</v>
      </c>
      <c r="D449" s="423" t="s">
        <v>494</v>
      </c>
      <c r="E449" s="763" t="s">
        <v>1989</v>
      </c>
      <c r="F449" s="391">
        <v>-363333.33</v>
      </c>
      <c r="G449" s="391">
        <v>-454166.66</v>
      </c>
      <c r="H449" s="391">
        <v>-5.8207660913467401E-11</v>
      </c>
      <c r="I449" s="391">
        <v>-90833.330000000104</v>
      </c>
      <c r="J449" s="391">
        <v>-181666.66</v>
      </c>
      <c r="K449" s="391">
        <v>-272500</v>
      </c>
      <c r="L449" s="391">
        <v>-363333.33</v>
      </c>
      <c r="M449" s="391">
        <v>-454166.66</v>
      </c>
      <c r="N449" s="391">
        <v>-1.16415321826935E-10</v>
      </c>
      <c r="O449" s="391">
        <v>-90833.330000000104</v>
      </c>
      <c r="P449" s="391">
        <v>-181666.66</v>
      </c>
      <c r="Q449" s="391">
        <v>-272499.99</v>
      </c>
      <c r="R449" s="391">
        <v>-363333.33</v>
      </c>
      <c r="S449" s="618">
        <f t="shared" si="120"/>
        <v>-227083.32916666669</v>
      </c>
      <c r="T449" s="382"/>
      <c r="U449" s="833"/>
      <c r="V449" s="833">
        <f t="shared" si="124"/>
        <v>-227083.32916666669</v>
      </c>
      <c r="W449" s="833"/>
      <c r="X449" s="425"/>
      <c r="Y449" s="833"/>
      <c r="Z449" s="833"/>
      <c r="AA449" s="833"/>
      <c r="AB449" s="833"/>
      <c r="AC449" s="834"/>
      <c r="AD449" s="835">
        <f t="shared" si="125"/>
        <v>-227083.32916666669</v>
      </c>
      <c r="AE449" s="834"/>
      <c r="AF449" s="781">
        <f t="shared" si="111"/>
        <v>0</v>
      </c>
    </row>
    <row r="450" spans="1:32">
      <c r="A450" s="779">
        <f t="shared" si="113"/>
        <v>436</v>
      </c>
      <c r="B450" s="423" t="s">
        <v>1063</v>
      </c>
      <c r="C450" s="423" t="s">
        <v>631</v>
      </c>
      <c r="D450" s="423" t="s">
        <v>497</v>
      </c>
      <c r="E450" s="763" t="s">
        <v>1990</v>
      </c>
      <c r="F450" s="391">
        <v>-42604.17</v>
      </c>
      <c r="G450" s="391">
        <v>-85208.34</v>
      </c>
      <c r="H450" s="391">
        <v>-127812.5</v>
      </c>
      <c r="I450" s="391">
        <v>-170416.67</v>
      </c>
      <c r="J450" s="391">
        <v>-213020.84</v>
      </c>
      <c r="K450" s="391">
        <v>2.91038304567337E-11</v>
      </c>
      <c r="L450" s="391">
        <v>-42604.17</v>
      </c>
      <c r="M450" s="391">
        <v>-85208.34</v>
      </c>
      <c r="N450" s="391">
        <v>-127812.5</v>
      </c>
      <c r="O450" s="391">
        <v>-170416.67</v>
      </c>
      <c r="P450" s="391">
        <v>-213020.84</v>
      </c>
      <c r="Q450" s="391">
        <v>2.91038304567337E-11</v>
      </c>
      <c r="R450" s="391">
        <v>-42604.17</v>
      </c>
      <c r="S450" s="618">
        <f t="shared" si="120"/>
        <v>-106510.42</v>
      </c>
      <c r="T450" s="382"/>
      <c r="U450" s="833"/>
      <c r="V450" s="833">
        <f t="shared" si="124"/>
        <v>-106510.42</v>
      </c>
      <c r="W450" s="833"/>
      <c r="X450" s="425"/>
      <c r="Y450" s="833"/>
      <c r="Z450" s="833"/>
      <c r="AA450" s="833"/>
      <c r="AB450" s="833"/>
      <c r="AC450" s="834"/>
      <c r="AD450" s="835">
        <f t="shared" si="125"/>
        <v>-106510.42</v>
      </c>
      <c r="AE450" s="834"/>
      <c r="AF450" s="781">
        <f t="shared" si="111"/>
        <v>0</v>
      </c>
    </row>
    <row r="451" spans="1:32">
      <c r="A451" s="779">
        <f t="shared" si="113"/>
        <v>437</v>
      </c>
      <c r="B451" s="423" t="s">
        <v>1063</v>
      </c>
      <c r="C451" s="423" t="s">
        <v>631</v>
      </c>
      <c r="D451" s="423" t="s">
        <v>499</v>
      </c>
      <c r="E451" s="763" t="s">
        <v>1991</v>
      </c>
      <c r="F451" s="391">
        <v>-44166.67</v>
      </c>
      <c r="G451" s="391">
        <v>-88333.34</v>
      </c>
      <c r="H451" s="391">
        <v>-132500</v>
      </c>
      <c r="I451" s="391">
        <v>-176666.67</v>
      </c>
      <c r="J451" s="391">
        <v>-220833.34</v>
      </c>
      <c r="K451" s="391">
        <v>2.91038304567337E-11</v>
      </c>
      <c r="L451" s="391">
        <v>-44166.67</v>
      </c>
      <c r="M451" s="391">
        <v>-88333.34</v>
      </c>
      <c r="N451" s="391">
        <v>-132500</v>
      </c>
      <c r="O451" s="391">
        <v>-176666.67</v>
      </c>
      <c r="P451" s="391">
        <v>-220833.34</v>
      </c>
      <c r="Q451" s="391">
        <v>2.91038304567337E-11</v>
      </c>
      <c r="R451" s="391">
        <v>-44166.67</v>
      </c>
      <c r="S451" s="618">
        <f t="shared" si="120"/>
        <v>-110416.67</v>
      </c>
      <c r="T451" s="382"/>
      <c r="U451" s="833"/>
      <c r="V451" s="833">
        <f t="shared" si="124"/>
        <v>-110416.67</v>
      </c>
      <c r="W451" s="833"/>
      <c r="X451" s="425"/>
      <c r="Y451" s="833"/>
      <c r="Z451" s="833"/>
      <c r="AA451" s="833"/>
      <c r="AB451" s="833"/>
      <c r="AC451" s="834"/>
      <c r="AD451" s="835">
        <f t="shared" si="125"/>
        <v>-110416.67</v>
      </c>
      <c r="AE451" s="834"/>
      <c r="AF451" s="781">
        <f t="shared" si="111"/>
        <v>0</v>
      </c>
    </row>
    <row r="452" spans="1:32">
      <c r="A452" s="779">
        <f t="shared" si="113"/>
        <v>438</v>
      </c>
      <c r="B452" s="423" t="s">
        <v>1063</v>
      </c>
      <c r="C452" s="423" t="s">
        <v>631</v>
      </c>
      <c r="D452" s="423" t="s">
        <v>501</v>
      </c>
      <c r="E452" s="763" t="s">
        <v>1992</v>
      </c>
      <c r="F452" s="391">
        <v>-213020.84</v>
      </c>
      <c r="G452" s="391">
        <v>0</v>
      </c>
      <c r="H452" s="391">
        <v>-42604.17</v>
      </c>
      <c r="I452" s="391">
        <v>-85208.34</v>
      </c>
      <c r="J452" s="391">
        <v>-127812.5</v>
      </c>
      <c r="K452" s="391">
        <v>-170416.67</v>
      </c>
      <c r="L452" s="391">
        <v>-213020.84</v>
      </c>
      <c r="M452" s="391">
        <v>2.91038304567337E-11</v>
      </c>
      <c r="N452" s="391">
        <v>-42604.17</v>
      </c>
      <c r="O452" s="391">
        <v>-85208.34</v>
      </c>
      <c r="P452" s="391">
        <v>-127812.5</v>
      </c>
      <c r="Q452" s="391">
        <v>-170416.66</v>
      </c>
      <c r="R452" s="391">
        <v>-213020.83</v>
      </c>
      <c r="S452" s="618">
        <f t="shared" si="120"/>
        <v>-106510.41875</v>
      </c>
      <c r="T452" s="382"/>
      <c r="U452" s="833"/>
      <c r="V452" s="833">
        <f t="shared" si="124"/>
        <v>-106510.41875</v>
      </c>
      <c r="W452" s="833"/>
      <c r="X452" s="425"/>
      <c r="Y452" s="833"/>
      <c r="Z452" s="833"/>
      <c r="AA452" s="833"/>
      <c r="AB452" s="833"/>
      <c r="AC452" s="834"/>
      <c r="AD452" s="835">
        <f t="shared" si="125"/>
        <v>-106510.41875</v>
      </c>
      <c r="AE452" s="834"/>
      <c r="AF452" s="781">
        <f t="shared" si="111"/>
        <v>0</v>
      </c>
    </row>
    <row r="453" spans="1:32">
      <c r="A453" s="779">
        <f t="shared" si="113"/>
        <v>439</v>
      </c>
      <c r="B453" s="423" t="s">
        <v>1063</v>
      </c>
      <c r="C453" s="423" t="s">
        <v>631</v>
      </c>
      <c r="D453" s="423" t="s">
        <v>502</v>
      </c>
      <c r="E453" s="763" t="s">
        <v>1993</v>
      </c>
      <c r="F453" s="391">
        <v>-220833.34</v>
      </c>
      <c r="G453" s="391">
        <v>0</v>
      </c>
      <c r="H453" s="391">
        <v>-44166.67</v>
      </c>
      <c r="I453" s="391">
        <v>-88333.34</v>
      </c>
      <c r="J453" s="391">
        <v>-132500</v>
      </c>
      <c r="K453" s="391">
        <v>-176666.67</v>
      </c>
      <c r="L453" s="391">
        <v>-220833.34</v>
      </c>
      <c r="M453" s="391">
        <v>2.91038304567337E-11</v>
      </c>
      <c r="N453" s="391">
        <v>-44166.67</v>
      </c>
      <c r="O453" s="391">
        <v>-88333.34</v>
      </c>
      <c r="P453" s="391">
        <v>-132500</v>
      </c>
      <c r="Q453" s="391">
        <v>-176666.66</v>
      </c>
      <c r="R453" s="391">
        <v>-220833.33</v>
      </c>
      <c r="S453" s="618">
        <f t="shared" si="120"/>
        <v>-110416.66875</v>
      </c>
      <c r="T453" s="382"/>
      <c r="U453" s="833"/>
      <c r="V453" s="833">
        <f t="shared" si="124"/>
        <v>-110416.66875</v>
      </c>
      <c r="W453" s="833"/>
      <c r="X453" s="425"/>
      <c r="Y453" s="833"/>
      <c r="Z453" s="833"/>
      <c r="AA453" s="833"/>
      <c r="AB453" s="833"/>
      <c r="AC453" s="834"/>
      <c r="AD453" s="835">
        <f t="shared" si="125"/>
        <v>-110416.66875</v>
      </c>
      <c r="AE453" s="834"/>
      <c r="AF453" s="781">
        <f t="shared" si="111"/>
        <v>0</v>
      </c>
    </row>
    <row r="454" spans="1:32">
      <c r="A454" s="779">
        <f t="shared" si="113"/>
        <v>440</v>
      </c>
      <c r="B454" s="423" t="s">
        <v>1063</v>
      </c>
      <c r="C454" s="423" t="s">
        <v>631</v>
      </c>
      <c r="D454" s="423" t="s">
        <v>1230</v>
      </c>
      <c r="E454" s="763" t="s">
        <v>1711</v>
      </c>
      <c r="F454" s="391">
        <v>-520.86000000000104</v>
      </c>
      <c r="G454" s="391">
        <v>-8593.7800000000007</v>
      </c>
      <c r="H454" s="391">
        <v>-15885.45</v>
      </c>
      <c r="I454" s="391">
        <v>-260.460000000001</v>
      </c>
      <c r="J454" s="391">
        <v>-8072.96</v>
      </c>
      <c r="K454" s="391">
        <v>-16145.88</v>
      </c>
      <c r="L454" s="391">
        <v>-260.460000000001</v>
      </c>
      <c r="M454" s="391">
        <v>-8333.3799999999992</v>
      </c>
      <c r="N454" s="391">
        <v>-16406.3</v>
      </c>
      <c r="O454" s="391">
        <v>-520.89000000000306</v>
      </c>
      <c r="P454" s="391">
        <v>-8593.81</v>
      </c>
      <c r="Q454" s="391">
        <v>-16406.310000000001</v>
      </c>
      <c r="R454" s="391">
        <v>-3.6379788070917101E-12</v>
      </c>
      <c r="S454" s="618">
        <f t="shared" si="120"/>
        <v>-8311.6758333333328</v>
      </c>
      <c r="T454" s="382"/>
      <c r="U454" s="833"/>
      <c r="V454" s="833">
        <f t="shared" si="124"/>
        <v>-8311.6758333333328</v>
      </c>
      <c r="W454" s="833"/>
      <c r="X454" s="425"/>
      <c r="Y454" s="833"/>
      <c r="Z454" s="833"/>
      <c r="AA454" s="833"/>
      <c r="AB454" s="833"/>
      <c r="AC454" s="834"/>
      <c r="AD454" s="835">
        <f t="shared" si="125"/>
        <v>-8311.6758333333328</v>
      </c>
      <c r="AE454" s="834"/>
      <c r="AF454" s="781">
        <f t="shared" si="111"/>
        <v>0</v>
      </c>
    </row>
    <row r="455" spans="1:32">
      <c r="A455" s="779">
        <f t="shared" si="113"/>
        <v>441</v>
      </c>
      <c r="B455" s="423" t="s">
        <v>1063</v>
      </c>
      <c r="C455" s="423" t="s">
        <v>631</v>
      </c>
      <c r="D455" s="423" t="s">
        <v>1304</v>
      </c>
      <c r="E455" s="763" t="s">
        <v>1712</v>
      </c>
      <c r="F455" s="391">
        <v>-8531.5</v>
      </c>
      <c r="G455" s="391">
        <v>-50865.41</v>
      </c>
      <c r="H455" s="391">
        <v>-70517.460000000006</v>
      </c>
      <c r="I455" s="391">
        <v>-2303.4200000000101</v>
      </c>
      <c r="J455" s="391">
        <v>-8237.6600000000108</v>
      </c>
      <c r="K455" s="391">
        <v>-12870.55</v>
      </c>
      <c r="L455" s="391">
        <v>-1869.8600000000099</v>
      </c>
      <c r="M455" s="391">
        <v>-24613.01</v>
      </c>
      <c r="N455" s="391">
        <v>-89381.9</v>
      </c>
      <c r="O455" s="391">
        <v>-5304.6300000000201</v>
      </c>
      <c r="P455" s="391">
        <v>-33573.870000000003</v>
      </c>
      <c r="Q455" s="391">
        <v>-102685.22</v>
      </c>
      <c r="R455" s="391">
        <v>-43049.35</v>
      </c>
      <c r="S455" s="618">
        <f t="shared" si="120"/>
        <v>-35667.784583333341</v>
      </c>
      <c r="T455" s="382"/>
      <c r="U455" s="833"/>
      <c r="V455" s="833">
        <f t="shared" si="124"/>
        <v>-35667.784583333341</v>
      </c>
      <c r="W455" s="833"/>
      <c r="X455" s="425"/>
      <c r="Y455" s="833"/>
      <c r="Z455" s="833"/>
      <c r="AA455" s="833"/>
      <c r="AB455" s="833"/>
      <c r="AC455" s="834"/>
      <c r="AD455" s="835">
        <f t="shared" si="125"/>
        <v>-35667.784583333341</v>
      </c>
      <c r="AE455" s="834"/>
      <c r="AF455" s="781">
        <f t="shared" si="111"/>
        <v>0</v>
      </c>
    </row>
    <row r="456" spans="1:32">
      <c r="A456" s="779">
        <f t="shared" si="113"/>
        <v>442</v>
      </c>
      <c r="B456" s="423" t="s">
        <v>1063</v>
      </c>
      <c r="C456" s="423" t="s">
        <v>632</v>
      </c>
      <c r="D456" s="423" t="s">
        <v>539</v>
      </c>
      <c r="E456" s="763" t="s">
        <v>1997</v>
      </c>
      <c r="F456" s="391">
        <v>-1360693.4</v>
      </c>
      <c r="G456" s="391">
        <v>-562804.01</v>
      </c>
      <c r="H456" s="391">
        <v>-571593.88</v>
      </c>
      <c r="I456" s="391">
        <v>-793186.23</v>
      </c>
      <c r="J456" s="391">
        <v>-946891.08</v>
      </c>
      <c r="K456" s="391">
        <v>-1224902.76</v>
      </c>
      <c r="L456" s="391">
        <v>-1461362.52</v>
      </c>
      <c r="M456" s="391">
        <v>-626453.24</v>
      </c>
      <c r="N456" s="391">
        <v>-1151382.69</v>
      </c>
      <c r="O456" s="391">
        <v>-1151219.03</v>
      </c>
      <c r="P456" s="391">
        <v>-1515025.98</v>
      </c>
      <c r="Q456" s="391">
        <v>-1769235.33</v>
      </c>
      <c r="R456" s="391">
        <v>-1772825.1</v>
      </c>
      <c r="S456" s="618">
        <f t="shared" si="120"/>
        <v>-1111734.6666666667</v>
      </c>
      <c r="T456" s="382"/>
      <c r="U456" s="833"/>
      <c r="V456" s="833">
        <f t="shared" si="124"/>
        <v>-1111734.6666666667</v>
      </c>
      <c r="W456" s="833"/>
      <c r="X456" s="425"/>
      <c r="Y456" s="833"/>
      <c r="Z456" s="833"/>
      <c r="AA456" s="833"/>
      <c r="AB456" s="833"/>
      <c r="AC456" s="834"/>
      <c r="AD456" s="835">
        <f t="shared" si="125"/>
        <v>-1111734.6666666667</v>
      </c>
      <c r="AE456" s="834"/>
      <c r="AF456" s="781">
        <f t="shared" si="111"/>
        <v>0</v>
      </c>
    </row>
    <row r="457" spans="1:32">
      <c r="A457" s="779">
        <f t="shared" si="113"/>
        <v>443</v>
      </c>
      <c r="B457" s="423" t="s">
        <v>1063</v>
      </c>
      <c r="C457" s="423" t="s">
        <v>632</v>
      </c>
      <c r="D457" s="423" t="s">
        <v>575</v>
      </c>
      <c r="E457" s="763" t="s">
        <v>1998</v>
      </c>
      <c r="F457" s="391">
        <v>-1949366.41</v>
      </c>
      <c r="G457" s="391">
        <v>-2071341.73</v>
      </c>
      <c r="H457" s="391">
        <v>-69769.070000000094</v>
      </c>
      <c r="I457" s="391">
        <v>-298193.8</v>
      </c>
      <c r="J457" s="391">
        <v>-445913.7</v>
      </c>
      <c r="K457" s="391">
        <v>-543216.31999999995</v>
      </c>
      <c r="L457" s="391">
        <v>-663997.51</v>
      </c>
      <c r="M457" s="391">
        <v>-757989.65</v>
      </c>
      <c r="N457" s="391">
        <v>-886464.92</v>
      </c>
      <c r="O457" s="391">
        <v>-990138.77</v>
      </c>
      <c r="P457" s="391">
        <v>-1108535.76</v>
      </c>
      <c r="Q457" s="391">
        <v>-1224700.83</v>
      </c>
      <c r="R457" s="391">
        <v>-982534</v>
      </c>
      <c r="S457" s="618">
        <f t="shared" si="120"/>
        <v>-877184.35541666672</v>
      </c>
      <c r="T457" s="382"/>
      <c r="U457" s="833"/>
      <c r="V457" s="833">
        <f t="shared" si="124"/>
        <v>-877184.35541666672</v>
      </c>
      <c r="W457" s="833"/>
      <c r="X457" s="425"/>
      <c r="Y457" s="833"/>
      <c r="Z457" s="833"/>
      <c r="AA457" s="833"/>
      <c r="AB457" s="833"/>
      <c r="AC457" s="834"/>
      <c r="AD457" s="835">
        <f t="shared" si="125"/>
        <v>-877184.35541666672</v>
      </c>
      <c r="AE457" s="834"/>
      <c r="AF457" s="781">
        <f t="shared" si="111"/>
        <v>0</v>
      </c>
    </row>
    <row r="458" spans="1:32">
      <c r="A458" s="779">
        <f t="shared" si="113"/>
        <v>444</v>
      </c>
      <c r="B458" s="423" t="s">
        <v>1063</v>
      </c>
      <c r="C458" s="423" t="s">
        <v>633</v>
      </c>
      <c r="D458" s="423" t="s">
        <v>1274</v>
      </c>
      <c r="E458" s="763" t="s">
        <v>1994</v>
      </c>
      <c r="F458" s="391">
        <v>-5605117.29</v>
      </c>
      <c r="G458" s="391">
        <v>-4037456.2</v>
      </c>
      <c r="H458" s="391">
        <v>-3470047.35</v>
      </c>
      <c r="I458" s="391">
        <v>-2709222.66</v>
      </c>
      <c r="J458" s="391">
        <v>-2601531</v>
      </c>
      <c r="K458" s="391">
        <v>-2997566.52</v>
      </c>
      <c r="L458" s="391">
        <v>-3651542.1</v>
      </c>
      <c r="M458" s="391">
        <v>-4572227.87</v>
      </c>
      <c r="N458" s="391">
        <v>-5716094.1799999997</v>
      </c>
      <c r="O458" s="391">
        <v>-6487400.5700000003</v>
      </c>
      <c r="P458" s="391">
        <v>-7458966.1299999999</v>
      </c>
      <c r="Q458" s="391">
        <v>-8070011.71</v>
      </c>
      <c r="R458" s="391">
        <v>-6948083.4400000004</v>
      </c>
      <c r="S458" s="618">
        <f t="shared" si="120"/>
        <v>-4837388.8879166674</v>
      </c>
      <c r="T458" s="382"/>
      <c r="U458" s="833"/>
      <c r="V458" s="833">
        <f t="shared" si="124"/>
        <v>-4837388.8879166674</v>
      </c>
      <c r="W458" s="833"/>
      <c r="X458" s="425"/>
      <c r="Y458" s="833"/>
      <c r="Z458" s="833"/>
      <c r="AA458" s="833"/>
      <c r="AB458" s="833"/>
      <c r="AC458" s="834"/>
      <c r="AD458" s="835">
        <f t="shared" si="125"/>
        <v>-4837388.8879166674</v>
      </c>
      <c r="AE458" s="834"/>
      <c r="AF458" s="781">
        <f t="shared" si="111"/>
        <v>0</v>
      </c>
    </row>
    <row r="459" spans="1:32">
      <c r="A459" s="779">
        <f t="shared" si="113"/>
        <v>445</v>
      </c>
      <c r="B459" s="423" t="s">
        <v>1063</v>
      </c>
      <c r="C459" s="423" t="s">
        <v>633</v>
      </c>
      <c r="D459" s="423" t="s">
        <v>1317</v>
      </c>
      <c r="E459" s="763" t="s">
        <v>1995</v>
      </c>
      <c r="F459" s="391">
        <v>-66033.08</v>
      </c>
      <c r="G459" s="391">
        <v>-26235</v>
      </c>
      <c r="H459" s="391">
        <v>-52470</v>
      </c>
      <c r="I459" s="391">
        <v>-70363.94</v>
      </c>
      <c r="J459" s="391">
        <v>-27395.41</v>
      </c>
      <c r="K459" s="391">
        <v>-53630.41</v>
      </c>
      <c r="L459" s="391">
        <v>-79865.41</v>
      </c>
      <c r="M459" s="391">
        <v>-38903.629999999997</v>
      </c>
      <c r="N459" s="391">
        <v>-58804.32</v>
      </c>
      <c r="O459" s="391">
        <v>-78705.009999999995</v>
      </c>
      <c r="P459" s="391">
        <v>-29402.17</v>
      </c>
      <c r="Q459" s="391">
        <v>-49302.86</v>
      </c>
      <c r="R459" s="391">
        <v>-69203.53</v>
      </c>
      <c r="S459" s="618">
        <f t="shared" si="120"/>
        <v>-52724.705416666671</v>
      </c>
      <c r="T459" s="382"/>
      <c r="U459" s="833"/>
      <c r="V459" s="833">
        <f t="shared" si="124"/>
        <v>-52724.705416666671</v>
      </c>
      <c r="W459" s="833"/>
      <c r="X459" s="425"/>
      <c r="Y459" s="833"/>
      <c r="Z459" s="833"/>
      <c r="AA459" s="833"/>
      <c r="AB459" s="833"/>
      <c r="AC459" s="834"/>
      <c r="AD459" s="835">
        <f t="shared" si="125"/>
        <v>-52724.705416666671</v>
      </c>
      <c r="AE459" s="834"/>
      <c r="AF459" s="781">
        <f t="shared" si="111"/>
        <v>0</v>
      </c>
    </row>
    <row r="460" spans="1:32">
      <c r="A460" s="779">
        <f t="shared" si="113"/>
        <v>446</v>
      </c>
      <c r="B460" s="423" t="s">
        <v>1063</v>
      </c>
      <c r="C460" s="423" t="s">
        <v>633</v>
      </c>
      <c r="D460" s="423" t="s">
        <v>1318</v>
      </c>
      <c r="E460" s="763" t="s">
        <v>1996</v>
      </c>
      <c r="F460" s="391">
        <v>-580796</v>
      </c>
      <c r="G460" s="391">
        <v>-580796</v>
      </c>
      <c r="H460" s="391">
        <v>-580796</v>
      </c>
      <c r="I460" s="391">
        <v>-580796</v>
      </c>
      <c r="J460" s="391">
        <v>-580796</v>
      </c>
      <c r="K460" s="391">
        <v>-580796</v>
      </c>
      <c r="L460" s="391">
        <v>-580796</v>
      </c>
      <c r="M460" s="391">
        <v>-580796</v>
      </c>
      <c r="N460" s="391">
        <v>-580796</v>
      </c>
      <c r="O460" s="391">
        <v>-580796</v>
      </c>
      <c r="P460" s="391">
        <v>-580796</v>
      </c>
      <c r="Q460" s="391">
        <v>-580796</v>
      </c>
      <c r="R460" s="391">
        <v>-577471</v>
      </c>
      <c r="S460" s="618">
        <f t="shared" si="120"/>
        <v>-580657.45833333337</v>
      </c>
      <c r="T460" s="382"/>
      <c r="U460" s="833"/>
      <c r="V460" s="833">
        <f t="shared" si="124"/>
        <v>-580657.45833333337</v>
      </c>
      <c r="W460" s="833"/>
      <c r="X460" s="425"/>
      <c r="Y460" s="833"/>
      <c r="Z460" s="833"/>
      <c r="AA460" s="833"/>
      <c r="AB460" s="833"/>
      <c r="AC460" s="834"/>
      <c r="AD460" s="835">
        <f t="shared" si="125"/>
        <v>-580657.45833333337</v>
      </c>
      <c r="AE460" s="834"/>
      <c r="AF460" s="781">
        <f t="shared" si="111"/>
        <v>0</v>
      </c>
    </row>
    <row r="461" spans="1:32">
      <c r="A461" s="779">
        <f t="shared" si="113"/>
        <v>447</v>
      </c>
      <c r="B461" s="423" t="s">
        <v>1063</v>
      </c>
      <c r="C461" s="423" t="s">
        <v>633</v>
      </c>
      <c r="D461" s="423" t="s">
        <v>1319</v>
      </c>
      <c r="E461" s="763" t="s">
        <v>460</v>
      </c>
      <c r="F461" s="391">
        <v>8.7311491370201098E-11</v>
      </c>
      <c r="G461" s="391">
        <v>0</v>
      </c>
      <c r="H461" s="391">
        <v>0</v>
      </c>
      <c r="I461" s="391">
        <v>0</v>
      </c>
      <c r="J461" s="391">
        <v>0</v>
      </c>
      <c r="K461" s="391">
        <v>0</v>
      </c>
      <c r="L461" s="391">
        <v>0</v>
      </c>
      <c r="M461" s="391">
        <v>0</v>
      </c>
      <c r="N461" s="391">
        <v>0</v>
      </c>
      <c r="O461" s="391">
        <v>0</v>
      </c>
      <c r="P461" s="391">
        <v>0</v>
      </c>
      <c r="Q461" s="391">
        <v>0</v>
      </c>
      <c r="R461" s="391">
        <v>0</v>
      </c>
      <c r="S461" s="618">
        <f t="shared" si="120"/>
        <v>3.6379788070917125E-12</v>
      </c>
      <c r="T461" s="382"/>
      <c r="U461" s="833"/>
      <c r="V461" s="833">
        <f t="shared" si="124"/>
        <v>3.6379788070917125E-12</v>
      </c>
      <c r="W461" s="833"/>
      <c r="X461" s="425"/>
      <c r="Y461" s="833"/>
      <c r="Z461" s="833"/>
      <c r="AA461" s="833"/>
      <c r="AB461" s="833"/>
      <c r="AC461" s="834"/>
      <c r="AD461" s="835">
        <f t="shared" si="125"/>
        <v>3.6379788070917125E-12</v>
      </c>
      <c r="AE461" s="834"/>
      <c r="AF461" s="781">
        <f t="shared" si="111"/>
        <v>0</v>
      </c>
    </row>
    <row r="462" spans="1:32">
      <c r="A462" s="779">
        <f t="shared" si="113"/>
        <v>448</v>
      </c>
      <c r="B462" s="423" t="s">
        <v>1063</v>
      </c>
      <c r="C462" s="423" t="s">
        <v>634</v>
      </c>
      <c r="D462" s="423" t="s">
        <v>539</v>
      </c>
      <c r="E462" s="763" t="s">
        <v>635</v>
      </c>
      <c r="F462" s="391">
        <v>-2092665.97</v>
      </c>
      <c r="G462" s="391">
        <v>-2092665.97</v>
      </c>
      <c r="H462" s="391">
        <v>-2092665.97</v>
      </c>
      <c r="I462" s="391">
        <v>-2092665.97</v>
      </c>
      <c r="J462" s="391">
        <v>-2092665.97</v>
      </c>
      <c r="K462" s="391">
        <v>-2092665.97</v>
      </c>
      <c r="L462" s="391">
        <v>-2078691.53</v>
      </c>
      <c r="M462" s="391">
        <v>-2078691.53</v>
      </c>
      <c r="N462" s="391">
        <v>-2078691.53</v>
      </c>
      <c r="O462" s="391">
        <v>-2159678.75</v>
      </c>
      <c r="P462" s="391">
        <v>-2159678.75</v>
      </c>
      <c r="Q462" s="391">
        <v>-2159678.75</v>
      </c>
      <c r="R462" s="391">
        <v>-2189962.41</v>
      </c>
      <c r="S462" s="618">
        <f t="shared" si="120"/>
        <v>-2109979.5733333332</v>
      </c>
      <c r="T462" s="382"/>
      <c r="U462" s="833"/>
      <c r="V462" s="833">
        <f t="shared" si="124"/>
        <v>-2109979.5733333332</v>
      </c>
      <c r="W462" s="833"/>
      <c r="X462" s="425"/>
      <c r="Y462" s="833"/>
      <c r="Z462" s="833"/>
      <c r="AA462" s="833"/>
      <c r="AB462" s="833"/>
      <c r="AC462" s="834"/>
      <c r="AD462" s="835">
        <f t="shared" si="125"/>
        <v>-2109979.5733333332</v>
      </c>
      <c r="AE462" s="834"/>
      <c r="AF462" s="781">
        <f t="shared" si="111"/>
        <v>0</v>
      </c>
    </row>
    <row r="463" spans="1:32">
      <c r="A463" s="779">
        <f t="shared" si="113"/>
        <v>449</v>
      </c>
      <c r="B463" s="423" t="s">
        <v>1063</v>
      </c>
      <c r="C463" s="423" t="s">
        <v>1713</v>
      </c>
      <c r="D463" s="423" t="s">
        <v>382</v>
      </c>
      <c r="E463" s="763" t="s">
        <v>460</v>
      </c>
      <c r="F463" s="391">
        <v>-16277.030000000101</v>
      </c>
      <c r="G463" s="391">
        <v>-63577.5</v>
      </c>
      <c r="H463" s="391">
        <v>-179765.46</v>
      </c>
      <c r="I463" s="391">
        <v>-48756.55</v>
      </c>
      <c r="J463" s="391">
        <v>-79769.259999999995</v>
      </c>
      <c r="K463" s="391">
        <v>-1.45519152283669E-11</v>
      </c>
      <c r="L463" s="391">
        <v>-327123.71000000002</v>
      </c>
      <c r="M463" s="391">
        <v>-27648.45</v>
      </c>
      <c r="N463" s="391">
        <v>-1.09139364212751E-11</v>
      </c>
      <c r="O463" s="391">
        <v>-1.09139364212751E-11</v>
      </c>
      <c r="P463" s="391">
        <v>-1052717.67</v>
      </c>
      <c r="Q463" s="391">
        <v>-2697523.61</v>
      </c>
      <c r="R463" s="391">
        <v>-727822.38</v>
      </c>
      <c r="S463" s="618">
        <f t="shared" si="120"/>
        <v>-404077.65958333336</v>
      </c>
      <c r="T463" s="382"/>
      <c r="U463" s="833"/>
      <c r="V463" s="833">
        <f t="shared" si="124"/>
        <v>-404077.65958333336</v>
      </c>
      <c r="W463" s="833"/>
      <c r="X463" s="425"/>
      <c r="Y463" s="833"/>
      <c r="Z463" s="833"/>
      <c r="AA463" s="833"/>
      <c r="AB463" s="833"/>
      <c r="AC463" s="834"/>
      <c r="AD463" s="835">
        <f t="shared" si="125"/>
        <v>-404077.65958333336</v>
      </c>
      <c r="AE463" s="834"/>
      <c r="AF463" s="781">
        <f t="shared" ref="AF463:AF526" si="126">+U463+V463-AD463</f>
        <v>0</v>
      </c>
    </row>
    <row r="464" spans="1:32">
      <c r="A464" s="779">
        <f t="shared" si="113"/>
        <v>450</v>
      </c>
      <c r="B464" s="423" t="s">
        <v>1063</v>
      </c>
      <c r="C464" s="423" t="s">
        <v>636</v>
      </c>
      <c r="D464" s="423" t="s">
        <v>1320</v>
      </c>
      <c r="E464" s="763" t="s">
        <v>2002</v>
      </c>
      <c r="F464" s="391">
        <v>-102879.03999999999</v>
      </c>
      <c r="G464" s="391">
        <v>-111356.94</v>
      </c>
      <c r="H464" s="391">
        <v>-117451.94</v>
      </c>
      <c r="I464" s="391">
        <v>-118720.15</v>
      </c>
      <c r="J464" s="391">
        <v>-116515.65</v>
      </c>
      <c r="K464" s="391">
        <v>-100822.19</v>
      </c>
      <c r="L464" s="391">
        <v>-93312.41</v>
      </c>
      <c r="M464" s="391">
        <v>-88320.65</v>
      </c>
      <c r="N464" s="391">
        <v>-89882.65</v>
      </c>
      <c r="O464" s="391">
        <v>-86586.62</v>
      </c>
      <c r="P464" s="391">
        <v>-96163.31</v>
      </c>
      <c r="Q464" s="391">
        <v>-101243.69</v>
      </c>
      <c r="R464" s="391">
        <v>-106849.59</v>
      </c>
      <c r="S464" s="618">
        <f t="shared" si="120"/>
        <v>-102103.37625000002</v>
      </c>
      <c r="T464" s="382"/>
      <c r="U464" s="833"/>
      <c r="V464" s="833">
        <f t="shared" si="124"/>
        <v>-102103.37625000002</v>
      </c>
      <c r="W464" s="833"/>
      <c r="X464" s="425"/>
      <c r="Y464" s="833"/>
      <c r="Z464" s="833"/>
      <c r="AA464" s="833"/>
      <c r="AB464" s="833"/>
      <c r="AC464" s="834"/>
      <c r="AD464" s="835">
        <f t="shared" si="125"/>
        <v>-102103.37625000002</v>
      </c>
      <c r="AE464" s="834"/>
      <c r="AF464" s="781">
        <f t="shared" si="126"/>
        <v>0</v>
      </c>
    </row>
    <row r="465" spans="1:32">
      <c r="A465" s="779">
        <f t="shared" ref="A465:A528" si="127">+A464+1</f>
        <v>451</v>
      </c>
      <c r="B465" s="423" t="s">
        <v>1094</v>
      </c>
      <c r="C465" s="423" t="s">
        <v>636</v>
      </c>
      <c r="D465" s="422" t="s">
        <v>1229</v>
      </c>
      <c r="E465" s="763" t="s">
        <v>2005</v>
      </c>
      <c r="F465" s="391">
        <v>-455525.18</v>
      </c>
      <c r="G465" s="391">
        <v>-329659.74</v>
      </c>
      <c r="H465" s="391">
        <v>-310821.45</v>
      </c>
      <c r="I465" s="391">
        <v>-237025.65</v>
      </c>
      <c r="J465" s="391">
        <v>-172789.08</v>
      </c>
      <c r="K465" s="391">
        <v>-93608.35</v>
      </c>
      <c r="L465" s="391">
        <v>-82228.73</v>
      </c>
      <c r="M465" s="391">
        <v>-69890</v>
      </c>
      <c r="N465" s="391">
        <v>-45443.94</v>
      </c>
      <c r="O465" s="391">
        <v>-88488.31</v>
      </c>
      <c r="P465" s="391">
        <v>-173578.99</v>
      </c>
      <c r="Q465" s="391">
        <v>-276778.13</v>
      </c>
      <c r="R465" s="391">
        <v>-346866.55</v>
      </c>
      <c r="S465" s="618">
        <f t="shared" si="120"/>
        <v>-190125.68625000003</v>
      </c>
      <c r="T465" s="382"/>
      <c r="U465" s="833"/>
      <c r="V465" s="833">
        <f t="shared" si="124"/>
        <v>-190125.68625000003</v>
      </c>
      <c r="W465" s="833"/>
      <c r="X465" s="425"/>
      <c r="Y465" s="833"/>
      <c r="Z465" s="833"/>
      <c r="AA465" s="833"/>
      <c r="AB465" s="833"/>
      <c r="AC465" s="834"/>
      <c r="AD465" s="835">
        <f t="shared" si="125"/>
        <v>-190125.68625000003</v>
      </c>
      <c r="AE465" s="834"/>
      <c r="AF465" s="781">
        <f t="shared" si="126"/>
        <v>0</v>
      </c>
    </row>
    <row r="466" spans="1:32">
      <c r="A466" s="779">
        <f t="shared" si="127"/>
        <v>452</v>
      </c>
      <c r="B466" s="423" t="s">
        <v>1094</v>
      </c>
      <c r="C466" s="423" t="s">
        <v>636</v>
      </c>
      <c r="D466" s="422" t="s">
        <v>472</v>
      </c>
      <c r="E466" s="763" t="s">
        <v>2006</v>
      </c>
      <c r="F466" s="391">
        <v>-398641.31</v>
      </c>
      <c r="G466" s="391">
        <v>-438142.11</v>
      </c>
      <c r="H466" s="391">
        <v>-463467.44</v>
      </c>
      <c r="I466" s="391">
        <v>-489257.52</v>
      </c>
      <c r="J466" s="391">
        <v>-514724.87</v>
      </c>
      <c r="K466" s="391">
        <v>-530201.36</v>
      </c>
      <c r="L466" s="391">
        <v>-540777.02</v>
      </c>
      <c r="M466" s="391">
        <v>-554114.22</v>
      </c>
      <c r="N466" s="391">
        <v>-563086.65</v>
      </c>
      <c r="O466" s="391">
        <v>-572686.96</v>
      </c>
      <c r="P466" s="391">
        <v>-605065.63</v>
      </c>
      <c r="Q466" s="391">
        <v>-656362.47</v>
      </c>
      <c r="R466" s="391">
        <v>-720197.02</v>
      </c>
      <c r="S466" s="618">
        <f t="shared" si="120"/>
        <v>-540608.7845833333</v>
      </c>
      <c r="T466" s="382"/>
      <c r="U466" s="833"/>
      <c r="V466" s="833">
        <f t="shared" si="124"/>
        <v>-540608.7845833333</v>
      </c>
      <c r="W466" s="833"/>
      <c r="X466" s="425"/>
      <c r="Y466" s="833"/>
      <c r="Z466" s="833"/>
      <c r="AA466" s="833"/>
      <c r="AB466" s="833"/>
      <c r="AC466" s="834"/>
      <c r="AD466" s="835">
        <f t="shared" si="125"/>
        <v>-540608.7845833333</v>
      </c>
      <c r="AE466" s="834"/>
      <c r="AF466" s="781">
        <f t="shared" si="126"/>
        <v>0</v>
      </c>
    </row>
    <row r="467" spans="1:32" s="2" customFormat="1">
      <c r="A467" s="779">
        <f t="shared" si="127"/>
        <v>453</v>
      </c>
      <c r="B467" s="423" t="s">
        <v>1094</v>
      </c>
      <c r="C467" s="423" t="s">
        <v>636</v>
      </c>
      <c r="D467" s="422" t="s">
        <v>459</v>
      </c>
      <c r="E467" s="763" t="s">
        <v>2007</v>
      </c>
      <c r="F467" s="391">
        <v>-41743.449999999997</v>
      </c>
      <c r="G467" s="391">
        <v>-41189.11</v>
      </c>
      <c r="H467" s="391">
        <v>-43335.9</v>
      </c>
      <c r="I467" s="391">
        <v>-41907.46</v>
      </c>
      <c r="J467" s="391">
        <v>-40455.26</v>
      </c>
      <c r="K467" s="391">
        <v>-39832.870000000003</v>
      </c>
      <c r="L467" s="391">
        <v>-40416.559999999998</v>
      </c>
      <c r="M467" s="391">
        <v>-40244.720000000001</v>
      </c>
      <c r="N467" s="391">
        <v>-39599.43</v>
      </c>
      <c r="O467" s="391">
        <v>-40925.279999999999</v>
      </c>
      <c r="P467" s="391">
        <v>-44430.38</v>
      </c>
      <c r="Q467" s="391">
        <v>-47685.16</v>
      </c>
      <c r="R467" s="391">
        <v>-48875.44</v>
      </c>
      <c r="S467" s="618">
        <f t="shared" si="120"/>
        <v>-42110.964583333334</v>
      </c>
      <c r="T467" s="382"/>
      <c r="U467" s="833"/>
      <c r="V467" s="833">
        <f t="shared" si="124"/>
        <v>-42110.964583333334</v>
      </c>
      <c r="W467" s="833"/>
      <c r="X467" s="425"/>
      <c r="Y467" s="833"/>
      <c r="Z467" s="833"/>
      <c r="AA467" s="833"/>
      <c r="AB467" s="833"/>
      <c r="AC467" s="834"/>
      <c r="AD467" s="835">
        <f t="shared" si="125"/>
        <v>-42110.964583333334</v>
      </c>
      <c r="AE467" s="834"/>
      <c r="AF467" s="781">
        <f t="shared" si="126"/>
        <v>0</v>
      </c>
    </row>
    <row r="468" spans="1:32" s="2" customFormat="1">
      <c r="A468" s="779">
        <f t="shared" si="127"/>
        <v>454</v>
      </c>
      <c r="B468" s="423" t="s">
        <v>1094</v>
      </c>
      <c r="C468" s="423" t="s">
        <v>636</v>
      </c>
      <c r="D468" s="422" t="s">
        <v>505</v>
      </c>
      <c r="E468" s="763" t="s">
        <v>2008</v>
      </c>
      <c r="F468" s="391">
        <v>403227.42</v>
      </c>
      <c r="G468" s="391">
        <v>403227.42</v>
      </c>
      <c r="H468" s="391">
        <v>421176.51</v>
      </c>
      <c r="I468" s="391">
        <v>446665.36</v>
      </c>
      <c r="J468" s="391">
        <v>454844.82</v>
      </c>
      <c r="K468" s="391">
        <v>456803.74</v>
      </c>
      <c r="L468" s="391">
        <v>465018.63</v>
      </c>
      <c r="M468" s="391">
        <v>465018.63</v>
      </c>
      <c r="N468" s="391">
        <v>465018.63</v>
      </c>
      <c r="O468" s="391">
        <v>473546.58</v>
      </c>
      <c r="P468" s="391">
        <v>473546.58</v>
      </c>
      <c r="Q468" s="391">
        <v>473546.58</v>
      </c>
      <c r="R468" s="391">
        <v>473546.58</v>
      </c>
      <c r="S468" s="618">
        <f t="shared" si="120"/>
        <v>453066.70666666661</v>
      </c>
      <c r="T468" s="382"/>
      <c r="U468" s="833"/>
      <c r="V468" s="833">
        <f t="shared" si="124"/>
        <v>453066.70666666661</v>
      </c>
      <c r="W468" s="833"/>
      <c r="X468" s="425"/>
      <c r="Y468" s="833"/>
      <c r="Z468" s="833"/>
      <c r="AA468" s="833"/>
      <c r="AB468" s="833"/>
      <c r="AC468" s="834"/>
      <c r="AD468" s="835">
        <f t="shared" si="125"/>
        <v>453066.70666666661</v>
      </c>
      <c r="AE468" s="834"/>
      <c r="AF468" s="781">
        <f t="shared" si="126"/>
        <v>0</v>
      </c>
    </row>
    <row r="469" spans="1:32" s="2" customFormat="1">
      <c r="A469" s="779">
        <f t="shared" si="127"/>
        <v>455</v>
      </c>
      <c r="B469" s="423" t="s">
        <v>1066</v>
      </c>
      <c r="C469" s="423" t="s">
        <v>636</v>
      </c>
      <c r="D469" s="422" t="s">
        <v>459</v>
      </c>
      <c r="E469" s="763" t="s">
        <v>2007</v>
      </c>
      <c r="F469" s="391">
        <v>-679958.24</v>
      </c>
      <c r="G469" s="391">
        <v>-649386.93999999994</v>
      </c>
      <c r="H469" s="391">
        <v>-657967.30000000005</v>
      </c>
      <c r="I469" s="391">
        <v>-637058.73</v>
      </c>
      <c r="J469" s="391">
        <v>-581935.12</v>
      </c>
      <c r="K469" s="391">
        <v>-523095.22</v>
      </c>
      <c r="L469" s="391">
        <v>-485005.71</v>
      </c>
      <c r="M469" s="391">
        <v>-469403.86</v>
      </c>
      <c r="N469" s="391">
        <v>-470756.34</v>
      </c>
      <c r="O469" s="391">
        <v>-520349.3</v>
      </c>
      <c r="P469" s="391">
        <v>-547799.32999999996</v>
      </c>
      <c r="Q469" s="391">
        <v>-510360.2</v>
      </c>
      <c r="R469" s="391">
        <v>-525935.19999999995</v>
      </c>
      <c r="S469" s="618">
        <f t="shared" si="120"/>
        <v>-554672.06416666659</v>
      </c>
      <c r="T469" s="382"/>
      <c r="U469" s="833"/>
      <c r="V469" s="833">
        <f t="shared" si="124"/>
        <v>-554672.06416666659</v>
      </c>
      <c r="W469" s="833"/>
      <c r="X469" s="425"/>
      <c r="Y469" s="833"/>
      <c r="Z469" s="833"/>
      <c r="AA469" s="833"/>
      <c r="AB469" s="833"/>
      <c r="AC469" s="834"/>
      <c r="AD469" s="835">
        <f t="shared" si="125"/>
        <v>-554672.06416666659</v>
      </c>
      <c r="AE469" s="834"/>
      <c r="AF469" s="781">
        <f t="shared" si="126"/>
        <v>0</v>
      </c>
    </row>
    <row r="470" spans="1:32" s="2" customFormat="1">
      <c r="A470" s="779">
        <f t="shared" si="127"/>
        <v>456</v>
      </c>
      <c r="B470" s="423" t="s">
        <v>1063</v>
      </c>
      <c r="C470" s="423" t="s">
        <v>636</v>
      </c>
      <c r="D470" s="422" t="s">
        <v>1321</v>
      </c>
      <c r="E470" s="763" t="s">
        <v>1999</v>
      </c>
      <c r="F470" s="391">
        <v>-47530.65</v>
      </c>
      <c r="G470" s="391">
        <v>-43579.95</v>
      </c>
      <c r="H470" s="391">
        <v>-43550.84</v>
      </c>
      <c r="I470" s="391">
        <v>-49183.12</v>
      </c>
      <c r="J470" s="391">
        <v>-25951.200000000001</v>
      </c>
      <c r="K470" s="391">
        <v>-28529.41</v>
      </c>
      <c r="L470" s="391">
        <v>-32888.54</v>
      </c>
      <c r="M470" s="391">
        <v>-30804.94</v>
      </c>
      <c r="N470" s="391">
        <v>-52826.58</v>
      </c>
      <c r="O470" s="391">
        <v>-51930.46</v>
      </c>
      <c r="P470" s="391">
        <v>-59332.13</v>
      </c>
      <c r="Q470" s="391">
        <v>-37855.919999999998</v>
      </c>
      <c r="R470" s="391">
        <v>-57073.15</v>
      </c>
      <c r="S470" s="618">
        <f t="shared" si="120"/>
        <v>-42394.582500000004</v>
      </c>
      <c r="T470" s="382"/>
      <c r="U470" s="833"/>
      <c r="V470" s="833">
        <f t="shared" si="124"/>
        <v>-42394.582500000004</v>
      </c>
      <c r="W470" s="833"/>
      <c r="X470" s="425"/>
      <c r="Y470" s="833"/>
      <c r="Z470" s="833"/>
      <c r="AA470" s="833"/>
      <c r="AB470" s="833"/>
      <c r="AC470" s="834"/>
      <c r="AD470" s="835">
        <f t="shared" si="125"/>
        <v>-42394.582500000004</v>
      </c>
      <c r="AE470" s="834"/>
      <c r="AF470" s="781">
        <f t="shared" si="126"/>
        <v>0</v>
      </c>
    </row>
    <row r="471" spans="1:32" s="2" customFormat="1">
      <c r="A471" s="779">
        <f t="shared" si="127"/>
        <v>457</v>
      </c>
      <c r="B471" s="423" t="s">
        <v>1063</v>
      </c>
      <c r="C471" s="423" t="s">
        <v>636</v>
      </c>
      <c r="D471" s="422" t="s">
        <v>1322</v>
      </c>
      <c r="E471" s="763" t="s">
        <v>2000</v>
      </c>
      <c r="F471" s="391">
        <v>-1192988.49</v>
      </c>
      <c r="G471" s="391">
        <v>-1366295.6</v>
      </c>
      <c r="H471" s="391">
        <v>-429490.29</v>
      </c>
      <c r="I471" s="391">
        <v>-595602.67000000004</v>
      </c>
      <c r="J471" s="391">
        <v>-756113.45</v>
      </c>
      <c r="K471" s="391">
        <v>-915178.83</v>
      </c>
      <c r="L471" s="391">
        <v>-1065159.8899999999</v>
      </c>
      <c r="M471" s="391">
        <v>-1218225.3899999999</v>
      </c>
      <c r="N471" s="391">
        <v>-559619.32999999996</v>
      </c>
      <c r="O471" s="391">
        <v>-709835.13</v>
      </c>
      <c r="P471" s="391">
        <v>-886037.76</v>
      </c>
      <c r="Q471" s="391">
        <v>-1055260.47</v>
      </c>
      <c r="R471" s="391">
        <v>-1208196.57</v>
      </c>
      <c r="S471" s="618">
        <f t="shared" si="120"/>
        <v>-896450.94499999995</v>
      </c>
      <c r="T471" s="382"/>
      <c r="U471" s="833"/>
      <c r="V471" s="833">
        <f t="shared" si="124"/>
        <v>-896450.94499999995</v>
      </c>
      <c r="W471" s="833"/>
      <c r="X471" s="425"/>
      <c r="Y471" s="833"/>
      <c r="Z471" s="833"/>
      <c r="AA471" s="833"/>
      <c r="AB471" s="833"/>
      <c r="AC471" s="834"/>
      <c r="AD471" s="835">
        <f t="shared" si="125"/>
        <v>-896450.94499999995</v>
      </c>
      <c r="AE471" s="834"/>
      <c r="AF471" s="781">
        <f t="shared" si="126"/>
        <v>0</v>
      </c>
    </row>
    <row r="472" spans="1:32" s="2" customFormat="1">
      <c r="A472" s="779">
        <f t="shared" si="127"/>
        <v>458</v>
      </c>
      <c r="B472" s="423" t="s">
        <v>1063</v>
      </c>
      <c r="C472" s="423" t="s">
        <v>636</v>
      </c>
      <c r="D472" s="422" t="s">
        <v>1714</v>
      </c>
      <c r="E472" s="763" t="s">
        <v>2001</v>
      </c>
      <c r="F472" s="391">
        <v>-166761</v>
      </c>
      <c r="G472" s="391">
        <v>-166761</v>
      </c>
      <c r="H472" s="391">
        <v>0</v>
      </c>
      <c r="I472" s="391">
        <v>0</v>
      </c>
      <c r="J472" s="391">
        <v>0</v>
      </c>
      <c r="K472" s="391">
        <v>0</v>
      </c>
      <c r="L472" s="391">
        <v>0</v>
      </c>
      <c r="M472" s="391">
        <v>0</v>
      </c>
      <c r="N472" s="391">
        <v>0</v>
      </c>
      <c r="O472" s="391">
        <v>0</v>
      </c>
      <c r="P472" s="391">
        <v>628.39</v>
      </c>
      <c r="Q472" s="391">
        <v>628.39</v>
      </c>
      <c r="R472" s="391">
        <v>628.39</v>
      </c>
      <c r="S472" s="618">
        <f t="shared" si="120"/>
        <v>-20714.210416666665</v>
      </c>
      <c r="T472" s="382"/>
      <c r="U472" s="833"/>
      <c r="V472" s="833">
        <f t="shared" si="124"/>
        <v>-20714.210416666665</v>
      </c>
      <c r="W472" s="833"/>
      <c r="X472" s="425"/>
      <c r="Y472" s="833"/>
      <c r="Z472" s="833"/>
      <c r="AA472" s="833"/>
      <c r="AB472" s="833"/>
      <c r="AC472" s="834"/>
      <c r="AD472" s="835">
        <f t="shared" si="125"/>
        <v>-20714.210416666665</v>
      </c>
      <c r="AE472" s="834"/>
      <c r="AF472" s="781">
        <f t="shared" si="126"/>
        <v>0</v>
      </c>
    </row>
    <row r="473" spans="1:32" s="2" customFormat="1">
      <c r="A473" s="779">
        <f t="shared" si="127"/>
        <v>459</v>
      </c>
      <c r="B473" s="423" t="s">
        <v>1063</v>
      </c>
      <c r="C473" s="423" t="s">
        <v>637</v>
      </c>
      <c r="D473" s="422" t="s">
        <v>472</v>
      </c>
      <c r="E473" s="763" t="s">
        <v>638</v>
      </c>
      <c r="F473" s="391">
        <v>-400000</v>
      </c>
      <c r="G473" s="391">
        <v>-379517.67</v>
      </c>
      <c r="H473" s="391">
        <v>-379517.67</v>
      </c>
      <c r="I473" s="391">
        <v>-379517.67</v>
      </c>
      <c r="J473" s="391">
        <v>-379517.67</v>
      </c>
      <c r="K473" s="391">
        <v>-379517.67</v>
      </c>
      <c r="L473" s="391">
        <v>-379517.67</v>
      </c>
      <c r="M473" s="391">
        <v>-379517.67</v>
      </c>
      <c r="N473" s="391">
        <v>-379517.67</v>
      </c>
      <c r="O473" s="391">
        <v>-379517.67</v>
      </c>
      <c r="P473" s="391">
        <v>-379517.67</v>
      </c>
      <c r="Q473" s="391">
        <v>-379517.67</v>
      </c>
      <c r="R473" s="391">
        <v>-379517.67</v>
      </c>
      <c r="S473" s="618">
        <f t="shared" si="120"/>
        <v>-380371.10041666665</v>
      </c>
      <c r="T473" s="382"/>
      <c r="U473" s="833"/>
      <c r="V473" s="833">
        <f t="shared" si="124"/>
        <v>-380371.10041666665</v>
      </c>
      <c r="W473" s="833"/>
      <c r="X473" s="425"/>
      <c r="Y473" s="833"/>
      <c r="Z473" s="833"/>
      <c r="AA473" s="833"/>
      <c r="AB473" s="833"/>
      <c r="AC473" s="834"/>
      <c r="AD473" s="835">
        <f t="shared" si="125"/>
        <v>-380371.10041666665</v>
      </c>
      <c r="AE473" s="834"/>
      <c r="AF473" s="781">
        <f t="shared" si="126"/>
        <v>0</v>
      </c>
    </row>
    <row r="474" spans="1:32" s="2" customFormat="1">
      <c r="A474" s="779">
        <f t="shared" si="127"/>
        <v>460</v>
      </c>
      <c r="B474" s="423" t="s">
        <v>1066</v>
      </c>
      <c r="C474" s="423" t="s">
        <v>637</v>
      </c>
      <c r="D474" s="422" t="s">
        <v>472</v>
      </c>
      <c r="E474" s="763" t="s">
        <v>638</v>
      </c>
      <c r="F474" s="391">
        <v>0</v>
      </c>
      <c r="G474" s="391">
        <v>0</v>
      </c>
      <c r="H474" s="391">
        <v>0</v>
      </c>
      <c r="I474" s="391">
        <v>0</v>
      </c>
      <c r="J474" s="391">
        <v>0</v>
      </c>
      <c r="K474" s="391">
        <v>0</v>
      </c>
      <c r="L474" s="391">
        <v>0</v>
      </c>
      <c r="M474" s="391">
        <v>0</v>
      </c>
      <c r="N474" s="391">
        <v>0</v>
      </c>
      <c r="O474" s="391">
        <v>0</v>
      </c>
      <c r="P474" s="391">
        <v>0</v>
      </c>
      <c r="Q474" s="391">
        <v>0</v>
      </c>
      <c r="R474" s="391">
        <v>0</v>
      </c>
      <c r="S474" s="618">
        <f t="shared" si="120"/>
        <v>0</v>
      </c>
      <c r="T474" s="382"/>
      <c r="U474" s="833"/>
      <c r="V474" s="833">
        <f t="shared" si="124"/>
        <v>0</v>
      </c>
      <c r="W474" s="833"/>
      <c r="X474" s="425"/>
      <c r="Y474" s="833"/>
      <c r="Z474" s="833"/>
      <c r="AA474" s="833"/>
      <c r="AB474" s="833"/>
      <c r="AC474" s="834"/>
      <c r="AD474" s="835">
        <f t="shared" si="125"/>
        <v>0</v>
      </c>
      <c r="AE474" s="834"/>
      <c r="AF474" s="781">
        <f t="shared" si="126"/>
        <v>0</v>
      </c>
    </row>
    <row r="475" spans="1:32">
      <c r="A475" s="779">
        <f t="shared" si="127"/>
        <v>461</v>
      </c>
      <c r="B475" s="423" t="s">
        <v>1094</v>
      </c>
      <c r="C475" s="423" t="s">
        <v>639</v>
      </c>
      <c r="D475" s="423" t="s">
        <v>459</v>
      </c>
      <c r="E475" s="763" t="s">
        <v>640</v>
      </c>
      <c r="F475" s="391">
        <v>0</v>
      </c>
      <c r="G475" s="391">
        <v>0</v>
      </c>
      <c r="H475" s="391">
        <v>0</v>
      </c>
      <c r="I475" s="391">
        <v>0</v>
      </c>
      <c r="J475" s="391">
        <v>0</v>
      </c>
      <c r="K475" s="391">
        <v>0</v>
      </c>
      <c r="L475" s="391">
        <v>0</v>
      </c>
      <c r="M475" s="391">
        <v>0</v>
      </c>
      <c r="N475" s="391">
        <v>0</v>
      </c>
      <c r="O475" s="391">
        <v>0</v>
      </c>
      <c r="P475" s="391">
        <v>0</v>
      </c>
      <c r="Q475" s="391">
        <v>0</v>
      </c>
      <c r="R475" s="391">
        <v>0</v>
      </c>
      <c r="S475" s="618">
        <f t="shared" si="120"/>
        <v>0</v>
      </c>
      <c r="T475" s="382"/>
      <c r="U475" s="833"/>
      <c r="V475" s="833">
        <f t="shared" si="124"/>
        <v>0</v>
      </c>
      <c r="W475" s="833"/>
      <c r="X475" s="425"/>
      <c r="Y475" s="833"/>
      <c r="Z475" s="833"/>
      <c r="AA475" s="833"/>
      <c r="AB475" s="833"/>
      <c r="AC475" s="834"/>
      <c r="AD475" s="835">
        <f t="shared" si="125"/>
        <v>0</v>
      </c>
      <c r="AE475" s="834"/>
      <c r="AF475" s="781">
        <f t="shared" si="126"/>
        <v>0</v>
      </c>
    </row>
    <row r="476" spans="1:32">
      <c r="A476" s="779">
        <f t="shared" si="127"/>
        <v>462</v>
      </c>
      <c r="B476" s="423" t="s">
        <v>1063</v>
      </c>
      <c r="C476" s="423" t="s">
        <v>639</v>
      </c>
      <c r="D476" s="423" t="s">
        <v>505</v>
      </c>
      <c r="E476" s="763" t="s">
        <v>641</v>
      </c>
      <c r="F476" s="391">
        <v>-48270</v>
      </c>
      <c r="G476" s="391">
        <v>-48270</v>
      </c>
      <c r="H476" s="391">
        <v>-48270</v>
      </c>
      <c r="I476" s="391">
        <v>-24135</v>
      </c>
      <c r="J476" s="391">
        <v>-24135</v>
      </c>
      <c r="K476" s="391">
        <v>-24135</v>
      </c>
      <c r="L476" s="391">
        <v>-24135</v>
      </c>
      <c r="M476" s="391">
        <v>-24135</v>
      </c>
      <c r="N476" s="391">
        <v>-24135</v>
      </c>
      <c r="O476" s="391">
        <v>-48270</v>
      </c>
      <c r="P476" s="391">
        <v>-24135</v>
      </c>
      <c r="Q476" s="391">
        <v>-24135</v>
      </c>
      <c r="R476" s="391">
        <v>-24135</v>
      </c>
      <c r="S476" s="618">
        <f t="shared" si="120"/>
        <v>-31174.375</v>
      </c>
      <c r="T476" s="382"/>
      <c r="U476" s="833"/>
      <c r="V476" s="833">
        <f t="shared" si="124"/>
        <v>-31174.375</v>
      </c>
      <c r="W476" s="833"/>
      <c r="X476" s="425"/>
      <c r="Y476" s="833"/>
      <c r="Z476" s="833"/>
      <c r="AA476" s="833"/>
      <c r="AB476" s="833"/>
      <c r="AC476" s="834"/>
      <c r="AD476" s="835">
        <f t="shared" si="125"/>
        <v>-31174.375</v>
      </c>
      <c r="AE476" s="834"/>
      <c r="AF476" s="781">
        <f t="shared" si="126"/>
        <v>0</v>
      </c>
    </row>
    <row r="477" spans="1:32">
      <c r="A477" s="779">
        <f t="shared" si="127"/>
        <v>463</v>
      </c>
      <c r="B477" s="423" t="s">
        <v>1094</v>
      </c>
      <c r="C477" s="423" t="s">
        <v>642</v>
      </c>
      <c r="D477" s="423" t="s">
        <v>382</v>
      </c>
      <c r="E477" s="763" t="s">
        <v>2003</v>
      </c>
      <c r="F477" s="391">
        <v>0</v>
      </c>
      <c r="G477" s="391">
        <v>-249016.3</v>
      </c>
      <c r="H477" s="391">
        <v>-450949.83</v>
      </c>
      <c r="I477" s="391">
        <v>-621635.15</v>
      </c>
      <c r="J477" s="391">
        <v>-740311.19</v>
      </c>
      <c r="K477" s="391">
        <v>-821857.22</v>
      </c>
      <c r="L477" s="391">
        <v>-876559.9</v>
      </c>
      <c r="M477" s="391">
        <v>-1060867.32</v>
      </c>
      <c r="N477" s="391">
        <v>-1113807.72</v>
      </c>
      <c r="O477" s="391">
        <v>-1180527.78</v>
      </c>
      <c r="P477" s="391">
        <v>-1310366.54</v>
      </c>
      <c r="Q477" s="391">
        <v>-1529920.87</v>
      </c>
      <c r="R477" s="391">
        <v>-1558019.97</v>
      </c>
      <c r="S477" s="618">
        <f t="shared" si="120"/>
        <v>-894569.15041666664</v>
      </c>
      <c r="T477" s="382"/>
      <c r="U477" s="833"/>
      <c r="V477" s="833">
        <f t="shared" si="124"/>
        <v>-894569.15041666664</v>
      </c>
      <c r="W477" s="833"/>
      <c r="X477" s="425"/>
      <c r="Y477" s="833"/>
      <c r="Z477" s="833"/>
      <c r="AA477" s="833"/>
      <c r="AB477" s="833"/>
      <c r="AC477" s="834"/>
      <c r="AD477" s="835">
        <f t="shared" si="125"/>
        <v>-894569.15041666664</v>
      </c>
      <c r="AE477" s="834"/>
      <c r="AF477" s="781">
        <f t="shared" si="126"/>
        <v>0</v>
      </c>
    </row>
    <row r="478" spans="1:32">
      <c r="A478" s="779">
        <f t="shared" si="127"/>
        <v>464</v>
      </c>
      <c r="B478" s="423" t="s">
        <v>1066</v>
      </c>
      <c r="C478" s="423" t="s">
        <v>642</v>
      </c>
      <c r="D478" s="423" t="s">
        <v>382</v>
      </c>
      <c r="E478" s="763" t="s">
        <v>2003</v>
      </c>
      <c r="F478" s="391">
        <v>0</v>
      </c>
      <c r="G478" s="391">
        <v>0</v>
      </c>
      <c r="H478" s="391">
        <v>0</v>
      </c>
      <c r="I478" s="391">
        <v>0</v>
      </c>
      <c r="J478" s="391">
        <v>0</v>
      </c>
      <c r="K478" s="391">
        <v>-1024987.67</v>
      </c>
      <c r="L478" s="391">
        <v>-2562445.35</v>
      </c>
      <c r="M478" s="391">
        <v>-2823417.12</v>
      </c>
      <c r="N478" s="391">
        <v>0</v>
      </c>
      <c r="O478" s="391">
        <v>0</v>
      </c>
      <c r="P478" s="391">
        <v>0</v>
      </c>
      <c r="Q478" s="391">
        <v>0</v>
      </c>
      <c r="R478" s="391">
        <v>0</v>
      </c>
      <c r="S478" s="618">
        <f t="shared" si="120"/>
        <v>-534237.51166666672</v>
      </c>
      <c r="T478" s="382"/>
      <c r="U478" s="833"/>
      <c r="V478" s="833">
        <f t="shared" si="124"/>
        <v>-534237.51166666672</v>
      </c>
      <c r="W478" s="833"/>
      <c r="X478" s="425"/>
      <c r="Y478" s="833"/>
      <c r="Z478" s="833"/>
      <c r="AA478" s="833"/>
      <c r="AB478" s="833"/>
      <c r="AC478" s="834"/>
      <c r="AD478" s="835">
        <f t="shared" si="125"/>
        <v>-534237.51166666672</v>
      </c>
      <c r="AE478" s="834"/>
      <c r="AF478" s="781">
        <f t="shared" si="126"/>
        <v>0</v>
      </c>
    </row>
    <row r="479" spans="1:32">
      <c r="A479" s="779">
        <f t="shared" si="127"/>
        <v>465</v>
      </c>
      <c r="B479" s="423" t="s">
        <v>1094</v>
      </c>
      <c r="C479" s="423" t="s">
        <v>643</v>
      </c>
      <c r="D479" s="422" t="s">
        <v>1323</v>
      </c>
      <c r="E479" s="763" t="s">
        <v>2009</v>
      </c>
      <c r="F479" s="391">
        <v>337685.11</v>
      </c>
      <c r="G479" s="391">
        <v>912302.41</v>
      </c>
      <c r="H479" s="391">
        <v>1078706.5900000001</v>
      </c>
      <c r="I479" s="391">
        <v>748237.59</v>
      </c>
      <c r="J479" s="391">
        <v>515166.04</v>
      </c>
      <c r="K479" s="391">
        <v>250391.87</v>
      </c>
      <c r="L479" s="391">
        <v>-1105.5199999998999</v>
      </c>
      <c r="M479" s="391">
        <v>-169673.67</v>
      </c>
      <c r="N479" s="391">
        <v>-157659.34</v>
      </c>
      <c r="O479" s="391">
        <v>-413495.63</v>
      </c>
      <c r="P479" s="391">
        <v>-554613.27</v>
      </c>
      <c r="Q479" s="391">
        <v>968161.04</v>
      </c>
      <c r="R479" s="391">
        <v>3704804.32</v>
      </c>
      <c r="S479" s="618">
        <f t="shared" si="120"/>
        <v>433138.56875000003</v>
      </c>
      <c r="T479" s="382"/>
      <c r="U479" s="833"/>
      <c r="V479" s="840"/>
      <c r="W479" s="833"/>
      <c r="X479" s="833">
        <f>+S479</f>
        <v>433138.56875000003</v>
      </c>
      <c r="Y479" s="833"/>
      <c r="Z479" s="833"/>
      <c r="AA479" s="833"/>
      <c r="AB479" s="835">
        <f>+X479</f>
        <v>433138.56875000003</v>
      </c>
      <c r="AC479" s="834"/>
      <c r="AD479" s="840"/>
      <c r="AE479" s="834"/>
      <c r="AF479" s="781">
        <f t="shared" si="126"/>
        <v>0</v>
      </c>
    </row>
    <row r="480" spans="1:32">
      <c r="A480" s="779">
        <f t="shared" si="127"/>
        <v>466</v>
      </c>
      <c r="B480" s="423" t="s">
        <v>1094</v>
      </c>
      <c r="C480" s="423" t="s">
        <v>643</v>
      </c>
      <c r="D480" s="423" t="s">
        <v>1324</v>
      </c>
      <c r="E480" s="763" t="s">
        <v>2010</v>
      </c>
      <c r="F480" s="391">
        <v>-1361798.66</v>
      </c>
      <c r="G480" s="391">
        <v>-2254482.94</v>
      </c>
      <c r="H480" s="391">
        <v>-2961451.38</v>
      </c>
      <c r="I480" s="391">
        <v>-3423434.88</v>
      </c>
      <c r="J480" s="391">
        <v>-3371596.26</v>
      </c>
      <c r="K480" s="391">
        <v>-3239659.11</v>
      </c>
      <c r="L480" s="391">
        <v>-3042773.38</v>
      </c>
      <c r="M480" s="391">
        <v>-2742326.01</v>
      </c>
      <c r="N480" s="391">
        <v>-2299616.7799999998</v>
      </c>
      <c r="O480" s="391">
        <v>-2138421.85</v>
      </c>
      <c r="P480" s="391">
        <v>-2487346.0299999998</v>
      </c>
      <c r="Q480" s="391">
        <v>66550.100000000093</v>
      </c>
      <c r="R480" s="391">
        <v>-1108593.69</v>
      </c>
      <c r="S480" s="618">
        <f t="shared" si="120"/>
        <v>-2427479.5579166668</v>
      </c>
      <c r="T480" s="422"/>
      <c r="U480" s="833"/>
      <c r="V480" s="833"/>
      <c r="W480" s="833"/>
      <c r="X480" s="425">
        <f>+S480</f>
        <v>-2427479.5579166668</v>
      </c>
      <c r="Y480" s="833"/>
      <c r="Z480" s="833"/>
      <c r="AA480" s="833"/>
      <c r="AB480" s="833">
        <f t="shared" ref="AB480:AB484" si="128">+X480</f>
        <v>-2427479.5579166668</v>
      </c>
      <c r="AC480" s="834"/>
      <c r="AD480" s="835">
        <f t="shared" si="125"/>
        <v>0</v>
      </c>
      <c r="AE480" s="834"/>
      <c r="AF480" s="781">
        <f t="shared" si="126"/>
        <v>0</v>
      </c>
    </row>
    <row r="481" spans="1:32">
      <c r="A481" s="779">
        <f t="shared" si="127"/>
        <v>467</v>
      </c>
      <c r="B481" s="423" t="s">
        <v>1094</v>
      </c>
      <c r="C481" s="423" t="s">
        <v>643</v>
      </c>
      <c r="D481" s="423" t="s">
        <v>1325</v>
      </c>
      <c r="E481" s="763" t="s">
        <v>644</v>
      </c>
      <c r="F481" s="391">
        <v>0</v>
      </c>
      <c r="G481" s="391">
        <v>0</v>
      </c>
      <c r="H481" s="391">
        <v>0</v>
      </c>
      <c r="I481" s="391">
        <v>0</v>
      </c>
      <c r="J481" s="391">
        <v>0</v>
      </c>
      <c r="K481" s="391">
        <v>0</v>
      </c>
      <c r="L481" s="391">
        <v>0</v>
      </c>
      <c r="M481" s="391">
        <v>0</v>
      </c>
      <c r="N481" s="391">
        <v>0</v>
      </c>
      <c r="O481" s="391">
        <v>0</v>
      </c>
      <c r="P481" s="391">
        <v>0</v>
      </c>
      <c r="Q481" s="391">
        <v>0</v>
      </c>
      <c r="R481" s="391">
        <v>0</v>
      </c>
      <c r="S481" s="618">
        <f t="shared" si="120"/>
        <v>0</v>
      </c>
      <c r="T481" s="422"/>
      <c r="U481" s="833"/>
      <c r="V481" s="833"/>
      <c r="W481" s="833"/>
      <c r="X481" s="425">
        <f t="shared" ref="X481:X493" si="129">+S481</f>
        <v>0</v>
      </c>
      <c r="Y481" s="833"/>
      <c r="Z481" s="833"/>
      <c r="AA481" s="833"/>
      <c r="AB481" s="833">
        <f t="shared" si="128"/>
        <v>0</v>
      </c>
      <c r="AC481" s="834"/>
      <c r="AD481" s="835">
        <f t="shared" si="125"/>
        <v>0</v>
      </c>
      <c r="AE481" s="834"/>
      <c r="AF481" s="781">
        <f t="shared" si="126"/>
        <v>0</v>
      </c>
    </row>
    <row r="482" spans="1:32">
      <c r="A482" s="779">
        <f t="shared" si="127"/>
        <v>468</v>
      </c>
      <c r="B482" s="423" t="s">
        <v>1094</v>
      </c>
      <c r="C482" s="423" t="s">
        <v>643</v>
      </c>
      <c r="D482" s="423" t="s">
        <v>1326</v>
      </c>
      <c r="E482" s="763" t="s">
        <v>2011</v>
      </c>
      <c r="F482" s="391">
        <v>-1016276.3</v>
      </c>
      <c r="G482" s="391">
        <v>-739755.6</v>
      </c>
      <c r="H482" s="391">
        <v>-551534.93000000005</v>
      </c>
      <c r="I482" s="391">
        <v>-321162.83</v>
      </c>
      <c r="J482" s="391">
        <v>-164656.32999999999</v>
      </c>
      <c r="K482" s="391">
        <v>-65410.780000000101</v>
      </c>
      <c r="L482" s="391">
        <v>-8323.2700000000696</v>
      </c>
      <c r="M482" s="391">
        <v>37913.369999999901</v>
      </c>
      <c r="N482" s="391">
        <v>80622.809999999896</v>
      </c>
      <c r="O482" s="391">
        <v>124944.61</v>
      </c>
      <c r="P482" s="391">
        <v>206024.81</v>
      </c>
      <c r="Q482" s="391">
        <v>-2758873.65</v>
      </c>
      <c r="R482" s="391">
        <v>-2335027.88</v>
      </c>
      <c r="S482" s="618">
        <f t="shared" si="120"/>
        <v>-486321.99</v>
      </c>
      <c r="T482" s="422"/>
      <c r="U482" s="833"/>
      <c r="V482" s="833"/>
      <c r="W482" s="833"/>
      <c r="X482" s="425">
        <f t="shared" si="129"/>
        <v>-486321.99</v>
      </c>
      <c r="Y482" s="833"/>
      <c r="Z482" s="833"/>
      <c r="AA482" s="833"/>
      <c r="AB482" s="833">
        <f t="shared" si="128"/>
        <v>-486321.99</v>
      </c>
      <c r="AC482" s="834"/>
      <c r="AD482" s="835">
        <f t="shared" si="125"/>
        <v>0</v>
      </c>
      <c r="AE482" s="834"/>
      <c r="AF482" s="781">
        <f t="shared" si="126"/>
        <v>0</v>
      </c>
    </row>
    <row r="483" spans="1:32">
      <c r="A483" s="779">
        <f t="shared" si="127"/>
        <v>469</v>
      </c>
      <c r="B483" s="423" t="s">
        <v>1094</v>
      </c>
      <c r="C483" s="423" t="s">
        <v>643</v>
      </c>
      <c r="D483" s="423" t="s">
        <v>1327</v>
      </c>
      <c r="E483" s="763" t="s">
        <v>2012</v>
      </c>
      <c r="F483" s="391">
        <v>866372.03</v>
      </c>
      <c r="G483" s="391">
        <v>638800.75</v>
      </c>
      <c r="H483" s="391">
        <v>705179.24</v>
      </c>
      <c r="I483" s="391">
        <v>499741.13</v>
      </c>
      <c r="J483" s="391">
        <v>333592.8</v>
      </c>
      <c r="K483" s="391">
        <v>166798.72</v>
      </c>
      <c r="L483" s="391">
        <v>148101.29</v>
      </c>
      <c r="M483" s="391">
        <v>137527.70000000001</v>
      </c>
      <c r="N483" s="391">
        <v>64172.160000000098</v>
      </c>
      <c r="O483" s="391">
        <v>122319.91</v>
      </c>
      <c r="P483" s="391">
        <v>289325.53999999998</v>
      </c>
      <c r="Q483" s="391">
        <v>276435.09000000003</v>
      </c>
      <c r="R483" s="391">
        <v>332004.03999999998</v>
      </c>
      <c r="S483" s="618">
        <f t="shared" si="120"/>
        <v>331765.19708333339</v>
      </c>
      <c r="T483" s="422"/>
      <c r="U483" s="833"/>
      <c r="V483" s="833"/>
      <c r="W483" s="833"/>
      <c r="X483" s="425">
        <f t="shared" si="129"/>
        <v>331765.19708333339</v>
      </c>
      <c r="Y483" s="833"/>
      <c r="Z483" s="833"/>
      <c r="AA483" s="833"/>
      <c r="AB483" s="833">
        <f t="shared" si="128"/>
        <v>331765.19708333339</v>
      </c>
      <c r="AC483" s="834"/>
      <c r="AD483" s="835">
        <f t="shared" si="125"/>
        <v>0</v>
      </c>
      <c r="AE483" s="834"/>
      <c r="AF483" s="781">
        <f t="shared" si="126"/>
        <v>0</v>
      </c>
    </row>
    <row r="484" spans="1:32">
      <c r="A484" s="779">
        <f t="shared" si="127"/>
        <v>470</v>
      </c>
      <c r="B484" s="423" t="s">
        <v>1715</v>
      </c>
      <c r="C484" s="423" t="s">
        <v>643</v>
      </c>
      <c r="D484" s="423" t="s">
        <v>472</v>
      </c>
      <c r="E484" s="763" t="s">
        <v>644</v>
      </c>
      <c r="F484" s="391">
        <v>0</v>
      </c>
      <c r="G484" s="391">
        <v>0</v>
      </c>
      <c r="H484" s="391">
        <v>0</v>
      </c>
      <c r="I484" s="391">
        <v>0</v>
      </c>
      <c r="J484" s="391">
        <v>0</v>
      </c>
      <c r="K484" s="391">
        <v>0</v>
      </c>
      <c r="L484" s="391">
        <v>0</v>
      </c>
      <c r="M484" s="391">
        <v>0</v>
      </c>
      <c r="N484" s="391">
        <v>0</v>
      </c>
      <c r="O484" s="391">
        <v>0</v>
      </c>
      <c r="P484" s="391">
        <v>0</v>
      </c>
      <c r="Q484" s="391">
        <v>0</v>
      </c>
      <c r="R484" s="391">
        <v>-593186.79</v>
      </c>
      <c r="S484" s="618">
        <f t="shared" si="120"/>
        <v>-24716.116250000003</v>
      </c>
      <c r="T484" s="422"/>
      <c r="U484" s="833"/>
      <c r="V484" s="833"/>
      <c r="W484" s="833"/>
      <c r="X484" s="425">
        <f t="shared" si="129"/>
        <v>-24716.116250000003</v>
      </c>
      <c r="Y484" s="833"/>
      <c r="Z484" s="833"/>
      <c r="AA484" s="833"/>
      <c r="AB484" s="833">
        <f t="shared" si="128"/>
        <v>-24716.116250000003</v>
      </c>
      <c r="AC484" s="834"/>
      <c r="AD484" s="835">
        <f t="shared" si="125"/>
        <v>0</v>
      </c>
      <c r="AE484" s="834"/>
      <c r="AF484" s="781">
        <f t="shared" si="126"/>
        <v>0</v>
      </c>
    </row>
    <row r="485" spans="1:32">
      <c r="A485" s="779">
        <f t="shared" si="127"/>
        <v>471</v>
      </c>
      <c r="B485" s="423" t="s">
        <v>1066</v>
      </c>
      <c r="C485" s="423" t="s">
        <v>643</v>
      </c>
      <c r="D485" s="423" t="s">
        <v>472</v>
      </c>
      <c r="E485" s="763" t="s">
        <v>2020</v>
      </c>
      <c r="F485" s="391">
        <v>-11596330.1</v>
      </c>
      <c r="G485" s="391">
        <v>-7748798.7199999997</v>
      </c>
      <c r="H485" s="391">
        <v>-4221637.78</v>
      </c>
      <c r="I485" s="391">
        <v>-1021757.96</v>
      </c>
      <c r="J485" s="391">
        <v>4.65661287307739E-10</v>
      </c>
      <c r="K485" s="391">
        <v>-122870.05</v>
      </c>
      <c r="L485" s="391">
        <v>-1144930</v>
      </c>
      <c r="M485" s="391">
        <v>-2804968.14</v>
      </c>
      <c r="N485" s="391">
        <v>-5871938.7599999998</v>
      </c>
      <c r="O485" s="391">
        <v>-6859993.6600000001</v>
      </c>
      <c r="P485" s="391">
        <v>-7376195.8399999999</v>
      </c>
      <c r="Q485" s="391">
        <v>-17507602.550000001</v>
      </c>
      <c r="R485" s="391">
        <v>-40887966.869999997</v>
      </c>
      <c r="S485" s="618">
        <f t="shared" si="120"/>
        <v>-6743570.1620833343</v>
      </c>
      <c r="T485" s="422"/>
      <c r="U485" s="833"/>
      <c r="V485" s="833"/>
      <c r="W485" s="833"/>
      <c r="X485" s="425">
        <f t="shared" si="129"/>
        <v>-6743570.1620833343</v>
      </c>
      <c r="Y485" s="833"/>
      <c r="Z485" s="833"/>
      <c r="AA485" s="833"/>
      <c r="AB485" s="833">
        <f>+X485</f>
        <v>-6743570.1620833343</v>
      </c>
      <c r="AC485" s="834"/>
      <c r="AD485" s="835">
        <f t="shared" si="125"/>
        <v>0</v>
      </c>
      <c r="AE485" s="834"/>
      <c r="AF485" s="781">
        <f t="shared" si="126"/>
        <v>0</v>
      </c>
    </row>
    <row r="486" spans="1:32">
      <c r="A486" s="779">
        <f t="shared" si="127"/>
        <v>472</v>
      </c>
      <c r="B486" s="423" t="s">
        <v>1066</v>
      </c>
      <c r="C486" s="423" t="s">
        <v>643</v>
      </c>
      <c r="D486" s="423" t="s">
        <v>1328</v>
      </c>
      <c r="E486" s="763" t="s">
        <v>2009</v>
      </c>
      <c r="F486" s="391">
        <v>1111553.6399999999</v>
      </c>
      <c r="G486" s="391">
        <v>1767404.06</v>
      </c>
      <c r="H486" s="391">
        <v>2112541.7999999998</v>
      </c>
      <c r="I486" s="391">
        <v>1113387.8500000001</v>
      </c>
      <c r="J486" s="391">
        <v>-134333.76999999999</v>
      </c>
      <c r="K486" s="391">
        <v>-851710.67</v>
      </c>
      <c r="L486" s="391">
        <v>-1403431.98</v>
      </c>
      <c r="M486" s="391">
        <v>-1760637.68</v>
      </c>
      <c r="N486" s="391">
        <v>-1289390.9099999999</v>
      </c>
      <c r="O486" s="391">
        <v>-1875277</v>
      </c>
      <c r="P486" s="391">
        <v>-1284500.8899999999</v>
      </c>
      <c r="Q486" s="391">
        <v>11978995.550000001</v>
      </c>
      <c r="R486" s="391">
        <v>38253031.32</v>
      </c>
      <c r="S486" s="618">
        <f t="shared" si="120"/>
        <v>2337944.9033333338</v>
      </c>
      <c r="T486" s="422"/>
      <c r="U486" s="833"/>
      <c r="V486" s="833"/>
      <c r="W486" s="833"/>
      <c r="X486" s="425">
        <f t="shared" si="129"/>
        <v>2337944.9033333338</v>
      </c>
      <c r="Y486" s="833"/>
      <c r="Z486" s="833"/>
      <c r="AA486" s="833"/>
      <c r="AB486" s="833">
        <f t="shared" ref="AB486:AB490" si="130">+X486</f>
        <v>2337944.9033333338</v>
      </c>
      <c r="AC486" s="834"/>
      <c r="AD486" s="835">
        <f t="shared" si="125"/>
        <v>0</v>
      </c>
      <c r="AE486" s="834"/>
      <c r="AF486" s="781">
        <f t="shared" si="126"/>
        <v>0</v>
      </c>
    </row>
    <row r="487" spans="1:32">
      <c r="A487" s="779">
        <f t="shared" si="127"/>
        <v>473</v>
      </c>
      <c r="B487" s="423" t="s">
        <v>1066</v>
      </c>
      <c r="C487" s="423" t="s">
        <v>643</v>
      </c>
      <c r="D487" s="423" t="s">
        <v>1329</v>
      </c>
      <c r="E487" s="763" t="s">
        <v>2010</v>
      </c>
      <c r="F487" s="391">
        <v>1725477.15</v>
      </c>
      <c r="G487" s="391">
        <v>-956758.97</v>
      </c>
      <c r="H487" s="391">
        <v>-3097239.98</v>
      </c>
      <c r="I487" s="391">
        <v>-3892210.01</v>
      </c>
      <c r="J487" s="391">
        <v>-3425732.68</v>
      </c>
      <c r="K487" s="391">
        <v>-1389520.67</v>
      </c>
      <c r="L487" s="391">
        <v>624784.85</v>
      </c>
      <c r="M487" s="391">
        <v>3004583.93</v>
      </c>
      <c r="N487" s="391">
        <v>5796006.46</v>
      </c>
      <c r="O487" s="391">
        <v>7816534.25</v>
      </c>
      <c r="P487" s="391">
        <v>8580438.8800000008</v>
      </c>
      <c r="Q487" s="391">
        <v>4203387.03</v>
      </c>
      <c r="R487" s="391">
        <v>1569192.42</v>
      </c>
      <c r="S487" s="618">
        <f t="shared" si="120"/>
        <v>1575967.3229166667</v>
      </c>
      <c r="T487" s="422"/>
      <c r="U487" s="833"/>
      <c r="V487" s="833"/>
      <c r="W487" s="833"/>
      <c r="X487" s="425">
        <f t="shared" si="129"/>
        <v>1575967.3229166667</v>
      </c>
      <c r="Y487" s="833"/>
      <c r="Z487" s="833"/>
      <c r="AA487" s="833"/>
      <c r="AB487" s="833">
        <f t="shared" si="130"/>
        <v>1575967.3229166667</v>
      </c>
      <c r="AC487" s="834"/>
      <c r="AD487" s="835">
        <f t="shared" si="125"/>
        <v>0</v>
      </c>
      <c r="AE487" s="834"/>
      <c r="AF487" s="781">
        <f t="shared" si="126"/>
        <v>0</v>
      </c>
    </row>
    <row r="488" spans="1:32">
      <c r="A488" s="779">
        <f t="shared" si="127"/>
        <v>474</v>
      </c>
      <c r="B488" s="423" t="s">
        <v>1066</v>
      </c>
      <c r="C488" s="423" t="s">
        <v>643</v>
      </c>
      <c r="D488" s="423" t="s">
        <v>1330</v>
      </c>
      <c r="E488" s="763" t="s">
        <v>644</v>
      </c>
      <c r="F488" s="391">
        <v>0</v>
      </c>
      <c r="G488" s="391">
        <v>0</v>
      </c>
      <c r="H488" s="391">
        <v>0</v>
      </c>
      <c r="I488" s="391">
        <v>0</v>
      </c>
      <c r="J488" s="391">
        <v>0</v>
      </c>
      <c r="K488" s="391">
        <v>0</v>
      </c>
      <c r="L488" s="391">
        <v>0</v>
      </c>
      <c r="M488" s="391">
        <v>0</v>
      </c>
      <c r="N488" s="391">
        <v>0</v>
      </c>
      <c r="O488" s="391">
        <v>0</v>
      </c>
      <c r="P488" s="391">
        <v>0</v>
      </c>
      <c r="Q488" s="391">
        <v>0</v>
      </c>
      <c r="R488" s="391">
        <v>0</v>
      </c>
      <c r="S488" s="618">
        <f t="shared" si="120"/>
        <v>0</v>
      </c>
      <c r="T488" s="422"/>
      <c r="U488" s="833"/>
      <c r="V488" s="833"/>
      <c r="W488" s="833"/>
      <c r="X488" s="425">
        <f t="shared" si="129"/>
        <v>0</v>
      </c>
      <c r="Y488" s="833"/>
      <c r="Z488" s="833"/>
      <c r="AA488" s="833"/>
      <c r="AB488" s="833">
        <f t="shared" si="130"/>
        <v>0</v>
      </c>
      <c r="AC488" s="834"/>
      <c r="AD488" s="835">
        <f t="shared" si="125"/>
        <v>0</v>
      </c>
      <c r="AE488" s="834"/>
      <c r="AF488" s="781">
        <f t="shared" si="126"/>
        <v>0</v>
      </c>
    </row>
    <row r="489" spans="1:32">
      <c r="A489" s="779">
        <f t="shared" si="127"/>
        <v>475</v>
      </c>
      <c r="B489" s="423" t="s">
        <v>1066</v>
      </c>
      <c r="C489" s="423" t="s">
        <v>643</v>
      </c>
      <c r="D489" s="423" t="s">
        <v>1331</v>
      </c>
      <c r="E489" s="763" t="s">
        <v>2011</v>
      </c>
      <c r="F489" s="391">
        <v>10618422.25</v>
      </c>
      <c r="G489" s="391">
        <v>8444739.4800000004</v>
      </c>
      <c r="H489" s="391">
        <v>6889923</v>
      </c>
      <c r="I489" s="391">
        <v>5064195.5599999996</v>
      </c>
      <c r="J489" s="391">
        <v>3806969.44</v>
      </c>
      <c r="K489" s="391">
        <v>3027976.04</v>
      </c>
      <c r="L489" s="391">
        <v>2563723.63</v>
      </c>
      <c r="M489" s="391">
        <v>2184801.2599999998</v>
      </c>
      <c r="N489" s="391">
        <v>1830894.64</v>
      </c>
      <c r="O489" s="391">
        <v>1466160.73</v>
      </c>
      <c r="P489" s="391">
        <v>837951.06</v>
      </c>
      <c r="Q489" s="391">
        <v>1472643.65</v>
      </c>
      <c r="R489" s="391">
        <v>1242631.18</v>
      </c>
      <c r="S489" s="618">
        <f t="shared" si="120"/>
        <v>3626708.7670833333</v>
      </c>
      <c r="T489" s="422"/>
      <c r="U489" s="833"/>
      <c r="V489" s="833"/>
      <c r="W489" s="833"/>
      <c r="X489" s="425">
        <f t="shared" si="129"/>
        <v>3626708.7670833333</v>
      </c>
      <c r="Y489" s="833"/>
      <c r="Z489" s="833"/>
      <c r="AA489" s="833"/>
      <c r="AB489" s="833">
        <f t="shared" si="130"/>
        <v>3626708.7670833333</v>
      </c>
      <c r="AC489" s="834"/>
      <c r="AD489" s="835">
        <f t="shared" si="125"/>
        <v>0</v>
      </c>
      <c r="AE489" s="834"/>
      <c r="AF489" s="781">
        <f t="shared" si="126"/>
        <v>0</v>
      </c>
    </row>
    <row r="490" spans="1:32">
      <c r="A490" s="779">
        <f t="shared" si="127"/>
        <v>476</v>
      </c>
      <c r="B490" s="423" t="s">
        <v>1066</v>
      </c>
      <c r="C490" s="423" t="s">
        <v>643</v>
      </c>
      <c r="D490" s="423" t="s">
        <v>1327</v>
      </c>
      <c r="E490" s="763" t="s">
        <v>2012</v>
      </c>
      <c r="F490" s="391">
        <v>-1859122.94</v>
      </c>
      <c r="G490" s="391">
        <v>-1506585.85</v>
      </c>
      <c r="H490" s="391">
        <v>-1683587.04</v>
      </c>
      <c r="I490" s="391">
        <v>-1263615.44</v>
      </c>
      <c r="J490" s="391">
        <v>-970087.04</v>
      </c>
      <c r="K490" s="391">
        <v>-663874.65</v>
      </c>
      <c r="L490" s="391">
        <v>-640146.5</v>
      </c>
      <c r="M490" s="391">
        <v>-623779.37</v>
      </c>
      <c r="N490" s="391">
        <v>-465571.43</v>
      </c>
      <c r="O490" s="391">
        <v>-547424.31999999995</v>
      </c>
      <c r="P490" s="391">
        <v>-757693.21</v>
      </c>
      <c r="Q490" s="391">
        <v>-147423.67999999999</v>
      </c>
      <c r="R490" s="391">
        <v>-176888.05</v>
      </c>
      <c r="S490" s="618">
        <f t="shared" si="120"/>
        <v>-857316.16875000007</v>
      </c>
      <c r="T490" s="422"/>
      <c r="U490" s="833"/>
      <c r="V490" s="833"/>
      <c r="W490" s="833"/>
      <c r="X490" s="425">
        <f t="shared" si="129"/>
        <v>-857316.16875000007</v>
      </c>
      <c r="Y490" s="833"/>
      <c r="Z490" s="833"/>
      <c r="AA490" s="833"/>
      <c r="AB490" s="833">
        <f t="shared" si="130"/>
        <v>-857316.16875000007</v>
      </c>
      <c r="AC490" s="834"/>
      <c r="AD490" s="835">
        <f t="shared" si="125"/>
        <v>0</v>
      </c>
      <c r="AE490" s="836"/>
      <c r="AF490" s="781">
        <f t="shared" si="126"/>
        <v>0</v>
      </c>
    </row>
    <row r="491" spans="1:32">
      <c r="A491" s="779">
        <f t="shared" si="127"/>
        <v>477</v>
      </c>
      <c r="B491" s="423" t="s">
        <v>1094</v>
      </c>
      <c r="C491" s="423" t="s">
        <v>643</v>
      </c>
      <c r="D491" s="423" t="s">
        <v>1332</v>
      </c>
      <c r="E491" s="763" t="s">
        <v>645</v>
      </c>
      <c r="F491" s="391">
        <v>0</v>
      </c>
      <c r="G491" s="391">
        <v>0</v>
      </c>
      <c r="H491" s="391">
        <v>0</v>
      </c>
      <c r="I491" s="391">
        <v>0</v>
      </c>
      <c r="J491" s="391">
        <v>0</v>
      </c>
      <c r="K491" s="391">
        <v>0</v>
      </c>
      <c r="L491" s="391">
        <v>0</v>
      </c>
      <c r="M491" s="391">
        <v>0</v>
      </c>
      <c r="N491" s="391">
        <v>0</v>
      </c>
      <c r="O491" s="391">
        <v>0</v>
      </c>
      <c r="P491" s="391">
        <v>0</v>
      </c>
      <c r="Q491" s="391">
        <v>0</v>
      </c>
      <c r="R491" s="391">
        <v>0</v>
      </c>
      <c r="S491" s="618">
        <f t="shared" si="120"/>
        <v>0</v>
      </c>
      <c r="T491" s="382"/>
      <c r="U491" s="833"/>
      <c r="V491" s="833"/>
      <c r="W491" s="833"/>
      <c r="X491" s="425">
        <f t="shared" si="129"/>
        <v>0</v>
      </c>
      <c r="Y491" s="833"/>
      <c r="Z491" s="833"/>
      <c r="AA491" s="833"/>
      <c r="AB491" s="833"/>
      <c r="AC491" s="834"/>
      <c r="AD491" s="835">
        <f t="shared" si="125"/>
        <v>0</v>
      </c>
      <c r="AE491" s="844"/>
      <c r="AF491" s="781">
        <f t="shared" si="126"/>
        <v>0</v>
      </c>
    </row>
    <row r="492" spans="1:32">
      <c r="A492" s="779">
        <f t="shared" si="127"/>
        <v>478</v>
      </c>
      <c r="B492" s="423" t="s">
        <v>1066</v>
      </c>
      <c r="C492" s="423" t="s">
        <v>643</v>
      </c>
      <c r="D492" s="423" t="s">
        <v>1333</v>
      </c>
      <c r="E492" s="763" t="s">
        <v>645</v>
      </c>
      <c r="F492" s="391">
        <v>0</v>
      </c>
      <c r="G492" s="391">
        <v>0</v>
      </c>
      <c r="H492" s="391">
        <v>0</v>
      </c>
      <c r="I492" s="391">
        <v>0</v>
      </c>
      <c r="J492" s="391">
        <v>0</v>
      </c>
      <c r="K492" s="391">
        <v>0</v>
      </c>
      <c r="L492" s="391">
        <v>0</v>
      </c>
      <c r="M492" s="391">
        <v>0</v>
      </c>
      <c r="N492" s="391">
        <v>0</v>
      </c>
      <c r="O492" s="391">
        <v>0</v>
      </c>
      <c r="P492" s="391">
        <v>0</v>
      </c>
      <c r="Q492" s="391">
        <v>0</v>
      </c>
      <c r="R492" s="391">
        <v>0</v>
      </c>
      <c r="S492" s="618">
        <f t="shared" si="120"/>
        <v>0</v>
      </c>
      <c r="T492" s="382"/>
      <c r="U492" s="833"/>
      <c r="V492" s="833"/>
      <c r="W492" s="833"/>
      <c r="X492" s="425">
        <f t="shared" si="129"/>
        <v>0</v>
      </c>
      <c r="Y492" s="833"/>
      <c r="Z492" s="833"/>
      <c r="AA492" s="833"/>
      <c r="AB492" s="833"/>
      <c r="AC492" s="834"/>
      <c r="AD492" s="835">
        <f t="shared" si="125"/>
        <v>0</v>
      </c>
      <c r="AE492" s="835"/>
      <c r="AF492" s="781">
        <f t="shared" si="126"/>
        <v>0</v>
      </c>
    </row>
    <row r="493" spans="1:32">
      <c r="A493" s="779">
        <f t="shared" si="127"/>
        <v>479</v>
      </c>
      <c r="B493" s="423" t="s">
        <v>1063</v>
      </c>
      <c r="C493" s="423" t="s">
        <v>646</v>
      </c>
      <c r="D493" s="423" t="s">
        <v>539</v>
      </c>
      <c r="E493" s="763" t="s">
        <v>473</v>
      </c>
      <c r="F493" s="391">
        <v>0</v>
      </c>
      <c r="G493" s="391">
        <v>0</v>
      </c>
      <c r="H493" s="391">
        <v>0</v>
      </c>
      <c r="I493" s="391">
        <v>0</v>
      </c>
      <c r="J493" s="391">
        <v>0</v>
      </c>
      <c r="K493" s="391">
        <v>0</v>
      </c>
      <c r="L493" s="391">
        <v>0</v>
      </c>
      <c r="M493" s="391">
        <v>0</v>
      </c>
      <c r="N493" s="391">
        <v>0</v>
      </c>
      <c r="O493" s="391">
        <v>0</v>
      </c>
      <c r="P493" s="391">
        <v>0</v>
      </c>
      <c r="Q493" s="391">
        <v>0</v>
      </c>
      <c r="R493" s="391">
        <v>0</v>
      </c>
      <c r="S493" s="618">
        <f t="shared" si="120"/>
        <v>0</v>
      </c>
      <c r="T493" s="382"/>
      <c r="U493" s="833"/>
      <c r="V493" s="833"/>
      <c r="W493" s="833"/>
      <c r="X493" s="425">
        <f t="shared" si="129"/>
        <v>0</v>
      </c>
      <c r="Y493" s="833"/>
      <c r="Z493" s="833"/>
      <c r="AA493" s="833"/>
      <c r="AB493" s="833"/>
      <c r="AC493" s="834"/>
      <c r="AD493" s="835">
        <f t="shared" si="125"/>
        <v>0</v>
      </c>
      <c r="AE493" s="834"/>
      <c r="AF493" s="781">
        <f t="shared" si="126"/>
        <v>0</v>
      </c>
    </row>
    <row r="494" spans="1:32" s="513" customFormat="1">
      <c r="A494" s="779">
        <f t="shared" si="127"/>
        <v>480</v>
      </c>
      <c r="B494" s="422"/>
      <c r="C494" s="422"/>
      <c r="D494" s="422"/>
      <c r="E494" s="763" t="s">
        <v>647</v>
      </c>
      <c r="F494" s="394">
        <f>SUM(F419:F493)</f>
        <v>-31305191.20999999</v>
      </c>
      <c r="G494" s="394">
        <f t="shared" ref="G494:S494" si="131">SUM(G419:G493)</f>
        <v>-29916427.679999996</v>
      </c>
      <c r="H494" s="394">
        <f t="shared" si="131"/>
        <v>-31050749.560000002</v>
      </c>
      <c r="I494" s="394">
        <f t="shared" si="131"/>
        <v>-32926628.370000012</v>
      </c>
      <c r="J494" s="394">
        <f t="shared" si="131"/>
        <v>-26026564.849999998</v>
      </c>
      <c r="K494" s="394">
        <f t="shared" si="131"/>
        <v>-29297527.000000007</v>
      </c>
      <c r="L494" s="394">
        <f t="shared" si="131"/>
        <v>-32497909.800000001</v>
      </c>
      <c r="M494" s="394">
        <f t="shared" si="131"/>
        <v>-29147546.230000008</v>
      </c>
      <c r="N494" s="394">
        <f t="shared" si="131"/>
        <v>-26761465.989999995</v>
      </c>
      <c r="O494" s="394">
        <f t="shared" si="131"/>
        <v>-27148964.500000011</v>
      </c>
      <c r="P494" s="394">
        <f t="shared" si="131"/>
        <v>-28096571.479999993</v>
      </c>
      <c r="Q494" s="394">
        <f t="shared" si="131"/>
        <v>-33838947.650000006</v>
      </c>
      <c r="R494" s="394">
        <f t="shared" si="131"/>
        <v>-32063005.899999995</v>
      </c>
      <c r="S494" s="394">
        <f t="shared" si="131"/>
        <v>-29866116.805416666</v>
      </c>
      <c r="T494" s="422"/>
      <c r="U494" s="833"/>
      <c r="V494" s="833"/>
      <c r="W494" s="833"/>
      <c r="X494" s="425"/>
      <c r="Y494" s="833"/>
      <c r="Z494" s="833"/>
      <c r="AA494" s="833"/>
      <c r="AB494" s="833"/>
      <c r="AC494" s="834"/>
      <c r="AD494" s="834"/>
      <c r="AE494" s="834"/>
      <c r="AF494" s="781">
        <f t="shared" si="126"/>
        <v>0</v>
      </c>
    </row>
    <row r="495" spans="1:32">
      <c r="A495" s="779">
        <f t="shared" si="127"/>
        <v>481</v>
      </c>
      <c r="B495" s="422"/>
      <c r="C495" s="422"/>
      <c r="D495" s="422"/>
      <c r="E495" s="763"/>
      <c r="F495" s="391"/>
      <c r="G495" s="420"/>
      <c r="H495" s="408"/>
      <c r="I495" s="408"/>
      <c r="J495" s="409"/>
      <c r="K495" s="410"/>
      <c r="L495" s="411"/>
      <c r="M495" s="412"/>
      <c r="N495" s="413"/>
      <c r="O495" s="414"/>
      <c r="P495" s="415"/>
      <c r="Q495" s="421"/>
      <c r="R495" s="391"/>
      <c r="S495" s="392"/>
      <c r="T495" s="382"/>
      <c r="U495" s="833"/>
      <c r="V495" s="833"/>
      <c r="W495" s="833"/>
      <c r="X495" s="425"/>
      <c r="Y495" s="833"/>
      <c r="Z495" s="833"/>
      <c r="AA495" s="833"/>
      <c r="AB495" s="833"/>
      <c r="AC495" s="834"/>
      <c r="AD495" s="834"/>
      <c r="AE495" s="834"/>
      <c r="AF495" s="781">
        <f t="shared" si="126"/>
        <v>0</v>
      </c>
    </row>
    <row r="496" spans="1:32">
      <c r="A496" s="779">
        <f t="shared" si="127"/>
        <v>482</v>
      </c>
      <c r="B496" s="423" t="s">
        <v>1066</v>
      </c>
      <c r="C496" s="423" t="s">
        <v>637</v>
      </c>
      <c r="D496" s="423" t="s">
        <v>459</v>
      </c>
      <c r="E496" s="763" t="s">
        <v>2037</v>
      </c>
      <c r="F496" s="391">
        <v>-12302478.710000001</v>
      </c>
      <c r="G496" s="391">
        <v>-12314013.720000001</v>
      </c>
      <c r="H496" s="391">
        <v>-12214194.050000001</v>
      </c>
      <c r="I496" s="391">
        <v>-12214194.050000001</v>
      </c>
      <c r="J496" s="391">
        <v>-12028510.41</v>
      </c>
      <c r="K496" s="391">
        <v>-11942065.01</v>
      </c>
      <c r="L496" s="391">
        <v>-11832844.279999999</v>
      </c>
      <c r="M496" s="391">
        <v>-11736163.92</v>
      </c>
      <c r="N496" s="391">
        <v>-11308909.35</v>
      </c>
      <c r="O496" s="391">
        <v>-11223482.380000001</v>
      </c>
      <c r="P496" s="391">
        <v>-11132875.869999999</v>
      </c>
      <c r="Q496" s="391">
        <v>-11001018.83</v>
      </c>
      <c r="R496" s="391">
        <v>-10840395.23</v>
      </c>
      <c r="S496" s="618">
        <f t="shared" si="120"/>
        <v>-11709975.736666666</v>
      </c>
      <c r="T496" s="382"/>
      <c r="U496" s="833"/>
      <c r="V496" s="833">
        <f>+S496</f>
        <v>-11709975.736666666</v>
      </c>
      <c r="W496" s="833"/>
      <c r="X496" s="425"/>
      <c r="Y496" s="833"/>
      <c r="Z496" s="833"/>
      <c r="AA496" s="833"/>
      <c r="AB496" s="833"/>
      <c r="AC496" s="834"/>
      <c r="AD496" s="835">
        <f>+V496</f>
        <v>-11709975.736666666</v>
      </c>
      <c r="AE496" s="834"/>
      <c r="AF496" s="781">
        <f t="shared" si="126"/>
        <v>0</v>
      </c>
    </row>
    <row r="497" spans="1:32" s="2" customFormat="1">
      <c r="A497" s="779">
        <f t="shared" si="127"/>
        <v>483</v>
      </c>
      <c r="B497" s="423" t="s">
        <v>1066</v>
      </c>
      <c r="C497" s="423" t="s">
        <v>637</v>
      </c>
      <c r="D497" s="423" t="s">
        <v>505</v>
      </c>
      <c r="E497" s="763" t="s">
        <v>2038</v>
      </c>
      <c r="F497" s="391">
        <v>0</v>
      </c>
      <c r="G497" s="391">
        <v>0</v>
      </c>
      <c r="H497" s="391">
        <v>0</v>
      </c>
      <c r="I497" s="391">
        <v>0</v>
      </c>
      <c r="J497" s="391">
        <v>0</v>
      </c>
      <c r="K497" s="391">
        <v>0</v>
      </c>
      <c r="L497" s="391">
        <v>-466500</v>
      </c>
      <c r="M497" s="391">
        <v>-466500</v>
      </c>
      <c r="N497" s="391">
        <v>-466500</v>
      </c>
      <c r="O497" s="391">
        <v>-466500</v>
      </c>
      <c r="P497" s="391">
        <v>-466500</v>
      </c>
      <c r="Q497" s="391">
        <v>-466500</v>
      </c>
      <c r="R497" s="391">
        <v>-466500</v>
      </c>
      <c r="S497" s="618">
        <f t="shared" si="120"/>
        <v>-252687.5</v>
      </c>
      <c r="T497" s="382"/>
      <c r="U497" s="833"/>
      <c r="V497" s="833">
        <f t="shared" ref="V497:V501" si="132">+S497</f>
        <v>-252687.5</v>
      </c>
      <c r="W497" s="833"/>
      <c r="X497" s="425"/>
      <c r="Y497" s="833"/>
      <c r="Z497" s="833"/>
      <c r="AA497" s="833"/>
      <c r="AB497" s="833"/>
      <c r="AC497" s="834"/>
      <c r="AD497" s="835">
        <f t="shared" ref="AD497:AD501" si="133">+V497</f>
        <v>-252687.5</v>
      </c>
      <c r="AE497" s="834"/>
      <c r="AF497" s="781">
        <f t="shared" si="126"/>
        <v>0</v>
      </c>
    </row>
    <row r="498" spans="1:32" s="2" customFormat="1">
      <c r="A498" s="779">
        <f t="shared" si="127"/>
        <v>484</v>
      </c>
      <c r="B498" s="423" t="s">
        <v>1094</v>
      </c>
      <c r="C498" s="423" t="s">
        <v>637</v>
      </c>
      <c r="D498" s="423" t="s">
        <v>505</v>
      </c>
      <c r="E498" s="763" t="s">
        <v>2035</v>
      </c>
      <c r="F498" s="391">
        <v>-1558863.99</v>
      </c>
      <c r="G498" s="391">
        <v>-1558863.99</v>
      </c>
      <c r="H498" s="391">
        <v>-1558863.99</v>
      </c>
      <c r="I498" s="391">
        <v>-1557753.99</v>
      </c>
      <c r="J498" s="391">
        <v>-1557753.99</v>
      </c>
      <c r="K498" s="391">
        <v>-1553616.16</v>
      </c>
      <c r="L498" s="391">
        <v>-1553616.16</v>
      </c>
      <c r="M498" s="391">
        <v>-1553616.16</v>
      </c>
      <c r="N498" s="391">
        <v>-1553616.16</v>
      </c>
      <c r="O498" s="391">
        <v>-1553616.16</v>
      </c>
      <c r="P498" s="391">
        <v>-1553616.16</v>
      </c>
      <c r="Q498" s="391">
        <v>-1553616.16</v>
      </c>
      <c r="R498" s="391">
        <v>-1545967.84</v>
      </c>
      <c r="S498" s="618">
        <f t="shared" si="120"/>
        <v>-1555080.4162499998</v>
      </c>
      <c r="T498" s="382"/>
      <c r="U498" s="833"/>
      <c r="V498" s="833">
        <f t="shared" si="132"/>
        <v>-1555080.4162499998</v>
      </c>
      <c r="W498" s="833"/>
      <c r="X498" s="425"/>
      <c r="Y498" s="833"/>
      <c r="Z498" s="833"/>
      <c r="AA498" s="833"/>
      <c r="AB498" s="833"/>
      <c r="AC498" s="834"/>
      <c r="AD498" s="835">
        <f t="shared" si="133"/>
        <v>-1555080.4162499998</v>
      </c>
      <c r="AE498" s="834"/>
      <c r="AF498" s="781">
        <f t="shared" si="126"/>
        <v>0</v>
      </c>
    </row>
    <row r="499" spans="1:32" s="2" customFormat="1">
      <c r="A499" s="779">
        <f t="shared" si="127"/>
        <v>485</v>
      </c>
      <c r="B499" s="423" t="s">
        <v>1063</v>
      </c>
      <c r="C499" s="423" t="s">
        <v>648</v>
      </c>
      <c r="D499" s="423" t="s">
        <v>459</v>
      </c>
      <c r="E499" s="763" t="s">
        <v>2021</v>
      </c>
      <c r="F499" s="391">
        <v>-7969990.1299999999</v>
      </c>
      <c r="G499" s="391">
        <v>-8027230.71</v>
      </c>
      <c r="H499" s="391">
        <v>-8084471.29</v>
      </c>
      <c r="I499" s="391">
        <v>-8141711.8700000001</v>
      </c>
      <c r="J499" s="391">
        <v>-8198952.46</v>
      </c>
      <c r="K499" s="391">
        <v>-8262087.6299999999</v>
      </c>
      <c r="L499" s="391">
        <v>-8320507.1299999999</v>
      </c>
      <c r="M499" s="391">
        <v>-8378926.6299999999</v>
      </c>
      <c r="N499" s="391">
        <v>-8437346.1300000008</v>
      </c>
      <c r="O499" s="391">
        <v>-8495765.6300000008</v>
      </c>
      <c r="P499" s="391">
        <v>-8554185.1300000008</v>
      </c>
      <c r="Q499" s="391">
        <v>-8612604.6300000008</v>
      </c>
      <c r="R499" s="391">
        <v>-5590044.1200000001</v>
      </c>
      <c r="S499" s="618">
        <f t="shared" si="120"/>
        <v>-8191150.5304166665</v>
      </c>
      <c r="T499" s="382"/>
      <c r="U499" s="833"/>
      <c r="V499" s="833">
        <f t="shared" si="132"/>
        <v>-8191150.5304166665</v>
      </c>
      <c r="W499" s="833"/>
      <c r="X499" s="425"/>
      <c r="Y499" s="833"/>
      <c r="Z499" s="833"/>
      <c r="AA499" s="833"/>
      <c r="AB499" s="833"/>
      <c r="AC499" s="834"/>
      <c r="AD499" s="835">
        <f t="shared" si="133"/>
        <v>-8191150.5304166665</v>
      </c>
      <c r="AE499" s="834"/>
      <c r="AF499" s="781">
        <f t="shared" si="126"/>
        <v>0</v>
      </c>
    </row>
    <row r="500" spans="1:32" s="2" customFormat="1">
      <c r="A500" s="779">
        <f t="shared" si="127"/>
        <v>486</v>
      </c>
      <c r="B500" s="423" t="s">
        <v>1063</v>
      </c>
      <c r="C500" s="423" t="s">
        <v>648</v>
      </c>
      <c r="D500" s="423" t="s">
        <v>594</v>
      </c>
      <c r="E500" s="763" t="s">
        <v>2022</v>
      </c>
      <c r="F500" s="391">
        <v>-94311.08</v>
      </c>
      <c r="G500" s="391">
        <v>-94311.08</v>
      </c>
      <c r="H500" s="391">
        <v>-94311.08</v>
      </c>
      <c r="I500" s="391">
        <v>-94311.08</v>
      </c>
      <c r="J500" s="391">
        <v>-94311.08</v>
      </c>
      <c r="K500" s="391">
        <v>-94311.08</v>
      </c>
      <c r="L500" s="391">
        <v>-94311.08</v>
      </c>
      <c r="M500" s="391">
        <v>-94311.08</v>
      </c>
      <c r="N500" s="391">
        <v>-94311.08</v>
      </c>
      <c r="O500" s="391">
        <v>-94311.08</v>
      </c>
      <c r="P500" s="391">
        <v>-94311.08</v>
      </c>
      <c r="Q500" s="391">
        <v>-94311.08</v>
      </c>
      <c r="R500" s="391">
        <v>-112904.15</v>
      </c>
      <c r="S500" s="618">
        <f t="shared" si="120"/>
        <v>-95085.791249999966</v>
      </c>
      <c r="T500" s="382"/>
      <c r="U500" s="833"/>
      <c r="V500" s="833">
        <f t="shared" si="132"/>
        <v>-95085.791249999966</v>
      </c>
      <c r="W500" s="833"/>
      <c r="X500" s="425"/>
      <c r="Y500" s="833"/>
      <c r="Z500" s="833"/>
      <c r="AA500" s="833"/>
      <c r="AB500" s="833"/>
      <c r="AC500" s="834"/>
      <c r="AD500" s="835">
        <f t="shared" si="133"/>
        <v>-95085.791249999966</v>
      </c>
      <c r="AE500" s="834"/>
      <c r="AF500" s="781">
        <f t="shared" si="126"/>
        <v>0</v>
      </c>
    </row>
    <row r="501" spans="1:32" s="2" customFormat="1">
      <c r="A501" s="779">
        <f t="shared" si="127"/>
        <v>487</v>
      </c>
      <c r="B501" s="423" t="s">
        <v>1063</v>
      </c>
      <c r="C501" s="423" t="s">
        <v>648</v>
      </c>
      <c r="D501" s="423" t="s">
        <v>595</v>
      </c>
      <c r="E501" s="763" t="s">
        <v>2023</v>
      </c>
      <c r="F501" s="391">
        <v>-343412</v>
      </c>
      <c r="G501" s="391">
        <v>-343412</v>
      </c>
      <c r="H501" s="391">
        <v>-343412</v>
      </c>
      <c r="I501" s="391">
        <v>-343412</v>
      </c>
      <c r="J501" s="391">
        <v>-343412</v>
      </c>
      <c r="K501" s="391">
        <v>-343412</v>
      </c>
      <c r="L501" s="391">
        <v>-343412</v>
      </c>
      <c r="M501" s="391">
        <v>-343412</v>
      </c>
      <c r="N501" s="391">
        <v>-343412</v>
      </c>
      <c r="O501" s="391">
        <v>-343412</v>
      </c>
      <c r="P501" s="391">
        <v>-343412</v>
      </c>
      <c r="Q501" s="391">
        <v>-343412</v>
      </c>
      <c r="R501" s="391">
        <v>-108832</v>
      </c>
      <c r="S501" s="618">
        <f t="shared" si="120"/>
        <v>-333637.83333333331</v>
      </c>
      <c r="T501" s="382"/>
      <c r="U501" s="833"/>
      <c r="V501" s="833">
        <f t="shared" si="132"/>
        <v>-333637.83333333331</v>
      </c>
      <c r="W501" s="833"/>
      <c r="X501" s="425"/>
      <c r="Y501" s="833"/>
      <c r="Z501" s="833"/>
      <c r="AA501" s="833"/>
      <c r="AB501" s="833"/>
      <c r="AC501" s="834"/>
      <c r="AD501" s="835">
        <f t="shared" si="133"/>
        <v>-333637.83333333331</v>
      </c>
      <c r="AE501" s="834"/>
      <c r="AF501" s="781">
        <f t="shared" si="126"/>
        <v>0</v>
      </c>
    </row>
    <row r="502" spans="1:32" s="2" customFormat="1">
      <c r="A502" s="779">
        <f t="shared" si="127"/>
        <v>488</v>
      </c>
      <c r="B502" s="423" t="s">
        <v>1063</v>
      </c>
      <c r="C502" s="423" t="s">
        <v>649</v>
      </c>
      <c r="D502" s="423" t="s">
        <v>1334</v>
      </c>
      <c r="E502" s="763" t="s">
        <v>2024</v>
      </c>
      <c r="F502" s="391">
        <v>-61208025.729999997</v>
      </c>
      <c r="G502" s="391">
        <v>-61488477.130000003</v>
      </c>
      <c r="H502" s="391">
        <v>-61770218.670000002</v>
      </c>
      <c r="I502" s="391">
        <v>-62053256.390000001</v>
      </c>
      <c r="J502" s="391">
        <v>-62337596.329999998</v>
      </c>
      <c r="K502" s="391">
        <v>-62623244.380000003</v>
      </c>
      <c r="L502" s="391">
        <v>-62910206.68</v>
      </c>
      <c r="M502" s="391">
        <v>-63198489.299999997</v>
      </c>
      <c r="N502" s="391">
        <v>-63488098.350000001</v>
      </c>
      <c r="O502" s="391">
        <v>-63779039.810000002</v>
      </c>
      <c r="P502" s="391">
        <v>-64071319.920000002</v>
      </c>
      <c r="Q502" s="391">
        <v>-64364944.859999999</v>
      </c>
      <c r="R502" s="391">
        <v>-66788045.990000002</v>
      </c>
      <c r="S502" s="618">
        <f t="shared" si="120"/>
        <v>-63006910.639999993</v>
      </c>
      <c r="T502" s="382"/>
      <c r="U502" s="833"/>
      <c r="V502" s="833"/>
      <c r="W502" s="833"/>
      <c r="X502" s="425">
        <f>+S502</f>
        <v>-63006910.639999993</v>
      </c>
      <c r="Y502" s="833">
        <f>+X502*Z7</f>
        <v>-47160672.614039995</v>
      </c>
      <c r="Z502" s="833">
        <f>+X502*Z8</f>
        <v>-15844137.795605332</v>
      </c>
      <c r="AA502" s="833">
        <f>+S502</f>
        <v>-63006910.639999993</v>
      </c>
      <c r="AB502" s="833"/>
      <c r="AC502" s="834"/>
      <c r="AD502" s="835"/>
      <c r="AE502" s="834"/>
      <c r="AF502" s="781">
        <f t="shared" si="126"/>
        <v>0</v>
      </c>
    </row>
    <row r="503" spans="1:32" s="2" customFormat="1">
      <c r="A503" s="779">
        <f t="shared" si="127"/>
        <v>489</v>
      </c>
      <c r="B503" s="423" t="s">
        <v>1063</v>
      </c>
      <c r="C503" s="423" t="s">
        <v>646</v>
      </c>
      <c r="D503" s="423" t="s">
        <v>573</v>
      </c>
      <c r="E503" s="763" t="s">
        <v>508</v>
      </c>
      <c r="F503" s="391">
        <v>0</v>
      </c>
      <c r="G503" s="391">
        <v>0</v>
      </c>
      <c r="H503" s="391">
        <v>0</v>
      </c>
      <c r="I503" s="391">
        <v>0</v>
      </c>
      <c r="J503" s="391">
        <v>0</v>
      </c>
      <c r="K503" s="391">
        <v>0</v>
      </c>
      <c r="L503" s="391">
        <v>0</v>
      </c>
      <c r="M503" s="391">
        <v>0</v>
      </c>
      <c r="N503" s="391">
        <v>0</v>
      </c>
      <c r="O503" s="391">
        <v>0</v>
      </c>
      <c r="P503" s="391">
        <v>0</v>
      </c>
      <c r="Q503" s="391">
        <v>0</v>
      </c>
      <c r="R503" s="391">
        <v>0</v>
      </c>
      <c r="S503" s="618">
        <f t="shared" si="120"/>
        <v>0</v>
      </c>
      <c r="T503" s="382"/>
      <c r="U503" s="833"/>
      <c r="V503" s="833"/>
      <c r="W503" s="833"/>
      <c r="X503" s="425"/>
      <c r="Y503" s="833"/>
      <c r="Z503" s="833"/>
      <c r="AA503" s="833"/>
      <c r="AB503" s="833"/>
      <c r="AC503" s="834"/>
      <c r="AD503" s="835"/>
      <c r="AE503" s="834"/>
      <c r="AF503" s="781">
        <f t="shared" si="126"/>
        <v>0</v>
      </c>
    </row>
    <row r="504" spans="1:32" s="2" customFormat="1">
      <c r="A504" s="779">
        <f t="shared" si="127"/>
        <v>490</v>
      </c>
      <c r="B504" s="423" t="s">
        <v>1063</v>
      </c>
      <c r="C504" s="423" t="s">
        <v>650</v>
      </c>
      <c r="D504" s="423" t="s">
        <v>757</v>
      </c>
      <c r="E504" s="763" t="s">
        <v>2025</v>
      </c>
      <c r="F504" s="391">
        <v>-2795077.3</v>
      </c>
      <c r="G504" s="391">
        <v>-3373786.93</v>
      </c>
      <c r="H504" s="391">
        <v>-3373786.93</v>
      </c>
      <c r="I504" s="391">
        <v>-3373786.93</v>
      </c>
      <c r="J504" s="391">
        <v>-3373786.93</v>
      </c>
      <c r="K504" s="391">
        <v>-3373786.93</v>
      </c>
      <c r="L504" s="391">
        <v>-3373786.93</v>
      </c>
      <c r="M504" s="391">
        <v>-3373786.93</v>
      </c>
      <c r="N504" s="391">
        <v>-3373786.93</v>
      </c>
      <c r="O504" s="391">
        <v>-3373786.93</v>
      </c>
      <c r="P504" s="391">
        <v>-3373786.93</v>
      </c>
      <c r="Q504" s="391">
        <v>-3373786.93</v>
      </c>
      <c r="R504" s="391">
        <v>-3373786.93</v>
      </c>
      <c r="S504" s="618">
        <f t="shared" si="120"/>
        <v>-3349674.0287500005</v>
      </c>
      <c r="T504" s="382"/>
      <c r="U504" s="833"/>
      <c r="V504" s="833"/>
      <c r="W504" s="833"/>
      <c r="X504" s="425">
        <f>+S504</f>
        <v>-3349674.0287500005</v>
      </c>
      <c r="Y504" s="833">
        <f>+'Adv for Const. &amp; Def Tax'!AX18</f>
        <v>-3261101.5437500007</v>
      </c>
      <c r="Z504" s="833">
        <f>+'Adv for Const. &amp; Def Tax'!AY18</f>
        <v>-149429.52375000002</v>
      </c>
      <c r="AA504" s="833"/>
      <c r="AB504" s="833"/>
      <c r="AC504" s="834"/>
      <c r="AD504" s="835"/>
      <c r="AE504" s="834" t="s">
        <v>1729</v>
      </c>
      <c r="AF504" s="781">
        <f t="shared" si="126"/>
        <v>0</v>
      </c>
    </row>
    <row r="505" spans="1:32" s="2" customFormat="1">
      <c r="A505" s="779">
        <f t="shared" si="127"/>
        <v>491</v>
      </c>
      <c r="B505" s="423" t="s">
        <v>1063</v>
      </c>
      <c r="C505" s="423" t="s">
        <v>650</v>
      </c>
      <c r="D505" s="423" t="s">
        <v>1230</v>
      </c>
      <c r="E505" s="763" t="s">
        <v>2026</v>
      </c>
      <c r="F505" s="391">
        <v>-703928.77</v>
      </c>
      <c r="G505" s="391">
        <v>-9240.8200000000706</v>
      </c>
      <c r="H505" s="391">
        <v>-10739.5100000001</v>
      </c>
      <c r="I505" s="391">
        <v>-13635.6500000001</v>
      </c>
      <c r="J505" s="391">
        <v>-14985.880000000099</v>
      </c>
      <c r="K505" s="391">
        <v>-16545.300000000101</v>
      </c>
      <c r="L505" s="391">
        <v>-30615.840000000098</v>
      </c>
      <c r="M505" s="391">
        <v>-55167.110000000102</v>
      </c>
      <c r="N505" s="391">
        <v>-61805.460000000101</v>
      </c>
      <c r="O505" s="391">
        <v>-69511.050000000105</v>
      </c>
      <c r="P505" s="391">
        <v>-47101.050000000097</v>
      </c>
      <c r="Q505" s="391">
        <v>-47101.050000000097</v>
      </c>
      <c r="R505" s="391">
        <v>-48360.090000000098</v>
      </c>
      <c r="S505" s="618">
        <f t="shared" si="120"/>
        <v>-62716.095833333435</v>
      </c>
      <c r="T505" s="382"/>
      <c r="U505" s="833"/>
      <c r="V505" s="833"/>
      <c r="W505" s="833"/>
      <c r="X505" s="425">
        <f t="shared" ref="X505:X508" si="134">+S505</f>
        <v>-62716.095833333435</v>
      </c>
      <c r="Y505" s="833"/>
      <c r="Z505" s="833"/>
      <c r="AA505" s="833"/>
      <c r="AB505" s="833"/>
      <c r="AC505" s="834"/>
      <c r="AD505" s="835"/>
      <c r="AE505" s="834"/>
      <c r="AF505" s="781">
        <f t="shared" si="126"/>
        <v>0</v>
      </c>
    </row>
    <row r="506" spans="1:32" s="2" customFormat="1">
      <c r="A506" s="779">
        <f t="shared" si="127"/>
        <v>492</v>
      </c>
      <c r="B506" s="423" t="s">
        <v>1063</v>
      </c>
      <c r="C506" s="423" t="s">
        <v>650</v>
      </c>
      <c r="D506" s="423" t="s">
        <v>1335</v>
      </c>
      <c r="E506" s="763" t="s">
        <v>2027</v>
      </c>
      <c r="F506" s="391">
        <v>10595.79</v>
      </c>
      <c r="G506" s="391">
        <v>0</v>
      </c>
      <c r="H506" s="391">
        <v>0</v>
      </c>
      <c r="I506" s="391">
        <v>0</v>
      </c>
      <c r="J506" s="391">
        <v>0</v>
      </c>
      <c r="K506" s="391">
        <v>0</v>
      </c>
      <c r="L506" s="391">
        <v>0</v>
      </c>
      <c r="M506" s="391">
        <v>2611.7800000000002</v>
      </c>
      <c r="N506" s="391">
        <v>3199.78</v>
      </c>
      <c r="O506" s="391">
        <v>3199.78</v>
      </c>
      <c r="P506" s="391">
        <v>3199.78</v>
      </c>
      <c r="Q506" s="391">
        <v>3199.78</v>
      </c>
      <c r="R506" s="391">
        <v>3199.78</v>
      </c>
      <c r="S506" s="618">
        <f t="shared" si="120"/>
        <v>1859.0570833333334</v>
      </c>
      <c r="T506" s="382"/>
      <c r="U506" s="833"/>
      <c r="V506" s="833"/>
      <c r="W506" s="833"/>
      <c r="X506" s="425">
        <f t="shared" si="134"/>
        <v>1859.0570833333334</v>
      </c>
      <c r="Y506" s="833"/>
      <c r="Z506" s="833"/>
      <c r="AA506" s="833"/>
      <c r="AB506" s="833"/>
      <c r="AC506" s="834"/>
      <c r="AD506" s="835"/>
      <c r="AE506" s="834"/>
      <c r="AF506" s="781">
        <f t="shared" si="126"/>
        <v>0</v>
      </c>
    </row>
    <row r="507" spans="1:32" s="2" customFormat="1">
      <c r="A507" s="779">
        <f t="shared" si="127"/>
        <v>493</v>
      </c>
      <c r="B507" s="423" t="s">
        <v>1063</v>
      </c>
      <c r="C507" s="423" t="s">
        <v>650</v>
      </c>
      <c r="D507" s="423" t="s">
        <v>1071</v>
      </c>
      <c r="E507" s="763" t="s">
        <v>2029</v>
      </c>
      <c r="F507" s="391">
        <v>105195.79</v>
      </c>
      <c r="G507" s="391">
        <v>0</v>
      </c>
      <c r="H507" s="391">
        <v>0</v>
      </c>
      <c r="I507" s="391">
        <v>0</v>
      </c>
      <c r="J507" s="391">
        <v>99992.08</v>
      </c>
      <c r="K507" s="391">
        <v>99992.08</v>
      </c>
      <c r="L507" s="391">
        <v>99992.08</v>
      </c>
      <c r="M507" s="391">
        <v>99992.08</v>
      </c>
      <c r="N507" s="391">
        <v>103023.82</v>
      </c>
      <c r="O507" s="391">
        <v>103023.82</v>
      </c>
      <c r="P507" s="391">
        <v>117299.85</v>
      </c>
      <c r="Q507" s="391">
        <v>117299.85</v>
      </c>
      <c r="R507" s="391">
        <v>117299.85</v>
      </c>
      <c r="S507" s="618">
        <f t="shared" si="120"/>
        <v>79321.956666666665</v>
      </c>
      <c r="T507" s="382"/>
      <c r="U507" s="833"/>
      <c r="V507" s="833"/>
      <c r="W507" s="833"/>
      <c r="X507" s="425">
        <f t="shared" si="134"/>
        <v>79321.956666666665</v>
      </c>
      <c r="Y507" s="833">
        <f>+'Adv for Const. &amp; Def Tax'!AX19</f>
        <v>75480.077083333337</v>
      </c>
      <c r="Z507" s="833">
        <f>+'Adv for Const. &amp; Def Tax'!AY19</f>
        <v>3841.8795833333338</v>
      </c>
      <c r="AA507" s="833"/>
      <c r="AB507" s="833"/>
      <c r="AC507" s="834"/>
      <c r="AD507" s="835"/>
      <c r="AE507" s="834" t="s">
        <v>1730</v>
      </c>
      <c r="AF507" s="781">
        <f t="shared" si="126"/>
        <v>0</v>
      </c>
    </row>
    <row r="508" spans="1:32" s="2" customFormat="1">
      <c r="A508" s="779">
        <f t="shared" si="127"/>
        <v>494</v>
      </c>
      <c r="B508" s="423" t="s">
        <v>1063</v>
      </c>
      <c r="C508" s="423" t="s">
        <v>650</v>
      </c>
      <c r="D508" s="423" t="s">
        <v>1075</v>
      </c>
      <c r="E508" s="763" t="s">
        <v>2028</v>
      </c>
      <c r="F508" s="391">
        <v>-1104303.6499999999</v>
      </c>
      <c r="G508" s="391">
        <v>-1079956.68</v>
      </c>
      <c r="H508" s="391">
        <v>-1079956.68</v>
      </c>
      <c r="I508" s="391">
        <v>-1079452.97</v>
      </c>
      <c r="J508" s="391">
        <v>-1079452.97</v>
      </c>
      <c r="K508" s="391">
        <v>-1079452.97</v>
      </c>
      <c r="L508" s="391">
        <v>-1082136.3</v>
      </c>
      <c r="M508" s="391">
        <v>-1080347.08</v>
      </c>
      <c r="N508" s="391">
        <v>-1072375.83</v>
      </c>
      <c r="O508" s="391">
        <v>-1091726.19</v>
      </c>
      <c r="P508" s="391">
        <v>-1015519.5</v>
      </c>
      <c r="Q508" s="391">
        <v>-1015519.5</v>
      </c>
      <c r="R508" s="391">
        <v>-1014253.48</v>
      </c>
      <c r="S508" s="618">
        <f t="shared" si="120"/>
        <v>-1067931.2695833333</v>
      </c>
      <c r="T508" s="382"/>
      <c r="U508" s="833"/>
      <c r="V508" s="833"/>
      <c r="W508" s="833"/>
      <c r="X508" s="425">
        <f t="shared" si="134"/>
        <v>-1067931.2695833333</v>
      </c>
      <c r="Y508" s="833">
        <f>+'Adv for Const. &amp; Def Tax'!AX21</f>
        <v>-799202.76958333328</v>
      </c>
      <c r="Z508" s="833">
        <f>+'Adv for Const. &amp; Def Tax'!AY21</f>
        <v>-268728.49999999994</v>
      </c>
      <c r="AA508" s="833"/>
      <c r="AB508" s="833"/>
      <c r="AC508" s="834"/>
      <c r="AD508" s="835"/>
      <c r="AE508" s="834" t="s">
        <v>1731</v>
      </c>
      <c r="AF508" s="781">
        <f t="shared" si="126"/>
        <v>0</v>
      </c>
    </row>
    <row r="509" spans="1:32">
      <c r="A509" s="779">
        <f t="shared" si="127"/>
        <v>495</v>
      </c>
      <c r="B509" s="423" t="s">
        <v>1063</v>
      </c>
      <c r="C509" s="423" t="s">
        <v>651</v>
      </c>
      <c r="D509" s="423" t="s">
        <v>1336</v>
      </c>
      <c r="E509" s="763" t="s">
        <v>2030</v>
      </c>
      <c r="F509" s="391">
        <v>-1009.5</v>
      </c>
      <c r="G509" s="391">
        <v>-1016.83</v>
      </c>
      <c r="H509" s="391">
        <v>-1005.26</v>
      </c>
      <c r="I509" s="391">
        <v>-1011.66</v>
      </c>
      <c r="J509" s="391">
        <v>-911.04</v>
      </c>
      <c r="K509" s="391">
        <v>-1014.1</v>
      </c>
      <c r="L509" s="391">
        <v>-682.52</v>
      </c>
      <c r="M509" s="391">
        <v>-1030.43</v>
      </c>
      <c r="N509" s="391">
        <v>-1036.6600000000001</v>
      </c>
      <c r="O509" s="391">
        <v>-1043.72</v>
      </c>
      <c r="P509" s="391">
        <v>92.559999999999903</v>
      </c>
      <c r="Q509" s="391">
        <v>129.22999999999999</v>
      </c>
      <c r="R509" s="391">
        <v>121.7</v>
      </c>
      <c r="S509" s="618">
        <f t="shared" si="120"/>
        <v>-747.86083333333329</v>
      </c>
      <c r="T509" s="382"/>
      <c r="U509" s="833"/>
      <c r="V509" s="833">
        <f t="shared" ref="V509:V513" si="135">+S509</f>
        <v>-747.86083333333329</v>
      </c>
      <c r="W509" s="833"/>
      <c r="X509" s="425"/>
      <c r="Y509" s="833"/>
      <c r="Z509" s="833"/>
      <c r="AA509" s="833"/>
      <c r="AB509" s="833"/>
      <c r="AC509" s="834"/>
      <c r="AD509" s="835">
        <f t="shared" ref="AD509:AD511" si="136">+V509</f>
        <v>-747.86083333333329</v>
      </c>
      <c r="AE509" s="834"/>
      <c r="AF509" s="781">
        <f t="shared" si="126"/>
        <v>0</v>
      </c>
    </row>
    <row r="510" spans="1:32">
      <c r="A510" s="779">
        <f t="shared" si="127"/>
        <v>496</v>
      </c>
      <c r="B510" s="423" t="s">
        <v>1063</v>
      </c>
      <c r="C510" s="423" t="s">
        <v>651</v>
      </c>
      <c r="D510" s="423" t="s">
        <v>1337</v>
      </c>
      <c r="E510" s="763" t="s">
        <v>2032</v>
      </c>
      <c r="F510" s="391">
        <v>-72405</v>
      </c>
      <c r="G510" s="391">
        <v>-72405</v>
      </c>
      <c r="H510" s="391">
        <v>-72405</v>
      </c>
      <c r="I510" s="391">
        <v>-72405</v>
      </c>
      <c r="J510" s="391">
        <v>-72405</v>
      </c>
      <c r="K510" s="391">
        <v>-72405</v>
      </c>
      <c r="L510" s="391">
        <v>-72405</v>
      </c>
      <c r="M510" s="391">
        <v>-72405</v>
      </c>
      <c r="N510" s="391">
        <v>-72405</v>
      </c>
      <c r="O510" s="391">
        <v>-48270</v>
      </c>
      <c r="P510" s="391">
        <v>-48270</v>
      </c>
      <c r="Q510" s="391">
        <v>-48270</v>
      </c>
      <c r="R510" s="391">
        <v>-48270</v>
      </c>
      <c r="S510" s="618">
        <f t="shared" si="120"/>
        <v>-65365.625</v>
      </c>
      <c r="T510" s="382"/>
      <c r="U510" s="833"/>
      <c r="V510" s="833">
        <f t="shared" si="135"/>
        <v>-65365.625</v>
      </c>
      <c r="W510" s="833"/>
      <c r="X510" s="425"/>
      <c r="Y510" s="833"/>
      <c r="Z510" s="833"/>
      <c r="AA510" s="833"/>
      <c r="AB510" s="833"/>
      <c r="AC510" s="834"/>
      <c r="AD510" s="835">
        <f t="shared" si="136"/>
        <v>-65365.625</v>
      </c>
      <c r="AE510" s="834"/>
      <c r="AF510" s="781">
        <f t="shared" si="126"/>
        <v>0</v>
      </c>
    </row>
    <row r="511" spans="1:32">
      <c r="A511" s="779">
        <f t="shared" si="127"/>
        <v>497</v>
      </c>
      <c r="B511" s="423" t="s">
        <v>1063</v>
      </c>
      <c r="C511" s="423" t="s">
        <v>651</v>
      </c>
      <c r="D511" s="423" t="s">
        <v>1338</v>
      </c>
      <c r="E511" s="763" t="s">
        <v>2031</v>
      </c>
      <c r="F511" s="391">
        <v>-8438376.6899999995</v>
      </c>
      <c r="G511" s="391">
        <v>-8462195.1099999994</v>
      </c>
      <c r="H511" s="391">
        <v>-8479869.4800000004</v>
      </c>
      <c r="I511" s="391">
        <v>-8499122.9299999997</v>
      </c>
      <c r="J511" s="391">
        <v>-8510386.5500000007</v>
      </c>
      <c r="K511" s="391">
        <v>-8323671.0800000001</v>
      </c>
      <c r="L511" s="391">
        <v>-8300660.7699999996</v>
      </c>
      <c r="M511" s="391">
        <v>-8277660.8499999996</v>
      </c>
      <c r="N511" s="391">
        <v>-8254660.9299999997</v>
      </c>
      <c r="O511" s="391">
        <v>-8231377.4400000004</v>
      </c>
      <c r="P511" s="391">
        <v>-8208377.5199999996</v>
      </c>
      <c r="Q511" s="391">
        <v>-8185377.5999999996</v>
      </c>
      <c r="R511" s="391">
        <v>-9444729.6899999995</v>
      </c>
      <c r="S511" s="618">
        <f t="shared" si="120"/>
        <v>-8389576.1208333317</v>
      </c>
      <c r="T511" s="382"/>
      <c r="U511" s="833"/>
      <c r="V511" s="833">
        <f t="shared" si="135"/>
        <v>-8389576.1208333317</v>
      </c>
      <c r="W511" s="833"/>
      <c r="X511" s="425"/>
      <c r="Y511" s="833"/>
      <c r="Z511" s="833"/>
      <c r="AA511" s="833"/>
      <c r="AB511" s="833"/>
      <c r="AC511" s="834"/>
      <c r="AD511" s="835">
        <f t="shared" si="136"/>
        <v>-8389576.1208333317</v>
      </c>
      <c r="AE511" s="834"/>
      <c r="AF511" s="781">
        <f t="shared" si="126"/>
        <v>0</v>
      </c>
    </row>
    <row r="512" spans="1:32">
      <c r="A512" s="779">
        <f t="shared" si="127"/>
        <v>498</v>
      </c>
      <c r="B512" s="423" t="s">
        <v>1063</v>
      </c>
      <c r="C512" s="423" t="s">
        <v>651</v>
      </c>
      <c r="D512" s="423" t="s">
        <v>1339</v>
      </c>
      <c r="E512" s="763" t="s">
        <v>2033</v>
      </c>
      <c r="F512" s="391">
        <v>-930129</v>
      </c>
      <c r="G512" s="391">
        <v>-930129</v>
      </c>
      <c r="H512" s="391">
        <v>-930129</v>
      </c>
      <c r="I512" s="391">
        <v>-930129</v>
      </c>
      <c r="J512" s="391">
        <v>-930129</v>
      </c>
      <c r="K512" s="391">
        <v>-930129</v>
      </c>
      <c r="L512" s="391">
        <v>-930129</v>
      </c>
      <c r="M512" s="391">
        <v>-930129</v>
      </c>
      <c r="N512" s="391">
        <v>-930129</v>
      </c>
      <c r="O512" s="391">
        <v>-930129</v>
      </c>
      <c r="P512" s="391">
        <v>-930129</v>
      </c>
      <c r="Q512" s="391">
        <v>-930129</v>
      </c>
      <c r="R512" s="391">
        <v>-974030</v>
      </c>
      <c r="S512" s="618">
        <f t="shared" si="120"/>
        <v>-931958.20833333337</v>
      </c>
      <c r="T512" s="382"/>
      <c r="U512" s="833"/>
      <c r="V512" s="833">
        <f t="shared" si="135"/>
        <v>-931958.20833333337</v>
      </c>
      <c r="W512" s="833"/>
      <c r="X512" s="425"/>
      <c r="Y512" s="833"/>
      <c r="Z512" s="833"/>
      <c r="AA512" s="833"/>
      <c r="AB512" s="833"/>
      <c r="AC512" s="834"/>
      <c r="AD512" s="835">
        <f t="shared" ref="AD512:AD517" si="137">+V512</f>
        <v>-931958.20833333337</v>
      </c>
      <c r="AE512" s="840"/>
      <c r="AF512" s="781">
        <f t="shared" si="126"/>
        <v>0</v>
      </c>
    </row>
    <row r="513" spans="1:32">
      <c r="A513" s="779">
        <f t="shared" si="127"/>
        <v>499</v>
      </c>
      <c r="B513" s="423" t="s">
        <v>1063</v>
      </c>
      <c r="C513" s="423" t="s">
        <v>652</v>
      </c>
      <c r="D513" s="423" t="s">
        <v>653</v>
      </c>
      <c r="E513" s="763" t="s">
        <v>654</v>
      </c>
      <c r="F513" s="391">
        <v>-2333957</v>
      </c>
      <c r="G513" s="391">
        <v>-2333957</v>
      </c>
      <c r="H513" s="391">
        <v>-2333957</v>
      </c>
      <c r="I513" s="391">
        <v>-2333957</v>
      </c>
      <c r="J513" s="391">
        <v>-2333957</v>
      </c>
      <c r="K513" s="391">
        <v>-2333957</v>
      </c>
      <c r="L513" s="391">
        <v>-2333957</v>
      </c>
      <c r="M513" s="391">
        <v>-2333957</v>
      </c>
      <c r="N513" s="391">
        <v>-2333957</v>
      </c>
      <c r="O513" s="391">
        <v>-2333957</v>
      </c>
      <c r="P513" s="391">
        <v>-2333957</v>
      </c>
      <c r="Q513" s="391">
        <v>-2333957</v>
      </c>
      <c r="R513" s="391">
        <v>-2706980</v>
      </c>
      <c r="S513" s="618">
        <f t="shared" si="120"/>
        <v>-2349499.625</v>
      </c>
      <c r="T513" s="382"/>
      <c r="U513" s="833"/>
      <c r="V513" s="833">
        <f t="shared" si="135"/>
        <v>-2349499.625</v>
      </c>
      <c r="W513" s="833"/>
      <c r="X513" s="425"/>
      <c r="Y513" s="833"/>
      <c r="Z513" s="833"/>
      <c r="AA513" s="833"/>
      <c r="AB513" s="833"/>
      <c r="AC513" s="834"/>
      <c r="AD513" s="835">
        <f t="shared" si="137"/>
        <v>-2349499.625</v>
      </c>
      <c r="AE513" s="834"/>
      <c r="AF513" s="781">
        <f t="shared" si="126"/>
        <v>0</v>
      </c>
    </row>
    <row r="514" spans="1:32">
      <c r="A514" s="779">
        <f t="shared" si="127"/>
        <v>500</v>
      </c>
      <c r="B514" s="423" t="s">
        <v>1066</v>
      </c>
      <c r="C514" s="423" t="s">
        <v>652</v>
      </c>
      <c r="D514" s="423" t="s">
        <v>1340</v>
      </c>
      <c r="E514" s="763" t="s">
        <v>655</v>
      </c>
      <c r="F514" s="391">
        <v>-52094122.640000001</v>
      </c>
      <c r="G514" s="391">
        <v>-51923199.700000003</v>
      </c>
      <c r="H514" s="391">
        <v>-51751811.369999997</v>
      </c>
      <c r="I514" s="391">
        <v>-51579612.490000002</v>
      </c>
      <c r="J514" s="391">
        <v>-51412594.920000002</v>
      </c>
      <c r="K514" s="391">
        <v>-51245545</v>
      </c>
      <c r="L514" s="391">
        <v>-51078484.880000003</v>
      </c>
      <c r="M514" s="391">
        <v>-50661037.229999997</v>
      </c>
      <c r="N514" s="391">
        <v>-50458292.700000003</v>
      </c>
      <c r="O514" s="391">
        <v>-50255544.689999998</v>
      </c>
      <c r="P514" s="391">
        <v>-50052796.68</v>
      </c>
      <c r="Q514" s="391">
        <v>-49713089.740000002</v>
      </c>
      <c r="R514" s="391">
        <v>-49624464.960000001</v>
      </c>
      <c r="S514" s="618">
        <f t="shared" si="120"/>
        <v>-50915941.93333333</v>
      </c>
      <c r="T514" s="382"/>
      <c r="U514" s="833"/>
      <c r="V514" s="833"/>
      <c r="W514" s="833"/>
      <c r="X514" s="425">
        <f>+S514</f>
        <v>-50915941.93333333</v>
      </c>
      <c r="Y514" s="833"/>
      <c r="Z514" s="833"/>
      <c r="AA514" s="833"/>
      <c r="AB514" s="833">
        <f>+S514</f>
        <v>-50915941.93333333</v>
      </c>
      <c r="AC514" s="834"/>
      <c r="AD514" s="835">
        <f t="shared" si="137"/>
        <v>0</v>
      </c>
      <c r="AE514" s="834"/>
      <c r="AF514" s="781">
        <f t="shared" si="126"/>
        <v>0</v>
      </c>
    </row>
    <row r="515" spans="1:32">
      <c r="A515" s="779">
        <f t="shared" si="127"/>
        <v>501</v>
      </c>
      <c r="B515" s="423" t="s">
        <v>1063</v>
      </c>
      <c r="C515" s="423" t="s">
        <v>652</v>
      </c>
      <c r="D515" s="423" t="s">
        <v>1341</v>
      </c>
      <c r="E515" s="763" t="s">
        <v>2034</v>
      </c>
      <c r="F515" s="391">
        <v>-10293340.66</v>
      </c>
      <c r="G515" s="391">
        <v>-10209770.48</v>
      </c>
      <c r="H515" s="391">
        <v>-10126200.310000001</v>
      </c>
      <c r="I515" s="391">
        <v>-10042630.24</v>
      </c>
      <c r="J515" s="391">
        <v>-9959060.0600000005</v>
      </c>
      <c r="K515" s="391">
        <v>-9875489.9100000001</v>
      </c>
      <c r="L515" s="391">
        <v>-9791919.7200000007</v>
      </c>
      <c r="M515" s="391">
        <v>-9708349.5600000005</v>
      </c>
      <c r="N515" s="391">
        <v>-9624779.5</v>
      </c>
      <c r="O515" s="391">
        <v>-9541209.3100000005</v>
      </c>
      <c r="P515" s="391">
        <v>-9457639.2200000007</v>
      </c>
      <c r="Q515" s="391">
        <v>-9386469.9000000004</v>
      </c>
      <c r="R515" s="391">
        <v>-9124558.2599999998</v>
      </c>
      <c r="S515" s="618">
        <f t="shared" si="120"/>
        <v>-9786038.972500002</v>
      </c>
      <c r="T515" s="382"/>
      <c r="U515" s="833"/>
      <c r="V515" s="833"/>
      <c r="W515" s="833"/>
      <c r="X515" s="425">
        <f>+S515</f>
        <v>-9786038.972500002</v>
      </c>
      <c r="Y515" s="833"/>
      <c r="Z515" s="833"/>
      <c r="AA515" s="833"/>
      <c r="AB515" s="833">
        <f>+S515</f>
        <v>-9786038.972500002</v>
      </c>
      <c r="AC515" s="834"/>
      <c r="AD515" s="835">
        <f t="shared" si="137"/>
        <v>0</v>
      </c>
      <c r="AE515" s="840"/>
      <c r="AF515" s="781">
        <f t="shared" si="126"/>
        <v>0</v>
      </c>
    </row>
    <row r="516" spans="1:32">
      <c r="A516" s="779">
        <f t="shared" si="127"/>
        <v>502</v>
      </c>
      <c r="B516" s="423" t="s">
        <v>1094</v>
      </c>
      <c r="C516" s="423" t="s">
        <v>652</v>
      </c>
      <c r="D516" s="423" t="s">
        <v>1289</v>
      </c>
      <c r="E516" s="763" t="s">
        <v>2036</v>
      </c>
      <c r="F516" s="391">
        <v>-4059966.67</v>
      </c>
      <c r="G516" s="391">
        <v>-3212318.44</v>
      </c>
      <c r="H516" s="391">
        <v>-2505235.73</v>
      </c>
      <c r="I516" s="391">
        <v>-2507308.9</v>
      </c>
      <c r="J516" s="391">
        <v>-2418602.59</v>
      </c>
      <c r="K516" s="391">
        <v>-1964038.5</v>
      </c>
      <c r="L516" s="391">
        <v>-1892252.25</v>
      </c>
      <c r="M516" s="391">
        <v>-1770213.93</v>
      </c>
      <c r="N516" s="391">
        <v>-1346690.53</v>
      </c>
      <c r="O516" s="391">
        <v>-1062416.03</v>
      </c>
      <c r="P516" s="391">
        <v>-921734.44</v>
      </c>
      <c r="Q516" s="391">
        <v>-624129.18000000005</v>
      </c>
      <c r="R516" s="391">
        <v>-444461.68</v>
      </c>
      <c r="S516" s="618">
        <f t="shared" si="120"/>
        <v>-1873096.2245833336</v>
      </c>
      <c r="T516" s="382"/>
      <c r="U516" s="833"/>
      <c r="V516" s="833"/>
      <c r="W516" s="833"/>
      <c r="X516" s="425">
        <f>+S516</f>
        <v>-1873096.2245833336</v>
      </c>
      <c r="Y516" s="833"/>
      <c r="Z516" s="833"/>
      <c r="AA516" s="833"/>
      <c r="AB516" s="833">
        <f>+S516</f>
        <v>-1873096.2245833336</v>
      </c>
      <c r="AC516" s="834"/>
      <c r="AD516" s="835">
        <f t="shared" si="137"/>
        <v>0</v>
      </c>
      <c r="AE516" s="840"/>
      <c r="AF516" s="781">
        <f t="shared" si="126"/>
        <v>0</v>
      </c>
    </row>
    <row r="517" spans="1:32">
      <c r="A517" s="779">
        <f t="shared" si="127"/>
        <v>503</v>
      </c>
      <c r="B517" s="423" t="s">
        <v>1066</v>
      </c>
      <c r="C517" s="423" t="s">
        <v>652</v>
      </c>
      <c r="D517" s="423" t="s">
        <v>1701</v>
      </c>
      <c r="E517" s="763" t="s">
        <v>2036</v>
      </c>
      <c r="F517" s="391">
        <v>-1511249.09</v>
      </c>
      <c r="G517" s="391">
        <v>-5791633.3700000001</v>
      </c>
      <c r="H517" s="391">
        <v>-6596943.9699999997</v>
      </c>
      <c r="I517" s="391">
        <v>-7038725.3099999996</v>
      </c>
      <c r="J517" s="391">
        <v>-7592820.75</v>
      </c>
      <c r="K517" s="391">
        <v>-7057777.9500000002</v>
      </c>
      <c r="L517" s="391">
        <v>-7165590.7300000004</v>
      </c>
      <c r="M517" s="391">
        <v>-7161984.4100000001</v>
      </c>
      <c r="N517" s="391">
        <v>-6731976.25</v>
      </c>
      <c r="O517" s="391">
        <v>-6834231.7400000002</v>
      </c>
      <c r="P517" s="391">
        <v>-6546122.6100000003</v>
      </c>
      <c r="Q517" s="391">
        <v>-6026089.79</v>
      </c>
      <c r="R517" s="391">
        <v>-4075395.82</v>
      </c>
      <c r="S517" s="618">
        <f t="shared" si="120"/>
        <v>-6444768.2779166671</v>
      </c>
      <c r="T517" s="382"/>
      <c r="U517" s="833"/>
      <c r="V517" s="833"/>
      <c r="W517" s="833"/>
      <c r="X517" s="425">
        <f>+S517</f>
        <v>-6444768.2779166671</v>
      </c>
      <c r="Y517" s="833"/>
      <c r="Z517" s="833"/>
      <c r="AA517" s="833"/>
      <c r="AB517" s="833">
        <f>+S517</f>
        <v>-6444768.2779166671</v>
      </c>
      <c r="AC517" s="834"/>
      <c r="AD517" s="835">
        <f t="shared" si="137"/>
        <v>0</v>
      </c>
      <c r="AE517" s="834"/>
      <c r="AF517" s="781">
        <f t="shared" si="126"/>
        <v>0</v>
      </c>
    </row>
    <row r="518" spans="1:32">
      <c r="A518" s="779">
        <f t="shared" si="127"/>
        <v>504</v>
      </c>
      <c r="B518" s="423" t="s">
        <v>1066</v>
      </c>
      <c r="C518" s="423" t="s">
        <v>652</v>
      </c>
      <c r="D518" s="423" t="s">
        <v>1700</v>
      </c>
      <c r="E518" s="777" t="s">
        <v>2040</v>
      </c>
      <c r="F518" s="391">
        <v>0</v>
      </c>
      <c r="G518" s="391">
        <v>0</v>
      </c>
      <c r="H518" s="391">
        <v>0</v>
      </c>
      <c r="I518" s="391">
        <v>0</v>
      </c>
      <c r="J518" s="391">
        <v>0</v>
      </c>
      <c r="K518" s="391">
        <v>0</v>
      </c>
      <c r="L518" s="391">
        <v>0</v>
      </c>
      <c r="M518" s="391">
        <v>0</v>
      </c>
      <c r="N518" s="391">
        <v>-858309.76</v>
      </c>
      <c r="O518" s="391">
        <v>-916217.48</v>
      </c>
      <c r="P518" s="391">
        <v>-961358.19</v>
      </c>
      <c r="Q518" s="391">
        <v>-986505.5</v>
      </c>
      <c r="R518" s="391">
        <v>-1000748.3</v>
      </c>
      <c r="S518" s="618">
        <f t="shared" si="120"/>
        <v>-351897.09</v>
      </c>
      <c r="T518" s="382"/>
      <c r="U518" s="833"/>
      <c r="V518" s="833"/>
      <c r="W518" s="833"/>
      <c r="X518" s="425">
        <f t="shared" ref="X518:X524" si="138">+S518</f>
        <v>-351897.09</v>
      </c>
      <c r="Y518" s="833"/>
      <c r="Z518" s="833"/>
      <c r="AA518" s="833"/>
      <c r="AB518" s="833">
        <f t="shared" ref="AB518:AB524" si="139">+S518</f>
        <v>-351897.09</v>
      </c>
      <c r="AC518" s="834"/>
      <c r="AD518" s="835"/>
      <c r="AE518" s="834"/>
      <c r="AF518" s="781">
        <f t="shared" si="126"/>
        <v>0</v>
      </c>
    </row>
    <row r="519" spans="1:32">
      <c r="A519" s="779">
        <f t="shared" si="127"/>
        <v>505</v>
      </c>
      <c r="B519" s="423" t="s">
        <v>1066</v>
      </c>
      <c r="C519" s="423" t="s">
        <v>652</v>
      </c>
      <c r="D519" s="423" t="s">
        <v>1716</v>
      </c>
      <c r="E519" s="763" t="s">
        <v>2041</v>
      </c>
      <c r="F519" s="391">
        <v>0</v>
      </c>
      <c r="G519" s="391">
        <v>0</v>
      </c>
      <c r="H519" s="391">
        <v>0</v>
      </c>
      <c r="I519" s="391">
        <v>0</v>
      </c>
      <c r="J519" s="391">
        <v>0</v>
      </c>
      <c r="K519" s="391">
        <v>0</v>
      </c>
      <c r="L519" s="391">
        <v>0</v>
      </c>
      <c r="M519" s="391">
        <v>0</v>
      </c>
      <c r="N519" s="391">
        <v>-246851.96</v>
      </c>
      <c r="O519" s="391">
        <v>-261633.62</v>
      </c>
      <c r="P519" s="391">
        <v>-272259.65000000002</v>
      </c>
      <c r="Q519" s="391">
        <v>-276551.38</v>
      </c>
      <c r="R519" s="391">
        <v>-274816.11</v>
      </c>
      <c r="S519" s="618">
        <f t="shared" si="120"/>
        <v>-99558.722083333312</v>
      </c>
      <c r="T519" s="382"/>
      <c r="U519" s="833"/>
      <c r="V519" s="833"/>
      <c r="W519" s="833"/>
      <c r="X519" s="425">
        <f t="shared" si="138"/>
        <v>-99558.722083333312</v>
      </c>
      <c r="Y519" s="833"/>
      <c r="Z519" s="833"/>
      <c r="AA519" s="833"/>
      <c r="AB519" s="833">
        <f t="shared" si="139"/>
        <v>-99558.722083333312</v>
      </c>
      <c r="AC519" s="834"/>
      <c r="AD519" s="835"/>
      <c r="AE519" s="834"/>
      <c r="AF519" s="781">
        <f t="shared" si="126"/>
        <v>0</v>
      </c>
    </row>
    <row r="520" spans="1:32">
      <c r="A520" s="779">
        <f t="shared" si="127"/>
        <v>506</v>
      </c>
      <c r="B520" s="423" t="s">
        <v>1066</v>
      </c>
      <c r="C520" s="423" t="s">
        <v>652</v>
      </c>
      <c r="D520" s="423" t="s">
        <v>1717</v>
      </c>
      <c r="E520" s="763" t="s">
        <v>2042</v>
      </c>
      <c r="F520" s="391">
        <v>0</v>
      </c>
      <c r="G520" s="391">
        <v>0</v>
      </c>
      <c r="H520" s="391">
        <v>0</v>
      </c>
      <c r="I520" s="391">
        <v>0</v>
      </c>
      <c r="J520" s="391">
        <v>0</v>
      </c>
      <c r="K520" s="391">
        <v>0</v>
      </c>
      <c r="L520" s="391">
        <v>0</v>
      </c>
      <c r="M520" s="391">
        <v>0</v>
      </c>
      <c r="N520" s="391">
        <v>-377538.87</v>
      </c>
      <c r="O520" s="391">
        <v>-401387.21</v>
      </c>
      <c r="P520" s="391">
        <v>-419012.45</v>
      </c>
      <c r="Q520" s="391">
        <v>-427436.94</v>
      </c>
      <c r="R520" s="391">
        <v>-463561.43</v>
      </c>
      <c r="S520" s="618">
        <f t="shared" si="120"/>
        <v>-154763.01541666666</v>
      </c>
      <c r="T520" s="382"/>
      <c r="U520" s="833"/>
      <c r="V520" s="833"/>
      <c r="W520" s="833"/>
      <c r="X520" s="425">
        <f t="shared" si="138"/>
        <v>-154763.01541666666</v>
      </c>
      <c r="Y520" s="833"/>
      <c r="Z520" s="833"/>
      <c r="AA520" s="833"/>
      <c r="AB520" s="833">
        <f t="shared" si="139"/>
        <v>-154763.01541666666</v>
      </c>
      <c r="AC520" s="834"/>
      <c r="AD520" s="835"/>
      <c r="AE520" s="834"/>
      <c r="AF520" s="781">
        <f t="shared" si="126"/>
        <v>0</v>
      </c>
    </row>
    <row r="521" spans="1:32">
      <c r="A521" s="779">
        <f t="shared" si="127"/>
        <v>507</v>
      </c>
      <c r="B521" s="423" t="s">
        <v>1066</v>
      </c>
      <c r="C521" s="423" t="s">
        <v>652</v>
      </c>
      <c r="D521" s="423" t="s">
        <v>1718</v>
      </c>
      <c r="E521" s="763" t="s">
        <v>2043</v>
      </c>
      <c r="F521" s="391">
        <v>0</v>
      </c>
      <c r="G521" s="391">
        <v>0</v>
      </c>
      <c r="H521" s="391">
        <v>0</v>
      </c>
      <c r="I521" s="391">
        <v>0</v>
      </c>
      <c r="J521" s="391">
        <v>0</v>
      </c>
      <c r="K521" s="391">
        <v>0</v>
      </c>
      <c r="L521" s="391">
        <v>0</v>
      </c>
      <c r="M521" s="391">
        <v>0</v>
      </c>
      <c r="N521" s="391">
        <v>-108262.59</v>
      </c>
      <c r="O521" s="391">
        <v>-113951.25</v>
      </c>
      <c r="P521" s="391">
        <v>-117707.81</v>
      </c>
      <c r="Q521" s="391">
        <v>-118729.06</v>
      </c>
      <c r="R521" s="391">
        <v>-126336.78</v>
      </c>
      <c r="S521" s="618">
        <f t="shared" si="120"/>
        <v>-43484.925000000003</v>
      </c>
      <c r="T521" s="382"/>
      <c r="U521" s="833"/>
      <c r="V521" s="833"/>
      <c r="W521" s="833"/>
      <c r="X521" s="425">
        <f t="shared" si="138"/>
        <v>-43484.925000000003</v>
      </c>
      <c r="Y521" s="833"/>
      <c r="Z521" s="833"/>
      <c r="AA521" s="833"/>
      <c r="AB521" s="833">
        <f t="shared" si="139"/>
        <v>-43484.925000000003</v>
      </c>
      <c r="AC521" s="834"/>
      <c r="AD521" s="835"/>
      <c r="AE521" s="834"/>
      <c r="AF521" s="781">
        <f t="shared" si="126"/>
        <v>0</v>
      </c>
    </row>
    <row r="522" spans="1:32">
      <c r="A522" s="779">
        <f t="shared" si="127"/>
        <v>508</v>
      </c>
      <c r="B522" s="423" t="s">
        <v>1066</v>
      </c>
      <c r="C522" s="423" t="s">
        <v>652</v>
      </c>
      <c r="D522" s="423" t="s">
        <v>1719</v>
      </c>
      <c r="E522" s="763" t="s">
        <v>2044</v>
      </c>
      <c r="F522" s="391">
        <v>0</v>
      </c>
      <c r="G522" s="391">
        <v>0</v>
      </c>
      <c r="H522" s="391">
        <v>0</v>
      </c>
      <c r="I522" s="391">
        <v>0</v>
      </c>
      <c r="J522" s="391">
        <v>0</v>
      </c>
      <c r="K522" s="391">
        <v>0</v>
      </c>
      <c r="L522" s="391">
        <v>0</v>
      </c>
      <c r="M522" s="391">
        <v>0</v>
      </c>
      <c r="N522" s="391">
        <v>-1200598.94</v>
      </c>
      <c r="O522" s="391">
        <v>-1149597.23</v>
      </c>
      <c r="P522" s="391">
        <v>-1086605.03</v>
      </c>
      <c r="Q522" s="391">
        <v>-1008650.4</v>
      </c>
      <c r="R522" s="391">
        <v>-863199.97</v>
      </c>
      <c r="S522" s="618">
        <f t="shared" si="120"/>
        <v>-406420.96541666676</v>
      </c>
      <c r="T522" s="382"/>
      <c r="U522" s="833"/>
      <c r="V522" s="833"/>
      <c r="W522" s="833"/>
      <c r="X522" s="425">
        <f t="shared" si="138"/>
        <v>-406420.96541666676</v>
      </c>
      <c r="Y522" s="833"/>
      <c r="Z522" s="833"/>
      <c r="AA522" s="833"/>
      <c r="AB522" s="833">
        <f t="shared" si="139"/>
        <v>-406420.96541666676</v>
      </c>
      <c r="AC522" s="834"/>
      <c r="AD522" s="835"/>
      <c r="AE522" s="834"/>
      <c r="AF522" s="781">
        <f t="shared" si="126"/>
        <v>0</v>
      </c>
    </row>
    <row r="523" spans="1:32">
      <c r="A523" s="779">
        <f t="shared" si="127"/>
        <v>509</v>
      </c>
      <c r="B523" s="423" t="s">
        <v>1066</v>
      </c>
      <c r="C523" s="423" t="s">
        <v>652</v>
      </c>
      <c r="D523" s="423" t="s">
        <v>1720</v>
      </c>
      <c r="E523" s="763" t="s">
        <v>2045</v>
      </c>
      <c r="F523" s="391">
        <v>0</v>
      </c>
      <c r="G523" s="391">
        <v>0</v>
      </c>
      <c r="H523" s="391">
        <v>0</v>
      </c>
      <c r="I523" s="391">
        <v>0</v>
      </c>
      <c r="J523" s="391">
        <v>0</v>
      </c>
      <c r="K523" s="391">
        <v>0</v>
      </c>
      <c r="L523" s="391">
        <v>0</v>
      </c>
      <c r="M523" s="391">
        <v>0</v>
      </c>
      <c r="N523" s="391">
        <v>-346075.1</v>
      </c>
      <c r="O523" s="391">
        <v>-329693.3</v>
      </c>
      <c r="P523" s="391">
        <v>-309356.06</v>
      </c>
      <c r="Q523" s="391">
        <v>-284086.08</v>
      </c>
      <c r="R523" s="391">
        <v>-236935.84</v>
      </c>
      <c r="S523" s="618">
        <f t="shared" si="120"/>
        <v>-115639.87166666666</v>
      </c>
      <c r="T523" s="382"/>
      <c r="U523" s="833"/>
      <c r="V523" s="833"/>
      <c r="W523" s="833"/>
      <c r="X523" s="425">
        <f t="shared" si="138"/>
        <v>-115639.87166666666</v>
      </c>
      <c r="Y523" s="833"/>
      <c r="Z523" s="833"/>
      <c r="AA523" s="833"/>
      <c r="AB523" s="833">
        <f t="shared" si="139"/>
        <v>-115639.87166666666</v>
      </c>
      <c r="AC523" s="834"/>
      <c r="AD523" s="835"/>
      <c r="AE523" s="834"/>
      <c r="AF523" s="781">
        <f t="shared" si="126"/>
        <v>0</v>
      </c>
    </row>
    <row r="524" spans="1:32">
      <c r="A524" s="779">
        <f t="shared" si="127"/>
        <v>510</v>
      </c>
      <c r="B524" s="423" t="s">
        <v>1066</v>
      </c>
      <c r="C524" s="423" t="s">
        <v>652</v>
      </c>
      <c r="D524" s="423" t="s">
        <v>1721</v>
      </c>
      <c r="E524" s="769" t="s">
        <v>2046</v>
      </c>
      <c r="F524" s="391">
        <v>0</v>
      </c>
      <c r="G524" s="391">
        <v>0</v>
      </c>
      <c r="H524" s="391">
        <v>0</v>
      </c>
      <c r="I524" s="391">
        <v>0</v>
      </c>
      <c r="J524" s="391">
        <v>0</v>
      </c>
      <c r="K524" s="391">
        <v>0</v>
      </c>
      <c r="L524" s="391">
        <v>0</v>
      </c>
      <c r="M524" s="391">
        <v>0</v>
      </c>
      <c r="N524" s="391">
        <v>536279.92000000004</v>
      </c>
      <c r="O524" s="391">
        <v>536279.92000000004</v>
      </c>
      <c r="P524" s="391">
        <v>536279.92000000004</v>
      </c>
      <c r="Q524" s="391">
        <v>536279.92000000004</v>
      </c>
      <c r="R524" s="391">
        <v>367551.32</v>
      </c>
      <c r="S524" s="618">
        <f t="shared" si="120"/>
        <v>194074.61166666669</v>
      </c>
      <c r="T524" s="382"/>
      <c r="U524" s="833"/>
      <c r="V524" s="833"/>
      <c r="W524" s="833"/>
      <c r="X524" s="425">
        <f t="shared" si="138"/>
        <v>194074.61166666669</v>
      </c>
      <c r="Y524" s="833"/>
      <c r="Z524" s="833"/>
      <c r="AA524" s="833"/>
      <c r="AB524" s="833">
        <f t="shared" si="139"/>
        <v>194074.61166666669</v>
      </c>
      <c r="AC524" s="834"/>
      <c r="AD524" s="835"/>
      <c r="AE524" s="834"/>
      <c r="AF524" s="781">
        <f t="shared" si="126"/>
        <v>0</v>
      </c>
    </row>
    <row r="525" spans="1:32">
      <c r="A525" s="779">
        <f t="shared" si="127"/>
        <v>511</v>
      </c>
      <c r="B525" s="423" t="s">
        <v>1094</v>
      </c>
      <c r="C525" s="423" t="s">
        <v>652</v>
      </c>
      <c r="D525" s="423" t="s">
        <v>1327</v>
      </c>
      <c r="E525" s="763" t="s">
        <v>2039</v>
      </c>
      <c r="F525" s="391">
        <v>0</v>
      </c>
      <c r="G525" s="391">
        <v>0</v>
      </c>
      <c r="H525" s="391">
        <v>0</v>
      </c>
      <c r="I525" s="391">
        <v>0</v>
      </c>
      <c r="J525" s="391">
        <v>0</v>
      </c>
      <c r="K525" s="391">
        <v>0</v>
      </c>
      <c r="L525" s="391">
        <v>0</v>
      </c>
      <c r="M525" s="391">
        <v>0</v>
      </c>
      <c r="N525" s="391">
        <v>0</v>
      </c>
      <c r="O525" s="391">
        <v>0</v>
      </c>
      <c r="P525" s="391">
        <v>0</v>
      </c>
      <c r="Q525" s="391">
        <v>125885.39</v>
      </c>
      <c r="R525" s="391">
        <v>151304.69</v>
      </c>
      <c r="S525" s="618">
        <f t="shared" si="120"/>
        <v>16794.811249999999</v>
      </c>
      <c r="T525" s="382"/>
      <c r="U525" s="833"/>
      <c r="V525" s="833">
        <f t="shared" ref="V525:V526" si="140">+S525</f>
        <v>16794.811249999999</v>
      </c>
      <c r="W525" s="833"/>
      <c r="X525" s="425"/>
      <c r="Y525" s="833"/>
      <c r="Z525" s="833"/>
      <c r="AA525" s="833"/>
      <c r="AB525" s="833"/>
      <c r="AC525" s="834"/>
      <c r="AD525" s="835">
        <f t="shared" ref="AD525:AD526" si="141">+V525</f>
        <v>16794.811249999999</v>
      </c>
      <c r="AE525" s="834"/>
      <c r="AF525" s="781">
        <f t="shared" si="126"/>
        <v>0</v>
      </c>
    </row>
    <row r="526" spans="1:32">
      <c r="A526" s="779">
        <f t="shared" si="127"/>
        <v>512</v>
      </c>
      <c r="B526" s="423" t="s">
        <v>1066</v>
      </c>
      <c r="C526" s="423" t="s">
        <v>652</v>
      </c>
      <c r="D526" s="423" t="s">
        <v>1327</v>
      </c>
      <c r="E526" s="769" t="s">
        <v>2039</v>
      </c>
      <c r="F526" s="391">
        <v>0</v>
      </c>
      <c r="G526" s="391">
        <v>0</v>
      </c>
      <c r="H526" s="391">
        <v>0</v>
      </c>
      <c r="I526" s="391">
        <v>0</v>
      </c>
      <c r="J526" s="391">
        <v>0</v>
      </c>
      <c r="K526" s="391">
        <v>0</v>
      </c>
      <c r="L526" s="391">
        <v>0</v>
      </c>
      <c r="M526" s="391">
        <v>0</v>
      </c>
      <c r="N526" s="391">
        <v>0</v>
      </c>
      <c r="O526" s="391">
        <v>0</v>
      </c>
      <c r="P526" s="391">
        <v>0</v>
      </c>
      <c r="Q526" s="391">
        <v>779370.75</v>
      </c>
      <c r="R526" s="391">
        <v>934952.23</v>
      </c>
      <c r="S526" s="618">
        <f t="shared" si="120"/>
        <v>103903.90541666666</v>
      </c>
      <c r="T526" s="382"/>
      <c r="U526" s="833"/>
      <c r="V526" s="833">
        <f t="shared" si="140"/>
        <v>103903.90541666666</v>
      </c>
      <c r="W526" s="833"/>
      <c r="X526" s="425"/>
      <c r="Y526" s="833"/>
      <c r="Z526" s="833"/>
      <c r="AA526" s="833"/>
      <c r="AB526" s="833"/>
      <c r="AC526" s="834"/>
      <c r="AD526" s="835">
        <f t="shared" si="141"/>
        <v>103903.90541666666</v>
      </c>
      <c r="AE526" s="834"/>
      <c r="AF526" s="781">
        <f t="shared" si="126"/>
        <v>0</v>
      </c>
    </row>
    <row r="527" spans="1:32">
      <c r="A527" s="779">
        <f t="shared" si="127"/>
        <v>513</v>
      </c>
      <c r="B527" s="423" t="s">
        <v>1063</v>
      </c>
      <c r="C527" s="423" t="s">
        <v>468</v>
      </c>
      <c r="D527" s="423" t="s">
        <v>758</v>
      </c>
      <c r="E527" s="777" t="s">
        <v>759</v>
      </c>
      <c r="F527" s="391">
        <v>45360249.719999999</v>
      </c>
      <c r="G527" s="391">
        <v>45663734.560000002</v>
      </c>
      <c r="H527" s="391">
        <v>45968509.560000002</v>
      </c>
      <c r="I527" s="391">
        <v>46274580.75</v>
      </c>
      <c r="J527" s="391">
        <v>46581954.18</v>
      </c>
      <c r="K527" s="391">
        <v>46890635.719999999</v>
      </c>
      <c r="L527" s="391">
        <v>47200631.520000003</v>
      </c>
      <c r="M527" s="391">
        <v>47511947.549999997</v>
      </c>
      <c r="N527" s="391">
        <v>47824590.049999997</v>
      </c>
      <c r="O527" s="391">
        <v>48138564.990000002</v>
      </c>
      <c r="P527" s="391">
        <v>48453878.57</v>
      </c>
      <c r="Q527" s="391">
        <v>48770536.939999998</v>
      </c>
      <c r="R527" s="391">
        <v>49007788.119999997</v>
      </c>
      <c r="S527" s="618">
        <f t="shared" si="120"/>
        <v>47205298.609166674</v>
      </c>
      <c r="T527" s="382"/>
      <c r="U527" s="833"/>
      <c r="V527" s="840"/>
      <c r="W527" s="833"/>
      <c r="X527" s="833">
        <f>+S527</f>
        <v>47205298.609166674</v>
      </c>
      <c r="Y527" s="665">
        <f>+AA527*Z7</f>
        <v>35333166.00896126</v>
      </c>
      <c r="Z527" s="833">
        <f>+AA527*Z8</f>
        <v>11870559.090251779</v>
      </c>
      <c r="AA527" s="833">
        <f>+S527</f>
        <v>47205298.609166674</v>
      </c>
      <c r="AB527" s="833"/>
      <c r="AC527" s="834"/>
      <c r="AD527" s="835"/>
      <c r="AE527" s="834"/>
      <c r="AF527" s="781">
        <f t="shared" ref="AF527:AF590" si="142">+U527+V527-AD527</f>
        <v>0</v>
      </c>
    </row>
    <row r="528" spans="1:32">
      <c r="A528" s="779">
        <f t="shared" si="127"/>
        <v>514</v>
      </c>
      <c r="B528" s="422"/>
      <c r="C528" s="422"/>
      <c r="D528" s="422"/>
      <c r="E528" s="768" t="s">
        <v>656</v>
      </c>
      <c r="F528" s="394">
        <f t="shared" ref="F528:S528" si="143">SUM(F496:F527)</f>
        <v>-122338906.30999997</v>
      </c>
      <c r="G528" s="394">
        <f t="shared" si="143"/>
        <v>-125562183.42999998</v>
      </c>
      <c r="H528" s="394">
        <f t="shared" si="143"/>
        <v>-125359001.76000002</v>
      </c>
      <c r="I528" s="394">
        <f t="shared" si="143"/>
        <v>-125601836.71000004</v>
      </c>
      <c r="J528" s="394">
        <f t="shared" si="143"/>
        <v>-125577682.70000002</v>
      </c>
      <c r="K528" s="394">
        <f t="shared" si="143"/>
        <v>-124101921.19999999</v>
      </c>
      <c r="L528" s="394">
        <f t="shared" si="143"/>
        <v>-124273394.66999999</v>
      </c>
      <c r="M528" s="394">
        <f t="shared" si="143"/>
        <v>-123582936.21000002</v>
      </c>
      <c r="N528" s="394">
        <f t="shared" si="143"/>
        <v>-124624632.51000004</v>
      </c>
      <c r="O528" s="394">
        <f t="shared" si="143"/>
        <v>-124120741.74000004</v>
      </c>
      <c r="P528" s="394">
        <f t="shared" si="143"/>
        <v>-123207202.62000003</v>
      </c>
      <c r="Q528" s="394">
        <f t="shared" si="143"/>
        <v>-120889584.75000006</v>
      </c>
      <c r="R528" s="394">
        <f t="shared" si="143"/>
        <v>-118715360.98000005</v>
      </c>
      <c r="S528" s="620">
        <f t="shared" si="143"/>
        <v>-123952354.32874995</v>
      </c>
      <c r="T528" s="382"/>
      <c r="U528" s="833"/>
      <c r="V528" s="833"/>
      <c r="W528" s="833"/>
      <c r="X528" s="425"/>
      <c r="Y528" s="833"/>
      <c r="Z528" s="833"/>
      <c r="AA528" s="833"/>
      <c r="AB528" s="833"/>
      <c r="AC528" s="834"/>
      <c r="AD528" s="834"/>
      <c r="AE528" s="834"/>
      <c r="AF528" s="781">
        <f t="shared" si="142"/>
        <v>0</v>
      </c>
    </row>
    <row r="529" spans="1:32">
      <c r="A529" s="779">
        <f t="shared" ref="A529:A592" si="144">+A528+1</f>
        <v>515</v>
      </c>
      <c r="B529" s="422"/>
      <c r="C529" s="422"/>
      <c r="D529" s="422"/>
      <c r="E529" s="763"/>
      <c r="F529" s="391"/>
      <c r="G529" s="420"/>
      <c r="H529" s="408"/>
      <c r="I529" s="408"/>
      <c r="J529" s="409"/>
      <c r="K529" s="410"/>
      <c r="L529" s="411"/>
      <c r="M529" s="412"/>
      <c r="N529" s="413"/>
      <c r="O529" s="414"/>
      <c r="P529" s="415"/>
      <c r="Q529" s="421"/>
      <c r="R529" s="391"/>
      <c r="S529" s="392"/>
      <c r="T529" s="382"/>
      <c r="U529" s="833"/>
      <c r="V529" s="833"/>
      <c r="W529" s="833"/>
      <c r="X529" s="425"/>
      <c r="Y529" s="833"/>
      <c r="Z529" s="833"/>
      <c r="AA529" s="833"/>
      <c r="AB529" s="833"/>
      <c r="AC529" s="834"/>
      <c r="AD529" s="834"/>
      <c r="AE529" s="834"/>
      <c r="AF529" s="781">
        <f t="shared" si="142"/>
        <v>0</v>
      </c>
    </row>
    <row r="530" spans="1:32">
      <c r="A530" s="779">
        <f t="shared" si="144"/>
        <v>516</v>
      </c>
      <c r="B530" s="423" t="s">
        <v>1063</v>
      </c>
      <c r="C530" s="423" t="s">
        <v>657</v>
      </c>
      <c r="D530" s="423" t="s">
        <v>539</v>
      </c>
      <c r="E530" s="763" t="s">
        <v>658</v>
      </c>
      <c r="F530" s="391">
        <v>-286113</v>
      </c>
      <c r="G530" s="391">
        <v>-282546.17</v>
      </c>
      <c r="H530" s="391">
        <v>-278979.33</v>
      </c>
      <c r="I530" s="391">
        <v>-275412.5</v>
      </c>
      <c r="J530" s="391">
        <v>-271845.67</v>
      </c>
      <c r="K530" s="391">
        <v>-268278.83</v>
      </c>
      <c r="L530" s="391">
        <v>-264712</v>
      </c>
      <c r="M530" s="391">
        <v>-261145.17</v>
      </c>
      <c r="N530" s="391">
        <v>-257578.33</v>
      </c>
      <c r="O530" s="391">
        <v>-254011.5</v>
      </c>
      <c r="P530" s="391">
        <v>-250444.67</v>
      </c>
      <c r="Q530" s="391">
        <v>-247430.58</v>
      </c>
      <c r="R530" s="391">
        <v>-243929</v>
      </c>
      <c r="S530" s="618">
        <f t="shared" si="120"/>
        <v>-264783.8125</v>
      </c>
      <c r="T530" s="382"/>
      <c r="U530" s="833"/>
      <c r="V530" s="833"/>
      <c r="W530" s="833"/>
      <c r="X530" s="425">
        <f>+S530</f>
        <v>-264783.8125</v>
      </c>
      <c r="Y530" s="833">
        <f>+AA530*$Z$7</f>
        <v>-198190.68365625001</v>
      </c>
      <c r="Z530" s="833">
        <f>+AA530*$Z$8</f>
        <v>-66584.302716666672</v>
      </c>
      <c r="AA530" s="833">
        <f>+S530</f>
        <v>-264783.8125</v>
      </c>
      <c r="AB530" s="833"/>
      <c r="AC530" s="834"/>
      <c r="AD530" s="834"/>
      <c r="AE530" s="834"/>
      <c r="AF530" s="781">
        <f t="shared" si="142"/>
        <v>0</v>
      </c>
    </row>
    <row r="531" spans="1:32" s="2" customFormat="1">
      <c r="A531" s="779">
        <f t="shared" si="144"/>
        <v>517</v>
      </c>
      <c r="B531" s="423" t="s">
        <v>1063</v>
      </c>
      <c r="C531" s="423" t="s">
        <v>659</v>
      </c>
      <c r="D531" s="423" t="s">
        <v>1098</v>
      </c>
      <c r="E531" s="763" t="s">
        <v>2047</v>
      </c>
      <c r="F531" s="391">
        <v>10739349.869999999</v>
      </c>
      <c r="G531" s="391">
        <v>10704140.869999999</v>
      </c>
      <c r="H531" s="391">
        <v>10668835.9</v>
      </c>
      <c r="I531" s="391">
        <v>10633363.82</v>
      </c>
      <c r="J531" s="391">
        <v>10598960.15</v>
      </c>
      <c r="K531" s="391">
        <v>10564549.82</v>
      </c>
      <c r="L531" s="391">
        <v>10530137.380000001</v>
      </c>
      <c r="M531" s="391">
        <v>10444092.59</v>
      </c>
      <c r="N531" s="391">
        <v>10402321.68</v>
      </c>
      <c r="O531" s="391">
        <v>10360550.029999999</v>
      </c>
      <c r="P531" s="391">
        <v>10318778.42</v>
      </c>
      <c r="Q531" s="391">
        <v>10248758.779999999</v>
      </c>
      <c r="R531" s="391">
        <v>10230519.77</v>
      </c>
      <c r="S531" s="618">
        <f t="shared" si="120"/>
        <v>10496618.688333334</v>
      </c>
      <c r="T531" s="382"/>
      <c r="U531" s="833"/>
      <c r="V531" s="833"/>
      <c r="W531" s="833"/>
      <c r="X531" s="425">
        <f t="shared" ref="X531:X540" si="145">+S531</f>
        <v>10496618.688333334</v>
      </c>
      <c r="Y531" s="833"/>
      <c r="Z531" s="833"/>
      <c r="AA531" s="833"/>
      <c r="AB531" s="833">
        <f>+S531</f>
        <v>10496618.688333334</v>
      </c>
      <c r="AC531" s="834"/>
      <c r="AD531" s="834"/>
      <c r="AE531" s="834"/>
      <c r="AF531" s="781">
        <f t="shared" si="142"/>
        <v>0</v>
      </c>
    </row>
    <row r="532" spans="1:32" s="2" customFormat="1">
      <c r="A532" s="779">
        <f t="shared" si="144"/>
        <v>518</v>
      </c>
      <c r="B532" s="423" t="s">
        <v>1063</v>
      </c>
      <c r="C532" s="423" t="s">
        <v>659</v>
      </c>
      <c r="D532" s="423" t="s">
        <v>1099</v>
      </c>
      <c r="E532" s="763" t="s">
        <v>2048</v>
      </c>
      <c r="F532" s="391">
        <v>41264063.450000003</v>
      </c>
      <c r="G532" s="391">
        <v>41127242.270000003</v>
      </c>
      <c r="H532" s="391">
        <v>40990089.109999999</v>
      </c>
      <c r="I532" s="391">
        <v>40852357.780000001</v>
      </c>
      <c r="J532" s="391">
        <v>40718322.310000002</v>
      </c>
      <c r="K532" s="391">
        <v>40584263.780000001</v>
      </c>
      <c r="L532" s="391">
        <v>40450197.969999999</v>
      </c>
      <c r="M532" s="391">
        <v>40128359.039999999</v>
      </c>
      <c r="N532" s="391">
        <v>39967529.289999999</v>
      </c>
      <c r="O532" s="391">
        <v>39806697.079999998</v>
      </c>
      <c r="P532" s="391">
        <v>39645864.850000001</v>
      </c>
      <c r="Q532" s="391">
        <v>39378116.229999997</v>
      </c>
      <c r="R532" s="391">
        <v>39297042.920000002</v>
      </c>
      <c r="S532" s="618">
        <f t="shared" si="120"/>
        <v>40327466.074583337</v>
      </c>
      <c r="T532" s="382"/>
      <c r="U532" s="833"/>
      <c r="V532" s="833"/>
      <c r="W532" s="833"/>
      <c r="X532" s="425">
        <f t="shared" si="145"/>
        <v>40327466.074583337</v>
      </c>
      <c r="Y532" s="833"/>
      <c r="Z532" s="833"/>
      <c r="AA532" s="833"/>
      <c r="AB532" s="833">
        <f>+S532</f>
        <v>40327466.074583337</v>
      </c>
      <c r="AC532" s="834"/>
      <c r="AD532" s="834"/>
      <c r="AE532" s="834"/>
      <c r="AF532" s="781">
        <f t="shared" si="142"/>
        <v>0</v>
      </c>
    </row>
    <row r="533" spans="1:32" s="2" customFormat="1">
      <c r="A533" s="779">
        <f t="shared" si="144"/>
        <v>519</v>
      </c>
      <c r="B533" s="423" t="s">
        <v>1063</v>
      </c>
      <c r="C533" s="423" t="s">
        <v>659</v>
      </c>
      <c r="D533" s="423" t="s">
        <v>1080</v>
      </c>
      <c r="E533" s="763" t="s">
        <v>2049</v>
      </c>
      <c r="F533" s="391">
        <v>-100214084.3</v>
      </c>
      <c r="G533" s="391">
        <v>-100072681.7</v>
      </c>
      <c r="H533" s="391">
        <v>-99929507.170000002</v>
      </c>
      <c r="I533" s="391">
        <v>-99642303.599999994</v>
      </c>
      <c r="J533" s="391">
        <v>-99483213.659999996</v>
      </c>
      <c r="K533" s="391">
        <v>-99324123.709999993</v>
      </c>
      <c r="L533" s="391">
        <v>-99165033.769999996</v>
      </c>
      <c r="M533" s="391">
        <v>-99080207.829999998</v>
      </c>
      <c r="N533" s="391">
        <v>-98931727.030000001</v>
      </c>
      <c r="O533" s="391">
        <v>-98783246.230000004</v>
      </c>
      <c r="P533" s="391">
        <v>-98634765.430000007</v>
      </c>
      <c r="Q533" s="391">
        <v>-98558812.739999995</v>
      </c>
      <c r="R533" s="391">
        <v>-99638867.390000001</v>
      </c>
      <c r="S533" s="618">
        <f t="shared" si="120"/>
        <v>-99294341.559583351</v>
      </c>
      <c r="T533" s="382"/>
      <c r="U533" s="833"/>
      <c r="V533" s="833"/>
      <c r="W533" s="833"/>
      <c r="X533" s="425">
        <f t="shared" si="145"/>
        <v>-99294341.559583351</v>
      </c>
      <c r="Y533" s="833">
        <f>+'Adv for Const. &amp; Def Tax'!AX26</f>
        <v>-76491859.573750004</v>
      </c>
      <c r="Z533" s="833">
        <f>+'Adv for Const. &amp; Def Tax'!AY26</f>
        <v>-22802481.985833332</v>
      </c>
      <c r="AA533" s="833">
        <f t="shared" ref="AA533:AA534" si="146">+S533</f>
        <v>-99294341.559583351</v>
      </c>
      <c r="AB533" s="833"/>
      <c r="AC533" s="834"/>
      <c r="AD533" s="834"/>
      <c r="AE533" s="834" t="s">
        <v>1732</v>
      </c>
      <c r="AF533" s="781">
        <f t="shared" si="142"/>
        <v>0</v>
      </c>
    </row>
    <row r="534" spans="1:32" s="2" customFormat="1">
      <c r="A534" s="779">
        <f t="shared" si="144"/>
        <v>520</v>
      </c>
      <c r="B534" s="423" t="s">
        <v>1063</v>
      </c>
      <c r="C534" s="423" t="s">
        <v>659</v>
      </c>
      <c r="D534" s="423" t="s">
        <v>1100</v>
      </c>
      <c r="E534" s="763" t="s">
        <v>2050</v>
      </c>
      <c r="F534" s="391">
        <v>-140309.65</v>
      </c>
      <c r="G534" s="391">
        <v>-140309.65</v>
      </c>
      <c r="H534" s="391">
        <v>-140309.65</v>
      </c>
      <c r="I534" s="391">
        <v>-118468.96</v>
      </c>
      <c r="J534" s="391">
        <v>-93051.35</v>
      </c>
      <c r="K534" s="391">
        <v>-123983.44</v>
      </c>
      <c r="L534" s="391">
        <v>-128794.44</v>
      </c>
      <c r="M534" s="391">
        <v>-115754.06</v>
      </c>
      <c r="N534" s="391">
        <v>4813.8100000000104</v>
      </c>
      <c r="O534" s="391">
        <v>-214221.45</v>
      </c>
      <c r="P534" s="391">
        <v>-198993.98</v>
      </c>
      <c r="Q534" s="391">
        <v>130178.89</v>
      </c>
      <c r="R534" s="391">
        <v>347877.73</v>
      </c>
      <c r="S534" s="618">
        <f t="shared" si="120"/>
        <v>-86259.186666666661</v>
      </c>
      <c r="T534" s="382"/>
      <c r="U534" s="833"/>
      <c r="V534" s="833"/>
      <c r="W534" s="833"/>
      <c r="X534" s="425">
        <f t="shared" si="145"/>
        <v>-86259.186666666661</v>
      </c>
      <c r="Y534" s="833">
        <f t="shared" ref="Y534" si="147">+AA534*$Z$7</f>
        <v>-64565.001219999998</v>
      </c>
      <c r="Z534" s="833">
        <f t="shared" ref="Z534" si="148">+AA534*$Z$8</f>
        <v>-21691.310140444442</v>
      </c>
      <c r="AA534" s="833">
        <f t="shared" si="146"/>
        <v>-86259.186666666661</v>
      </c>
      <c r="AB534" s="833"/>
      <c r="AC534" s="834"/>
      <c r="AD534" s="834"/>
      <c r="AE534" s="834"/>
      <c r="AF534" s="781">
        <f t="shared" si="142"/>
        <v>0</v>
      </c>
    </row>
    <row r="535" spans="1:32" s="2" customFormat="1">
      <c r="A535" s="779">
        <f t="shared" si="144"/>
        <v>521</v>
      </c>
      <c r="B535" s="423" t="s">
        <v>1066</v>
      </c>
      <c r="C535" s="423" t="s">
        <v>659</v>
      </c>
      <c r="D535" s="423" t="s">
        <v>1564</v>
      </c>
      <c r="E535" s="763" t="s">
        <v>2058</v>
      </c>
      <c r="F535" s="391">
        <v>-48616.4</v>
      </c>
      <c r="G535" s="391">
        <v>-48616.4</v>
      </c>
      <c r="H535" s="391">
        <v>-48616.4</v>
      </c>
      <c r="I535" s="391">
        <v>0</v>
      </c>
      <c r="J535" s="391">
        <v>0</v>
      </c>
      <c r="K535" s="391">
        <v>0</v>
      </c>
      <c r="L535" s="391">
        <v>0</v>
      </c>
      <c r="M535" s="391">
        <v>0</v>
      </c>
      <c r="N535" s="391">
        <v>0</v>
      </c>
      <c r="O535" s="391">
        <v>0</v>
      </c>
      <c r="P535" s="391">
        <v>0</v>
      </c>
      <c r="Q535" s="391">
        <v>0</v>
      </c>
      <c r="R535" s="391">
        <v>0</v>
      </c>
      <c r="S535" s="618">
        <f t="shared" si="120"/>
        <v>-10128.416666666666</v>
      </c>
      <c r="T535" s="382"/>
      <c r="U535" s="833"/>
      <c r="V535" s="833"/>
      <c r="W535" s="833"/>
      <c r="X535" s="425">
        <f t="shared" si="145"/>
        <v>-10128.416666666666</v>
      </c>
      <c r="Y535" s="833">
        <f>+'Adv for Const. &amp; Def Tax'!AX29</f>
        <v>-10128.416666666666</v>
      </c>
      <c r="Z535" s="833"/>
      <c r="AA535" s="833"/>
      <c r="AB535" s="833"/>
      <c r="AC535" s="834"/>
      <c r="AD535" s="834"/>
      <c r="AE535" s="834" t="s">
        <v>1733</v>
      </c>
      <c r="AF535" s="781">
        <f t="shared" si="142"/>
        <v>0</v>
      </c>
    </row>
    <row r="536" spans="1:32" s="2" customFormat="1">
      <c r="A536" s="779">
        <f t="shared" si="144"/>
        <v>522</v>
      </c>
      <c r="B536" s="423" t="s">
        <v>1094</v>
      </c>
      <c r="C536" s="423" t="s">
        <v>659</v>
      </c>
      <c r="D536" s="423" t="s">
        <v>1095</v>
      </c>
      <c r="E536" s="763" t="s">
        <v>2054</v>
      </c>
      <c r="F536" s="391">
        <v>939972</v>
      </c>
      <c r="G536" s="391">
        <v>936890.3</v>
      </c>
      <c r="H536" s="391">
        <v>933800.21</v>
      </c>
      <c r="I536" s="391">
        <v>930695.46</v>
      </c>
      <c r="J536" s="391">
        <v>927684.27</v>
      </c>
      <c r="K536" s="391">
        <v>924672.45</v>
      </c>
      <c r="L536" s="391">
        <v>921660.48</v>
      </c>
      <c r="M536" s="391">
        <v>914129.32</v>
      </c>
      <c r="N536" s="391">
        <v>910473.28</v>
      </c>
      <c r="O536" s="391">
        <v>906817.18</v>
      </c>
      <c r="P536" s="391">
        <v>903161.07</v>
      </c>
      <c r="Q536" s="391">
        <v>897032.55</v>
      </c>
      <c r="R536" s="391">
        <v>895436.16</v>
      </c>
      <c r="S536" s="618">
        <f t="shared" si="120"/>
        <v>918726.72083333333</v>
      </c>
      <c r="T536" s="382"/>
      <c r="U536" s="833"/>
      <c r="V536" s="833"/>
      <c r="W536" s="833"/>
      <c r="X536" s="425">
        <f t="shared" si="145"/>
        <v>918726.72083333333</v>
      </c>
      <c r="Y536" s="833"/>
      <c r="Z536" s="833">
        <f>+X536</f>
        <v>918726.72083333333</v>
      </c>
      <c r="AA536" s="833"/>
      <c r="AB536" s="833"/>
      <c r="AC536" s="834"/>
      <c r="AD536" s="834"/>
      <c r="AE536" s="834"/>
      <c r="AF536" s="781">
        <f t="shared" si="142"/>
        <v>0</v>
      </c>
    </row>
    <row r="537" spans="1:32" s="2" customFormat="1">
      <c r="A537" s="779">
        <f t="shared" si="144"/>
        <v>523</v>
      </c>
      <c r="B537" s="423" t="s">
        <v>1094</v>
      </c>
      <c r="C537" s="423" t="s">
        <v>659</v>
      </c>
      <c r="D537" s="423" t="s">
        <v>1096</v>
      </c>
      <c r="E537" s="763" t="s">
        <v>2055</v>
      </c>
      <c r="F537" s="391">
        <v>-849262.69</v>
      </c>
      <c r="G537" s="391">
        <v>-845073.75</v>
      </c>
      <c r="H537" s="391">
        <v>-840913.86</v>
      </c>
      <c r="I537" s="391">
        <v>-836804.57</v>
      </c>
      <c r="J537" s="391">
        <v>-832371.81</v>
      </c>
      <c r="K537" s="391">
        <v>-827941.05</v>
      </c>
      <c r="L537" s="391">
        <v>-823510.95</v>
      </c>
      <c r="M537" s="391">
        <v>-825543.72</v>
      </c>
      <c r="N537" s="391">
        <v>-822031.55</v>
      </c>
      <c r="O537" s="391">
        <v>-818519.6</v>
      </c>
      <c r="P537" s="391">
        <v>-815007.66</v>
      </c>
      <c r="Q537" s="391">
        <v>-810817.82</v>
      </c>
      <c r="R537" s="391">
        <v>-798533.89</v>
      </c>
      <c r="S537" s="618">
        <f t="shared" si="120"/>
        <v>-826869.55249999987</v>
      </c>
      <c r="T537" s="382"/>
      <c r="U537" s="833"/>
      <c r="V537" s="833"/>
      <c r="W537" s="833"/>
      <c r="X537" s="425">
        <f t="shared" si="145"/>
        <v>-826869.55249999987</v>
      </c>
      <c r="Y537" s="833"/>
      <c r="Z537" s="833">
        <f>+X537</f>
        <v>-826869.55249999987</v>
      </c>
      <c r="AA537" s="833"/>
      <c r="AB537" s="833"/>
      <c r="AC537" s="834"/>
      <c r="AD537" s="834"/>
      <c r="AE537" s="834"/>
      <c r="AF537" s="781">
        <f t="shared" si="142"/>
        <v>0</v>
      </c>
    </row>
    <row r="538" spans="1:32" s="2" customFormat="1">
      <c r="A538" s="779">
        <f t="shared" si="144"/>
        <v>524</v>
      </c>
      <c r="B538" s="423" t="s">
        <v>1094</v>
      </c>
      <c r="C538" s="423" t="s">
        <v>659</v>
      </c>
      <c r="D538" s="423" t="s">
        <v>1084</v>
      </c>
      <c r="E538" s="763" t="s">
        <v>2056</v>
      </c>
      <c r="F538" s="391">
        <v>-4259635.7699999996</v>
      </c>
      <c r="G538" s="391">
        <v>-4264098.26</v>
      </c>
      <c r="H538" s="391">
        <v>-4268405.67</v>
      </c>
      <c r="I538" s="391">
        <v>-4260106.82</v>
      </c>
      <c r="J538" s="391">
        <v>-4263021.22</v>
      </c>
      <c r="K538" s="391">
        <v>-4265935.62</v>
      </c>
      <c r="L538" s="391">
        <v>-4268850.0199999996</v>
      </c>
      <c r="M538" s="391">
        <v>-4288249.96</v>
      </c>
      <c r="N538" s="391">
        <v>-4293519.4400000004</v>
      </c>
      <c r="O538" s="391">
        <v>-4298788.92</v>
      </c>
      <c r="P538" s="391">
        <v>-4304058.3899999997</v>
      </c>
      <c r="Q538" s="391">
        <v>-4313894.84</v>
      </c>
      <c r="R538" s="391">
        <v>-4420542.34</v>
      </c>
      <c r="S538" s="618">
        <f t="shared" si="120"/>
        <v>-4285751.5179166663</v>
      </c>
      <c r="T538" s="382"/>
      <c r="U538" s="833"/>
      <c r="V538" s="833"/>
      <c r="W538" s="833"/>
      <c r="X538" s="425">
        <f t="shared" si="145"/>
        <v>-4285751.5179166663</v>
      </c>
      <c r="Y538" s="833"/>
      <c r="Z538" s="833">
        <f>+'Adv for Const. &amp; Def Tax'!AY33</f>
        <v>-4285751.5179166663</v>
      </c>
      <c r="AA538" s="833"/>
      <c r="AB538" s="833"/>
      <c r="AC538" s="834"/>
      <c r="AD538" s="834"/>
      <c r="AE538" s="834" t="s">
        <v>1734</v>
      </c>
      <c r="AF538" s="781">
        <f t="shared" si="142"/>
        <v>0</v>
      </c>
    </row>
    <row r="539" spans="1:32">
      <c r="A539" s="779">
        <f t="shared" si="144"/>
        <v>525</v>
      </c>
      <c r="B539" s="423" t="s">
        <v>1094</v>
      </c>
      <c r="C539" s="423" t="s">
        <v>659</v>
      </c>
      <c r="D539" s="423" t="s">
        <v>1097</v>
      </c>
      <c r="E539" s="763" t="s">
        <v>2057</v>
      </c>
      <c r="F539" s="391">
        <v>503976.85</v>
      </c>
      <c r="G539" s="391">
        <v>503976.85</v>
      </c>
      <c r="H539" s="391">
        <v>503976.85</v>
      </c>
      <c r="I539" s="391">
        <v>511403.25</v>
      </c>
      <c r="J539" s="391">
        <v>513627.95</v>
      </c>
      <c r="K539" s="391">
        <v>510920.59</v>
      </c>
      <c r="L539" s="391">
        <v>510499.49</v>
      </c>
      <c r="M539" s="391">
        <v>511640.88</v>
      </c>
      <c r="N539" s="391">
        <v>522193.7</v>
      </c>
      <c r="O539" s="391">
        <v>503022.42</v>
      </c>
      <c r="P539" s="391">
        <v>504355.22</v>
      </c>
      <c r="Q539" s="391">
        <v>521350.27</v>
      </c>
      <c r="R539" s="391">
        <v>492728.47</v>
      </c>
      <c r="S539" s="618">
        <f t="shared" si="120"/>
        <v>509610.01083333325</v>
      </c>
      <c r="T539" s="382"/>
      <c r="U539" s="833"/>
      <c r="V539" s="833"/>
      <c r="W539" s="833"/>
      <c r="X539" s="425">
        <f t="shared" si="145"/>
        <v>509610.01083333325</v>
      </c>
      <c r="Y539" s="833"/>
      <c r="Z539" s="833">
        <f>+X539</f>
        <v>509610.01083333325</v>
      </c>
      <c r="AA539" s="833"/>
      <c r="AB539" s="833"/>
      <c r="AC539" s="834"/>
      <c r="AD539" s="834"/>
      <c r="AE539" s="834"/>
      <c r="AF539" s="781">
        <f t="shared" si="142"/>
        <v>0</v>
      </c>
    </row>
    <row r="540" spans="1:32">
      <c r="A540" s="779">
        <f t="shared" si="144"/>
        <v>526</v>
      </c>
      <c r="B540" s="423" t="s">
        <v>1094</v>
      </c>
      <c r="C540" s="423" t="s">
        <v>659</v>
      </c>
      <c r="D540" s="423" t="s">
        <v>1564</v>
      </c>
      <c r="E540" s="763" t="s">
        <v>2058</v>
      </c>
      <c r="F540" s="391">
        <v>-14390.85</v>
      </c>
      <c r="G540" s="391">
        <v>-14390.85</v>
      </c>
      <c r="H540" s="391">
        <v>-14390.85</v>
      </c>
      <c r="I540" s="391">
        <v>0</v>
      </c>
      <c r="J540" s="391">
        <v>0</v>
      </c>
      <c r="K540" s="391">
        <v>0</v>
      </c>
      <c r="L540" s="391">
        <v>0</v>
      </c>
      <c r="M540" s="391">
        <v>0</v>
      </c>
      <c r="N540" s="391">
        <v>0</v>
      </c>
      <c r="O540" s="391">
        <v>0</v>
      </c>
      <c r="P540" s="391">
        <v>0</v>
      </c>
      <c r="Q540" s="391">
        <v>0</v>
      </c>
      <c r="R540" s="391">
        <v>0</v>
      </c>
      <c r="S540" s="618">
        <f t="shared" si="120"/>
        <v>-2998.09375</v>
      </c>
      <c r="T540" s="382"/>
      <c r="U540" s="833"/>
      <c r="V540" s="833"/>
      <c r="W540" s="833"/>
      <c r="X540" s="425">
        <f t="shared" si="145"/>
        <v>-2998.09375</v>
      </c>
      <c r="Y540" s="833"/>
      <c r="Z540" s="833">
        <f>+'Adv for Const. &amp; Def Tax'!AY32</f>
        <v>-2998.09375</v>
      </c>
      <c r="AA540" s="833"/>
      <c r="AB540" s="833"/>
      <c r="AC540" s="834"/>
      <c r="AD540" s="834"/>
      <c r="AE540" s="834" t="s">
        <v>1735</v>
      </c>
      <c r="AF540" s="781">
        <f t="shared" si="142"/>
        <v>0</v>
      </c>
    </row>
    <row r="541" spans="1:32">
      <c r="A541" s="779">
        <f t="shared" si="144"/>
        <v>527</v>
      </c>
      <c r="B541" s="423" t="s">
        <v>1063</v>
      </c>
      <c r="C541" s="423" t="s">
        <v>660</v>
      </c>
      <c r="D541" s="423" t="s">
        <v>1098</v>
      </c>
      <c r="E541" s="763" t="s">
        <v>2047</v>
      </c>
      <c r="F541" s="391">
        <v>2162401.16</v>
      </c>
      <c r="G541" s="391">
        <v>2144381.14</v>
      </c>
      <c r="H541" s="391">
        <v>2126361.12</v>
      </c>
      <c r="I541" s="391">
        <v>2108341.12</v>
      </c>
      <c r="J541" s="391">
        <v>2090321.11</v>
      </c>
      <c r="K541" s="391">
        <v>2072301.1</v>
      </c>
      <c r="L541" s="391">
        <v>2054281.07</v>
      </c>
      <c r="M541" s="391">
        <v>2036261.06</v>
      </c>
      <c r="N541" s="391">
        <v>2018241.05</v>
      </c>
      <c r="O541" s="391">
        <v>2000221.05</v>
      </c>
      <c r="P541" s="391">
        <v>1982201.05</v>
      </c>
      <c r="Q541" s="391">
        <v>1966738.21</v>
      </c>
      <c r="R541" s="391">
        <v>1913970.3</v>
      </c>
      <c r="S541" s="618">
        <f t="shared" si="120"/>
        <v>2053152.9008333336</v>
      </c>
      <c r="T541" s="382"/>
      <c r="U541" s="833"/>
      <c r="V541" s="833"/>
      <c r="W541" s="833"/>
      <c r="X541" s="425">
        <f>+S541</f>
        <v>2053152.9008333336</v>
      </c>
      <c r="Y541" s="833"/>
      <c r="Z541" s="833"/>
      <c r="AA541" s="833"/>
      <c r="AB541" s="833">
        <f>+S541</f>
        <v>2053152.9008333336</v>
      </c>
      <c r="AC541" s="834"/>
      <c r="AD541" s="835"/>
      <c r="AE541" s="834"/>
      <c r="AF541" s="781">
        <f t="shared" si="142"/>
        <v>0</v>
      </c>
    </row>
    <row r="542" spans="1:32">
      <c r="A542" s="779">
        <f t="shared" si="144"/>
        <v>528</v>
      </c>
      <c r="B542" s="423" t="s">
        <v>1063</v>
      </c>
      <c r="C542" s="423" t="s">
        <v>660</v>
      </c>
      <c r="D542" s="423" t="s">
        <v>1099</v>
      </c>
      <c r="E542" s="763" t="s">
        <v>2048</v>
      </c>
      <c r="F542" s="391">
        <v>8252880.6200000001</v>
      </c>
      <c r="G542" s="391">
        <v>8184106.5700000003</v>
      </c>
      <c r="H542" s="391">
        <v>8115332.5499999998</v>
      </c>
      <c r="I542" s="391">
        <v>8046558.5999999996</v>
      </c>
      <c r="J542" s="391">
        <v>7977784.54</v>
      </c>
      <c r="K542" s="391">
        <v>7909010.5599999996</v>
      </c>
      <c r="L542" s="391">
        <v>7840236.5199999996</v>
      </c>
      <c r="M542" s="391">
        <v>7771462.5</v>
      </c>
      <c r="N542" s="391">
        <v>7702688.5300000003</v>
      </c>
      <c r="O542" s="391">
        <v>7633914.46</v>
      </c>
      <c r="P542" s="391">
        <v>7565140.4800000004</v>
      </c>
      <c r="Q542" s="391">
        <v>7505986.2999999998</v>
      </c>
      <c r="R542" s="391">
        <v>7294680.6500000004</v>
      </c>
      <c r="S542" s="618">
        <f t="shared" si="120"/>
        <v>7835500.1870833337</v>
      </c>
      <c r="T542" s="382"/>
      <c r="U542" s="833"/>
      <c r="V542" s="833"/>
      <c r="W542" s="833"/>
      <c r="X542" s="425">
        <f>+S542</f>
        <v>7835500.1870833337</v>
      </c>
      <c r="Y542" s="833"/>
      <c r="Z542" s="833"/>
      <c r="AA542" s="833"/>
      <c r="AB542" s="833">
        <f>+S542</f>
        <v>7835500.1870833337</v>
      </c>
      <c r="AC542" s="834"/>
      <c r="AD542" s="835"/>
      <c r="AE542" s="834"/>
      <c r="AF542" s="781">
        <f t="shared" si="142"/>
        <v>0</v>
      </c>
    </row>
    <row r="543" spans="1:32">
      <c r="A543" s="779">
        <f t="shared" si="144"/>
        <v>529</v>
      </c>
      <c r="B543" s="423" t="s">
        <v>1063</v>
      </c>
      <c r="C543" s="423" t="s">
        <v>660</v>
      </c>
      <c r="D543" s="423" t="s">
        <v>1082</v>
      </c>
      <c r="E543" s="763" t="s">
        <v>2051</v>
      </c>
      <c r="F543" s="391">
        <v>-161930.57</v>
      </c>
      <c r="G543" s="391">
        <v>-161226.51999999999</v>
      </c>
      <c r="H543" s="391">
        <v>-160522.47</v>
      </c>
      <c r="I543" s="391">
        <v>-159818.42000000001</v>
      </c>
      <c r="J543" s="391">
        <v>-159114.37</v>
      </c>
      <c r="K543" s="391">
        <v>-158410.32</v>
      </c>
      <c r="L543" s="391">
        <v>-157706.26999999999</v>
      </c>
      <c r="M543" s="391">
        <v>-157002.22</v>
      </c>
      <c r="N543" s="391">
        <v>-156298.17000000001</v>
      </c>
      <c r="O543" s="391">
        <v>-155594.12</v>
      </c>
      <c r="P543" s="391">
        <v>-154890.07</v>
      </c>
      <c r="Q543" s="391">
        <v>-154186.01999999999</v>
      </c>
      <c r="R543" s="391">
        <v>-153482.01</v>
      </c>
      <c r="S543" s="618">
        <f t="shared" si="120"/>
        <v>-157706.27166666667</v>
      </c>
      <c r="T543" s="382"/>
      <c r="U543" s="833"/>
      <c r="V543" s="840"/>
      <c r="W543" s="833"/>
      <c r="X543" s="833">
        <f>+S543</f>
        <v>-157706.27166666667</v>
      </c>
      <c r="Y543" s="833">
        <f>+'Adv for Const. &amp; Def Tax'!AX27</f>
        <v>-121489.91208333334</v>
      </c>
      <c r="Z543" s="833">
        <f>+'Adv for Const. &amp; Def Tax'!AY27</f>
        <v>-36216.359583333338</v>
      </c>
      <c r="AA543" s="833">
        <f>+X543</f>
        <v>-157706.27166666667</v>
      </c>
      <c r="AB543" s="833"/>
      <c r="AC543" s="834"/>
      <c r="AD543" s="834"/>
      <c r="AE543" s="834" t="s">
        <v>1736</v>
      </c>
      <c r="AF543" s="781">
        <f t="shared" si="142"/>
        <v>0</v>
      </c>
    </row>
    <row r="544" spans="1:32">
      <c r="A544" s="779">
        <f t="shared" si="144"/>
        <v>530</v>
      </c>
      <c r="B544" s="423" t="s">
        <v>1063</v>
      </c>
      <c r="C544" s="423" t="s">
        <v>660</v>
      </c>
      <c r="D544" s="423" t="s">
        <v>1667</v>
      </c>
      <c r="E544" s="763" t="s">
        <v>2052</v>
      </c>
      <c r="F544" s="391">
        <v>-481335.67</v>
      </c>
      <c r="G544" s="391">
        <v>-481335.67</v>
      </c>
      <c r="H544" s="391">
        <v>-481335.67</v>
      </c>
      <c r="I544" s="391">
        <v>-481335.67</v>
      </c>
      <c r="J544" s="391">
        <v>-481335.67</v>
      </c>
      <c r="K544" s="391">
        <v>-481335.67</v>
      </c>
      <c r="L544" s="391">
        <v>-481335.67</v>
      </c>
      <c r="M544" s="391">
        <v>-481335.67</v>
      </c>
      <c r="N544" s="391">
        <v>-481335.67</v>
      </c>
      <c r="O544" s="391">
        <v>-481335.67</v>
      </c>
      <c r="P544" s="391">
        <v>-481335.67</v>
      </c>
      <c r="Q544" s="391">
        <v>-481335.67</v>
      </c>
      <c r="R544" s="391">
        <v>-638740.75</v>
      </c>
      <c r="S544" s="618">
        <f t="shared" si="120"/>
        <v>-487894.21500000003</v>
      </c>
      <c r="T544" s="382"/>
      <c r="U544" s="833"/>
      <c r="V544" s="833">
        <f t="shared" ref="V544:V547" si="149">+S544</f>
        <v>-487894.21500000003</v>
      </c>
      <c r="W544" s="833"/>
      <c r="X544" s="425"/>
      <c r="Y544" s="833"/>
      <c r="Z544" s="833"/>
      <c r="AA544" s="833"/>
      <c r="AB544" s="833"/>
      <c r="AC544" s="834"/>
      <c r="AD544" s="835">
        <f t="shared" ref="AD544:AD547" si="150">+V544</f>
        <v>-487894.21500000003</v>
      </c>
      <c r="AE544" s="834"/>
      <c r="AF544" s="781">
        <f t="shared" si="142"/>
        <v>0</v>
      </c>
    </row>
    <row r="545" spans="1:32">
      <c r="A545" s="779">
        <f t="shared" si="144"/>
        <v>531</v>
      </c>
      <c r="B545" s="423" t="s">
        <v>1063</v>
      </c>
      <c r="C545" s="423" t="s">
        <v>660</v>
      </c>
      <c r="D545" s="423" t="s">
        <v>1100</v>
      </c>
      <c r="E545" s="763" t="s">
        <v>2053</v>
      </c>
      <c r="F545" s="391">
        <v>-32833635.199999999</v>
      </c>
      <c r="G545" s="391">
        <v>-31943946.600000001</v>
      </c>
      <c r="H545" s="391">
        <v>-31136329.219999999</v>
      </c>
      <c r="I545" s="391">
        <v>-30469392.350000001</v>
      </c>
      <c r="J545" s="391">
        <v>-30175970.079999998</v>
      </c>
      <c r="K545" s="391">
        <v>-29991402.34</v>
      </c>
      <c r="L545" s="391">
        <v>-30267951.260000002</v>
      </c>
      <c r="M545" s="391">
        <v>-30569378.079999998</v>
      </c>
      <c r="N545" s="391">
        <v>-31103198.75</v>
      </c>
      <c r="O545" s="391">
        <v>-31443179.859999999</v>
      </c>
      <c r="P545" s="391">
        <v>-31302928.609999999</v>
      </c>
      <c r="Q545" s="391">
        <v>-33386829.190000001</v>
      </c>
      <c r="R545" s="391">
        <v>-40255923.640000001</v>
      </c>
      <c r="S545" s="618">
        <f t="shared" si="120"/>
        <v>-31527940.480000004</v>
      </c>
      <c r="T545" s="382"/>
      <c r="U545" s="833"/>
      <c r="V545" s="833">
        <f t="shared" si="149"/>
        <v>-31527940.480000004</v>
      </c>
      <c r="W545" s="833"/>
      <c r="X545" s="425"/>
      <c r="Y545" s="833"/>
      <c r="Z545" s="833"/>
      <c r="AA545" s="833"/>
      <c r="AB545" s="833"/>
      <c r="AC545" s="834"/>
      <c r="AD545" s="835">
        <f t="shared" si="150"/>
        <v>-31527940.480000004</v>
      </c>
      <c r="AE545" s="834"/>
      <c r="AF545" s="781">
        <f t="shared" si="142"/>
        <v>0</v>
      </c>
    </row>
    <row r="546" spans="1:32">
      <c r="A546" s="779">
        <f t="shared" si="144"/>
        <v>532</v>
      </c>
      <c r="B546" s="423" t="s">
        <v>1094</v>
      </c>
      <c r="C546" s="423" t="s">
        <v>660</v>
      </c>
      <c r="D546" s="657" t="s">
        <v>1095</v>
      </c>
      <c r="E546" s="763" t="s">
        <v>2054</v>
      </c>
      <c r="F546" s="391">
        <v>189266.26</v>
      </c>
      <c r="G546" s="391">
        <v>187689.04</v>
      </c>
      <c r="H546" s="391">
        <v>186111.82</v>
      </c>
      <c r="I546" s="391">
        <v>184534.6</v>
      </c>
      <c r="J546" s="391">
        <v>182957.38</v>
      </c>
      <c r="K546" s="391">
        <v>181380.15</v>
      </c>
      <c r="L546" s="391">
        <v>179802.94</v>
      </c>
      <c r="M546" s="391">
        <v>178225.72</v>
      </c>
      <c r="N546" s="391">
        <v>176648.51</v>
      </c>
      <c r="O546" s="391">
        <v>175071.29</v>
      </c>
      <c r="P546" s="391">
        <v>173494.07</v>
      </c>
      <c r="Q546" s="391">
        <v>172140.66</v>
      </c>
      <c r="R546" s="391">
        <v>167522.1</v>
      </c>
      <c r="S546" s="618">
        <f t="shared" si="120"/>
        <v>179704.19666666666</v>
      </c>
      <c r="T546" s="382"/>
      <c r="U546" s="833"/>
      <c r="V546" s="833">
        <f t="shared" si="149"/>
        <v>179704.19666666666</v>
      </c>
      <c r="W546" s="833"/>
      <c r="X546" s="425"/>
      <c r="Y546" s="833"/>
      <c r="Z546" s="833"/>
      <c r="AA546" s="833"/>
      <c r="AB546" s="833"/>
      <c r="AC546" s="834"/>
      <c r="AD546" s="835">
        <f t="shared" si="150"/>
        <v>179704.19666666666</v>
      </c>
      <c r="AE546" s="834"/>
      <c r="AF546" s="781">
        <f t="shared" si="142"/>
        <v>0</v>
      </c>
    </row>
    <row r="547" spans="1:32">
      <c r="A547" s="779">
        <f t="shared" si="144"/>
        <v>533</v>
      </c>
      <c r="B547" s="423" t="s">
        <v>1094</v>
      </c>
      <c r="C547" s="423" t="s">
        <v>660</v>
      </c>
      <c r="D547" s="423" t="s">
        <v>1096</v>
      </c>
      <c r="E547" s="763" t="s">
        <v>2055</v>
      </c>
      <c r="F547" s="391">
        <v>-118133.35</v>
      </c>
      <c r="G547" s="391">
        <v>-117148.9</v>
      </c>
      <c r="H547" s="391">
        <v>-116164.48</v>
      </c>
      <c r="I547" s="391">
        <v>-115179.99</v>
      </c>
      <c r="J547" s="391">
        <v>-114195.55</v>
      </c>
      <c r="K547" s="391">
        <v>-113211.11</v>
      </c>
      <c r="L547" s="391">
        <v>-112226.67</v>
      </c>
      <c r="M547" s="391">
        <v>-111242.23</v>
      </c>
      <c r="N547" s="391">
        <v>-110257.76</v>
      </c>
      <c r="O547" s="391">
        <v>-109273.33</v>
      </c>
      <c r="P547" s="391">
        <v>-108288.89</v>
      </c>
      <c r="Q547" s="391">
        <v>-107304.4</v>
      </c>
      <c r="R547" s="391">
        <v>-94506.66</v>
      </c>
      <c r="S547" s="618">
        <f t="shared" si="120"/>
        <v>-111734.44291666667</v>
      </c>
      <c r="T547" s="382"/>
      <c r="U547" s="833"/>
      <c r="V547" s="833">
        <f t="shared" si="149"/>
        <v>-111734.44291666667</v>
      </c>
      <c r="W547" s="833"/>
      <c r="X547" s="425"/>
      <c r="Y547" s="833"/>
      <c r="Z547" s="833"/>
      <c r="AA547" s="833"/>
      <c r="AB547" s="833"/>
      <c r="AC547" s="834"/>
      <c r="AD547" s="835">
        <f t="shared" si="150"/>
        <v>-111734.44291666667</v>
      </c>
      <c r="AE547" s="834"/>
      <c r="AF547" s="781">
        <f t="shared" si="142"/>
        <v>0</v>
      </c>
    </row>
    <row r="548" spans="1:32">
      <c r="A548" s="779">
        <f t="shared" si="144"/>
        <v>534</v>
      </c>
      <c r="B548" s="423" t="s">
        <v>1094</v>
      </c>
      <c r="C548" s="423" t="s">
        <v>660</v>
      </c>
      <c r="D548" s="423" t="s">
        <v>1086</v>
      </c>
      <c r="E548" s="763" t="s">
        <v>2059</v>
      </c>
      <c r="F548" s="391">
        <v>-14173.13</v>
      </c>
      <c r="G548" s="391">
        <v>-14111.51</v>
      </c>
      <c r="H548" s="391">
        <v>-14049.89</v>
      </c>
      <c r="I548" s="391">
        <v>-13988.27</v>
      </c>
      <c r="J548" s="391">
        <v>-13926.65</v>
      </c>
      <c r="K548" s="391">
        <v>-13865.03</v>
      </c>
      <c r="L548" s="391">
        <v>-13803.41</v>
      </c>
      <c r="M548" s="391">
        <v>-13741.79</v>
      </c>
      <c r="N548" s="391">
        <v>-13680.17</v>
      </c>
      <c r="O548" s="391">
        <v>-13618.55</v>
      </c>
      <c r="P548" s="391">
        <v>-13556.93</v>
      </c>
      <c r="Q548" s="391">
        <v>-13495.31</v>
      </c>
      <c r="R548" s="391">
        <v>-13433.67</v>
      </c>
      <c r="S548" s="618">
        <f t="shared" si="120"/>
        <v>-13803.409166666666</v>
      </c>
      <c r="T548" s="422"/>
      <c r="U548" s="833"/>
      <c r="V548" s="833">
        <f>+S548</f>
        <v>-13803.409166666666</v>
      </c>
      <c r="W548" s="833"/>
      <c r="X548" s="425"/>
      <c r="Y548" s="833"/>
      <c r="Z548" s="833"/>
      <c r="AA548" s="833"/>
      <c r="AB548" s="833">
        <f>+X548</f>
        <v>0</v>
      </c>
      <c r="AC548" s="834"/>
      <c r="AD548" s="835">
        <f>+V548</f>
        <v>-13803.409166666666</v>
      </c>
      <c r="AE548" s="834"/>
      <c r="AF548" s="781">
        <f t="shared" si="142"/>
        <v>0</v>
      </c>
    </row>
    <row r="549" spans="1:32">
      <c r="A549" s="779">
        <f t="shared" si="144"/>
        <v>535</v>
      </c>
      <c r="B549" s="423" t="s">
        <v>1094</v>
      </c>
      <c r="C549" s="423" t="s">
        <v>660</v>
      </c>
      <c r="D549" s="423" t="s">
        <v>1666</v>
      </c>
      <c r="E549" s="763" t="s">
        <v>2060</v>
      </c>
      <c r="F549" s="391">
        <v>-42129.37</v>
      </c>
      <c r="G549" s="391">
        <v>-42129.37</v>
      </c>
      <c r="H549" s="391">
        <v>-42129.37</v>
      </c>
      <c r="I549" s="391">
        <v>-42129.37</v>
      </c>
      <c r="J549" s="391">
        <v>-42129.37</v>
      </c>
      <c r="K549" s="391">
        <v>-42129.37</v>
      </c>
      <c r="L549" s="391">
        <v>-42129.37</v>
      </c>
      <c r="M549" s="391">
        <v>-42129.37</v>
      </c>
      <c r="N549" s="391">
        <v>-42129.37</v>
      </c>
      <c r="O549" s="391">
        <v>-42129.37</v>
      </c>
      <c r="P549" s="391">
        <v>-42129.37</v>
      </c>
      <c r="Q549" s="391">
        <v>-42129.37</v>
      </c>
      <c r="R549" s="391">
        <v>-55906.400000000001</v>
      </c>
      <c r="S549" s="618">
        <f t="shared" si="120"/>
        <v>-42703.412916666668</v>
      </c>
      <c r="T549" s="382"/>
      <c r="U549" s="833"/>
      <c r="V549" s="833">
        <f>+S549</f>
        <v>-42703.412916666668</v>
      </c>
      <c r="W549" s="833"/>
      <c r="X549" s="425"/>
      <c r="Y549" s="833"/>
      <c r="Z549" s="833"/>
      <c r="AA549" s="833"/>
      <c r="AB549" s="833"/>
      <c r="AC549" s="834"/>
      <c r="AD549" s="835">
        <f>+V549</f>
        <v>-42703.412916666668</v>
      </c>
      <c r="AE549" s="834"/>
      <c r="AF549" s="781">
        <f t="shared" si="142"/>
        <v>0</v>
      </c>
    </row>
    <row r="550" spans="1:32">
      <c r="A550" s="779">
        <f t="shared" si="144"/>
        <v>536</v>
      </c>
      <c r="B550" s="423" t="s">
        <v>1094</v>
      </c>
      <c r="C550" s="423" t="s">
        <v>660</v>
      </c>
      <c r="D550" s="423" t="s">
        <v>1097</v>
      </c>
      <c r="E550" s="763" t="s">
        <v>2061</v>
      </c>
      <c r="F550" s="391">
        <v>-2331587.4300000002</v>
      </c>
      <c r="G550" s="391">
        <v>-2260720.52</v>
      </c>
      <c r="H550" s="391">
        <v>-2197036.9700000002</v>
      </c>
      <c r="I550" s="391">
        <v>-2145666.65</v>
      </c>
      <c r="J550" s="391">
        <v>-2126988.5299999998</v>
      </c>
      <c r="K550" s="391">
        <v>-2117838.02</v>
      </c>
      <c r="L550" s="391">
        <v>-2149047.1800000002</v>
      </c>
      <c r="M550" s="391">
        <v>-2182433.81</v>
      </c>
      <c r="N550" s="391">
        <v>-2236160.96</v>
      </c>
      <c r="O550" s="391">
        <v>-2272922.08</v>
      </c>
      <c r="P550" s="391">
        <v>-2267650.4</v>
      </c>
      <c r="Q550" s="391">
        <v>-2456207.8199999998</v>
      </c>
      <c r="R550" s="391">
        <v>-3065780.91</v>
      </c>
      <c r="S550" s="618">
        <f t="shared" si="120"/>
        <v>-2259279.7591666668</v>
      </c>
      <c r="T550" s="422"/>
      <c r="U550" s="833"/>
      <c r="V550" s="833">
        <f>+S550</f>
        <v>-2259279.7591666668</v>
      </c>
      <c r="W550" s="833"/>
      <c r="X550" s="425"/>
      <c r="Y550" s="833"/>
      <c r="Z550" s="833"/>
      <c r="AA550" s="833"/>
      <c r="AB550" s="833"/>
      <c r="AC550" s="834"/>
      <c r="AD550" s="835">
        <f>+V550</f>
        <v>-2259279.7591666668</v>
      </c>
      <c r="AE550" s="834"/>
      <c r="AF550" s="781">
        <f t="shared" si="142"/>
        <v>0</v>
      </c>
    </row>
    <row r="551" spans="1:32">
      <c r="A551" s="779">
        <f t="shared" si="144"/>
        <v>537</v>
      </c>
      <c r="B551" s="422"/>
      <c r="C551" s="422"/>
      <c r="D551" s="422"/>
      <c r="E551" s="763" t="s">
        <v>661</v>
      </c>
      <c r="F551" s="394">
        <f t="shared" ref="F551:S551" si="151">SUM(F530:F550)</f>
        <v>-77743427.170000002</v>
      </c>
      <c r="G551" s="394">
        <f t="shared" si="151"/>
        <v>-76899908.830000013</v>
      </c>
      <c r="H551" s="394">
        <f t="shared" si="151"/>
        <v>-76144183.440000027</v>
      </c>
      <c r="I551" s="394">
        <f t="shared" si="151"/>
        <v>-75293352.540000007</v>
      </c>
      <c r="J551" s="394">
        <f t="shared" si="151"/>
        <v>-75047506.219999999</v>
      </c>
      <c r="K551" s="394">
        <f t="shared" si="151"/>
        <v>-74981356.059999973</v>
      </c>
      <c r="L551" s="394">
        <f t="shared" si="151"/>
        <v>-75388285.160000011</v>
      </c>
      <c r="M551" s="394">
        <f t="shared" si="151"/>
        <v>-76143992.800000012</v>
      </c>
      <c r="N551" s="394">
        <f t="shared" si="151"/>
        <v>-76743007.349999994</v>
      </c>
      <c r="O551" s="394">
        <f t="shared" si="151"/>
        <v>-77500547.170000002</v>
      </c>
      <c r="P551" s="394">
        <f t="shared" si="151"/>
        <v>-77481054.910000041</v>
      </c>
      <c r="Q551" s="394">
        <f t="shared" si="151"/>
        <v>-79752141.87000002</v>
      </c>
      <c r="R551" s="394">
        <f t="shared" si="151"/>
        <v>-88739868.560000017</v>
      </c>
      <c r="S551" s="620">
        <f t="shared" si="151"/>
        <v>-77051415.351250023</v>
      </c>
      <c r="T551" s="382"/>
      <c r="U551" s="833"/>
      <c r="V551" s="833"/>
      <c r="W551" s="833"/>
      <c r="X551" s="425"/>
      <c r="Y551" s="833"/>
      <c r="Z551" s="833"/>
      <c r="AA551" s="833"/>
      <c r="AB551" s="833"/>
      <c r="AC551" s="834"/>
      <c r="AD551" s="834"/>
      <c r="AE551" s="834"/>
      <c r="AF551" s="781">
        <f t="shared" si="142"/>
        <v>0</v>
      </c>
    </row>
    <row r="552" spans="1:32">
      <c r="A552" s="779">
        <f t="shared" si="144"/>
        <v>538</v>
      </c>
      <c r="B552" s="422"/>
      <c r="C552" s="422"/>
      <c r="D552" s="422"/>
      <c r="E552" s="763"/>
      <c r="F552" s="391"/>
      <c r="G552" s="420"/>
      <c r="H552" s="408"/>
      <c r="I552" s="408"/>
      <c r="J552" s="409"/>
      <c r="K552" s="410"/>
      <c r="L552" s="411"/>
      <c r="M552" s="412"/>
      <c r="N552" s="413"/>
      <c r="O552" s="414"/>
      <c r="P552" s="415"/>
      <c r="Q552" s="421"/>
      <c r="R552" s="391"/>
      <c r="S552" s="392"/>
      <c r="T552" s="382"/>
      <c r="U552" s="833"/>
      <c r="V552" s="833"/>
      <c r="W552" s="833"/>
      <c r="X552" s="425"/>
      <c r="Y552" s="833"/>
      <c r="Z552" s="833"/>
      <c r="AA552" s="833"/>
      <c r="AB552" s="833"/>
      <c r="AC552" s="834"/>
      <c r="AD552" s="834"/>
      <c r="AE552" s="834"/>
      <c r="AF552" s="781">
        <f t="shared" si="142"/>
        <v>0</v>
      </c>
    </row>
    <row r="553" spans="1:32">
      <c r="A553" s="779">
        <f t="shared" si="144"/>
        <v>539</v>
      </c>
      <c r="B553" s="423" t="s">
        <v>1094</v>
      </c>
      <c r="C553" s="423" t="s">
        <v>662</v>
      </c>
      <c r="D553" s="423" t="s">
        <v>1342</v>
      </c>
      <c r="E553" s="763" t="s">
        <v>2063</v>
      </c>
      <c r="F553" s="419">
        <v>-38525635.439999998</v>
      </c>
      <c r="G553" s="419">
        <v>-6502729.3600000003</v>
      </c>
      <c r="H553" s="419">
        <v>-11011061.289999999</v>
      </c>
      <c r="I553" s="419">
        <v>-16455572.23</v>
      </c>
      <c r="J553" s="419">
        <v>-20263105.09</v>
      </c>
      <c r="K553" s="419">
        <v>-22687866.84</v>
      </c>
      <c r="L553" s="419">
        <v>-24068154.120000001</v>
      </c>
      <c r="M553" s="419">
        <v>-25177819.079999998</v>
      </c>
      <c r="N553" s="419">
        <v>-26178062.280000001</v>
      </c>
      <c r="O553" s="419">
        <v>-27219934.800000001</v>
      </c>
      <c r="P553" s="419">
        <v>-29128213.239999998</v>
      </c>
      <c r="Q553" s="419">
        <v>-31993484.010000002</v>
      </c>
      <c r="R553" s="419">
        <v>-36899838.780000001</v>
      </c>
      <c r="S553" s="618">
        <f t="shared" si="120"/>
        <v>-23199894.954166669</v>
      </c>
      <c r="T553" s="382"/>
      <c r="U553" s="833"/>
      <c r="V553" s="833"/>
      <c r="W553" s="833">
        <f t="shared" ref="W553:W618" si="152">+S553</f>
        <v>-23199894.954166669</v>
      </c>
      <c r="X553" s="425"/>
      <c r="Y553" s="833"/>
      <c r="Z553" s="833"/>
      <c r="AA553" s="833"/>
      <c r="AB553" s="833"/>
      <c r="AC553" s="835">
        <f>+S553</f>
        <v>-23199894.954166669</v>
      </c>
      <c r="AD553" s="834"/>
      <c r="AE553" s="834"/>
      <c r="AF553" s="781">
        <f t="shared" si="142"/>
        <v>0</v>
      </c>
    </row>
    <row r="554" spans="1:32">
      <c r="A554" s="779">
        <f t="shared" si="144"/>
        <v>540</v>
      </c>
      <c r="B554" s="423" t="s">
        <v>1094</v>
      </c>
      <c r="C554" s="423" t="s">
        <v>662</v>
      </c>
      <c r="D554" s="423" t="s">
        <v>1343</v>
      </c>
      <c r="E554" s="763" t="s">
        <v>2064</v>
      </c>
      <c r="F554" s="419">
        <v>2015887.62</v>
      </c>
      <c r="G554" s="419">
        <v>-25224.95</v>
      </c>
      <c r="H554" s="419">
        <v>-133465.35999999999</v>
      </c>
      <c r="I554" s="419">
        <v>323205.58</v>
      </c>
      <c r="J554" s="419">
        <v>594333.87</v>
      </c>
      <c r="K554" s="419">
        <v>482085.92</v>
      </c>
      <c r="L554" s="419">
        <v>525493.9</v>
      </c>
      <c r="M554" s="419">
        <v>514461</v>
      </c>
      <c r="N554" s="419">
        <v>305869.93</v>
      </c>
      <c r="O554" s="419">
        <v>148578.79999999999</v>
      </c>
      <c r="P554" s="419">
        <v>172108.95</v>
      </c>
      <c r="Q554" s="419">
        <v>210011.63</v>
      </c>
      <c r="R554" s="419">
        <v>164849.44</v>
      </c>
      <c r="S554" s="618">
        <f t="shared" si="120"/>
        <v>350652.31666666665</v>
      </c>
      <c r="T554" s="382"/>
      <c r="U554" s="833"/>
      <c r="V554" s="833"/>
      <c r="W554" s="833">
        <f t="shared" si="152"/>
        <v>350652.31666666665</v>
      </c>
      <c r="X554" s="425"/>
      <c r="Y554" s="833"/>
      <c r="Z554" s="833"/>
      <c r="AA554" s="833"/>
      <c r="AB554" s="833"/>
      <c r="AC554" s="835">
        <f t="shared" ref="AC554:AC617" si="153">+S554</f>
        <v>350652.31666666665</v>
      </c>
      <c r="AD554" s="834"/>
      <c r="AE554" s="834"/>
      <c r="AF554" s="781">
        <f t="shared" si="142"/>
        <v>0</v>
      </c>
    </row>
    <row r="555" spans="1:32">
      <c r="A555" s="779">
        <f t="shared" si="144"/>
        <v>541</v>
      </c>
      <c r="B555" s="423" t="s">
        <v>1094</v>
      </c>
      <c r="C555" s="423" t="s">
        <v>662</v>
      </c>
      <c r="D555" s="423" t="s">
        <v>1344</v>
      </c>
      <c r="E555" s="763" t="s">
        <v>2065</v>
      </c>
      <c r="F555" s="419">
        <v>-2687820.79</v>
      </c>
      <c r="G555" s="419">
        <v>-410140.69</v>
      </c>
      <c r="H555" s="419">
        <v>-697623.9</v>
      </c>
      <c r="I555" s="419">
        <v>-1029777.19</v>
      </c>
      <c r="J555" s="419">
        <v>-1292645.02</v>
      </c>
      <c r="K555" s="419">
        <v>-1481540.75</v>
      </c>
      <c r="L555" s="419">
        <v>-1621765.01</v>
      </c>
      <c r="M555" s="419">
        <v>-1741768.59</v>
      </c>
      <c r="N555" s="419">
        <v>-1875859.82</v>
      </c>
      <c r="O555" s="419">
        <v>-1998145.64</v>
      </c>
      <c r="P555" s="419">
        <v>-2227112.87</v>
      </c>
      <c r="Q555" s="419">
        <v>-2471160.5499999998</v>
      </c>
      <c r="R555" s="419">
        <v>-2767726.57</v>
      </c>
      <c r="S555" s="618">
        <f t="shared" si="120"/>
        <v>-1631276.1425000001</v>
      </c>
      <c r="T555" s="382"/>
      <c r="U555" s="833"/>
      <c r="V555" s="833"/>
      <c r="W555" s="833">
        <f t="shared" si="152"/>
        <v>-1631276.1425000001</v>
      </c>
      <c r="X555" s="425"/>
      <c r="Y555" s="833"/>
      <c r="Z555" s="833"/>
      <c r="AA555" s="833"/>
      <c r="AB555" s="833"/>
      <c r="AC555" s="835">
        <f t="shared" si="153"/>
        <v>-1631276.1425000001</v>
      </c>
      <c r="AD555" s="834"/>
      <c r="AE555" s="834"/>
      <c r="AF555" s="781">
        <f t="shared" si="142"/>
        <v>0</v>
      </c>
    </row>
    <row r="556" spans="1:32">
      <c r="A556" s="779">
        <f t="shared" si="144"/>
        <v>542</v>
      </c>
      <c r="B556" s="423" t="s">
        <v>1094</v>
      </c>
      <c r="C556" s="423" t="s">
        <v>662</v>
      </c>
      <c r="D556" s="423" t="s">
        <v>1345</v>
      </c>
      <c r="E556" s="763" t="s">
        <v>2066</v>
      </c>
      <c r="F556" s="419">
        <v>-114831.49</v>
      </c>
      <c r="G556" s="419">
        <v>0</v>
      </c>
      <c r="H556" s="419">
        <v>0</v>
      </c>
      <c r="I556" s="419">
        <v>0</v>
      </c>
      <c r="J556" s="419">
        <v>0</v>
      </c>
      <c r="K556" s="419">
        <v>-49348.01</v>
      </c>
      <c r="L556" s="419">
        <v>-49348.01</v>
      </c>
      <c r="M556" s="419">
        <v>-49982.23</v>
      </c>
      <c r="N556" s="419">
        <v>-49982.23</v>
      </c>
      <c r="O556" s="419">
        <v>-49982.23</v>
      </c>
      <c r="P556" s="419">
        <v>-49982.23</v>
      </c>
      <c r="Q556" s="419">
        <v>-49982.23</v>
      </c>
      <c r="R556" s="419">
        <v>-49982.23</v>
      </c>
      <c r="S556" s="618">
        <f t="shared" si="120"/>
        <v>-35917.835833333331</v>
      </c>
      <c r="T556" s="382"/>
      <c r="U556" s="833"/>
      <c r="V556" s="833"/>
      <c r="W556" s="833">
        <f t="shared" si="152"/>
        <v>-35917.835833333331</v>
      </c>
      <c r="X556" s="425"/>
      <c r="Y556" s="833"/>
      <c r="Z556" s="833"/>
      <c r="AA556" s="833"/>
      <c r="AB556" s="833"/>
      <c r="AC556" s="835">
        <f t="shared" si="153"/>
        <v>-35917.835833333331</v>
      </c>
      <c r="AD556" s="834"/>
      <c r="AE556" s="834"/>
      <c r="AF556" s="781">
        <f t="shared" si="142"/>
        <v>0</v>
      </c>
    </row>
    <row r="557" spans="1:32">
      <c r="A557" s="779">
        <f t="shared" si="144"/>
        <v>543</v>
      </c>
      <c r="B557" s="423" t="s">
        <v>1094</v>
      </c>
      <c r="C557" s="423" t="s">
        <v>662</v>
      </c>
      <c r="D557" s="423" t="s">
        <v>1346</v>
      </c>
      <c r="E557" s="763" t="s">
        <v>2067</v>
      </c>
      <c r="F557" s="419">
        <v>-21805013.989999998</v>
      </c>
      <c r="G557" s="419">
        <v>-3669187.03</v>
      </c>
      <c r="H557" s="419">
        <v>-6135145.0700000003</v>
      </c>
      <c r="I557" s="419">
        <v>-9198063.7799999993</v>
      </c>
      <c r="J557" s="419">
        <v>-11230416.050000001</v>
      </c>
      <c r="K557" s="419">
        <v>-12573124.91</v>
      </c>
      <c r="L557" s="419">
        <v>-13404697.5</v>
      </c>
      <c r="M557" s="419">
        <v>-14114682.75</v>
      </c>
      <c r="N557" s="419">
        <v>-14778230.98</v>
      </c>
      <c r="O557" s="419">
        <v>-15464092.67</v>
      </c>
      <c r="P557" s="419">
        <v>-16519263.98</v>
      </c>
      <c r="Q557" s="419">
        <v>-17968097.09</v>
      </c>
      <c r="R557" s="419">
        <v>-20625012.760000002</v>
      </c>
      <c r="S557" s="618">
        <f t="shared" si="120"/>
        <v>-13022501.265416667</v>
      </c>
      <c r="T557" s="382"/>
      <c r="U557" s="833"/>
      <c r="V557" s="833"/>
      <c r="W557" s="833">
        <f t="shared" si="152"/>
        <v>-13022501.265416667</v>
      </c>
      <c r="X557" s="425"/>
      <c r="Y557" s="833"/>
      <c r="Z557" s="833"/>
      <c r="AA557" s="833"/>
      <c r="AB557" s="833"/>
      <c r="AC557" s="835">
        <f t="shared" si="153"/>
        <v>-13022501.265416667</v>
      </c>
      <c r="AD557" s="834"/>
      <c r="AE557" s="834"/>
      <c r="AF557" s="781">
        <f t="shared" si="142"/>
        <v>0</v>
      </c>
    </row>
    <row r="558" spans="1:32">
      <c r="A558" s="779">
        <f t="shared" si="144"/>
        <v>544</v>
      </c>
      <c r="B558" s="423" t="s">
        <v>1094</v>
      </c>
      <c r="C558" s="423" t="s">
        <v>662</v>
      </c>
      <c r="D558" s="423" t="s">
        <v>1347</v>
      </c>
      <c r="E558" s="763" t="s">
        <v>2068</v>
      </c>
      <c r="F558" s="419">
        <v>1183833.25</v>
      </c>
      <c r="G558" s="419">
        <v>34051.199999999997</v>
      </c>
      <c r="H558" s="419">
        <v>12299.71</v>
      </c>
      <c r="I558" s="419">
        <v>270393.38</v>
      </c>
      <c r="J558" s="419">
        <v>389620.87</v>
      </c>
      <c r="K558" s="419">
        <v>340816.15</v>
      </c>
      <c r="L558" s="419">
        <v>385296.03</v>
      </c>
      <c r="M558" s="419">
        <v>398661.33</v>
      </c>
      <c r="N558" s="419">
        <v>294975.03000000003</v>
      </c>
      <c r="O558" s="419">
        <v>286842.45</v>
      </c>
      <c r="P558" s="419">
        <v>350637.76</v>
      </c>
      <c r="Q558" s="419">
        <v>289894.07</v>
      </c>
      <c r="R558" s="419">
        <v>340736.39</v>
      </c>
      <c r="S558" s="618">
        <f t="shared" si="120"/>
        <v>317981.06666666665</v>
      </c>
      <c r="T558" s="382"/>
      <c r="U558" s="833"/>
      <c r="V558" s="833"/>
      <c r="W558" s="833">
        <f t="shared" si="152"/>
        <v>317981.06666666665</v>
      </c>
      <c r="X558" s="425"/>
      <c r="Y558" s="833"/>
      <c r="Z558" s="833"/>
      <c r="AA558" s="833"/>
      <c r="AB558" s="833"/>
      <c r="AC558" s="835">
        <f t="shared" si="153"/>
        <v>317981.06666666665</v>
      </c>
      <c r="AD558" s="834"/>
      <c r="AE558" s="834"/>
      <c r="AF558" s="781">
        <f t="shared" si="142"/>
        <v>0</v>
      </c>
    </row>
    <row r="559" spans="1:32">
      <c r="A559" s="779">
        <f t="shared" si="144"/>
        <v>545</v>
      </c>
      <c r="B559" s="423" t="s">
        <v>1094</v>
      </c>
      <c r="C559" s="423" t="s">
        <v>662</v>
      </c>
      <c r="D559" s="423" t="s">
        <v>1348</v>
      </c>
      <c r="E559" s="763" t="s">
        <v>2069</v>
      </c>
      <c r="F559" s="419">
        <v>-896.77</v>
      </c>
      <c r="G559" s="419">
        <v>0</v>
      </c>
      <c r="H559" s="419">
        <v>0</v>
      </c>
      <c r="I559" s="419">
        <v>0</v>
      </c>
      <c r="J559" s="419">
        <v>0</v>
      </c>
      <c r="K559" s="419">
        <v>0</v>
      </c>
      <c r="L559" s="419">
        <v>0</v>
      </c>
      <c r="M559" s="419">
        <v>0</v>
      </c>
      <c r="N559" s="419">
        <v>0</v>
      </c>
      <c r="O559" s="419">
        <v>-1216.5999999999999</v>
      </c>
      <c r="P559" s="419">
        <v>-1216.5999999999999</v>
      </c>
      <c r="Q559" s="419">
        <v>-1216.5999999999999</v>
      </c>
      <c r="R559" s="419">
        <v>-1216.5999999999999</v>
      </c>
      <c r="S559" s="618">
        <f t="shared" si="120"/>
        <v>-392.20708333333329</v>
      </c>
      <c r="T559" s="382"/>
      <c r="U559" s="833"/>
      <c r="V559" s="833"/>
      <c r="W559" s="833">
        <f t="shared" si="152"/>
        <v>-392.20708333333329</v>
      </c>
      <c r="X559" s="425"/>
      <c r="Y559" s="833"/>
      <c r="Z559" s="833"/>
      <c r="AA559" s="833"/>
      <c r="AB559" s="833"/>
      <c r="AC559" s="835">
        <f t="shared" si="153"/>
        <v>-392.20708333333329</v>
      </c>
      <c r="AD559" s="834"/>
      <c r="AE559" s="834"/>
      <c r="AF559" s="781">
        <f t="shared" si="142"/>
        <v>0</v>
      </c>
    </row>
    <row r="560" spans="1:32">
      <c r="A560" s="779">
        <f t="shared" si="144"/>
        <v>546</v>
      </c>
      <c r="B560" s="423" t="s">
        <v>1094</v>
      </c>
      <c r="C560" s="423" t="s">
        <v>662</v>
      </c>
      <c r="D560" s="423" t="s">
        <v>1349</v>
      </c>
      <c r="E560" s="763" t="s">
        <v>2070</v>
      </c>
      <c r="F560" s="419">
        <v>-1368657.13</v>
      </c>
      <c r="G560" s="419">
        <v>-199956.17</v>
      </c>
      <c r="H560" s="419">
        <v>-373032.29</v>
      </c>
      <c r="I560" s="419">
        <v>-524372.75</v>
      </c>
      <c r="J560" s="419">
        <v>-664086.97</v>
      </c>
      <c r="K560" s="419">
        <v>-763977.58</v>
      </c>
      <c r="L560" s="419">
        <v>-832382.59</v>
      </c>
      <c r="M560" s="419">
        <v>-893639.8</v>
      </c>
      <c r="N560" s="419">
        <v>-951739.55</v>
      </c>
      <c r="O560" s="419">
        <v>-1009665.59</v>
      </c>
      <c r="P560" s="419">
        <v>-1072217.06</v>
      </c>
      <c r="Q560" s="419">
        <v>-1166245.83</v>
      </c>
      <c r="R560" s="419">
        <v>-1293851.8600000001</v>
      </c>
      <c r="S560" s="618">
        <f t="shared" si="120"/>
        <v>-815214.22291666677</v>
      </c>
      <c r="T560" s="382"/>
      <c r="U560" s="833"/>
      <c r="V560" s="833"/>
      <c r="W560" s="833">
        <f t="shared" si="152"/>
        <v>-815214.22291666677</v>
      </c>
      <c r="X560" s="425"/>
      <c r="Y560" s="833"/>
      <c r="Z560" s="833"/>
      <c r="AA560" s="833"/>
      <c r="AB560" s="833"/>
      <c r="AC560" s="835">
        <f t="shared" si="153"/>
        <v>-815214.22291666677</v>
      </c>
      <c r="AD560" s="834"/>
      <c r="AE560" s="834"/>
      <c r="AF560" s="781">
        <f t="shared" si="142"/>
        <v>0</v>
      </c>
    </row>
    <row r="561" spans="1:32">
      <c r="A561" s="779">
        <f t="shared" si="144"/>
        <v>547</v>
      </c>
      <c r="B561" s="423" t="s">
        <v>1066</v>
      </c>
      <c r="C561" s="423" t="s">
        <v>662</v>
      </c>
      <c r="D561" s="423" t="s">
        <v>1342</v>
      </c>
      <c r="E561" s="763" t="s">
        <v>2063</v>
      </c>
      <c r="F561" s="419">
        <v>-115896385.3</v>
      </c>
      <c r="G561" s="419">
        <v>-20328294.23</v>
      </c>
      <c r="H561" s="419">
        <v>-34880101.329999998</v>
      </c>
      <c r="I561" s="419">
        <v>-51973179.57</v>
      </c>
      <c r="J561" s="419">
        <v>-63604711.270000003</v>
      </c>
      <c r="K561" s="419">
        <v>-70793144.920000002</v>
      </c>
      <c r="L561" s="419">
        <v>-75060488.730000004</v>
      </c>
      <c r="M561" s="419">
        <v>-78556747.480000004</v>
      </c>
      <c r="N561" s="419">
        <v>-81738512.280000001</v>
      </c>
      <c r="O561" s="419">
        <v>-85062013.930000007</v>
      </c>
      <c r="P561" s="419">
        <v>-90314956.849999994</v>
      </c>
      <c r="Q561" s="419">
        <v>-98394770.980000004</v>
      </c>
      <c r="R561" s="419">
        <v>-112178476.55</v>
      </c>
      <c r="S561" s="618">
        <f t="shared" si="120"/>
        <v>-72062029.374583334</v>
      </c>
      <c r="T561" s="382"/>
      <c r="U561" s="833"/>
      <c r="V561" s="833"/>
      <c r="W561" s="833">
        <f t="shared" si="152"/>
        <v>-72062029.374583334</v>
      </c>
      <c r="X561" s="425"/>
      <c r="Y561" s="833"/>
      <c r="Z561" s="833"/>
      <c r="AA561" s="833"/>
      <c r="AB561" s="833"/>
      <c r="AC561" s="835">
        <f t="shared" si="153"/>
        <v>-72062029.374583334</v>
      </c>
      <c r="AD561" s="834"/>
      <c r="AE561" s="834"/>
      <c r="AF561" s="781">
        <f t="shared" si="142"/>
        <v>0</v>
      </c>
    </row>
    <row r="562" spans="1:32">
      <c r="A562" s="779">
        <f t="shared" si="144"/>
        <v>548</v>
      </c>
      <c r="B562" s="423" t="s">
        <v>1066</v>
      </c>
      <c r="C562" s="423" t="s">
        <v>662</v>
      </c>
      <c r="D562" s="423" t="s">
        <v>1343</v>
      </c>
      <c r="E562" s="763" t="s">
        <v>2084</v>
      </c>
      <c r="F562" s="419">
        <v>2792827.86</v>
      </c>
      <c r="G562" s="419">
        <v>-251521.9</v>
      </c>
      <c r="H562" s="419">
        <v>224372.28</v>
      </c>
      <c r="I562" s="419">
        <v>503748.42</v>
      </c>
      <c r="J562" s="419">
        <v>719289.44</v>
      </c>
      <c r="K562" s="419">
        <v>290184.62</v>
      </c>
      <c r="L562" s="419">
        <v>261621.37</v>
      </c>
      <c r="M562" s="419">
        <v>214240.51</v>
      </c>
      <c r="N562" s="419">
        <v>-73127.339999999895</v>
      </c>
      <c r="O562" s="419">
        <v>-27851.7599999999</v>
      </c>
      <c r="P562" s="419">
        <v>-275706.71999999997</v>
      </c>
      <c r="Q562" s="419">
        <v>-629157.6</v>
      </c>
      <c r="R562" s="419">
        <v>-1439586.55</v>
      </c>
      <c r="S562" s="618">
        <f t="shared" si="120"/>
        <v>136059.33125000002</v>
      </c>
      <c r="T562" s="382"/>
      <c r="U562" s="833"/>
      <c r="V562" s="833"/>
      <c r="W562" s="833">
        <f t="shared" si="152"/>
        <v>136059.33125000002</v>
      </c>
      <c r="X562" s="425"/>
      <c r="Y562" s="833"/>
      <c r="Z562" s="833"/>
      <c r="AA562" s="833"/>
      <c r="AB562" s="833"/>
      <c r="AC562" s="835">
        <f t="shared" si="153"/>
        <v>136059.33125000002</v>
      </c>
      <c r="AD562" s="834"/>
      <c r="AE562" s="834"/>
      <c r="AF562" s="781">
        <f t="shared" si="142"/>
        <v>0</v>
      </c>
    </row>
    <row r="563" spans="1:32">
      <c r="A563" s="779">
        <f t="shared" si="144"/>
        <v>549</v>
      </c>
      <c r="B563" s="423" t="s">
        <v>1066</v>
      </c>
      <c r="C563" s="423" t="s">
        <v>662</v>
      </c>
      <c r="D563" s="423" t="s">
        <v>1722</v>
      </c>
      <c r="E563" s="763" t="s">
        <v>2085</v>
      </c>
      <c r="F563" s="419">
        <v>0</v>
      </c>
      <c r="G563" s="419">
        <v>-308842.57</v>
      </c>
      <c r="H563" s="419">
        <v>-526318.81000000006</v>
      </c>
      <c r="I563" s="419">
        <v>-784045.57</v>
      </c>
      <c r="J563" s="419">
        <v>-955430.94</v>
      </c>
      <c r="K563" s="419">
        <v>-1056541.6599999999</v>
      </c>
      <c r="L563" s="419">
        <v>-1111377.23</v>
      </c>
      <c r="M563" s="419">
        <v>-1153968.6599999999</v>
      </c>
      <c r="N563" s="419">
        <v>-1190941.94</v>
      </c>
      <c r="O563" s="419">
        <v>-1229250.68</v>
      </c>
      <c r="P563" s="419">
        <v>-1301681.71</v>
      </c>
      <c r="Q563" s="419">
        <v>-1468984.38</v>
      </c>
      <c r="R563" s="419">
        <v>-2144806.7000000002</v>
      </c>
      <c r="S563" s="618">
        <f t="shared" si="120"/>
        <v>-1013315.6249999999</v>
      </c>
      <c r="T563" s="382"/>
      <c r="U563" s="833"/>
      <c r="V563" s="833"/>
      <c r="W563" s="833">
        <f t="shared" si="152"/>
        <v>-1013315.6249999999</v>
      </c>
      <c r="X563" s="425"/>
      <c r="Y563" s="833"/>
      <c r="Z563" s="833"/>
      <c r="AA563" s="833"/>
      <c r="AB563" s="833"/>
      <c r="AC563" s="835">
        <f t="shared" si="153"/>
        <v>-1013315.6249999999</v>
      </c>
      <c r="AD563" s="834"/>
      <c r="AE563" s="834"/>
      <c r="AF563" s="781">
        <f t="shared" si="142"/>
        <v>0</v>
      </c>
    </row>
    <row r="564" spans="1:32">
      <c r="A564" s="779">
        <f t="shared" si="144"/>
        <v>550</v>
      </c>
      <c r="B564" s="423" t="s">
        <v>1066</v>
      </c>
      <c r="C564" s="423" t="s">
        <v>662</v>
      </c>
      <c r="D564" s="423" t="s">
        <v>1344</v>
      </c>
      <c r="E564" s="763" t="s">
        <v>2065</v>
      </c>
      <c r="F564" s="419">
        <v>-10130050.810000001</v>
      </c>
      <c r="G564" s="419">
        <v>-1358737.42</v>
      </c>
      <c r="H564" s="419">
        <v>-2427648.9500000002</v>
      </c>
      <c r="I564" s="419">
        <v>-3610940.46</v>
      </c>
      <c r="J564" s="419">
        <v>-4626184.05</v>
      </c>
      <c r="K564" s="419">
        <v>-5410093.3300000001</v>
      </c>
      <c r="L564" s="419">
        <v>-6019339.4900000002</v>
      </c>
      <c r="M564" s="419">
        <v>-6574662.3200000003</v>
      </c>
      <c r="N564" s="419">
        <v>-7140819.2000000002</v>
      </c>
      <c r="O564" s="419">
        <v>-7762638.6299999999</v>
      </c>
      <c r="P564" s="419">
        <v>-8751809.4700000007</v>
      </c>
      <c r="Q564" s="419">
        <v>-9534676.5999999996</v>
      </c>
      <c r="R564" s="419">
        <v>-10628565.26</v>
      </c>
      <c r="S564" s="618">
        <f t="shared" si="120"/>
        <v>-6133071.4962500008</v>
      </c>
      <c r="T564" s="382"/>
      <c r="U564" s="833"/>
      <c r="V564" s="833"/>
      <c r="W564" s="833">
        <f t="shared" si="152"/>
        <v>-6133071.4962500008</v>
      </c>
      <c r="X564" s="425"/>
      <c r="Y564" s="833"/>
      <c r="Z564" s="833"/>
      <c r="AA564" s="833"/>
      <c r="AB564" s="833"/>
      <c r="AC564" s="835">
        <f t="shared" si="153"/>
        <v>-6133071.4962500008</v>
      </c>
      <c r="AD564" s="834"/>
      <c r="AE564" s="834"/>
      <c r="AF564" s="781">
        <f t="shared" si="142"/>
        <v>0</v>
      </c>
    </row>
    <row r="565" spans="1:32">
      <c r="A565" s="779">
        <f t="shared" si="144"/>
        <v>551</v>
      </c>
      <c r="B565" s="423" t="s">
        <v>1066</v>
      </c>
      <c r="C565" s="423" t="s">
        <v>662</v>
      </c>
      <c r="D565" s="423" t="s">
        <v>1350</v>
      </c>
      <c r="E565" s="763" t="s">
        <v>2086</v>
      </c>
      <c r="F565" s="419">
        <v>255892.89</v>
      </c>
      <c r="G565" s="419">
        <v>45797.33</v>
      </c>
      <c r="H565" s="419">
        <v>5430.22</v>
      </c>
      <c r="I565" s="419">
        <v>33356.85</v>
      </c>
      <c r="J565" s="419">
        <v>86927.9</v>
      </c>
      <c r="K565" s="419">
        <v>111493.55</v>
      </c>
      <c r="L565" s="419">
        <v>128684.34</v>
      </c>
      <c r="M565" s="419">
        <v>143094.87</v>
      </c>
      <c r="N565" s="419">
        <v>172413.68</v>
      </c>
      <c r="O565" s="419">
        <v>189161.72</v>
      </c>
      <c r="P565" s="419">
        <v>212564.94</v>
      </c>
      <c r="Q565" s="419">
        <v>223616.72</v>
      </c>
      <c r="R565" s="419">
        <v>247687.63</v>
      </c>
      <c r="S565" s="618">
        <f t="shared" si="120"/>
        <v>133694.36499999999</v>
      </c>
      <c r="T565" s="382"/>
      <c r="U565" s="833"/>
      <c r="V565" s="833"/>
      <c r="W565" s="833">
        <f t="shared" si="152"/>
        <v>133694.36499999999</v>
      </c>
      <c r="X565" s="425"/>
      <c r="Y565" s="833"/>
      <c r="Z565" s="833"/>
      <c r="AA565" s="833"/>
      <c r="AB565" s="833"/>
      <c r="AC565" s="835">
        <f t="shared" si="153"/>
        <v>133694.36499999999</v>
      </c>
      <c r="AD565" s="834"/>
      <c r="AE565" s="834"/>
      <c r="AF565" s="781">
        <f t="shared" si="142"/>
        <v>0</v>
      </c>
    </row>
    <row r="566" spans="1:32">
      <c r="A566" s="779">
        <f t="shared" si="144"/>
        <v>552</v>
      </c>
      <c r="B566" s="423" t="s">
        <v>1066</v>
      </c>
      <c r="C566" s="423" t="s">
        <v>662</v>
      </c>
      <c r="D566" s="423" t="s">
        <v>1723</v>
      </c>
      <c r="E566" s="763" t="s">
        <v>2087</v>
      </c>
      <c r="F566" s="419">
        <v>0</v>
      </c>
      <c r="G566" s="419">
        <v>-27340.05</v>
      </c>
      <c r="H566" s="419">
        <v>-48053.919999999998</v>
      </c>
      <c r="I566" s="419">
        <v>-71062.509999999995</v>
      </c>
      <c r="J566" s="419">
        <v>-90833.2</v>
      </c>
      <c r="K566" s="419">
        <v>-106099.49</v>
      </c>
      <c r="L566" s="419">
        <v>-117831.61</v>
      </c>
      <c r="M566" s="419">
        <v>-128495.82</v>
      </c>
      <c r="N566" s="419">
        <v>-139398.17000000001</v>
      </c>
      <c r="O566" s="419">
        <v>-151533.25</v>
      </c>
      <c r="P566" s="419">
        <v>-171717.58</v>
      </c>
      <c r="Q566" s="419">
        <v>-193516.58</v>
      </c>
      <c r="R566" s="419">
        <v>-241595.26</v>
      </c>
      <c r="S566" s="618">
        <f t="shared" si="120"/>
        <v>-113889.98416666668</v>
      </c>
      <c r="T566" s="382"/>
      <c r="U566" s="833"/>
      <c r="V566" s="833"/>
      <c r="W566" s="833">
        <f t="shared" si="152"/>
        <v>-113889.98416666668</v>
      </c>
      <c r="X566" s="425"/>
      <c r="Y566" s="833"/>
      <c r="Z566" s="833"/>
      <c r="AA566" s="833"/>
      <c r="AB566" s="833"/>
      <c r="AC566" s="835">
        <f t="shared" si="153"/>
        <v>-113889.98416666668</v>
      </c>
      <c r="AD566" s="834"/>
      <c r="AE566" s="834"/>
      <c r="AF566" s="781">
        <f t="shared" si="142"/>
        <v>0</v>
      </c>
    </row>
    <row r="567" spans="1:32">
      <c r="A567" s="779">
        <f t="shared" si="144"/>
        <v>553</v>
      </c>
      <c r="B567" s="423" t="s">
        <v>1066</v>
      </c>
      <c r="C567" s="423" t="s">
        <v>662</v>
      </c>
      <c r="D567" s="423" t="s">
        <v>1345</v>
      </c>
      <c r="E567" s="763" t="s">
        <v>2066</v>
      </c>
      <c r="F567" s="419">
        <v>-43948.58</v>
      </c>
      <c r="G567" s="419">
        <v>0</v>
      </c>
      <c r="H567" s="419">
        <v>0</v>
      </c>
      <c r="I567" s="419">
        <v>-2201.4899999999998</v>
      </c>
      <c r="J567" s="419">
        <v>-2201.4899999999998</v>
      </c>
      <c r="K567" s="419">
        <v>-2201.4899999999998</v>
      </c>
      <c r="L567" s="419">
        <v>-4334.79</v>
      </c>
      <c r="M567" s="419">
        <v>-29548.43</v>
      </c>
      <c r="N567" s="419">
        <v>-29548.43</v>
      </c>
      <c r="O567" s="419">
        <v>-29548.43</v>
      </c>
      <c r="P567" s="419">
        <v>-29548.43</v>
      </c>
      <c r="Q567" s="419">
        <v>-29548.43</v>
      </c>
      <c r="R567" s="419">
        <v>-29548.43</v>
      </c>
      <c r="S567" s="618">
        <f t="shared" si="120"/>
        <v>-16285.826249999998</v>
      </c>
      <c r="T567" s="382"/>
      <c r="U567" s="833"/>
      <c r="V567" s="833"/>
      <c r="W567" s="833">
        <f t="shared" si="152"/>
        <v>-16285.826249999998</v>
      </c>
      <c r="X567" s="425"/>
      <c r="Y567" s="833"/>
      <c r="Z567" s="833"/>
      <c r="AA567" s="833"/>
      <c r="AB567" s="833"/>
      <c r="AC567" s="835">
        <f t="shared" si="153"/>
        <v>-16285.826249999998</v>
      </c>
      <c r="AD567" s="834"/>
      <c r="AE567" s="834"/>
      <c r="AF567" s="781">
        <f t="shared" si="142"/>
        <v>0</v>
      </c>
    </row>
    <row r="568" spans="1:32">
      <c r="A568" s="779">
        <f t="shared" si="144"/>
        <v>554</v>
      </c>
      <c r="B568" s="423" t="s">
        <v>1066</v>
      </c>
      <c r="C568" s="423" t="s">
        <v>662</v>
      </c>
      <c r="D568" s="423" t="s">
        <v>1346</v>
      </c>
      <c r="E568" s="763" t="s">
        <v>2067</v>
      </c>
      <c r="F568" s="419">
        <v>-80692032.799999997</v>
      </c>
      <c r="G568" s="419">
        <v>-13693324.16</v>
      </c>
      <c r="H568" s="419">
        <v>-23594507.23</v>
      </c>
      <c r="I568" s="419">
        <v>-35023151.920000002</v>
      </c>
      <c r="J568" s="419">
        <v>-43089710.409999996</v>
      </c>
      <c r="K568" s="419">
        <v>-48336768.460000001</v>
      </c>
      <c r="L568" s="419">
        <v>-51751666.369999997</v>
      </c>
      <c r="M568" s="419">
        <v>-54656981.509999998</v>
      </c>
      <c r="N568" s="419">
        <v>-57487141.060000002</v>
      </c>
      <c r="O568" s="419">
        <v>-60307775.899999999</v>
      </c>
      <c r="P568" s="419">
        <v>-64371226.829999998</v>
      </c>
      <c r="Q568" s="419">
        <v>-69872369.930000007</v>
      </c>
      <c r="R568" s="419">
        <v>-79180712.310000002</v>
      </c>
      <c r="S568" s="618">
        <f t="shared" si="120"/>
        <v>-50176749.694583334</v>
      </c>
      <c r="T568" s="382"/>
      <c r="U568" s="833"/>
      <c r="V568" s="833"/>
      <c r="W568" s="833">
        <f t="shared" si="152"/>
        <v>-50176749.694583334</v>
      </c>
      <c r="X568" s="425"/>
      <c r="Y568" s="833"/>
      <c r="Z568" s="833"/>
      <c r="AA568" s="833"/>
      <c r="AB568" s="833"/>
      <c r="AC568" s="835">
        <f t="shared" si="153"/>
        <v>-50176749.694583334</v>
      </c>
      <c r="AD568" s="834"/>
      <c r="AE568" s="834"/>
      <c r="AF568" s="781">
        <f t="shared" si="142"/>
        <v>0</v>
      </c>
    </row>
    <row r="569" spans="1:32">
      <c r="A569" s="779">
        <f t="shared" si="144"/>
        <v>555</v>
      </c>
      <c r="B569" s="423" t="s">
        <v>1066</v>
      </c>
      <c r="C569" s="423" t="s">
        <v>662</v>
      </c>
      <c r="D569" s="423" t="s">
        <v>1347</v>
      </c>
      <c r="E569" s="763" t="s">
        <v>2088</v>
      </c>
      <c r="F569" s="419">
        <v>2791782.24</v>
      </c>
      <c r="G569" s="419">
        <v>-43080.77</v>
      </c>
      <c r="H569" s="419">
        <v>340170.43</v>
      </c>
      <c r="I569" s="419">
        <v>485150.18</v>
      </c>
      <c r="J569" s="419">
        <v>772917.89</v>
      </c>
      <c r="K569" s="419">
        <v>636729.82999999996</v>
      </c>
      <c r="L569" s="419">
        <v>745597.8</v>
      </c>
      <c r="M569" s="419">
        <v>758521.48</v>
      </c>
      <c r="N569" s="419">
        <v>569597.81000000006</v>
      </c>
      <c r="O569" s="419">
        <v>590871.17000000004</v>
      </c>
      <c r="P569" s="419">
        <v>511489.39</v>
      </c>
      <c r="Q569" s="419">
        <v>508094.51</v>
      </c>
      <c r="R569" s="419">
        <v>188923.97</v>
      </c>
      <c r="S569" s="618">
        <f t="shared" si="120"/>
        <v>613867.73541666672</v>
      </c>
      <c r="T569" s="382"/>
      <c r="U569" s="833"/>
      <c r="V569" s="833"/>
      <c r="W569" s="833">
        <f t="shared" si="152"/>
        <v>613867.73541666672</v>
      </c>
      <c r="X569" s="425"/>
      <c r="Y569" s="833"/>
      <c r="Z569" s="833"/>
      <c r="AA569" s="833"/>
      <c r="AB569" s="833"/>
      <c r="AC569" s="835">
        <f t="shared" si="153"/>
        <v>613867.73541666672</v>
      </c>
      <c r="AD569" s="834"/>
      <c r="AE569" s="834"/>
      <c r="AF569" s="781">
        <f t="shared" si="142"/>
        <v>0</v>
      </c>
    </row>
    <row r="570" spans="1:32">
      <c r="A570" s="779">
        <f t="shared" si="144"/>
        <v>556</v>
      </c>
      <c r="B570" s="423" t="s">
        <v>1066</v>
      </c>
      <c r="C570" s="423" t="s">
        <v>662</v>
      </c>
      <c r="D570" s="423" t="s">
        <v>1724</v>
      </c>
      <c r="E570" s="763" t="s">
        <v>2089</v>
      </c>
      <c r="F570" s="419">
        <v>0</v>
      </c>
      <c r="G570" s="419">
        <v>-230934.36</v>
      </c>
      <c r="H570" s="419">
        <v>-395488.05</v>
      </c>
      <c r="I570" s="419">
        <v>-586172.88</v>
      </c>
      <c r="J570" s="419">
        <v>-719645.75</v>
      </c>
      <c r="K570" s="419">
        <v>-804870.26</v>
      </c>
      <c r="L570" s="419">
        <v>-858617.73</v>
      </c>
      <c r="M570" s="419">
        <v>-903657.01</v>
      </c>
      <c r="N570" s="419">
        <v>-947293.54</v>
      </c>
      <c r="O570" s="419">
        <v>-990538.73</v>
      </c>
      <c r="P570" s="419">
        <v>-1057896.24</v>
      </c>
      <c r="Q570" s="419">
        <v>-1186387.45</v>
      </c>
      <c r="R570" s="419">
        <v>-1689706.2</v>
      </c>
      <c r="S570" s="618">
        <f t="shared" si="120"/>
        <v>-793862.92499999993</v>
      </c>
      <c r="T570" s="382"/>
      <c r="U570" s="833"/>
      <c r="V570" s="833"/>
      <c r="W570" s="833">
        <f t="shared" si="152"/>
        <v>-793862.92499999993</v>
      </c>
      <c r="X570" s="425"/>
      <c r="Y570" s="833"/>
      <c r="Z570" s="833"/>
      <c r="AA570" s="833"/>
      <c r="AB570" s="833"/>
      <c r="AC570" s="835">
        <f t="shared" si="153"/>
        <v>-793862.92499999993</v>
      </c>
      <c r="AD570" s="834"/>
      <c r="AE570" s="834"/>
      <c r="AF570" s="781">
        <f t="shared" si="142"/>
        <v>0</v>
      </c>
    </row>
    <row r="571" spans="1:32">
      <c r="A571" s="779">
        <f t="shared" si="144"/>
        <v>557</v>
      </c>
      <c r="B571" s="423" t="s">
        <v>1066</v>
      </c>
      <c r="C571" s="423" t="s">
        <v>662</v>
      </c>
      <c r="D571" s="423" t="s">
        <v>1348</v>
      </c>
      <c r="E571" s="763" t="s">
        <v>2069</v>
      </c>
      <c r="F571" s="419">
        <v>-27995.1</v>
      </c>
      <c r="G571" s="419">
        <v>-10030.18</v>
      </c>
      <c r="H571" s="419">
        <v>-13029.64</v>
      </c>
      <c r="I571" s="419">
        <v>-15950.38</v>
      </c>
      <c r="J571" s="419">
        <v>-16989.91</v>
      </c>
      <c r="K571" s="419">
        <v>-16989.91</v>
      </c>
      <c r="L571" s="419">
        <v>-16989.91</v>
      </c>
      <c r="M571" s="419">
        <v>-16989.91</v>
      </c>
      <c r="N571" s="419">
        <v>-30265.360000000001</v>
      </c>
      <c r="O571" s="419">
        <v>-31949.33</v>
      </c>
      <c r="P571" s="419">
        <v>-35124.75</v>
      </c>
      <c r="Q571" s="419">
        <v>-35124.75</v>
      </c>
      <c r="R571" s="419">
        <v>-54452.09</v>
      </c>
      <c r="S571" s="618">
        <f t="shared" si="120"/>
        <v>-23388.135416666668</v>
      </c>
      <c r="T571" s="382"/>
      <c r="U571" s="833"/>
      <c r="V571" s="833"/>
      <c r="W571" s="833">
        <f t="shared" si="152"/>
        <v>-23388.135416666668</v>
      </c>
      <c r="X571" s="425"/>
      <c r="Y571" s="833"/>
      <c r="Z571" s="833"/>
      <c r="AA571" s="833"/>
      <c r="AB571" s="833"/>
      <c r="AC571" s="835">
        <f t="shared" si="153"/>
        <v>-23388.135416666668</v>
      </c>
      <c r="AD571" s="834"/>
      <c r="AE571" s="834"/>
      <c r="AF571" s="781">
        <f t="shared" si="142"/>
        <v>0</v>
      </c>
    </row>
    <row r="572" spans="1:32">
      <c r="A572" s="779">
        <f t="shared" si="144"/>
        <v>558</v>
      </c>
      <c r="B572" s="423" t="s">
        <v>1066</v>
      </c>
      <c r="C572" s="423" t="s">
        <v>662</v>
      </c>
      <c r="D572" s="423" t="s">
        <v>1351</v>
      </c>
      <c r="E572" s="763" t="s">
        <v>2090</v>
      </c>
      <c r="F572" s="419">
        <v>-1568.92</v>
      </c>
      <c r="G572" s="419">
        <v>-331.65</v>
      </c>
      <c r="H572" s="419">
        <v>-1244.31</v>
      </c>
      <c r="I572" s="419">
        <v>-1291.9000000000001</v>
      </c>
      <c r="J572" s="419">
        <v>-1375.83</v>
      </c>
      <c r="K572" s="419">
        <v>-1423.83</v>
      </c>
      <c r="L572" s="419">
        <v>-1470.49</v>
      </c>
      <c r="M572" s="419">
        <v>-1636.16</v>
      </c>
      <c r="N572" s="419">
        <v>-1681.27</v>
      </c>
      <c r="O572" s="419">
        <v>-1988.98</v>
      </c>
      <c r="P572" s="419">
        <v>-2172.96</v>
      </c>
      <c r="Q572" s="419">
        <v>-2247.1</v>
      </c>
      <c r="R572" s="419">
        <v>-2345.14</v>
      </c>
      <c r="S572" s="618">
        <f t="shared" si="120"/>
        <v>-1568.4591666666665</v>
      </c>
      <c r="T572" s="382"/>
      <c r="U572" s="833"/>
      <c r="V572" s="833"/>
      <c r="W572" s="833">
        <f t="shared" si="152"/>
        <v>-1568.4591666666665</v>
      </c>
      <c r="X572" s="425"/>
      <c r="Y572" s="833"/>
      <c r="Z572" s="833"/>
      <c r="AA572" s="833"/>
      <c r="AB572" s="833"/>
      <c r="AC572" s="835">
        <f t="shared" si="153"/>
        <v>-1568.4591666666665</v>
      </c>
      <c r="AD572" s="834"/>
      <c r="AE572" s="834"/>
      <c r="AF572" s="781">
        <f t="shared" si="142"/>
        <v>0</v>
      </c>
    </row>
    <row r="573" spans="1:32">
      <c r="A573" s="779">
        <f t="shared" si="144"/>
        <v>559</v>
      </c>
      <c r="B573" s="423" t="s">
        <v>1066</v>
      </c>
      <c r="C573" s="423" t="s">
        <v>662</v>
      </c>
      <c r="D573" s="423" t="s">
        <v>1352</v>
      </c>
      <c r="E573" s="763" t="s">
        <v>2091</v>
      </c>
      <c r="F573" s="419">
        <v>-3761.64</v>
      </c>
      <c r="G573" s="419">
        <v>-253.36</v>
      </c>
      <c r="H573" s="419">
        <v>-776.69</v>
      </c>
      <c r="I573" s="419">
        <v>-1183.52</v>
      </c>
      <c r="J573" s="419">
        <v>-1488.16</v>
      </c>
      <c r="K573" s="419">
        <v>-1749.04</v>
      </c>
      <c r="L573" s="419">
        <v>-1928.32</v>
      </c>
      <c r="M573" s="419">
        <v>-2127.8200000000002</v>
      </c>
      <c r="N573" s="419">
        <v>-2225.16</v>
      </c>
      <c r="O573" s="419">
        <v>-2401.3000000000002</v>
      </c>
      <c r="P573" s="419">
        <v>-2754.82</v>
      </c>
      <c r="Q573" s="419">
        <v>-3051.6</v>
      </c>
      <c r="R573" s="419">
        <v>-3467.93</v>
      </c>
      <c r="S573" s="618">
        <f t="shared" si="120"/>
        <v>-1962.8812499999997</v>
      </c>
      <c r="T573" s="382"/>
      <c r="U573" s="833"/>
      <c r="V573" s="833"/>
      <c r="W573" s="833">
        <f t="shared" si="152"/>
        <v>-1962.8812499999997</v>
      </c>
      <c r="X573" s="425"/>
      <c r="Y573" s="833"/>
      <c r="Z573" s="833"/>
      <c r="AA573" s="833"/>
      <c r="AB573" s="833"/>
      <c r="AC573" s="835">
        <f t="shared" si="153"/>
        <v>-1962.8812499999997</v>
      </c>
      <c r="AD573" s="834"/>
      <c r="AE573" s="834"/>
      <c r="AF573" s="781">
        <f t="shared" si="142"/>
        <v>0</v>
      </c>
    </row>
    <row r="574" spans="1:32">
      <c r="A574" s="779">
        <f t="shared" si="144"/>
        <v>560</v>
      </c>
      <c r="B574" s="422" t="s">
        <v>1066</v>
      </c>
      <c r="C574" s="423" t="s">
        <v>662</v>
      </c>
      <c r="D574" s="423" t="s">
        <v>1725</v>
      </c>
      <c r="E574" s="763" t="s">
        <v>2092</v>
      </c>
      <c r="F574" s="419">
        <v>0</v>
      </c>
      <c r="G574" s="419">
        <v>-5.69</v>
      </c>
      <c r="H574" s="419">
        <v>-22.98</v>
      </c>
      <c r="I574" s="419">
        <v>-22.98</v>
      </c>
      <c r="J574" s="419">
        <v>-23.68</v>
      </c>
      <c r="K574" s="419">
        <v>-23.68</v>
      </c>
      <c r="L574" s="419">
        <v>-23.68</v>
      </c>
      <c r="M574" s="419">
        <v>-25.96</v>
      </c>
      <c r="N574" s="419">
        <v>-25.96</v>
      </c>
      <c r="O574" s="419">
        <v>-30.86</v>
      </c>
      <c r="P574" s="419">
        <v>-33.43</v>
      </c>
      <c r="Q574" s="419">
        <v>-33.72</v>
      </c>
      <c r="R574" s="419">
        <v>-35.46</v>
      </c>
      <c r="S574" s="618">
        <f t="shared" si="120"/>
        <v>-24.195833333333336</v>
      </c>
      <c r="T574" s="382"/>
      <c r="U574" s="833"/>
      <c r="V574" s="833"/>
      <c r="W574" s="833">
        <f t="shared" si="152"/>
        <v>-24.195833333333336</v>
      </c>
      <c r="X574" s="425"/>
      <c r="Y574" s="833"/>
      <c r="Z574" s="833"/>
      <c r="AA574" s="833"/>
      <c r="AB574" s="833"/>
      <c r="AC574" s="835">
        <f t="shared" si="153"/>
        <v>-24.195833333333336</v>
      </c>
      <c r="AD574" s="834"/>
      <c r="AE574" s="834"/>
      <c r="AF574" s="781">
        <f t="shared" si="142"/>
        <v>0</v>
      </c>
    </row>
    <row r="575" spans="1:32">
      <c r="A575" s="779">
        <f t="shared" si="144"/>
        <v>561</v>
      </c>
      <c r="B575" s="422" t="s">
        <v>1066</v>
      </c>
      <c r="C575" s="423" t="s">
        <v>662</v>
      </c>
      <c r="D575" s="423" t="s">
        <v>1353</v>
      </c>
      <c r="E575" s="763" t="s">
        <v>2093</v>
      </c>
      <c r="F575" s="419">
        <v>0</v>
      </c>
      <c r="G575" s="419">
        <v>0</v>
      </c>
      <c r="H575" s="419">
        <v>0</v>
      </c>
      <c r="I575" s="419">
        <v>0</v>
      </c>
      <c r="J575" s="419">
        <v>0</v>
      </c>
      <c r="K575" s="419">
        <v>0</v>
      </c>
      <c r="L575" s="419">
        <v>0</v>
      </c>
      <c r="M575" s="419">
        <v>-3266.14</v>
      </c>
      <c r="N575" s="419">
        <v>-3266.14</v>
      </c>
      <c r="O575" s="419">
        <v>-3266.14</v>
      </c>
      <c r="P575" s="419">
        <v>-3266.14</v>
      </c>
      <c r="Q575" s="419">
        <v>-3266.14</v>
      </c>
      <c r="R575" s="419">
        <v>-3266.14</v>
      </c>
      <c r="S575" s="618">
        <f t="shared" si="120"/>
        <v>-1496.9808333333333</v>
      </c>
      <c r="T575" s="382"/>
      <c r="U575" s="833"/>
      <c r="V575" s="833"/>
      <c r="W575" s="833">
        <f t="shared" si="152"/>
        <v>-1496.9808333333333</v>
      </c>
      <c r="X575" s="425"/>
      <c r="Y575" s="833"/>
      <c r="Z575" s="833"/>
      <c r="AA575" s="833"/>
      <c r="AB575" s="833"/>
      <c r="AC575" s="835">
        <f t="shared" si="153"/>
        <v>-1496.9808333333333</v>
      </c>
      <c r="AD575" s="834"/>
      <c r="AE575" s="834"/>
      <c r="AF575" s="781">
        <f t="shared" si="142"/>
        <v>0</v>
      </c>
    </row>
    <row r="576" spans="1:32">
      <c r="A576" s="779">
        <f t="shared" si="144"/>
        <v>562</v>
      </c>
      <c r="B576" s="422" t="s">
        <v>1066</v>
      </c>
      <c r="C576" s="423" t="s">
        <v>662</v>
      </c>
      <c r="D576" s="423" t="s">
        <v>1349</v>
      </c>
      <c r="E576" s="763" t="s">
        <v>2070</v>
      </c>
      <c r="F576" s="419">
        <v>-1583873.47</v>
      </c>
      <c r="G576" s="419">
        <v>-143751.82</v>
      </c>
      <c r="H576" s="419">
        <v>-282194.45</v>
      </c>
      <c r="I576" s="419">
        <v>-416658.17</v>
      </c>
      <c r="J576" s="419">
        <v>-549955.4</v>
      </c>
      <c r="K576" s="419">
        <v>-661803.12</v>
      </c>
      <c r="L576" s="419">
        <v>-743755.35</v>
      </c>
      <c r="M576" s="419">
        <v>-810397.27</v>
      </c>
      <c r="N576" s="419">
        <v>-880430.6</v>
      </c>
      <c r="O576" s="419">
        <v>-934253.44</v>
      </c>
      <c r="P576" s="419">
        <v>-1001088.27</v>
      </c>
      <c r="Q576" s="419">
        <v>-1109017.75</v>
      </c>
      <c r="R576" s="419">
        <v>-1213225.9099999999</v>
      </c>
      <c r="S576" s="618">
        <f t="shared" si="120"/>
        <v>-744321.27749999985</v>
      </c>
      <c r="T576" s="382"/>
      <c r="U576" s="833"/>
      <c r="V576" s="833"/>
      <c r="W576" s="833">
        <f t="shared" si="152"/>
        <v>-744321.27749999985</v>
      </c>
      <c r="X576" s="425"/>
      <c r="Y576" s="833"/>
      <c r="Z576" s="833"/>
      <c r="AA576" s="833"/>
      <c r="AB576" s="833"/>
      <c r="AC576" s="835">
        <f t="shared" si="153"/>
        <v>-744321.27749999985</v>
      </c>
      <c r="AD576" s="834"/>
      <c r="AE576" s="834"/>
      <c r="AF576" s="781">
        <f t="shared" si="142"/>
        <v>0</v>
      </c>
    </row>
    <row r="577" spans="1:32">
      <c r="A577" s="779">
        <f t="shared" si="144"/>
        <v>563</v>
      </c>
      <c r="B577" s="423" t="s">
        <v>1066</v>
      </c>
      <c r="C577" s="423" t="s">
        <v>662</v>
      </c>
      <c r="D577" s="423" t="s">
        <v>1354</v>
      </c>
      <c r="E577" s="763" t="s">
        <v>2094</v>
      </c>
      <c r="F577" s="419">
        <v>-25156.560000000001</v>
      </c>
      <c r="G577" s="419">
        <v>-5862.44</v>
      </c>
      <c r="H577" s="419">
        <v>-12318.01</v>
      </c>
      <c r="I577" s="419">
        <v>-15841.13</v>
      </c>
      <c r="J577" s="419">
        <v>-20061.89</v>
      </c>
      <c r="K577" s="419">
        <v>-25813.38</v>
      </c>
      <c r="L577" s="419">
        <v>-30355.94</v>
      </c>
      <c r="M577" s="419">
        <v>-33380.639999999999</v>
      </c>
      <c r="N577" s="419">
        <v>-36767.769999999997</v>
      </c>
      <c r="O577" s="419">
        <v>-36585.25</v>
      </c>
      <c r="P577" s="419">
        <v>-34437.96</v>
      </c>
      <c r="Q577" s="419">
        <v>-35905.9</v>
      </c>
      <c r="R577" s="419">
        <v>-37768.239999999998</v>
      </c>
      <c r="S577" s="618">
        <f t="shared" si="120"/>
        <v>-26566.05916666667</v>
      </c>
      <c r="T577" s="382"/>
      <c r="U577" s="833"/>
      <c r="V577" s="833"/>
      <c r="W577" s="833">
        <f t="shared" si="152"/>
        <v>-26566.05916666667</v>
      </c>
      <c r="X577" s="425"/>
      <c r="Y577" s="833"/>
      <c r="Z577" s="833"/>
      <c r="AA577" s="833"/>
      <c r="AB577" s="833"/>
      <c r="AC577" s="835">
        <f t="shared" si="153"/>
        <v>-26566.05916666667</v>
      </c>
      <c r="AD577" s="834"/>
      <c r="AE577" s="834"/>
      <c r="AF577" s="781">
        <f t="shared" si="142"/>
        <v>0</v>
      </c>
    </row>
    <row r="578" spans="1:32">
      <c r="A578" s="779">
        <f t="shared" si="144"/>
        <v>564</v>
      </c>
      <c r="B578" s="423" t="s">
        <v>1066</v>
      </c>
      <c r="C578" s="423" t="s">
        <v>662</v>
      </c>
      <c r="D578" s="423" t="s">
        <v>1726</v>
      </c>
      <c r="E578" s="763" t="s">
        <v>2095</v>
      </c>
      <c r="F578" s="419">
        <v>0</v>
      </c>
      <c r="G578" s="419">
        <v>-3522.58</v>
      </c>
      <c r="H578" s="419">
        <v>-6919.57</v>
      </c>
      <c r="I578" s="419">
        <v>-10225.040000000001</v>
      </c>
      <c r="J578" s="419">
        <v>-13504.85</v>
      </c>
      <c r="K578" s="419">
        <v>-16237.37</v>
      </c>
      <c r="L578" s="419">
        <v>-18210.16</v>
      </c>
      <c r="M578" s="419">
        <v>-19792.419999999998</v>
      </c>
      <c r="N578" s="419">
        <v>-21432.45</v>
      </c>
      <c r="O578" s="419">
        <v>-22707.24</v>
      </c>
      <c r="P578" s="419">
        <v>-24326.75</v>
      </c>
      <c r="Q578" s="419">
        <v>-27025.919999999998</v>
      </c>
      <c r="R578" s="419">
        <v>-33021.06</v>
      </c>
      <c r="S578" s="618">
        <f t="shared" si="120"/>
        <v>-16701.239999999998</v>
      </c>
      <c r="T578" s="382"/>
      <c r="U578" s="833"/>
      <c r="V578" s="833"/>
      <c r="W578" s="833">
        <f t="shared" si="152"/>
        <v>-16701.239999999998</v>
      </c>
      <c r="X578" s="425"/>
      <c r="Y578" s="833"/>
      <c r="Z578" s="833"/>
      <c r="AA578" s="833"/>
      <c r="AB578" s="833"/>
      <c r="AC578" s="835">
        <f t="shared" si="153"/>
        <v>-16701.239999999998</v>
      </c>
      <c r="AD578" s="834"/>
      <c r="AE578" s="834"/>
      <c r="AF578" s="781">
        <f t="shared" si="142"/>
        <v>0</v>
      </c>
    </row>
    <row r="579" spans="1:32">
      <c r="A579" s="779">
        <f t="shared" si="144"/>
        <v>565</v>
      </c>
      <c r="B579" s="423" t="s">
        <v>1094</v>
      </c>
      <c r="C579" s="423" t="s">
        <v>663</v>
      </c>
      <c r="D579" s="423" t="s">
        <v>1342</v>
      </c>
      <c r="E579" s="763" t="s">
        <v>2071</v>
      </c>
      <c r="F579" s="419">
        <v>984536.71</v>
      </c>
      <c r="G579" s="419">
        <v>1309874.1499999999</v>
      </c>
      <c r="H579" s="419">
        <v>919446.62</v>
      </c>
      <c r="I579" s="419">
        <v>2076507.3</v>
      </c>
      <c r="J579" s="419">
        <v>2952922.32</v>
      </c>
      <c r="K579" s="419">
        <v>3905130</v>
      </c>
      <c r="L579" s="419">
        <v>4059013.42</v>
      </c>
      <c r="M579" s="419">
        <v>4148049.51</v>
      </c>
      <c r="N579" s="419">
        <v>4507690.91</v>
      </c>
      <c r="O579" s="419">
        <v>4233401.93</v>
      </c>
      <c r="P579" s="419">
        <v>3256759.53</v>
      </c>
      <c r="Q579" s="419">
        <v>1562114.16</v>
      </c>
      <c r="R579" s="419">
        <v>999034.86</v>
      </c>
      <c r="S579" s="618">
        <f t="shared" si="120"/>
        <v>2826891.3029166665</v>
      </c>
      <c r="T579" s="382"/>
      <c r="U579" s="833"/>
      <c r="V579" s="833"/>
      <c r="W579" s="833">
        <f t="shared" si="152"/>
        <v>2826891.3029166665</v>
      </c>
      <c r="X579" s="425"/>
      <c r="Y579" s="833"/>
      <c r="Z579" s="833"/>
      <c r="AA579" s="833"/>
      <c r="AB579" s="833"/>
      <c r="AC579" s="835">
        <f t="shared" si="153"/>
        <v>2826891.3029166665</v>
      </c>
      <c r="AD579" s="834"/>
      <c r="AE579" s="834"/>
      <c r="AF579" s="781">
        <f t="shared" si="142"/>
        <v>0</v>
      </c>
    </row>
    <row r="580" spans="1:32">
      <c r="A580" s="779">
        <f t="shared" si="144"/>
        <v>566</v>
      </c>
      <c r="B580" s="423" t="s">
        <v>1094</v>
      </c>
      <c r="C580" s="423" t="s">
        <v>663</v>
      </c>
      <c r="D580" s="423" t="s">
        <v>1346</v>
      </c>
      <c r="E580" s="763" t="s">
        <v>2072</v>
      </c>
      <c r="F580" s="419">
        <v>411891.88</v>
      </c>
      <c r="G580" s="419">
        <v>665315.51</v>
      </c>
      <c r="H580" s="419">
        <v>478389.37</v>
      </c>
      <c r="I580" s="419">
        <v>1100687.95</v>
      </c>
      <c r="J580" s="419">
        <v>1654628.06</v>
      </c>
      <c r="K580" s="419">
        <v>2148948.83</v>
      </c>
      <c r="L580" s="419">
        <v>2164132.11</v>
      </c>
      <c r="M580" s="419">
        <v>2171000.25</v>
      </c>
      <c r="N580" s="419">
        <v>2438866.4900000002</v>
      </c>
      <c r="O580" s="419">
        <v>2217322.87</v>
      </c>
      <c r="P580" s="419">
        <v>1742196.42</v>
      </c>
      <c r="Q580" s="419">
        <v>970985.7</v>
      </c>
      <c r="R580" s="419">
        <v>550202.9</v>
      </c>
      <c r="S580" s="618">
        <f t="shared" si="120"/>
        <v>1519460.0791666666</v>
      </c>
      <c r="T580" s="382"/>
      <c r="U580" s="833"/>
      <c r="V580" s="833"/>
      <c r="W580" s="833">
        <f t="shared" si="152"/>
        <v>1519460.0791666666</v>
      </c>
      <c r="X580" s="425"/>
      <c r="Y580" s="833"/>
      <c r="Z580" s="833"/>
      <c r="AA580" s="833"/>
      <c r="AB580" s="833"/>
      <c r="AC580" s="835">
        <f t="shared" si="153"/>
        <v>1519460.0791666666</v>
      </c>
      <c r="AD580" s="834"/>
      <c r="AE580" s="834"/>
      <c r="AF580" s="781">
        <f t="shared" si="142"/>
        <v>0</v>
      </c>
    </row>
    <row r="581" spans="1:32">
      <c r="A581" s="779">
        <f t="shared" si="144"/>
        <v>567</v>
      </c>
      <c r="B581" s="422" t="s">
        <v>1094</v>
      </c>
      <c r="C581" s="423" t="s">
        <v>663</v>
      </c>
      <c r="D581" s="423" t="s">
        <v>1349</v>
      </c>
      <c r="E581" s="763" t="s">
        <v>2073</v>
      </c>
      <c r="F581" s="419">
        <v>11512.21</v>
      </c>
      <c r="G581" s="419">
        <v>26948.83</v>
      </c>
      <c r="H581" s="419">
        <v>56654.21</v>
      </c>
      <c r="I581" s="419">
        <v>60414.400000000001</v>
      </c>
      <c r="J581" s="419">
        <v>100311.96</v>
      </c>
      <c r="K581" s="419">
        <v>131814.34</v>
      </c>
      <c r="L581" s="419">
        <v>138969.51</v>
      </c>
      <c r="M581" s="419">
        <v>142127.32</v>
      </c>
      <c r="N581" s="419">
        <v>142289.97</v>
      </c>
      <c r="O581" s="419">
        <v>137590.82</v>
      </c>
      <c r="P581" s="419">
        <v>106168.57</v>
      </c>
      <c r="Q581" s="419">
        <v>72558.570000000007</v>
      </c>
      <c r="R581" s="419">
        <v>47343.45</v>
      </c>
      <c r="S581" s="618">
        <f t="shared" si="120"/>
        <v>95439.694166666697</v>
      </c>
      <c r="T581" s="382"/>
      <c r="U581" s="833"/>
      <c r="V581" s="833"/>
      <c r="W581" s="833">
        <f t="shared" si="152"/>
        <v>95439.694166666697</v>
      </c>
      <c r="X581" s="425"/>
      <c r="Y581" s="833"/>
      <c r="Z581" s="833"/>
      <c r="AA581" s="833"/>
      <c r="AB581" s="833"/>
      <c r="AC581" s="835">
        <f t="shared" si="153"/>
        <v>95439.694166666697</v>
      </c>
      <c r="AD581" s="834"/>
      <c r="AE581" s="834"/>
      <c r="AF581" s="781">
        <f t="shared" si="142"/>
        <v>0</v>
      </c>
    </row>
    <row r="582" spans="1:32">
      <c r="A582" s="779">
        <f t="shared" si="144"/>
        <v>568</v>
      </c>
      <c r="B582" s="422" t="s">
        <v>1066</v>
      </c>
      <c r="C582" s="423" t="s">
        <v>663</v>
      </c>
      <c r="D582" s="423" t="s">
        <v>1342</v>
      </c>
      <c r="E582" s="763" t="s">
        <v>2071</v>
      </c>
      <c r="F582" s="419">
        <v>718744.25000000198</v>
      </c>
      <c r="G582" s="419">
        <v>3172870.44</v>
      </c>
      <c r="H582" s="419">
        <v>1668165.1</v>
      </c>
      <c r="I582" s="419">
        <v>5369439.7800000003</v>
      </c>
      <c r="J582" s="419">
        <v>8173514.5999999996</v>
      </c>
      <c r="K582" s="419">
        <v>10989508.439999999</v>
      </c>
      <c r="L582" s="419">
        <v>11351906.970000001</v>
      </c>
      <c r="M582" s="419">
        <v>11562664.68</v>
      </c>
      <c r="N582" s="419">
        <v>12692159.050000001</v>
      </c>
      <c r="O582" s="419">
        <v>11947574.4</v>
      </c>
      <c r="P582" s="419">
        <v>9721624.8399999999</v>
      </c>
      <c r="Q582" s="419">
        <v>4916884.71</v>
      </c>
      <c r="R582" s="419">
        <v>3374622.68</v>
      </c>
      <c r="S582" s="618">
        <f t="shared" si="120"/>
        <v>7801083.0395833338</v>
      </c>
      <c r="T582" s="382"/>
      <c r="U582" s="833"/>
      <c r="V582" s="833"/>
      <c r="W582" s="833">
        <f t="shared" si="152"/>
        <v>7801083.0395833338</v>
      </c>
      <c r="X582" s="425"/>
      <c r="Y582" s="833"/>
      <c r="Z582" s="833"/>
      <c r="AA582" s="833"/>
      <c r="AB582" s="833"/>
      <c r="AC582" s="835">
        <f t="shared" si="153"/>
        <v>7801083.0395833338</v>
      </c>
      <c r="AD582" s="834"/>
      <c r="AE582" s="834"/>
      <c r="AF582" s="781">
        <f t="shared" si="142"/>
        <v>0</v>
      </c>
    </row>
    <row r="583" spans="1:32">
      <c r="A583" s="779">
        <f t="shared" si="144"/>
        <v>569</v>
      </c>
      <c r="B583" s="423" t="s">
        <v>1066</v>
      </c>
      <c r="C583" s="423" t="s">
        <v>663</v>
      </c>
      <c r="D583" s="423" t="s">
        <v>1346</v>
      </c>
      <c r="E583" s="763" t="s">
        <v>2072</v>
      </c>
      <c r="F583" s="419">
        <v>-151146.229999998</v>
      </c>
      <c r="G583" s="419">
        <v>2071107.37</v>
      </c>
      <c r="H583" s="419">
        <v>891614.99</v>
      </c>
      <c r="I583" s="419">
        <v>3581373.34</v>
      </c>
      <c r="J583" s="419">
        <v>5280684.9400000004</v>
      </c>
      <c r="K583" s="419">
        <v>7139258.21</v>
      </c>
      <c r="L583" s="419">
        <v>7160396.6399999997</v>
      </c>
      <c r="M583" s="419">
        <v>7204652.4699999997</v>
      </c>
      <c r="N583" s="419">
        <v>8162604.4699999997</v>
      </c>
      <c r="O583" s="419">
        <v>7430742.0199999996</v>
      </c>
      <c r="P583" s="419">
        <v>5816245.8399999999</v>
      </c>
      <c r="Q583" s="419">
        <v>3041124.89</v>
      </c>
      <c r="R583" s="419">
        <v>2090238.1</v>
      </c>
      <c r="S583" s="618">
        <f t="shared" si="120"/>
        <v>4895779.2595833344</v>
      </c>
      <c r="T583" s="382"/>
      <c r="U583" s="833"/>
      <c r="V583" s="833"/>
      <c r="W583" s="833">
        <f t="shared" si="152"/>
        <v>4895779.2595833344</v>
      </c>
      <c r="X583" s="425"/>
      <c r="Y583" s="833"/>
      <c r="Z583" s="833"/>
      <c r="AA583" s="833"/>
      <c r="AB583" s="833"/>
      <c r="AC583" s="835">
        <f t="shared" si="153"/>
        <v>4895779.2595833344</v>
      </c>
      <c r="AD583" s="834"/>
      <c r="AE583" s="834"/>
      <c r="AF583" s="781">
        <f t="shared" si="142"/>
        <v>0</v>
      </c>
    </row>
    <row r="584" spans="1:32">
      <c r="A584" s="779">
        <f t="shared" si="144"/>
        <v>570</v>
      </c>
      <c r="B584" s="423" t="s">
        <v>1066</v>
      </c>
      <c r="C584" s="423" t="s">
        <v>663</v>
      </c>
      <c r="D584" s="423" t="s">
        <v>1351</v>
      </c>
      <c r="E584" s="763" t="s">
        <v>2096</v>
      </c>
      <c r="F584" s="419">
        <v>-103.16</v>
      </c>
      <c r="G584" s="419">
        <v>-582.35</v>
      </c>
      <c r="H584" s="419">
        <v>299.51</v>
      </c>
      <c r="I584" s="419">
        <v>262.88</v>
      </c>
      <c r="J584" s="419">
        <v>299.51</v>
      </c>
      <c r="K584" s="419">
        <v>299.51</v>
      </c>
      <c r="L584" s="419">
        <v>179.57</v>
      </c>
      <c r="M584" s="419">
        <v>299.51</v>
      </c>
      <c r="N584" s="419">
        <v>37.58</v>
      </c>
      <c r="O584" s="419">
        <v>156.63</v>
      </c>
      <c r="P584" s="419">
        <v>272.88</v>
      </c>
      <c r="Q584" s="419">
        <v>247.48</v>
      </c>
      <c r="R584" s="419">
        <v>237.33</v>
      </c>
      <c r="S584" s="618">
        <f t="shared" si="120"/>
        <v>153.31625</v>
      </c>
      <c r="T584" s="382"/>
      <c r="U584" s="833"/>
      <c r="V584" s="833"/>
      <c r="W584" s="833">
        <f t="shared" si="152"/>
        <v>153.31625</v>
      </c>
      <c r="X584" s="425"/>
      <c r="Y584" s="833"/>
      <c r="Z584" s="833"/>
      <c r="AA584" s="833"/>
      <c r="AB584" s="833"/>
      <c r="AC584" s="835">
        <f t="shared" si="153"/>
        <v>153.31625</v>
      </c>
      <c r="AD584" s="834"/>
      <c r="AE584" s="834"/>
      <c r="AF584" s="781">
        <f t="shared" si="142"/>
        <v>0</v>
      </c>
    </row>
    <row r="585" spans="1:32">
      <c r="A585" s="779">
        <f t="shared" si="144"/>
        <v>571</v>
      </c>
      <c r="B585" s="423" t="s">
        <v>1066</v>
      </c>
      <c r="C585" s="423" t="s">
        <v>663</v>
      </c>
      <c r="D585" s="423" t="s">
        <v>1349</v>
      </c>
      <c r="E585" s="763" t="s">
        <v>2073</v>
      </c>
      <c r="F585" s="419">
        <v>136834.07</v>
      </c>
      <c r="G585" s="419">
        <v>5414.4</v>
      </c>
      <c r="H585" s="419">
        <v>9479</v>
      </c>
      <c r="I585" s="419">
        <v>10531.76</v>
      </c>
      <c r="J585" s="419">
        <v>32330.560000000001</v>
      </c>
      <c r="K585" s="419">
        <v>62879.29</v>
      </c>
      <c r="L585" s="419">
        <v>78587.59</v>
      </c>
      <c r="M585" s="419">
        <v>78425.899999999994</v>
      </c>
      <c r="N585" s="419">
        <v>92013.84</v>
      </c>
      <c r="O585" s="419">
        <v>78184.73</v>
      </c>
      <c r="P585" s="419">
        <v>34133.47</v>
      </c>
      <c r="Q585" s="419">
        <v>34237.83</v>
      </c>
      <c r="R585" s="419">
        <v>13073.21</v>
      </c>
      <c r="S585" s="618">
        <f t="shared" si="120"/>
        <v>49264.33416666666</v>
      </c>
      <c r="T585" s="382"/>
      <c r="U585" s="833"/>
      <c r="V585" s="833"/>
      <c r="W585" s="833">
        <f t="shared" si="152"/>
        <v>49264.33416666666</v>
      </c>
      <c r="X585" s="425"/>
      <c r="Y585" s="833"/>
      <c r="Z585" s="833"/>
      <c r="AA585" s="833"/>
      <c r="AB585" s="833"/>
      <c r="AC585" s="835">
        <f t="shared" si="153"/>
        <v>49264.33416666666</v>
      </c>
      <c r="AD585" s="834"/>
      <c r="AE585" s="834"/>
      <c r="AF585" s="781">
        <f t="shared" si="142"/>
        <v>0</v>
      </c>
    </row>
    <row r="586" spans="1:32">
      <c r="A586" s="779">
        <f t="shared" si="144"/>
        <v>572</v>
      </c>
      <c r="B586" s="423" t="s">
        <v>1094</v>
      </c>
      <c r="C586" s="423" t="s">
        <v>664</v>
      </c>
      <c r="D586" s="423" t="s">
        <v>1355</v>
      </c>
      <c r="E586" s="763" t="s">
        <v>2074</v>
      </c>
      <c r="F586" s="419">
        <v>-163902.19</v>
      </c>
      <c r="G586" s="419">
        <v>-16393.88</v>
      </c>
      <c r="H586" s="419">
        <v>-31657.01</v>
      </c>
      <c r="I586" s="419">
        <v>-46527.15</v>
      </c>
      <c r="J586" s="419">
        <v>-67766.509999999995</v>
      </c>
      <c r="K586" s="419">
        <v>-79898.13</v>
      </c>
      <c r="L586" s="419">
        <v>-89749.09</v>
      </c>
      <c r="M586" s="419">
        <v>-100132.33</v>
      </c>
      <c r="N586" s="419">
        <v>-107954.29</v>
      </c>
      <c r="O586" s="419">
        <v>-116528.37</v>
      </c>
      <c r="P586" s="419">
        <v>-125968.82</v>
      </c>
      <c r="Q586" s="419">
        <v>-132620.89000000001</v>
      </c>
      <c r="R586" s="419">
        <v>-140982.17000000001</v>
      </c>
      <c r="S586" s="618">
        <f t="shared" si="120"/>
        <v>-88969.887500000012</v>
      </c>
      <c r="T586" s="382"/>
      <c r="U586" s="833"/>
      <c r="V586" s="833"/>
      <c r="W586" s="833">
        <f t="shared" si="152"/>
        <v>-88969.887500000012</v>
      </c>
      <c r="X586" s="425"/>
      <c r="Y586" s="833"/>
      <c r="Z586" s="833"/>
      <c r="AA586" s="833"/>
      <c r="AB586" s="833"/>
      <c r="AC586" s="835">
        <f t="shared" si="153"/>
        <v>-88969.887500000012</v>
      </c>
      <c r="AD586" s="834"/>
      <c r="AE586" s="834"/>
      <c r="AF586" s="781">
        <f t="shared" si="142"/>
        <v>0</v>
      </c>
    </row>
    <row r="587" spans="1:32">
      <c r="A587" s="779">
        <f t="shared" si="144"/>
        <v>573</v>
      </c>
      <c r="B587" s="422" t="s">
        <v>1094</v>
      </c>
      <c r="C587" s="423" t="s">
        <v>664</v>
      </c>
      <c r="D587" s="423" t="s">
        <v>1356</v>
      </c>
      <c r="E587" s="763" t="s">
        <v>2075</v>
      </c>
      <c r="F587" s="419">
        <v>-18894.68</v>
      </c>
      <c r="G587" s="419">
        <v>0</v>
      </c>
      <c r="H587" s="419">
        <v>0</v>
      </c>
      <c r="I587" s="419">
        <v>0</v>
      </c>
      <c r="J587" s="419">
        <v>0</v>
      </c>
      <c r="K587" s="419">
        <v>0</v>
      </c>
      <c r="L587" s="419">
        <v>0</v>
      </c>
      <c r="M587" s="419">
        <v>0</v>
      </c>
      <c r="N587" s="419">
        <v>0</v>
      </c>
      <c r="O587" s="419">
        <v>-5487.69</v>
      </c>
      <c r="P587" s="419">
        <v>-5487.69</v>
      </c>
      <c r="Q587" s="419">
        <v>-5487.69</v>
      </c>
      <c r="R587" s="419">
        <v>-5487.69</v>
      </c>
      <c r="S587" s="618">
        <f t="shared" si="120"/>
        <v>-2387.8545833333333</v>
      </c>
      <c r="T587" s="382"/>
      <c r="U587" s="833"/>
      <c r="V587" s="833"/>
      <c r="W587" s="833">
        <f t="shared" si="152"/>
        <v>-2387.8545833333333</v>
      </c>
      <c r="X587" s="425"/>
      <c r="Y587" s="833"/>
      <c r="Z587" s="833"/>
      <c r="AA587" s="833"/>
      <c r="AB587" s="833"/>
      <c r="AC587" s="835">
        <f t="shared" si="153"/>
        <v>-2387.8545833333333</v>
      </c>
      <c r="AD587" s="834"/>
      <c r="AE587" s="834"/>
      <c r="AF587" s="781">
        <f t="shared" si="142"/>
        <v>0</v>
      </c>
    </row>
    <row r="588" spans="1:32">
      <c r="A588" s="779">
        <f t="shared" si="144"/>
        <v>574</v>
      </c>
      <c r="B588" s="422" t="s">
        <v>1066</v>
      </c>
      <c r="C588" s="423" t="s">
        <v>664</v>
      </c>
      <c r="D588" s="423" t="s">
        <v>1363</v>
      </c>
      <c r="E588" s="763" t="s">
        <v>2097</v>
      </c>
      <c r="F588" s="419">
        <v>-6137.5</v>
      </c>
      <c r="G588" s="419">
        <v>-3532.72</v>
      </c>
      <c r="H588" s="419">
        <v>-3532.72</v>
      </c>
      <c r="I588" s="419">
        <v>-3532.72</v>
      </c>
      <c r="J588" s="419">
        <v>-3532.72</v>
      </c>
      <c r="K588" s="419">
        <v>-3532.72</v>
      </c>
      <c r="L588" s="419">
        <v>-13181.58</v>
      </c>
      <c r="M588" s="419">
        <v>-13181.58</v>
      </c>
      <c r="N588" s="419">
        <v>-5275.18</v>
      </c>
      <c r="O588" s="419">
        <v>-5275.18</v>
      </c>
      <c r="P588" s="419">
        <v>-8767.18</v>
      </c>
      <c r="Q588" s="419">
        <v>-8767.18</v>
      </c>
      <c r="R588" s="419">
        <v>-11067.2</v>
      </c>
      <c r="S588" s="618">
        <f t="shared" si="120"/>
        <v>-6726.1525000000011</v>
      </c>
      <c r="T588" s="382"/>
      <c r="U588" s="833"/>
      <c r="V588" s="833"/>
      <c r="W588" s="833">
        <f t="shared" si="152"/>
        <v>-6726.1525000000011</v>
      </c>
      <c r="X588" s="425"/>
      <c r="Y588" s="833"/>
      <c r="Z588" s="833"/>
      <c r="AA588" s="833"/>
      <c r="AB588" s="833"/>
      <c r="AC588" s="835">
        <f t="shared" si="153"/>
        <v>-6726.1525000000011</v>
      </c>
      <c r="AD588" s="834"/>
      <c r="AE588" s="834"/>
      <c r="AF588" s="781">
        <f t="shared" si="142"/>
        <v>0</v>
      </c>
    </row>
    <row r="589" spans="1:32">
      <c r="A589" s="779">
        <f t="shared" si="144"/>
        <v>575</v>
      </c>
      <c r="B589" s="423" t="s">
        <v>1066</v>
      </c>
      <c r="C589" s="423" t="s">
        <v>664</v>
      </c>
      <c r="D589" s="423" t="s">
        <v>1357</v>
      </c>
      <c r="E589" s="763" t="s">
        <v>2098</v>
      </c>
      <c r="F589" s="419">
        <v>-156.63999999999999</v>
      </c>
      <c r="G589" s="419">
        <v>0</v>
      </c>
      <c r="H589" s="419">
        <v>0</v>
      </c>
      <c r="I589" s="419">
        <v>-329.89</v>
      </c>
      <c r="J589" s="419">
        <v>-329.89</v>
      </c>
      <c r="K589" s="419">
        <v>-329.89</v>
      </c>
      <c r="L589" s="419">
        <v>-329.89</v>
      </c>
      <c r="M589" s="419">
        <v>-329.89</v>
      </c>
      <c r="N589" s="419">
        <v>-329.89</v>
      </c>
      <c r="O589" s="419">
        <v>-329.89</v>
      </c>
      <c r="P589" s="419">
        <v>-658.89</v>
      </c>
      <c r="Q589" s="419">
        <v>-658.89</v>
      </c>
      <c r="R589" s="419">
        <v>-658.89</v>
      </c>
      <c r="S589" s="618">
        <f t="shared" si="120"/>
        <v>-336.23124999999993</v>
      </c>
      <c r="T589" s="382"/>
      <c r="U589" s="833"/>
      <c r="V589" s="833"/>
      <c r="W589" s="833">
        <f t="shared" si="152"/>
        <v>-336.23124999999993</v>
      </c>
      <c r="X589" s="425"/>
      <c r="Y589" s="833"/>
      <c r="Z589" s="833"/>
      <c r="AA589" s="833"/>
      <c r="AB589" s="833"/>
      <c r="AC589" s="835">
        <f t="shared" si="153"/>
        <v>-336.23124999999993</v>
      </c>
      <c r="AD589" s="834"/>
      <c r="AE589" s="834"/>
      <c r="AF589" s="781">
        <f t="shared" si="142"/>
        <v>0</v>
      </c>
    </row>
    <row r="590" spans="1:32">
      <c r="A590" s="779">
        <f t="shared" si="144"/>
        <v>576</v>
      </c>
      <c r="B590" s="423" t="s">
        <v>1066</v>
      </c>
      <c r="C590" s="423" t="s">
        <v>664</v>
      </c>
      <c r="D590" s="423" t="s">
        <v>1355</v>
      </c>
      <c r="E590" s="763" t="s">
        <v>2074</v>
      </c>
      <c r="F590" s="419">
        <v>-740516.44</v>
      </c>
      <c r="G590" s="419">
        <v>-65882.55</v>
      </c>
      <c r="H590" s="419">
        <v>-144303.18</v>
      </c>
      <c r="I590" s="419">
        <v>-217864.52</v>
      </c>
      <c r="J590" s="419">
        <v>-285530.39</v>
      </c>
      <c r="K590" s="419">
        <v>-343671.4</v>
      </c>
      <c r="L590" s="419">
        <v>-393966.74</v>
      </c>
      <c r="M590" s="419">
        <v>-436317.27</v>
      </c>
      <c r="N590" s="419">
        <v>-483738.23</v>
      </c>
      <c r="O590" s="419">
        <v>-526231.4</v>
      </c>
      <c r="P590" s="419">
        <v>-585707.54</v>
      </c>
      <c r="Q590" s="419">
        <v>-636017.18000000005</v>
      </c>
      <c r="R590" s="419">
        <v>-686266.72</v>
      </c>
      <c r="S590" s="618">
        <f t="shared" si="120"/>
        <v>-402718.49833333335</v>
      </c>
      <c r="T590" s="382"/>
      <c r="U590" s="833"/>
      <c r="V590" s="833"/>
      <c r="W590" s="833">
        <f t="shared" si="152"/>
        <v>-402718.49833333335</v>
      </c>
      <c r="X590" s="425"/>
      <c r="Y590" s="833"/>
      <c r="Z590" s="833"/>
      <c r="AA590" s="833"/>
      <c r="AB590" s="833"/>
      <c r="AC590" s="835">
        <f t="shared" si="153"/>
        <v>-402718.49833333335</v>
      </c>
      <c r="AD590" s="834"/>
      <c r="AE590" s="834"/>
      <c r="AF590" s="781">
        <f t="shared" si="142"/>
        <v>0</v>
      </c>
    </row>
    <row r="591" spans="1:32">
      <c r="A591" s="779">
        <f t="shared" si="144"/>
        <v>577</v>
      </c>
      <c r="B591" s="423" t="s">
        <v>1066</v>
      </c>
      <c r="C591" s="423" t="s">
        <v>664</v>
      </c>
      <c r="D591" s="423" t="s">
        <v>1356</v>
      </c>
      <c r="E591" s="763" t="s">
        <v>2099</v>
      </c>
      <c r="F591" s="419">
        <v>-70225.66</v>
      </c>
      <c r="G591" s="419">
        <v>-2927.7</v>
      </c>
      <c r="H591" s="419">
        <v>-37554.959999999999</v>
      </c>
      <c r="I591" s="419">
        <v>-39551.919999999998</v>
      </c>
      <c r="J591" s="419">
        <v>-38248.97</v>
      </c>
      <c r="K591" s="419">
        <v>-40010.410000000003</v>
      </c>
      <c r="L591" s="419">
        <v>-7718.97</v>
      </c>
      <c r="M591" s="419">
        <v>-10427.64</v>
      </c>
      <c r="N591" s="419">
        <v>-67116.38</v>
      </c>
      <c r="O591" s="419">
        <v>-68067.62</v>
      </c>
      <c r="P591" s="419">
        <v>-69530.17</v>
      </c>
      <c r="Q591" s="419">
        <v>-79630.06</v>
      </c>
      <c r="R591" s="419">
        <v>-80723.89</v>
      </c>
      <c r="S591" s="618">
        <f t="shared" si="120"/>
        <v>-44688.297916666663</v>
      </c>
      <c r="T591" s="382"/>
      <c r="U591" s="833"/>
      <c r="V591" s="833"/>
      <c r="W591" s="833">
        <f t="shared" si="152"/>
        <v>-44688.297916666663</v>
      </c>
      <c r="X591" s="425"/>
      <c r="Y591" s="833"/>
      <c r="Z591" s="833"/>
      <c r="AA591" s="833"/>
      <c r="AB591" s="833"/>
      <c r="AC591" s="835">
        <f t="shared" si="153"/>
        <v>-44688.297916666663</v>
      </c>
      <c r="AD591" s="834"/>
      <c r="AE591" s="834"/>
      <c r="AF591" s="781">
        <f t="shared" ref="AF591:AF630" si="154">+U591+V591-AD591</f>
        <v>0</v>
      </c>
    </row>
    <row r="592" spans="1:32">
      <c r="A592" s="779">
        <f t="shared" si="144"/>
        <v>578</v>
      </c>
      <c r="B592" s="422" t="s">
        <v>1066</v>
      </c>
      <c r="C592" s="423" t="s">
        <v>664</v>
      </c>
      <c r="D592" s="423" t="s">
        <v>1358</v>
      </c>
      <c r="E592" s="763" t="s">
        <v>665</v>
      </c>
      <c r="F592" s="419">
        <v>0</v>
      </c>
      <c r="G592" s="419">
        <v>0</v>
      </c>
      <c r="H592" s="419">
        <v>0</v>
      </c>
      <c r="I592" s="419">
        <v>0</v>
      </c>
      <c r="J592" s="419">
        <v>0</v>
      </c>
      <c r="K592" s="419">
        <v>0</v>
      </c>
      <c r="L592" s="419">
        <v>0</v>
      </c>
      <c r="M592" s="419">
        <v>0</v>
      </c>
      <c r="N592" s="419">
        <v>0</v>
      </c>
      <c r="O592" s="419">
        <v>0</v>
      </c>
      <c r="P592" s="419">
        <v>0</v>
      </c>
      <c r="Q592" s="419">
        <v>0</v>
      </c>
      <c r="R592" s="419">
        <v>0</v>
      </c>
      <c r="S592" s="618">
        <f t="shared" si="120"/>
        <v>0</v>
      </c>
      <c r="T592" s="382"/>
      <c r="U592" s="833"/>
      <c r="V592" s="833"/>
      <c r="W592" s="833">
        <f t="shared" si="152"/>
        <v>0</v>
      </c>
      <c r="X592" s="425"/>
      <c r="Y592" s="833"/>
      <c r="Z592" s="833"/>
      <c r="AA592" s="833"/>
      <c r="AB592" s="833"/>
      <c r="AC592" s="835">
        <f t="shared" si="153"/>
        <v>0</v>
      </c>
      <c r="AD592" s="834"/>
      <c r="AE592" s="834"/>
      <c r="AF592" s="781">
        <f t="shared" si="154"/>
        <v>0</v>
      </c>
    </row>
    <row r="593" spans="1:32">
      <c r="A593" s="779">
        <f t="shared" ref="A593:A642" si="155">+A592+1</f>
        <v>579</v>
      </c>
      <c r="B593" s="422" t="s">
        <v>1094</v>
      </c>
      <c r="C593" s="423" t="s">
        <v>136</v>
      </c>
      <c r="D593" s="423" t="s">
        <v>1359</v>
      </c>
      <c r="E593" s="763" t="s">
        <v>2076</v>
      </c>
      <c r="F593" s="419">
        <v>-2778048.72</v>
      </c>
      <c r="G593" s="419">
        <v>-229406.92</v>
      </c>
      <c r="H593" s="419">
        <v>-467039.48</v>
      </c>
      <c r="I593" s="419">
        <v>-681228.32</v>
      </c>
      <c r="J593" s="419">
        <v>-925529.04</v>
      </c>
      <c r="K593" s="419">
        <v>-1146149.8799999999</v>
      </c>
      <c r="L593" s="419">
        <v>-1354781.87</v>
      </c>
      <c r="M593" s="419">
        <v>-1587018.59</v>
      </c>
      <c r="N593" s="419">
        <v>-1801700.4</v>
      </c>
      <c r="O593" s="419">
        <v>-2013304.46</v>
      </c>
      <c r="P593" s="419">
        <v>-2241309.0299999998</v>
      </c>
      <c r="Q593" s="419">
        <v>-2485934.63</v>
      </c>
      <c r="R593" s="419">
        <v>-2711571.86</v>
      </c>
      <c r="S593" s="618">
        <f t="shared" si="120"/>
        <v>-1473184.4091666667</v>
      </c>
      <c r="T593" s="382"/>
      <c r="U593" s="833"/>
      <c r="V593" s="833"/>
      <c r="W593" s="833">
        <f t="shared" si="152"/>
        <v>-1473184.4091666667</v>
      </c>
      <c r="X593" s="425"/>
      <c r="Y593" s="833"/>
      <c r="Z593" s="833"/>
      <c r="AA593" s="833"/>
      <c r="AB593" s="833"/>
      <c r="AC593" s="835">
        <f t="shared" si="153"/>
        <v>-1473184.4091666667</v>
      </c>
      <c r="AD593" s="834"/>
      <c r="AE593" s="834"/>
      <c r="AF593" s="781">
        <f t="shared" si="154"/>
        <v>0</v>
      </c>
    </row>
    <row r="594" spans="1:32">
      <c r="A594" s="779">
        <f t="shared" si="155"/>
        <v>580</v>
      </c>
      <c r="B594" s="423" t="s">
        <v>1094</v>
      </c>
      <c r="C594" s="423" t="s">
        <v>136</v>
      </c>
      <c r="D594" s="423" t="s">
        <v>1360</v>
      </c>
      <c r="E594" s="763" t="s">
        <v>2077</v>
      </c>
      <c r="F594" s="419">
        <v>-1330806.24</v>
      </c>
      <c r="G594" s="419">
        <v>-125987.21</v>
      </c>
      <c r="H594" s="419">
        <v>-238040.8</v>
      </c>
      <c r="I594" s="419">
        <v>-349941.51</v>
      </c>
      <c r="J594" s="419">
        <v>-461660.46</v>
      </c>
      <c r="K594" s="419">
        <v>-576220.35</v>
      </c>
      <c r="L594" s="419">
        <v>-680236.43</v>
      </c>
      <c r="M594" s="419">
        <v>-782803.18</v>
      </c>
      <c r="N594" s="419">
        <v>-910580.12</v>
      </c>
      <c r="O594" s="419">
        <v>-1040911.8</v>
      </c>
      <c r="P594" s="419">
        <v>-1171761.24</v>
      </c>
      <c r="Q594" s="419">
        <v>-1296738.67</v>
      </c>
      <c r="R594" s="419">
        <v>-1423332.79</v>
      </c>
      <c r="S594" s="618">
        <f t="shared" si="120"/>
        <v>-750995.94041666668</v>
      </c>
      <c r="T594" s="382"/>
      <c r="U594" s="833"/>
      <c r="V594" s="833"/>
      <c r="W594" s="833">
        <f t="shared" si="152"/>
        <v>-750995.94041666668</v>
      </c>
      <c r="X594" s="425"/>
      <c r="Y594" s="833"/>
      <c r="Z594" s="833"/>
      <c r="AA594" s="833"/>
      <c r="AB594" s="833"/>
      <c r="AC594" s="835">
        <f t="shared" si="153"/>
        <v>-750995.94041666668</v>
      </c>
      <c r="AD594" s="834"/>
      <c r="AE594" s="834"/>
      <c r="AF594" s="781">
        <f t="shared" si="154"/>
        <v>0</v>
      </c>
    </row>
    <row r="595" spans="1:32">
      <c r="A595" s="779">
        <f t="shared" si="155"/>
        <v>581</v>
      </c>
      <c r="B595" s="423" t="s">
        <v>1066</v>
      </c>
      <c r="C595" s="423" t="s">
        <v>136</v>
      </c>
      <c r="D595" s="423" t="s">
        <v>1359</v>
      </c>
      <c r="E595" s="763" t="s">
        <v>2076</v>
      </c>
      <c r="F595" s="419">
        <v>-15382401.83</v>
      </c>
      <c r="G595" s="419">
        <v>-1396996.68</v>
      </c>
      <c r="H595" s="419">
        <v>-2791081.95</v>
      </c>
      <c r="I595" s="419">
        <v>-4117761.08</v>
      </c>
      <c r="J595" s="419">
        <v>-5462306</v>
      </c>
      <c r="K595" s="419">
        <v>-6725802.7999999998</v>
      </c>
      <c r="L595" s="419">
        <v>-7951643.6299999999</v>
      </c>
      <c r="M595" s="419">
        <v>-9173851.8200000003</v>
      </c>
      <c r="N595" s="419">
        <v>-10402501.810000001</v>
      </c>
      <c r="O595" s="419">
        <v>-11605972.09</v>
      </c>
      <c r="P595" s="419">
        <v>-12811671.23</v>
      </c>
      <c r="Q595" s="419">
        <v>-14153157.01</v>
      </c>
      <c r="R595" s="419">
        <v>-15401260.67</v>
      </c>
      <c r="S595" s="618">
        <f t="shared" si="120"/>
        <v>-8498714.7791666668</v>
      </c>
      <c r="T595" s="382"/>
      <c r="U595" s="833"/>
      <c r="V595" s="833"/>
      <c r="W595" s="833">
        <f t="shared" si="152"/>
        <v>-8498714.7791666668</v>
      </c>
      <c r="X595" s="425"/>
      <c r="Y595" s="833"/>
      <c r="Z595" s="833"/>
      <c r="AA595" s="833"/>
      <c r="AB595" s="833"/>
      <c r="AC595" s="835">
        <f t="shared" si="153"/>
        <v>-8498714.7791666668</v>
      </c>
      <c r="AD595" s="834"/>
      <c r="AE595" s="834"/>
      <c r="AF595" s="781">
        <f t="shared" si="154"/>
        <v>0</v>
      </c>
    </row>
    <row r="596" spans="1:32">
      <c r="A596" s="779">
        <f t="shared" si="155"/>
        <v>582</v>
      </c>
      <c r="B596" s="422" t="s">
        <v>1066</v>
      </c>
      <c r="C596" s="423" t="s">
        <v>136</v>
      </c>
      <c r="D596" s="423" t="s">
        <v>1361</v>
      </c>
      <c r="E596" s="763" t="s">
        <v>666</v>
      </c>
      <c r="F596" s="419">
        <v>0</v>
      </c>
      <c r="G596" s="419">
        <v>0</v>
      </c>
      <c r="H596" s="419">
        <v>0</v>
      </c>
      <c r="I596" s="419">
        <v>0</v>
      </c>
      <c r="J596" s="419">
        <v>0</v>
      </c>
      <c r="K596" s="419">
        <v>0</v>
      </c>
      <c r="L596" s="419">
        <v>0</v>
      </c>
      <c r="M596" s="419">
        <v>0</v>
      </c>
      <c r="N596" s="419">
        <v>0</v>
      </c>
      <c r="O596" s="419">
        <v>0</v>
      </c>
      <c r="P596" s="419">
        <v>0</v>
      </c>
      <c r="Q596" s="419">
        <v>0</v>
      </c>
      <c r="R596" s="419">
        <v>0</v>
      </c>
      <c r="S596" s="618">
        <f t="shared" si="120"/>
        <v>0</v>
      </c>
      <c r="T596" s="382"/>
      <c r="U596" s="833"/>
      <c r="V596" s="833"/>
      <c r="W596" s="833">
        <f t="shared" si="152"/>
        <v>0</v>
      </c>
      <c r="X596" s="425"/>
      <c r="Y596" s="833"/>
      <c r="Z596" s="833"/>
      <c r="AA596" s="833"/>
      <c r="AB596" s="833"/>
      <c r="AC596" s="835">
        <f t="shared" si="153"/>
        <v>0</v>
      </c>
      <c r="AD596" s="834"/>
      <c r="AE596" s="834"/>
      <c r="AF596" s="781">
        <f t="shared" si="154"/>
        <v>0</v>
      </c>
    </row>
    <row r="597" spans="1:32">
      <c r="A597" s="779">
        <f t="shared" si="155"/>
        <v>583</v>
      </c>
      <c r="B597" s="422" t="s">
        <v>1066</v>
      </c>
      <c r="C597" s="423" t="s">
        <v>136</v>
      </c>
      <c r="D597" s="423" t="s">
        <v>1360</v>
      </c>
      <c r="E597" s="763" t="s">
        <v>2077</v>
      </c>
      <c r="F597" s="419">
        <v>-7877233.04</v>
      </c>
      <c r="G597" s="419">
        <v>-716310.76</v>
      </c>
      <c r="H597" s="419">
        <v>-1293299.27</v>
      </c>
      <c r="I597" s="419">
        <v>-1922493.6</v>
      </c>
      <c r="J597" s="419">
        <v>-2569800.59</v>
      </c>
      <c r="K597" s="419">
        <v>-3152058.56</v>
      </c>
      <c r="L597" s="419">
        <v>-3768389.48</v>
      </c>
      <c r="M597" s="419">
        <v>-4354963.47</v>
      </c>
      <c r="N597" s="419">
        <v>-5266501.08</v>
      </c>
      <c r="O597" s="419">
        <v>-6085514.6100000003</v>
      </c>
      <c r="P597" s="419">
        <v>-6635179.6500000004</v>
      </c>
      <c r="Q597" s="419">
        <v>-7227305.8200000003</v>
      </c>
      <c r="R597" s="419">
        <v>-7759181.6299999999</v>
      </c>
      <c r="S597" s="618">
        <f t="shared" si="120"/>
        <v>-4234168.6854166668</v>
      </c>
      <c r="T597" s="382"/>
      <c r="U597" s="833"/>
      <c r="V597" s="833"/>
      <c r="W597" s="833">
        <f t="shared" si="152"/>
        <v>-4234168.6854166668</v>
      </c>
      <c r="X597" s="425"/>
      <c r="Y597" s="833"/>
      <c r="Z597" s="833"/>
      <c r="AA597" s="833"/>
      <c r="AB597" s="833"/>
      <c r="AC597" s="835">
        <f t="shared" si="153"/>
        <v>-4234168.6854166668</v>
      </c>
      <c r="AD597" s="834"/>
      <c r="AE597" s="834"/>
      <c r="AF597" s="781">
        <f t="shared" si="154"/>
        <v>0</v>
      </c>
    </row>
    <row r="598" spans="1:32">
      <c r="A598" s="779">
        <f t="shared" si="155"/>
        <v>584</v>
      </c>
      <c r="B598" s="423" t="s">
        <v>1094</v>
      </c>
      <c r="C598" s="423" t="s">
        <v>667</v>
      </c>
      <c r="D598" s="422" t="s">
        <v>1359</v>
      </c>
      <c r="E598" s="763" t="s">
        <v>2078</v>
      </c>
      <c r="F598" s="419">
        <v>1469.33</v>
      </c>
      <c r="G598" s="419">
        <v>-8385.5300000000007</v>
      </c>
      <c r="H598" s="419">
        <v>14163.45</v>
      </c>
      <c r="I598" s="419">
        <v>-15417.18</v>
      </c>
      <c r="J598" s="419">
        <v>8461.83</v>
      </c>
      <c r="K598" s="419">
        <v>20040.599999999999</v>
      </c>
      <c r="L598" s="419">
        <v>2075.5300000000002</v>
      </c>
      <c r="M598" s="419">
        <v>14378.51</v>
      </c>
      <c r="N598" s="419">
        <v>17179.16</v>
      </c>
      <c r="O598" s="419">
        <v>868.4</v>
      </c>
      <c r="P598" s="419">
        <v>-14157.58</v>
      </c>
      <c r="Q598" s="419">
        <v>5042.3900000000003</v>
      </c>
      <c r="R598" s="419">
        <v>14614.39</v>
      </c>
      <c r="S598" s="618">
        <f t="shared" si="120"/>
        <v>4357.62</v>
      </c>
      <c r="T598" s="382"/>
      <c r="U598" s="833"/>
      <c r="V598" s="833"/>
      <c r="W598" s="833">
        <f t="shared" si="152"/>
        <v>4357.62</v>
      </c>
      <c r="X598" s="425"/>
      <c r="Y598" s="833"/>
      <c r="Z598" s="833"/>
      <c r="AA598" s="833"/>
      <c r="AB598" s="833"/>
      <c r="AC598" s="835">
        <f t="shared" si="153"/>
        <v>4357.62</v>
      </c>
      <c r="AD598" s="834"/>
      <c r="AE598" s="834"/>
      <c r="AF598" s="781">
        <f t="shared" si="154"/>
        <v>0</v>
      </c>
    </row>
    <row r="599" spans="1:32">
      <c r="A599" s="779">
        <f t="shared" si="155"/>
        <v>585</v>
      </c>
      <c r="B599" s="657" t="s">
        <v>1094</v>
      </c>
      <c r="C599" s="423" t="s">
        <v>667</v>
      </c>
      <c r="D599" s="422" t="s">
        <v>1360</v>
      </c>
      <c r="E599" s="769" t="s">
        <v>2079</v>
      </c>
      <c r="F599" s="419">
        <v>-7497.84</v>
      </c>
      <c r="G599" s="419">
        <v>13933.62</v>
      </c>
      <c r="H599" s="419">
        <v>14086.5</v>
      </c>
      <c r="I599" s="419">
        <v>14268.26</v>
      </c>
      <c r="J599" s="419">
        <v>11427.32</v>
      </c>
      <c r="K599" s="419">
        <v>21971.13</v>
      </c>
      <c r="L599" s="419">
        <v>23420.46</v>
      </c>
      <c r="M599" s="419">
        <v>-1789.73</v>
      </c>
      <c r="N599" s="419">
        <v>-4674.03</v>
      </c>
      <c r="O599" s="419">
        <v>-4862.2299999999996</v>
      </c>
      <c r="P599" s="419">
        <v>1009.78</v>
      </c>
      <c r="Q599" s="419">
        <v>-606.90999999999894</v>
      </c>
      <c r="R599" s="419">
        <v>-5388.73</v>
      </c>
      <c r="S599" s="618">
        <f t="shared" si="120"/>
        <v>6811.7404166666674</v>
      </c>
      <c r="T599" s="382"/>
      <c r="U599" s="833"/>
      <c r="V599" s="833"/>
      <c r="W599" s="833">
        <f t="shared" si="152"/>
        <v>6811.7404166666674</v>
      </c>
      <c r="X599" s="425"/>
      <c r="Y599" s="833"/>
      <c r="Z599" s="833"/>
      <c r="AA599" s="833"/>
      <c r="AB599" s="833"/>
      <c r="AC599" s="835">
        <f t="shared" si="153"/>
        <v>6811.7404166666674</v>
      </c>
      <c r="AD599" s="834"/>
      <c r="AE599" s="834"/>
      <c r="AF599" s="781">
        <f t="shared" si="154"/>
        <v>0</v>
      </c>
    </row>
    <row r="600" spans="1:32" s="2" customFormat="1">
      <c r="A600" s="779">
        <f t="shared" si="155"/>
        <v>586</v>
      </c>
      <c r="B600" s="657" t="s">
        <v>1066</v>
      </c>
      <c r="C600" s="423" t="s">
        <v>667</v>
      </c>
      <c r="D600" s="422" t="s">
        <v>1359</v>
      </c>
      <c r="E600" s="769" t="s">
        <v>2078</v>
      </c>
      <c r="F600" s="419">
        <v>3485.0900000000402</v>
      </c>
      <c r="G600" s="419">
        <v>-1559.25</v>
      </c>
      <c r="H600" s="419">
        <v>62963.97</v>
      </c>
      <c r="I600" s="419">
        <v>45114.81</v>
      </c>
      <c r="J600" s="419">
        <v>126109.18</v>
      </c>
      <c r="K600" s="419">
        <v>163775.91</v>
      </c>
      <c r="L600" s="419">
        <v>182304.12</v>
      </c>
      <c r="M600" s="419">
        <v>198089.31</v>
      </c>
      <c r="N600" s="419">
        <v>233749.77</v>
      </c>
      <c r="O600" s="419">
        <v>104712.17</v>
      </c>
      <c r="P600" s="419">
        <v>48170.17</v>
      </c>
      <c r="Q600" s="419">
        <v>140449.29999999999</v>
      </c>
      <c r="R600" s="419">
        <v>110797.96</v>
      </c>
      <c r="S600" s="618">
        <f t="shared" si="120"/>
        <v>113418.41541666666</v>
      </c>
      <c r="T600" s="382"/>
      <c r="U600" s="833"/>
      <c r="V600" s="833"/>
      <c r="W600" s="833">
        <f t="shared" si="152"/>
        <v>113418.41541666666</v>
      </c>
      <c r="X600" s="425"/>
      <c r="Y600" s="833"/>
      <c r="Z600" s="833"/>
      <c r="AA600" s="833"/>
      <c r="AB600" s="833"/>
      <c r="AC600" s="835">
        <f t="shared" si="153"/>
        <v>113418.41541666666</v>
      </c>
      <c r="AD600" s="834"/>
      <c r="AE600" s="834"/>
      <c r="AF600" s="781">
        <f t="shared" si="154"/>
        <v>0</v>
      </c>
    </row>
    <row r="601" spans="1:32" s="2" customFormat="1">
      <c r="A601" s="779">
        <f t="shared" si="155"/>
        <v>587</v>
      </c>
      <c r="B601" s="657" t="s">
        <v>1066</v>
      </c>
      <c r="C601" s="423" t="s">
        <v>667</v>
      </c>
      <c r="D601" s="422" t="s">
        <v>1360</v>
      </c>
      <c r="E601" s="769" t="s">
        <v>2079</v>
      </c>
      <c r="F601" s="419">
        <v>-18088.72</v>
      </c>
      <c r="G601" s="419">
        <v>139198.94</v>
      </c>
      <c r="H601" s="419">
        <v>87038.07</v>
      </c>
      <c r="I601" s="419">
        <v>68962.42</v>
      </c>
      <c r="J601" s="419">
        <v>133949.06</v>
      </c>
      <c r="K601" s="419">
        <v>99920.7</v>
      </c>
      <c r="L601" s="419">
        <v>133332.07</v>
      </c>
      <c r="M601" s="419">
        <v>-150281</v>
      </c>
      <c r="N601" s="419">
        <v>-12274.45</v>
      </c>
      <c r="O601" s="419">
        <v>78181.73</v>
      </c>
      <c r="P601" s="419">
        <v>124169.15</v>
      </c>
      <c r="Q601" s="419">
        <v>184277.85</v>
      </c>
      <c r="R601" s="419">
        <v>43315.199999999997</v>
      </c>
      <c r="S601" s="618">
        <f t="shared" si="120"/>
        <v>74923.981666666674</v>
      </c>
      <c r="T601" s="382"/>
      <c r="U601" s="833"/>
      <c r="V601" s="833"/>
      <c r="W601" s="833">
        <f t="shared" si="152"/>
        <v>74923.981666666674</v>
      </c>
      <c r="X601" s="425"/>
      <c r="Y601" s="833"/>
      <c r="Z601" s="833"/>
      <c r="AA601" s="833"/>
      <c r="AB601" s="833"/>
      <c r="AC601" s="835">
        <f t="shared" si="153"/>
        <v>74923.981666666674</v>
      </c>
      <c r="AD601" s="834"/>
      <c r="AE601" s="834"/>
      <c r="AF601" s="781">
        <f t="shared" si="154"/>
        <v>0</v>
      </c>
    </row>
    <row r="602" spans="1:32" s="2" customFormat="1">
      <c r="A602" s="779">
        <f t="shared" si="155"/>
        <v>588</v>
      </c>
      <c r="B602" s="657">
        <v>47</v>
      </c>
      <c r="C602" s="423" t="s">
        <v>138</v>
      </c>
      <c r="D602" s="422"/>
      <c r="E602" s="769" t="s">
        <v>668</v>
      </c>
      <c r="F602" s="419">
        <v>0</v>
      </c>
      <c r="G602" s="419">
        <v>0</v>
      </c>
      <c r="H602" s="419">
        <v>0</v>
      </c>
      <c r="I602" s="419">
        <v>0</v>
      </c>
      <c r="J602" s="419">
        <v>0</v>
      </c>
      <c r="K602" s="419">
        <v>0</v>
      </c>
      <c r="L602" s="419">
        <v>0</v>
      </c>
      <c r="M602" s="419">
        <v>0</v>
      </c>
      <c r="N602" s="419">
        <v>0</v>
      </c>
      <c r="O602" s="419">
        <v>0</v>
      </c>
      <c r="P602" s="419">
        <v>0</v>
      </c>
      <c r="Q602" s="419">
        <v>0</v>
      </c>
      <c r="R602" s="419">
        <v>0</v>
      </c>
      <c r="S602" s="618">
        <f t="shared" si="120"/>
        <v>0</v>
      </c>
      <c r="T602" s="382"/>
      <c r="U602" s="833"/>
      <c r="V602" s="833"/>
      <c r="W602" s="833">
        <f t="shared" si="152"/>
        <v>0</v>
      </c>
      <c r="X602" s="425"/>
      <c r="Y602" s="833"/>
      <c r="Z602" s="833"/>
      <c r="AA602" s="833"/>
      <c r="AB602" s="833"/>
      <c r="AC602" s="835">
        <f t="shared" si="153"/>
        <v>0</v>
      </c>
      <c r="AD602" s="834"/>
      <c r="AE602" s="834"/>
      <c r="AF602" s="781">
        <f t="shared" si="154"/>
        <v>0</v>
      </c>
    </row>
    <row r="603" spans="1:32" s="2" customFormat="1">
      <c r="A603" s="779">
        <f t="shared" si="155"/>
        <v>589</v>
      </c>
      <c r="B603" s="657" t="s">
        <v>1094</v>
      </c>
      <c r="C603" s="423" t="s">
        <v>138</v>
      </c>
      <c r="D603" s="422"/>
      <c r="E603" s="769" t="s">
        <v>668</v>
      </c>
      <c r="F603" s="419">
        <v>-12000</v>
      </c>
      <c r="G603" s="419">
        <v>-1000</v>
      </c>
      <c r="H603" s="419">
        <v>-2000</v>
      </c>
      <c r="I603" s="419">
        <v>-3000</v>
      </c>
      <c r="J603" s="419">
        <v>-3000</v>
      </c>
      <c r="K603" s="419">
        <v>-4000</v>
      </c>
      <c r="L603" s="419">
        <v>-5000</v>
      </c>
      <c r="M603" s="419">
        <v>-6000</v>
      </c>
      <c r="N603" s="419">
        <v>-8000</v>
      </c>
      <c r="O603" s="419">
        <v>-9000</v>
      </c>
      <c r="P603" s="419">
        <v>-9000</v>
      </c>
      <c r="Q603" s="419">
        <v>-10000</v>
      </c>
      <c r="R603" s="419">
        <v>-11000</v>
      </c>
      <c r="S603" s="618">
        <f t="shared" si="120"/>
        <v>-5958.333333333333</v>
      </c>
      <c r="T603" s="382"/>
      <c r="U603" s="833"/>
      <c r="V603" s="833"/>
      <c r="W603" s="833">
        <f t="shared" si="152"/>
        <v>-5958.333333333333</v>
      </c>
      <c r="X603" s="425"/>
      <c r="Y603" s="833"/>
      <c r="Z603" s="833"/>
      <c r="AA603" s="833"/>
      <c r="AB603" s="833"/>
      <c r="AC603" s="835">
        <f t="shared" si="153"/>
        <v>-5958.333333333333</v>
      </c>
      <c r="AD603" s="834"/>
      <c r="AE603" s="834"/>
      <c r="AF603" s="781">
        <f t="shared" si="154"/>
        <v>0</v>
      </c>
    </row>
    <row r="604" spans="1:32" s="2" customFormat="1">
      <c r="A604" s="779">
        <f t="shared" si="155"/>
        <v>590</v>
      </c>
      <c r="B604" s="657" t="s">
        <v>1066</v>
      </c>
      <c r="C604" s="423" t="s">
        <v>138</v>
      </c>
      <c r="D604" s="422"/>
      <c r="E604" s="769" t="s">
        <v>668</v>
      </c>
      <c r="F604" s="419">
        <v>-100</v>
      </c>
      <c r="G604" s="419">
        <v>0</v>
      </c>
      <c r="H604" s="419">
        <v>0</v>
      </c>
      <c r="I604" s="419">
        <v>0</v>
      </c>
      <c r="J604" s="419">
        <v>0</v>
      </c>
      <c r="K604" s="419">
        <v>-100</v>
      </c>
      <c r="L604" s="419">
        <v>-100</v>
      </c>
      <c r="M604" s="419">
        <v>-100</v>
      </c>
      <c r="N604" s="419">
        <v>-100</v>
      </c>
      <c r="O604" s="419">
        <v>-100</v>
      </c>
      <c r="P604" s="419">
        <v>-100</v>
      </c>
      <c r="Q604" s="419">
        <v>-100</v>
      </c>
      <c r="R604" s="419">
        <v>-100</v>
      </c>
      <c r="S604" s="618">
        <f t="shared" si="120"/>
        <v>-66.666666666666671</v>
      </c>
      <c r="T604" s="382"/>
      <c r="U604" s="833"/>
      <c r="V604" s="833"/>
      <c r="W604" s="833">
        <f t="shared" si="152"/>
        <v>-66.666666666666671</v>
      </c>
      <c r="X604" s="425"/>
      <c r="Y604" s="833"/>
      <c r="Z604" s="833"/>
      <c r="AA604" s="833"/>
      <c r="AB604" s="833"/>
      <c r="AC604" s="835">
        <f t="shared" si="153"/>
        <v>-66.666666666666671</v>
      </c>
      <c r="AD604" s="834"/>
      <c r="AE604" s="834"/>
      <c r="AF604" s="781">
        <f t="shared" si="154"/>
        <v>0</v>
      </c>
    </row>
    <row r="605" spans="1:32" s="2" customFormat="1">
      <c r="A605" s="779">
        <f t="shared" si="155"/>
        <v>591</v>
      </c>
      <c r="B605" s="657" t="s">
        <v>1063</v>
      </c>
      <c r="C605" s="423" t="s">
        <v>140</v>
      </c>
      <c r="D605" s="422"/>
      <c r="E605" s="769" t="s">
        <v>141</v>
      </c>
      <c r="F605" s="419">
        <v>-102396</v>
      </c>
      <c r="G605" s="419">
        <v>-9526</v>
      </c>
      <c r="H605" s="419">
        <v>-19052</v>
      </c>
      <c r="I605" s="419">
        <v>-28578</v>
      </c>
      <c r="J605" s="419">
        <v>-38104</v>
      </c>
      <c r="K605" s="419">
        <v>-47630</v>
      </c>
      <c r="L605" s="419">
        <v>-57156</v>
      </c>
      <c r="M605" s="419">
        <v>-66682</v>
      </c>
      <c r="N605" s="419">
        <v>-76208</v>
      </c>
      <c r="O605" s="419">
        <v>-85734</v>
      </c>
      <c r="P605" s="419">
        <v>-95260</v>
      </c>
      <c r="Q605" s="419">
        <v>-104786</v>
      </c>
      <c r="R605" s="419">
        <v>-114312</v>
      </c>
      <c r="S605" s="618">
        <f t="shared" si="120"/>
        <v>-61422.5</v>
      </c>
      <c r="T605" s="382"/>
      <c r="U605" s="833"/>
      <c r="V605" s="833"/>
      <c r="W605" s="833">
        <f t="shared" si="152"/>
        <v>-61422.5</v>
      </c>
      <c r="X605" s="425"/>
      <c r="Y605" s="833"/>
      <c r="Z605" s="833"/>
      <c r="AA605" s="833"/>
      <c r="AB605" s="833"/>
      <c r="AC605" s="835">
        <f t="shared" si="153"/>
        <v>-61422.5</v>
      </c>
      <c r="AD605" s="834"/>
      <c r="AE605" s="834"/>
      <c r="AF605" s="781">
        <f t="shared" si="154"/>
        <v>0</v>
      </c>
    </row>
    <row r="606" spans="1:32">
      <c r="A606" s="779">
        <f t="shared" si="155"/>
        <v>592</v>
      </c>
      <c r="B606" s="423" t="s">
        <v>1063</v>
      </c>
      <c r="C606" s="423" t="s">
        <v>142</v>
      </c>
      <c r="D606" s="423" t="s">
        <v>1362</v>
      </c>
      <c r="E606" s="763" t="s">
        <v>2062</v>
      </c>
      <c r="F606" s="419">
        <v>-40800.9</v>
      </c>
      <c r="G606" s="419">
        <v>-16411.45</v>
      </c>
      <c r="H606" s="419">
        <v>-16411.45</v>
      </c>
      <c r="I606" s="419">
        <v>-16411.45</v>
      </c>
      <c r="J606" s="419">
        <v>-16411.45</v>
      </c>
      <c r="K606" s="419">
        <v>-16411.45</v>
      </c>
      <c r="L606" s="419">
        <v>-16411.45</v>
      </c>
      <c r="M606" s="419">
        <v>-16411.45</v>
      </c>
      <c r="N606" s="419">
        <v>-55444.61</v>
      </c>
      <c r="O606" s="419">
        <v>-55444.61</v>
      </c>
      <c r="P606" s="419">
        <v>-56362.15</v>
      </c>
      <c r="Q606" s="419">
        <v>-56362.15</v>
      </c>
      <c r="R606" s="419">
        <v>-56362.15</v>
      </c>
      <c r="S606" s="618">
        <f t="shared" si="120"/>
        <v>-32256.266250000004</v>
      </c>
      <c r="T606" s="382"/>
      <c r="U606" s="833"/>
      <c r="V606" s="833"/>
      <c r="W606" s="833">
        <f t="shared" si="152"/>
        <v>-32256.266250000004</v>
      </c>
      <c r="X606" s="425"/>
      <c r="Y606" s="833"/>
      <c r="Z606" s="833"/>
      <c r="AA606" s="833"/>
      <c r="AB606" s="833"/>
      <c r="AC606" s="835">
        <f t="shared" si="153"/>
        <v>-32256.266250000004</v>
      </c>
      <c r="AD606" s="834"/>
      <c r="AE606" s="834"/>
      <c r="AF606" s="781">
        <f t="shared" si="154"/>
        <v>0</v>
      </c>
    </row>
    <row r="607" spans="1:32">
      <c r="A607" s="779">
        <f t="shared" si="155"/>
        <v>593</v>
      </c>
      <c r="B607" s="422" t="s">
        <v>1094</v>
      </c>
      <c r="C607" s="423" t="s">
        <v>142</v>
      </c>
      <c r="D607" s="423" t="s">
        <v>1363</v>
      </c>
      <c r="E607" s="763" t="s">
        <v>2080</v>
      </c>
      <c r="F607" s="419">
        <v>-21359.94</v>
      </c>
      <c r="G607" s="419">
        <v>0</v>
      </c>
      <c r="H607" s="419">
        <v>0</v>
      </c>
      <c r="I607" s="419">
        <v>0</v>
      </c>
      <c r="J607" s="419">
        <v>0</v>
      </c>
      <c r="K607" s="419">
        <v>0</v>
      </c>
      <c r="L607" s="419">
        <v>0</v>
      </c>
      <c r="M607" s="419">
        <v>0</v>
      </c>
      <c r="N607" s="419">
        <v>0</v>
      </c>
      <c r="O607" s="419">
        <v>0</v>
      </c>
      <c r="P607" s="419">
        <v>0</v>
      </c>
      <c r="Q607" s="419">
        <v>0</v>
      </c>
      <c r="R607" s="419">
        <v>0</v>
      </c>
      <c r="S607" s="618">
        <f t="shared" si="120"/>
        <v>-889.99749999999995</v>
      </c>
      <c r="T607" s="382"/>
      <c r="U607" s="833"/>
      <c r="V607" s="833"/>
      <c r="W607" s="833">
        <f t="shared" si="152"/>
        <v>-889.99749999999995</v>
      </c>
      <c r="X607" s="425"/>
      <c r="Y607" s="833"/>
      <c r="Z607" s="833"/>
      <c r="AA607" s="833"/>
      <c r="AB607" s="833"/>
      <c r="AC607" s="835">
        <f t="shared" si="153"/>
        <v>-889.99749999999995</v>
      </c>
      <c r="AD607" s="834"/>
      <c r="AE607" s="834"/>
      <c r="AF607" s="781">
        <f t="shared" si="154"/>
        <v>0</v>
      </c>
    </row>
    <row r="608" spans="1:32">
      <c r="A608" s="779">
        <f t="shared" si="155"/>
        <v>594</v>
      </c>
      <c r="B608" s="422" t="s">
        <v>1094</v>
      </c>
      <c r="C608" s="423" t="s">
        <v>142</v>
      </c>
      <c r="D608" s="423" t="s">
        <v>1362</v>
      </c>
      <c r="E608" s="763" t="s">
        <v>2062</v>
      </c>
      <c r="F608" s="419">
        <v>-800</v>
      </c>
      <c r="G608" s="419">
        <v>0</v>
      </c>
      <c r="H608" s="419">
        <v>0</v>
      </c>
      <c r="I608" s="419">
        <v>0</v>
      </c>
      <c r="J608" s="419">
        <v>0</v>
      </c>
      <c r="K608" s="419">
        <v>0</v>
      </c>
      <c r="L608" s="419">
        <v>0</v>
      </c>
      <c r="M608" s="419">
        <v>0</v>
      </c>
      <c r="N608" s="419">
        <v>-181</v>
      </c>
      <c r="O608" s="419">
        <v>-181</v>
      </c>
      <c r="P608" s="419">
        <v>-181</v>
      </c>
      <c r="Q608" s="419">
        <v>-381</v>
      </c>
      <c r="R608" s="419">
        <v>-973</v>
      </c>
      <c r="S608" s="618">
        <f t="shared" si="120"/>
        <v>-150.875</v>
      </c>
      <c r="T608" s="382"/>
      <c r="U608" s="833"/>
      <c r="V608" s="833"/>
      <c r="W608" s="833">
        <f t="shared" si="152"/>
        <v>-150.875</v>
      </c>
      <c r="X608" s="425"/>
      <c r="Y608" s="833"/>
      <c r="Z608" s="833"/>
      <c r="AA608" s="833"/>
      <c r="AB608" s="833"/>
      <c r="AC608" s="835">
        <f t="shared" si="153"/>
        <v>-150.875</v>
      </c>
      <c r="AD608" s="834"/>
      <c r="AE608" s="834"/>
      <c r="AF608" s="781">
        <f t="shared" si="154"/>
        <v>0</v>
      </c>
    </row>
    <row r="609" spans="1:32">
      <c r="A609" s="779">
        <f t="shared" si="155"/>
        <v>595</v>
      </c>
      <c r="B609" s="422" t="s">
        <v>1094</v>
      </c>
      <c r="C609" s="423" t="s">
        <v>142</v>
      </c>
      <c r="D609" s="423" t="s">
        <v>1357</v>
      </c>
      <c r="E609" s="763" t="s">
        <v>2081</v>
      </c>
      <c r="F609" s="419">
        <v>-428.4</v>
      </c>
      <c r="G609" s="419">
        <v>0</v>
      </c>
      <c r="H609" s="419">
        <v>0</v>
      </c>
      <c r="I609" s="419">
        <v>0</v>
      </c>
      <c r="J609" s="419">
        <v>-117</v>
      </c>
      <c r="K609" s="419">
        <v>-313.89999999999998</v>
      </c>
      <c r="L609" s="419">
        <v>-313.89999999999998</v>
      </c>
      <c r="M609" s="419">
        <v>-553.9</v>
      </c>
      <c r="N609" s="419">
        <v>-715.4</v>
      </c>
      <c r="O609" s="419">
        <v>-715.4</v>
      </c>
      <c r="P609" s="419">
        <v>-715.4</v>
      </c>
      <c r="Q609" s="419">
        <v>-715.4</v>
      </c>
      <c r="R609" s="419">
        <v>-715.4</v>
      </c>
      <c r="S609" s="618">
        <f t="shared" si="120"/>
        <v>-394.34999999999997</v>
      </c>
      <c r="T609" s="382"/>
      <c r="U609" s="833"/>
      <c r="V609" s="833"/>
      <c r="W609" s="833">
        <f t="shared" si="152"/>
        <v>-394.34999999999997</v>
      </c>
      <c r="X609" s="425"/>
      <c r="Y609" s="833"/>
      <c r="Z609" s="833"/>
      <c r="AA609" s="833"/>
      <c r="AB609" s="833"/>
      <c r="AC609" s="835">
        <f t="shared" si="153"/>
        <v>-394.34999999999997</v>
      </c>
      <c r="AD609" s="834"/>
      <c r="AE609" s="834"/>
      <c r="AF609" s="781">
        <f t="shared" si="154"/>
        <v>0</v>
      </c>
    </row>
    <row r="610" spans="1:32">
      <c r="A610" s="779">
        <f t="shared" si="155"/>
        <v>596</v>
      </c>
      <c r="B610" s="422" t="s">
        <v>1094</v>
      </c>
      <c r="C610" s="423" t="s">
        <v>142</v>
      </c>
      <c r="D610" s="423" t="s">
        <v>1356</v>
      </c>
      <c r="E610" s="763" t="s">
        <v>2082</v>
      </c>
      <c r="F610" s="419">
        <v>-11577.09</v>
      </c>
      <c r="G610" s="419">
        <v>-133.35</v>
      </c>
      <c r="H610" s="419">
        <v>-4923.09</v>
      </c>
      <c r="I610" s="419">
        <v>-9750.2199999999993</v>
      </c>
      <c r="J610" s="419">
        <v>-11660.67</v>
      </c>
      <c r="K610" s="419">
        <v>-17236.89</v>
      </c>
      <c r="L610" s="419">
        <v>-19902.990000000002</v>
      </c>
      <c r="M610" s="419">
        <v>-22873.89</v>
      </c>
      <c r="N610" s="419">
        <v>-22873.89</v>
      </c>
      <c r="O610" s="419">
        <v>-24572.48</v>
      </c>
      <c r="P610" s="419">
        <v>-24376.94</v>
      </c>
      <c r="Q610" s="419">
        <v>-30140.7</v>
      </c>
      <c r="R610" s="419">
        <v>-35828.370000000003</v>
      </c>
      <c r="S610" s="618">
        <f t="shared" si="120"/>
        <v>-17678.986666666668</v>
      </c>
      <c r="T610" s="382"/>
      <c r="U610" s="833"/>
      <c r="V610" s="833"/>
      <c r="W610" s="833">
        <f t="shared" si="152"/>
        <v>-17678.986666666668</v>
      </c>
      <c r="X610" s="425"/>
      <c r="Y610" s="833"/>
      <c r="Z610" s="833"/>
      <c r="AA610" s="833"/>
      <c r="AB610" s="833"/>
      <c r="AC610" s="835">
        <f t="shared" si="153"/>
        <v>-17678.986666666668</v>
      </c>
      <c r="AD610" s="834"/>
      <c r="AE610" s="834"/>
      <c r="AF610" s="781">
        <f t="shared" si="154"/>
        <v>0</v>
      </c>
    </row>
    <row r="611" spans="1:32">
      <c r="A611" s="779">
        <f t="shared" si="155"/>
        <v>597</v>
      </c>
      <c r="B611" s="422" t="s">
        <v>1066</v>
      </c>
      <c r="C611" s="423" t="s">
        <v>142</v>
      </c>
      <c r="D611" s="423" t="s">
        <v>1363</v>
      </c>
      <c r="E611" s="763" t="s">
        <v>2080</v>
      </c>
      <c r="F611" s="419">
        <v>-86350.24</v>
      </c>
      <c r="G611" s="419">
        <v>0</v>
      </c>
      <c r="H611" s="419">
        <v>0</v>
      </c>
      <c r="I611" s="419">
        <v>0</v>
      </c>
      <c r="J611" s="419">
        <v>-2015.63</v>
      </c>
      <c r="K611" s="419">
        <v>-2015.63</v>
      </c>
      <c r="L611" s="419">
        <v>-2015.63</v>
      </c>
      <c r="M611" s="419">
        <v>-2015.63</v>
      </c>
      <c r="N611" s="419">
        <v>-2015.63</v>
      </c>
      <c r="O611" s="419">
        <v>-4308.71</v>
      </c>
      <c r="P611" s="419">
        <v>-2249.67</v>
      </c>
      <c r="Q611" s="419">
        <v>-4068.63</v>
      </c>
      <c r="R611" s="419">
        <v>-4831.1899999999996</v>
      </c>
      <c r="S611" s="618">
        <f t="shared" si="120"/>
        <v>-5524.65625</v>
      </c>
      <c r="T611" s="382"/>
      <c r="U611" s="833"/>
      <c r="V611" s="833"/>
      <c r="W611" s="833">
        <f t="shared" si="152"/>
        <v>-5524.65625</v>
      </c>
      <c r="X611" s="425"/>
      <c r="Y611" s="833"/>
      <c r="Z611" s="833"/>
      <c r="AA611" s="833"/>
      <c r="AB611" s="833"/>
      <c r="AC611" s="835">
        <f t="shared" si="153"/>
        <v>-5524.65625</v>
      </c>
      <c r="AD611" s="834"/>
      <c r="AE611" s="834"/>
      <c r="AF611" s="781">
        <f t="shared" si="154"/>
        <v>0</v>
      </c>
    </row>
    <row r="612" spans="1:32">
      <c r="A612" s="779">
        <f t="shared" si="155"/>
        <v>598</v>
      </c>
      <c r="B612" s="422" t="s">
        <v>1066</v>
      </c>
      <c r="C612" s="423" t="s">
        <v>142</v>
      </c>
      <c r="D612" s="423" t="s">
        <v>1362</v>
      </c>
      <c r="E612" s="763" t="s">
        <v>2062</v>
      </c>
      <c r="F612" s="419">
        <v>-6430</v>
      </c>
      <c r="G612" s="419">
        <v>-530</v>
      </c>
      <c r="H612" s="419">
        <v>-1090</v>
      </c>
      <c r="I612" s="419">
        <v>902.47</v>
      </c>
      <c r="J612" s="419">
        <v>332.47</v>
      </c>
      <c r="K612" s="419">
        <v>-423.53</v>
      </c>
      <c r="L612" s="419">
        <v>-983.53</v>
      </c>
      <c r="M612" s="419">
        <v>-1814.03</v>
      </c>
      <c r="N612" s="419">
        <v>-2374.0300000000002</v>
      </c>
      <c r="O612" s="419">
        <v>-3084.03</v>
      </c>
      <c r="P612" s="419">
        <v>-3644.03</v>
      </c>
      <c r="Q612" s="419">
        <v>-4159.03</v>
      </c>
      <c r="R612" s="419">
        <v>-4853.8900000000003</v>
      </c>
      <c r="S612" s="618">
        <f t="shared" si="120"/>
        <v>-1875.7679166666667</v>
      </c>
      <c r="T612" s="382"/>
      <c r="U612" s="833"/>
      <c r="V612" s="833"/>
      <c r="W612" s="833">
        <f t="shared" si="152"/>
        <v>-1875.7679166666667</v>
      </c>
      <c r="X612" s="425"/>
      <c r="Y612" s="833"/>
      <c r="Z612" s="833"/>
      <c r="AA612" s="833"/>
      <c r="AB612" s="833"/>
      <c r="AC612" s="835">
        <f t="shared" si="153"/>
        <v>-1875.7679166666667</v>
      </c>
      <c r="AD612" s="834"/>
      <c r="AE612" s="834"/>
      <c r="AF612" s="781">
        <f t="shared" si="154"/>
        <v>0</v>
      </c>
    </row>
    <row r="613" spans="1:32">
      <c r="A613" s="779">
        <f t="shared" si="155"/>
        <v>599</v>
      </c>
      <c r="B613" s="422" t="s">
        <v>1066</v>
      </c>
      <c r="C613" s="423" t="s">
        <v>142</v>
      </c>
      <c r="D613" s="423" t="s">
        <v>1357</v>
      </c>
      <c r="E613" s="763" t="s">
        <v>2081</v>
      </c>
      <c r="F613" s="419">
        <v>-4379.97</v>
      </c>
      <c r="G613" s="419">
        <v>-249.64</v>
      </c>
      <c r="H613" s="419">
        <v>-249.64</v>
      </c>
      <c r="I613" s="419">
        <v>-249.64</v>
      </c>
      <c r="J613" s="419">
        <v>-649.15</v>
      </c>
      <c r="K613" s="419">
        <v>-1423.27</v>
      </c>
      <c r="L613" s="419">
        <v>-1743.48</v>
      </c>
      <c r="M613" s="419">
        <v>-1901.63</v>
      </c>
      <c r="N613" s="419">
        <v>-1934.99</v>
      </c>
      <c r="O613" s="419">
        <v>-1934.99</v>
      </c>
      <c r="P613" s="419">
        <v>-2210.0500000000002</v>
      </c>
      <c r="Q613" s="419">
        <v>-2210.0500000000002</v>
      </c>
      <c r="R613" s="419">
        <v>-2511.16</v>
      </c>
      <c r="S613" s="618">
        <f t="shared" si="120"/>
        <v>-1516.8412499999997</v>
      </c>
      <c r="T613" s="382"/>
      <c r="U613" s="833"/>
      <c r="V613" s="833"/>
      <c r="W613" s="833">
        <f t="shared" si="152"/>
        <v>-1516.8412499999997</v>
      </c>
      <c r="X613" s="425"/>
      <c r="Y613" s="833"/>
      <c r="Z613" s="833"/>
      <c r="AA613" s="833"/>
      <c r="AB613" s="833"/>
      <c r="AC613" s="835">
        <f t="shared" si="153"/>
        <v>-1516.8412499999997</v>
      </c>
      <c r="AD613" s="834"/>
      <c r="AE613" s="834"/>
      <c r="AF613" s="781">
        <f t="shared" si="154"/>
        <v>0</v>
      </c>
    </row>
    <row r="614" spans="1:32">
      <c r="A614" s="779">
        <f t="shared" si="155"/>
        <v>600</v>
      </c>
      <c r="B614" s="422" t="s">
        <v>1066</v>
      </c>
      <c r="C614" s="423" t="s">
        <v>142</v>
      </c>
      <c r="D614" s="423" t="s">
        <v>1356</v>
      </c>
      <c r="E614" s="763" t="s">
        <v>2082</v>
      </c>
      <c r="F614" s="419">
        <v>-18146.71</v>
      </c>
      <c r="G614" s="419">
        <v>579.23</v>
      </c>
      <c r="H614" s="419">
        <v>207.93</v>
      </c>
      <c r="I614" s="419">
        <v>207.93</v>
      </c>
      <c r="J614" s="419">
        <v>207.93</v>
      </c>
      <c r="K614" s="419">
        <v>-1744.61</v>
      </c>
      <c r="L614" s="419">
        <v>-7484.76</v>
      </c>
      <c r="M614" s="419">
        <v>-8236.24</v>
      </c>
      <c r="N614" s="419">
        <v>-8236.24</v>
      </c>
      <c r="O614" s="419">
        <v>-16295.58</v>
      </c>
      <c r="P614" s="419">
        <v>-17814.7</v>
      </c>
      <c r="Q614" s="419">
        <v>-17814.7</v>
      </c>
      <c r="R614" s="419">
        <v>-18478</v>
      </c>
      <c r="S614" s="618">
        <f t="shared" si="120"/>
        <v>-7894.6804166666661</v>
      </c>
      <c r="T614" s="382"/>
      <c r="U614" s="833"/>
      <c r="V614" s="833"/>
      <c r="W614" s="833">
        <f t="shared" si="152"/>
        <v>-7894.6804166666661</v>
      </c>
      <c r="X614" s="425"/>
      <c r="Y614" s="833"/>
      <c r="Z614" s="833"/>
      <c r="AA614" s="833"/>
      <c r="AB614" s="833"/>
      <c r="AC614" s="835">
        <f t="shared" si="153"/>
        <v>-7894.6804166666661</v>
      </c>
      <c r="AD614" s="834"/>
      <c r="AE614" s="834"/>
      <c r="AF614" s="781">
        <f t="shared" si="154"/>
        <v>0</v>
      </c>
    </row>
    <row r="615" spans="1:32" s="762" customFormat="1">
      <c r="A615" s="779">
        <f t="shared" si="155"/>
        <v>601</v>
      </c>
      <c r="B615" s="779" t="s">
        <v>1066</v>
      </c>
      <c r="C615" s="423">
        <v>4962</v>
      </c>
      <c r="D615" s="423"/>
      <c r="E615" s="763" t="s">
        <v>2083</v>
      </c>
      <c r="F615" s="776">
        <v>0</v>
      </c>
      <c r="G615" s="776">
        <v>0</v>
      </c>
      <c r="H615" s="776">
        <v>0</v>
      </c>
      <c r="I615" s="776">
        <v>0</v>
      </c>
      <c r="J615" s="776">
        <v>0</v>
      </c>
      <c r="K615" s="776">
        <v>1024987.67</v>
      </c>
      <c r="L615" s="776">
        <v>2562445.35</v>
      </c>
      <c r="M615" s="776">
        <v>2823417.12</v>
      </c>
      <c r="N615" s="776">
        <v>2713647.08</v>
      </c>
      <c r="O615" s="776">
        <v>2921067.71</v>
      </c>
      <c r="P615" s="776">
        <v>2630019.27</v>
      </c>
      <c r="Q615" s="776">
        <v>2707258.75</v>
      </c>
      <c r="R615" s="776">
        <v>2764815.37</v>
      </c>
      <c r="S615" s="618">
        <f t="shared" si="120"/>
        <v>1563770.8862499997</v>
      </c>
      <c r="T615" s="773"/>
      <c r="U615" s="833"/>
      <c r="V615" s="833"/>
      <c r="W615" s="833">
        <f t="shared" si="152"/>
        <v>1563770.8862499997</v>
      </c>
      <c r="X615" s="425"/>
      <c r="Y615" s="833"/>
      <c r="Z615" s="833"/>
      <c r="AA615" s="833"/>
      <c r="AB615" s="833"/>
      <c r="AC615" s="835">
        <f t="shared" si="153"/>
        <v>1563770.8862499997</v>
      </c>
      <c r="AD615" s="834"/>
      <c r="AE615" s="834"/>
      <c r="AF615" s="781">
        <f t="shared" si="154"/>
        <v>0</v>
      </c>
    </row>
    <row r="616" spans="1:32" s="762" customFormat="1">
      <c r="A616" s="779">
        <f t="shared" si="155"/>
        <v>602</v>
      </c>
      <c r="B616" s="779" t="s">
        <v>1066</v>
      </c>
      <c r="C616" s="423">
        <v>4962</v>
      </c>
      <c r="D616" s="423">
        <v>1</v>
      </c>
      <c r="E616" s="763" t="s">
        <v>2100</v>
      </c>
      <c r="F616" s="776">
        <v>0</v>
      </c>
      <c r="G616" s="776">
        <v>0</v>
      </c>
      <c r="H616" s="776">
        <v>0</v>
      </c>
      <c r="I616" s="776">
        <v>0</v>
      </c>
      <c r="J616" s="776">
        <v>0</v>
      </c>
      <c r="K616" s="776">
        <v>0</v>
      </c>
      <c r="L616" s="776">
        <v>0</v>
      </c>
      <c r="M616" s="776">
        <v>0</v>
      </c>
      <c r="N616" s="776">
        <v>0</v>
      </c>
      <c r="O616" s="776">
        <v>0</v>
      </c>
      <c r="P616" s="776">
        <v>0</v>
      </c>
      <c r="Q616" s="776">
        <v>-269663.46999999997</v>
      </c>
      <c r="R616" s="776">
        <v>-340090.29</v>
      </c>
      <c r="S616" s="618">
        <f t="shared" si="120"/>
        <v>-36642.384583333333</v>
      </c>
      <c r="T616" s="773"/>
      <c r="U616" s="833"/>
      <c r="V616" s="833"/>
      <c r="W616" s="833">
        <f t="shared" si="152"/>
        <v>-36642.384583333333</v>
      </c>
      <c r="X616" s="425"/>
      <c r="Y616" s="833"/>
      <c r="Z616" s="833"/>
      <c r="AA616" s="833"/>
      <c r="AB616" s="833"/>
      <c r="AC616" s="835">
        <f t="shared" si="153"/>
        <v>-36642.384583333333</v>
      </c>
      <c r="AD616" s="834"/>
      <c r="AE616" s="834"/>
      <c r="AF616" s="781">
        <f t="shared" si="154"/>
        <v>0</v>
      </c>
    </row>
    <row r="617" spans="1:32">
      <c r="A617" s="779">
        <f t="shared" si="155"/>
        <v>603</v>
      </c>
      <c r="B617" s="779" t="s">
        <v>1094</v>
      </c>
      <c r="C617" s="423">
        <v>4962</v>
      </c>
      <c r="D617" s="779"/>
      <c r="E617" s="763" t="s">
        <v>2083</v>
      </c>
      <c r="F617" s="776">
        <v>0</v>
      </c>
      <c r="G617" s="776">
        <v>249016.3</v>
      </c>
      <c r="H617" s="776">
        <v>450949.83</v>
      </c>
      <c r="I617" s="776">
        <v>621635.15</v>
      </c>
      <c r="J617" s="776">
        <v>740311.19</v>
      </c>
      <c r="K617" s="776">
        <v>821857.22</v>
      </c>
      <c r="L617" s="776">
        <v>876559.9</v>
      </c>
      <c r="M617" s="776">
        <v>1060867.32</v>
      </c>
      <c r="N617" s="776">
        <v>1113807.72</v>
      </c>
      <c r="O617" s="776">
        <v>1180527.78</v>
      </c>
      <c r="P617" s="776">
        <v>1310366.54</v>
      </c>
      <c r="Q617" s="776">
        <v>1529920.87</v>
      </c>
      <c r="R617" s="776">
        <v>1558019.97</v>
      </c>
      <c r="S617" s="618">
        <f>((F617+R617)+((G617+H617+I617+J617+K617+L617+M617+N617+O617+P617+Q617)*2))/24</f>
        <v>894569.15041666664</v>
      </c>
      <c r="T617" s="382"/>
      <c r="U617" s="833"/>
      <c r="V617" s="833"/>
      <c r="W617" s="833">
        <f t="shared" si="152"/>
        <v>894569.15041666664</v>
      </c>
      <c r="X617" s="425"/>
      <c r="Y617" s="833"/>
      <c r="Z617" s="833"/>
      <c r="AA617" s="833"/>
      <c r="AB617" s="833"/>
      <c r="AC617" s="835">
        <f t="shared" si="153"/>
        <v>894569.15041666664</v>
      </c>
      <c r="AD617" s="834"/>
      <c r="AE617" s="834"/>
      <c r="AF617" s="781">
        <f t="shared" si="154"/>
        <v>0</v>
      </c>
    </row>
    <row r="618" spans="1:32">
      <c r="A618" s="779">
        <f t="shared" si="155"/>
        <v>604</v>
      </c>
      <c r="B618" s="422" t="s">
        <v>382</v>
      </c>
      <c r="C618" s="423" t="s">
        <v>669</v>
      </c>
      <c r="D618" s="422" t="s">
        <v>382</v>
      </c>
      <c r="E618" s="763" t="s">
        <v>670</v>
      </c>
      <c r="F618" s="405">
        <v>0</v>
      </c>
      <c r="G618" s="405">
        <v>0</v>
      </c>
      <c r="H618" s="405">
        <v>0</v>
      </c>
      <c r="I618" s="405">
        <v>0</v>
      </c>
      <c r="J618" s="405">
        <v>0</v>
      </c>
      <c r="K618" s="405">
        <v>0</v>
      </c>
      <c r="L618" s="405">
        <v>0</v>
      </c>
      <c r="M618" s="405">
        <v>0</v>
      </c>
      <c r="N618" s="405">
        <v>0</v>
      </c>
      <c r="O618" s="405">
        <v>0</v>
      </c>
      <c r="P618" s="405">
        <v>0</v>
      </c>
      <c r="Q618" s="405">
        <v>0</v>
      </c>
      <c r="R618" s="405">
        <v>0</v>
      </c>
      <c r="S618" s="618">
        <f t="shared" si="120"/>
        <v>0</v>
      </c>
      <c r="T618" s="382"/>
      <c r="U618" s="833"/>
      <c r="V618" s="833"/>
      <c r="W618" s="833">
        <f t="shared" si="152"/>
        <v>0</v>
      </c>
      <c r="X618" s="425"/>
      <c r="Y618" s="833"/>
      <c r="Z618" s="833"/>
      <c r="AA618" s="833"/>
      <c r="AB618" s="833"/>
      <c r="AC618" s="835">
        <f t="shared" ref="AC618" si="156">+S618</f>
        <v>0</v>
      </c>
      <c r="AD618" s="834"/>
      <c r="AE618" s="834"/>
      <c r="AF618" s="781">
        <f t="shared" si="154"/>
        <v>0</v>
      </c>
    </row>
    <row r="619" spans="1:32">
      <c r="A619" s="779">
        <f t="shared" si="155"/>
        <v>605</v>
      </c>
      <c r="B619" s="422"/>
      <c r="C619" s="422"/>
      <c r="D619" s="422"/>
      <c r="E619" s="763" t="s">
        <v>671</v>
      </c>
      <c r="F619" s="394">
        <f t="shared" ref="F619:S619" si="157">SUM(F553:F618)</f>
        <v>-290448859.52999997</v>
      </c>
      <c r="G619" s="394">
        <f t="shared" si="157"/>
        <v>-42074780.050000034</v>
      </c>
      <c r="H619" s="394">
        <f t="shared" si="157"/>
        <v>-80353456.210000008</v>
      </c>
      <c r="I619" s="394">
        <f t="shared" si="157"/>
        <v>-112606187.80999996</v>
      </c>
      <c r="J619" s="394">
        <f t="shared" si="157"/>
        <v>-135250451.52999994</v>
      </c>
      <c r="K619" s="394">
        <f t="shared" si="157"/>
        <v>-148556889.53</v>
      </c>
      <c r="L619" s="394">
        <f t="shared" si="157"/>
        <v>-159303829.76999998</v>
      </c>
      <c r="M619" s="394">
        <f t="shared" si="157"/>
        <v>-170174304.17999995</v>
      </c>
      <c r="N619" s="394">
        <f t="shared" si="157"/>
        <v>-179340578.68999997</v>
      </c>
      <c r="O619" s="394">
        <f t="shared" si="157"/>
        <v>-192465442.19000015</v>
      </c>
      <c r="P619" s="394">
        <f t="shared" si="157"/>
        <v>-214219930.35000005</v>
      </c>
      <c r="Q619" s="394">
        <f t="shared" si="157"/>
        <v>-246305877.76999995</v>
      </c>
      <c r="R619" s="394">
        <f t="shared" si="157"/>
        <v>-286825672.86999995</v>
      </c>
      <c r="S619" s="620">
        <f t="shared" si="157"/>
        <v>-164107416.19000003</v>
      </c>
      <c r="T619" s="382"/>
      <c r="U619" s="833"/>
      <c r="V619" s="833"/>
      <c r="W619" s="833"/>
      <c r="X619" s="425"/>
      <c r="Y619" s="833"/>
      <c r="Z619" s="833"/>
      <c r="AA619" s="833"/>
      <c r="AB619" s="833"/>
      <c r="AC619" s="834"/>
      <c r="AD619" s="834"/>
      <c r="AE619" s="834"/>
      <c r="AF619" s="781">
        <f t="shared" si="154"/>
        <v>0</v>
      </c>
    </row>
    <row r="620" spans="1:32">
      <c r="A620" s="779">
        <f t="shared" si="155"/>
        <v>606</v>
      </c>
      <c r="B620" s="422"/>
      <c r="C620" s="422"/>
      <c r="D620" s="422"/>
      <c r="E620" s="763"/>
      <c r="F620" s="391"/>
      <c r="G620" s="420"/>
      <c r="H620" s="408"/>
      <c r="I620" s="408"/>
      <c r="J620" s="409"/>
      <c r="K620" s="410"/>
      <c r="L620" s="411"/>
      <c r="M620" s="412"/>
      <c r="N620" s="413"/>
      <c r="O620" s="414"/>
      <c r="P620" s="415"/>
      <c r="Q620" s="421"/>
      <c r="R620" s="391"/>
      <c r="S620" s="392"/>
      <c r="T620" s="382"/>
      <c r="U620" s="833"/>
      <c r="V620" s="833"/>
      <c r="W620" s="833"/>
      <c r="X620" s="425"/>
      <c r="Y620" s="833"/>
      <c r="Z620" s="833"/>
      <c r="AA620" s="833"/>
      <c r="AB620" s="833"/>
      <c r="AC620" s="834"/>
      <c r="AD620" s="834"/>
      <c r="AE620" s="834"/>
      <c r="AF620" s="781">
        <f t="shared" si="154"/>
        <v>0</v>
      </c>
    </row>
    <row r="621" spans="1:32">
      <c r="A621" s="779">
        <f t="shared" si="155"/>
        <v>607</v>
      </c>
      <c r="B621" s="423" t="s">
        <v>1063</v>
      </c>
      <c r="C621" s="423" t="s">
        <v>672</v>
      </c>
      <c r="D621" s="423" t="s">
        <v>1364</v>
      </c>
      <c r="E621" s="769" t="s">
        <v>338</v>
      </c>
      <c r="F621" s="419">
        <v>-17495.72</v>
      </c>
      <c r="G621" s="419">
        <v>-144.46</v>
      </c>
      <c r="H621" s="419">
        <v>-273.13</v>
      </c>
      <c r="I621" s="419">
        <v>-546.53</v>
      </c>
      <c r="J621" s="419">
        <v>-723.12</v>
      </c>
      <c r="K621" s="419">
        <v>-1354.89</v>
      </c>
      <c r="L621" s="419">
        <v>-1799.07</v>
      </c>
      <c r="M621" s="419">
        <v>-2289.64</v>
      </c>
      <c r="N621" s="419">
        <v>-2490.5</v>
      </c>
      <c r="O621" s="419">
        <v>-2694.17</v>
      </c>
      <c r="P621" s="419">
        <v>-2889.92</v>
      </c>
      <c r="Q621" s="419">
        <v>-3005.08</v>
      </c>
      <c r="R621" s="419">
        <v>-3011.09</v>
      </c>
      <c r="S621" s="618">
        <f t="shared" ref="S621:S631" si="158">((F621+R621)+((G621+H621+I621+J621+K621+L621+M621+N621+O621+P621+Q621)*2))/24</f>
        <v>-2371.9929166666666</v>
      </c>
      <c r="T621" s="382"/>
      <c r="U621" s="833"/>
      <c r="V621" s="833"/>
      <c r="W621" s="833">
        <f>+S621</f>
        <v>-2371.9929166666666</v>
      </c>
      <c r="X621" s="425"/>
      <c r="Y621" s="833"/>
      <c r="Z621" s="833"/>
      <c r="AA621" s="833"/>
      <c r="AB621" s="833"/>
      <c r="AC621" s="835">
        <f>+S621</f>
        <v>-2371.9929166666666</v>
      </c>
      <c r="AD621" s="834"/>
      <c r="AE621" s="834"/>
      <c r="AF621" s="781">
        <f t="shared" si="154"/>
        <v>0</v>
      </c>
    </row>
    <row r="622" spans="1:32" s="2" customFormat="1">
      <c r="A622" s="779">
        <f t="shared" si="155"/>
        <v>608</v>
      </c>
      <c r="B622" s="423" t="s">
        <v>1063</v>
      </c>
      <c r="C622" s="423" t="s">
        <v>672</v>
      </c>
      <c r="D622" s="423" t="s">
        <v>289</v>
      </c>
      <c r="E622" s="769" t="s">
        <v>2101</v>
      </c>
      <c r="F622" s="419">
        <v>0</v>
      </c>
      <c r="G622" s="419">
        <v>0</v>
      </c>
      <c r="H622" s="419">
        <v>0</v>
      </c>
      <c r="I622" s="419">
        <v>0</v>
      </c>
      <c r="J622" s="419">
        <v>0</v>
      </c>
      <c r="K622" s="419">
        <v>0</v>
      </c>
      <c r="L622" s="419">
        <v>0</v>
      </c>
      <c r="M622" s="419">
        <v>0</v>
      </c>
      <c r="N622" s="419">
        <v>0</v>
      </c>
      <c r="O622" s="419">
        <v>0</v>
      </c>
      <c r="P622" s="419">
        <v>-95.24</v>
      </c>
      <c r="Q622" s="419">
        <v>-404.94</v>
      </c>
      <c r="R622" s="419">
        <v>-859.68</v>
      </c>
      <c r="S622" s="618">
        <f t="shared" si="158"/>
        <v>-77.501666666666665</v>
      </c>
      <c r="T622" s="382"/>
      <c r="U622" s="833"/>
      <c r="V622" s="833"/>
      <c r="W622" s="833">
        <f>+S622</f>
        <v>-77.501666666666665</v>
      </c>
      <c r="X622" s="425"/>
      <c r="Y622" s="833"/>
      <c r="Z622" s="833"/>
      <c r="AA622" s="833"/>
      <c r="AB622" s="833"/>
      <c r="AC622" s="835">
        <f t="shared" ref="AC622:AC631" si="159">+S622</f>
        <v>-77.501666666666665</v>
      </c>
      <c r="AD622" s="834"/>
      <c r="AE622" s="834"/>
      <c r="AF622" s="781">
        <f t="shared" si="154"/>
        <v>0</v>
      </c>
    </row>
    <row r="623" spans="1:32">
      <c r="A623" s="779">
        <f t="shared" si="155"/>
        <v>609</v>
      </c>
      <c r="B623" s="423" t="s">
        <v>1094</v>
      </c>
      <c r="C623" s="423" t="s">
        <v>672</v>
      </c>
      <c r="D623" s="423" t="s">
        <v>1230</v>
      </c>
      <c r="E623" s="769" t="s">
        <v>2105</v>
      </c>
      <c r="F623" s="419">
        <v>-90398.98</v>
      </c>
      <c r="G623" s="419">
        <v>-757.05</v>
      </c>
      <c r="H623" s="419">
        <v>-2131.0500000000002</v>
      </c>
      <c r="I623" s="419">
        <v>-3623.45</v>
      </c>
      <c r="J623" s="419">
        <v>-5083.37</v>
      </c>
      <c r="K623" s="419">
        <v>-6401.18</v>
      </c>
      <c r="L623" s="419">
        <v>-7242.99</v>
      </c>
      <c r="M623" s="419">
        <v>-11546.6</v>
      </c>
      <c r="N623" s="419">
        <v>-14884.1</v>
      </c>
      <c r="O623" s="419">
        <v>-17186.59</v>
      </c>
      <c r="P623" s="419">
        <v>-33223.800000000003</v>
      </c>
      <c r="Q623" s="419">
        <v>-33425.25</v>
      </c>
      <c r="R623" s="419">
        <v>-36347.879999999997</v>
      </c>
      <c r="S623" s="618">
        <f t="shared" si="158"/>
        <v>-16573.238333333331</v>
      </c>
      <c r="T623" s="382"/>
      <c r="U623" s="833"/>
      <c r="V623" s="833"/>
      <c r="W623" s="833">
        <f t="shared" ref="W623:W631" si="160">+S623</f>
        <v>-16573.238333333331</v>
      </c>
      <c r="X623" s="425"/>
      <c r="Y623" s="833"/>
      <c r="Z623" s="833"/>
      <c r="AA623" s="833"/>
      <c r="AB623" s="833"/>
      <c r="AC623" s="835">
        <f t="shared" si="159"/>
        <v>-16573.238333333331</v>
      </c>
      <c r="AD623" s="834"/>
      <c r="AE623" s="834"/>
      <c r="AF623" s="781">
        <f t="shared" si="154"/>
        <v>0</v>
      </c>
    </row>
    <row r="624" spans="1:32">
      <c r="A624" s="779">
        <f t="shared" si="155"/>
        <v>610</v>
      </c>
      <c r="B624" s="423" t="s">
        <v>1094</v>
      </c>
      <c r="C624" s="423" t="s">
        <v>672</v>
      </c>
      <c r="D624" s="423" t="s">
        <v>1365</v>
      </c>
      <c r="E624" s="769" t="s">
        <v>2106</v>
      </c>
      <c r="F624" s="419">
        <v>0</v>
      </c>
      <c r="G624" s="419">
        <v>0</v>
      </c>
      <c r="H624" s="419">
        <v>0</v>
      </c>
      <c r="I624" s="419">
        <v>0</v>
      </c>
      <c r="J624" s="419">
        <v>0</v>
      </c>
      <c r="K624" s="419">
        <v>0</v>
      </c>
      <c r="L624" s="419">
        <v>0</v>
      </c>
      <c r="M624" s="419">
        <v>0</v>
      </c>
      <c r="N624" s="419">
        <v>-41302.46</v>
      </c>
      <c r="O624" s="419">
        <v>-41302.46</v>
      </c>
      <c r="P624" s="419">
        <v>-41381.79</v>
      </c>
      <c r="Q624" s="419">
        <v>-41381.79</v>
      </c>
      <c r="R624" s="419">
        <v>-48958.11</v>
      </c>
      <c r="S624" s="618">
        <f t="shared" si="158"/>
        <v>-15820.629583333333</v>
      </c>
      <c r="T624" s="382"/>
      <c r="U624" s="833"/>
      <c r="V624" s="833"/>
      <c r="W624" s="833">
        <f t="shared" si="160"/>
        <v>-15820.629583333333</v>
      </c>
      <c r="X624" s="425"/>
      <c r="Y624" s="833"/>
      <c r="Z624" s="833"/>
      <c r="AA624" s="833"/>
      <c r="AB624" s="833"/>
      <c r="AC624" s="835">
        <f t="shared" si="159"/>
        <v>-15820.629583333333</v>
      </c>
      <c r="AD624" s="834"/>
      <c r="AE624" s="834"/>
      <c r="AF624" s="781">
        <f t="shared" si="154"/>
        <v>0</v>
      </c>
    </row>
    <row r="625" spans="1:32">
      <c r="A625" s="779">
        <f t="shared" si="155"/>
        <v>611</v>
      </c>
      <c r="B625" s="423" t="s">
        <v>1066</v>
      </c>
      <c r="C625" s="423" t="s">
        <v>672</v>
      </c>
      <c r="D625" s="423" t="s">
        <v>1230</v>
      </c>
      <c r="E625" s="769" t="s">
        <v>2105</v>
      </c>
      <c r="F625" s="419">
        <v>-108362.1</v>
      </c>
      <c r="G625" s="419">
        <v>-6413.72</v>
      </c>
      <c r="H625" s="419">
        <v>-11283.03</v>
      </c>
      <c r="I625" s="419">
        <v>-19027</v>
      </c>
      <c r="J625" s="419">
        <v>-41659.03</v>
      </c>
      <c r="K625" s="419">
        <v>-43654.74</v>
      </c>
      <c r="L625" s="419">
        <v>-50016.99</v>
      </c>
      <c r="M625" s="419">
        <v>-55736.45</v>
      </c>
      <c r="N625" s="419">
        <v>-65583.5</v>
      </c>
      <c r="O625" s="419">
        <v>-72605.14</v>
      </c>
      <c r="P625" s="419">
        <v>-79020.929999999993</v>
      </c>
      <c r="Q625" s="419">
        <v>-82149.45</v>
      </c>
      <c r="R625" s="419">
        <v>-91231.87</v>
      </c>
      <c r="S625" s="618">
        <f t="shared" si="158"/>
        <v>-52245.580416666664</v>
      </c>
      <c r="T625" s="382"/>
      <c r="U625" s="833"/>
      <c r="V625" s="833"/>
      <c r="W625" s="833">
        <f t="shared" si="160"/>
        <v>-52245.580416666664</v>
      </c>
      <c r="X625" s="425"/>
      <c r="Y625" s="833"/>
      <c r="Z625" s="833"/>
      <c r="AA625" s="833"/>
      <c r="AB625" s="833"/>
      <c r="AC625" s="835">
        <f t="shared" si="159"/>
        <v>-52245.580416666664</v>
      </c>
      <c r="AD625" s="834"/>
      <c r="AE625" s="834"/>
      <c r="AF625" s="781">
        <f t="shared" si="154"/>
        <v>0</v>
      </c>
    </row>
    <row r="626" spans="1:32">
      <c r="A626" s="779">
        <f t="shared" si="155"/>
        <v>612</v>
      </c>
      <c r="B626" s="423" t="s">
        <v>1066</v>
      </c>
      <c r="C626" s="423" t="s">
        <v>672</v>
      </c>
      <c r="D626" s="423" t="s">
        <v>1365</v>
      </c>
      <c r="E626" s="769" t="s">
        <v>2106</v>
      </c>
      <c r="F626" s="419">
        <v>-352554.58</v>
      </c>
      <c r="G626" s="419">
        <v>-48568.65</v>
      </c>
      <c r="H626" s="419">
        <v>-78743.73</v>
      </c>
      <c r="I626" s="419">
        <v>-100059.17</v>
      </c>
      <c r="J626" s="419">
        <v>-108455.58</v>
      </c>
      <c r="K626" s="419">
        <v>-109392.93</v>
      </c>
      <c r="L626" s="419">
        <v>-112283.41</v>
      </c>
      <c r="M626" s="419">
        <v>-119393.89</v>
      </c>
      <c r="N626" s="419">
        <v>-133050.82999999999</v>
      </c>
      <c r="O626" s="419">
        <v>-157865.26999999999</v>
      </c>
      <c r="P626" s="419">
        <v>-190804.32</v>
      </c>
      <c r="Q626" s="419">
        <v>-253361.11</v>
      </c>
      <c r="R626" s="419">
        <v>-333259.12</v>
      </c>
      <c r="S626" s="618">
        <f t="shared" si="158"/>
        <v>-146240.47833333336</v>
      </c>
      <c r="T626" s="382"/>
      <c r="U626" s="833"/>
      <c r="V626" s="833"/>
      <c r="W626" s="833">
        <f t="shared" si="160"/>
        <v>-146240.47833333336</v>
      </c>
      <c r="X626" s="425"/>
      <c r="Y626" s="833"/>
      <c r="Z626" s="833"/>
      <c r="AA626" s="833"/>
      <c r="AB626" s="833"/>
      <c r="AC626" s="835">
        <f t="shared" si="159"/>
        <v>-146240.47833333336</v>
      </c>
      <c r="AD626" s="834"/>
      <c r="AE626" s="834"/>
      <c r="AF626" s="781">
        <f t="shared" si="154"/>
        <v>0</v>
      </c>
    </row>
    <row r="627" spans="1:32">
      <c r="A627" s="779">
        <f t="shared" si="155"/>
        <v>613</v>
      </c>
      <c r="B627" s="423" t="s">
        <v>1063</v>
      </c>
      <c r="C627" s="423" t="s">
        <v>673</v>
      </c>
      <c r="D627" s="422"/>
      <c r="E627" s="763" t="s">
        <v>674</v>
      </c>
      <c r="F627" s="419">
        <v>-2888.2</v>
      </c>
      <c r="G627" s="419">
        <v>-54.4</v>
      </c>
      <c r="H627" s="419">
        <v>-94.95</v>
      </c>
      <c r="I627" s="419">
        <v>-103.62</v>
      </c>
      <c r="J627" s="419">
        <v>-103.75</v>
      </c>
      <c r="K627" s="419">
        <v>-180.07</v>
      </c>
      <c r="L627" s="419">
        <v>-180.07</v>
      </c>
      <c r="M627" s="419">
        <v>-337.32</v>
      </c>
      <c r="N627" s="419">
        <v>-337.32</v>
      </c>
      <c r="O627" s="419">
        <v>-555.66999999999996</v>
      </c>
      <c r="P627" s="419">
        <v>-555.66999999999996</v>
      </c>
      <c r="Q627" s="419">
        <v>-555.66999999999996</v>
      </c>
      <c r="R627" s="419">
        <v>-555.79999999999995</v>
      </c>
      <c r="S627" s="618">
        <f t="shared" si="158"/>
        <v>-398.37583333333333</v>
      </c>
      <c r="T627" s="382"/>
      <c r="U627" s="833"/>
      <c r="V627" s="833"/>
      <c r="W627" s="833">
        <f t="shared" si="160"/>
        <v>-398.37583333333333</v>
      </c>
      <c r="X627" s="425"/>
      <c r="Y627" s="833"/>
      <c r="Z627" s="833"/>
      <c r="AA627" s="833"/>
      <c r="AB627" s="833"/>
      <c r="AC627" s="835">
        <f t="shared" si="159"/>
        <v>-398.37583333333333</v>
      </c>
      <c r="AD627" s="834"/>
      <c r="AE627" s="834"/>
      <c r="AF627" s="781">
        <f t="shared" si="154"/>
        <v>0</v>
      </c>
    </row>
    <row r="628" spans="1:32">
      <c r="A628" s="779">
        <f t="shared" si="155"/>
        <v>614</v>
      </c>
      <c r="B628" s="423" t="s">
        <v>1063</v>
      </c>
      <c r="C628" s="423" t="s">
        <v>673</v>
      </c>
      <c r="D628" s="423" t="s">
        <v>1366</v>
      </c>
      <c r="E628" s="763" t="s">
        <v>2103</v>
      </c>
      <c r="F628" s="419">
        <v>-26050.54</v>
      </c>
      <c r="G628" s="419">
        <v>-811.09</v>
      </c>
      <c r="H628" s="419">
        <v>-5103.93</v>
      </c>
      <c r="I628" s="419">
        <v>-9462.98</v>
      </c>
      <c r="J628" s="419">
        <v>-12207.68</v>
      </c>
      <c r="K628" s="419">
        <v>-15568.71</v>
      </c>
      <c r="L628" s="419">
        <v>-20631.43</v>
      </c>
      <c r="M628" s="419">
        <v>-23129.61</v>
      </c>
      <c r="N628" s="419">
        <v>-23139.79</v>
      </c>
      <c r="O628" s="419">
        <v>-23193.31</v>
      </c>
      <c r="P628" s="419">
        <v>-23720.74</v>
      </c>
      <c r="Q628" s="419">
        <v>-24784.99</v>
      </c>
      <c r="R628" s="419">
        <v>-25320.63</v>
      </c>
      <c r="S628" s="618">
        <f t="shared" si="158"/>
        <v>-17286.653749999998</v>
      </c>
      <c r="T628" s="382"/>
      <c r="U628" s="833"/>
      <c r="V628" s="833"/>
      <c r="W628" s="833">
        <f t="shared" si="160"/>
        <v>-17286.653749999998</v>
      </c>
      <c r="X628" s="425"/>
      <c r="Y628" s="833"/>
      <c r="Z628" s="833"/>
      <c r="AA628" s="833"/>
      <c r="AB628" s="833"/>
      <c r="AC628" s="835">
        <f t="shared" si="159"/>
        <v>-17286.653749999998</v>
      </c>
      <c r="AD628" s="834"/>
      <c r="AE628" s="834"/>
      <c r="AF628" s="781">
        <f t="shared" si="154"/>
        <v>0</v>
      </c>
    </row>
    <row r="629" spans="1:32">
      <c r="A629" s="779">
        <f t="shared" si="155"/>
        <v>615</v>
      </c>
      <c r="B629" s="423" t="s">
        <v>1063</v>
      </c>
      <c r="C629" s="423" t="s">
        <v>675</v>
      </c>
      <c r="D629" s="422"/>
      <c r="E629" s="763" t="s">
        <v>2102</v>
      </c>
      <c r="F629" s="419">
        <v>-177923.32</v>
      </c>
      <c r="G629" s="419">
        <v>-13780.85</v>
      </c>
      <c r="H629" s="419">
        <v>-29171.599999999999</v>
      </c>
      <c r="I629" s="419">
        <v>-47366.04</v>
      </c>
      <c r="J629" s="419">
        <v>-47637.760000000002</v>
      </c>
      <c r="K629" s="419">
        <v>-48021.27</v>
      </c>
      <c r="L629" s="419">
        <v>-48440.25</v>
      </c>
      <c r="M629" s="419">
        <v>-47907.01</v>
      </c>
      <c r="N629" s="419">
        <v>-47895.01</v>
      </c>
      <c r="O629" s="419">
        <v>-47895.01</v>
      </c>
      <c r="P629" s="419">
        <v>-47895.01</v>
      </c>
      <c r="Q629" s="419">
        <v>-47519.35</v>
      </c>
      <c r="R629" s="419">
        <v>-47519.35</v>
      </c>
      <c r="S629" s="618">
        <f t="shared" si="158"/>
        <v>-48854.207916666666</v>
      </c>
      <c r="T629" s="382"/>
      <c r="U629" s="833"/>
      <c r="V629" s="833"/>
      <c r="W629" s="833">
        <f t="shared" si="160"/>
        <v>-48854.207916666666</v>
      </c>
      <c r="X629" s="425"/>
      <c r="Y629" s="833"/>
      <c r="Z629" s="833"/>
      <c r="AA629" s="833"/>
      <c r="AB629" s="833"/>
      <c r="AC629" s="835">
        <f t="shared" si="159"/>
        <v>-48854.207916666666</v>
      </c>
      <c r="AD629" s="834"/>
      <c r="AE629" s="834"/>
      <c r="AF629" s="781">
        <f t="shared" si="154"/>
        <v>0</v>
      </c>
    </row>
    <row r="630" spans="1:32">
      <c r="A630" s="779">
        <f t="shared" si="155"/>
        <v>616</v>
      </c>
      <c r="B630" s="423" t="s">
        <v>1063</v>
      </c>
      <c r="C630" s="423" t="s">
        <v>676</v>
      </c>
      <c r="D630" s="422"/>
      <c r="E630" s="763" t="s">
        <v>2104</v>
      </c>
      <c r="F630" s="419">
        <v>-253406.28</v>
      </c>
      <c r="G630" s="419">
        <v>-12464.01</v>
      </c>
      <c r="H630" s="419">
        <v>-26547.52</v>
      </c>
      <c r="I630" s="419">
        <v>-43199.72</v>
      </c>
      <c r="J630" s="419">
        <v>-58926.44</v>
      </c>
      <c r="K630" s="419">
        <v>-79963.02</v>
      </c>
      <c r="L630" s="419">
        <v>-102944.73</v>
      </c>
      <c r="M630" s="419">
        <v>-127918.8</v>
      </c>
      <c r="N630" s="419">
        <v>-158306.22</v>
      </c>
      <c r="O630" s="419">
        <v>-188275.45</v>
      </c>
      <c r="P630" s="419">
        <v>-216382.85</v>
      </c>
      <c r="Q630" s="419">
        <v>-247813.44</v>
      </c>
      <c r="R630" s="419">
        <v>-291152.65999999997</v>
      </c>
      <c r="S630" s="618">
        <f t="shared" si="158"/>
        <v>-127918.47249999999</v>
      </c>
      <c r="T630" s="382"/>
      <c r="U630" s="833"/>
      <c r="V630" s="833"/>
      <c r="W630" s="833">
        <f t="shared" si="160"/>
        <v>-127918.47249999999</v>
      </c>
      <c r="X630" s="425"/>
      <c r="Y630" s="833"/>
      <c r="Z630" s="833"/>
      <c r="AA630" s="833"/>
      <c r="AB630" s="833"/>
      <c r="AC630" s="835">
        <f t="shared" si="159"/>
        <v>-127918.47249999999</v>
      </c>
      <c r="AD630" s="834"/>
      <c r="AE630" s="834"/>
      <c r="AF630" s="781">
        <f t="shared" si="154"/>
        <v>0</v>
      </c>
    </row>
    <row r="631" spans="1:32">
      <c r="A631" s="779">
        <f t="shared" si="155"/>
        <v>617</v>
      </c>
      <c r="B631" s="423" t="s">
        <v>1063</v>
      </c>
      <c r="C631" s="423" t="s">
        <v>677</v>
      </c>
      <c r="D631" s="422"/>
      <c r="E631" s="763" t="s">
        <v>678</v>
      </c>
      <c r="F631" s="405">
        <v>-10780.96</v>
      </c>
      <c r="G631" s="405">
        <v>-2058.0100000000002</v>
      </c>
      <c r="H631" s="405">
        <v>-2923.82</v>
      </c>
      <c r="I631" s="405">
        <v>-3531.99</v>
      </c>
      <c r="J631" s="405">
        <v>-4427.88</v>
      </c>
      <c r="K631" s="405">
        <v>-4871.71</v>
      </c>
      <c r="L631" s="405">
        <v>-5366.65</v>
      </c>
      <c r="M631" s="405">
        <v>-6057.74</v>
      </c>
      <c r="N631" s="405">
        <v>-6645.43</v>
      </c>
      <c r="O631" s="405">
        <v>-7127.72</v>
      </c>
      <c r="P631" s="405">
        <v>-7665.4</v>
      </c>
      <c r="Q631" s="405">
        <v>-8027.19</v>
      </c>
      <c r="R631" s="405">
        <v>-8686.9500000000007</v>
      </c>
      <c r="S631" s="618">
        <f t="shared" si="158"/>
        <v>-5703.1245833333332</v>
      </c>
      <c r="T631" s="382"/>
      <c r="U631" s="833"/>
      <c r="V631" s="833"/>
      <c r="W631" s="833">
        <f t="shared" si="160"/>
        <v>-5703.1245833333332</v>
      </c>
      <c r="X631" s="425"/>
      <c r="Y631" s="833"/>
      <c r="Z631" s="833"/>
      <c r="AA631" s="833"/>
      <c r="AB631" s="833"/>
      <c r="AC631" s="835">
        <f t="shared" si="159"/>
        <v>-5703.1245833333332</v>
      </c>
      <c r="AD631" s="834"/>
      <c r="AE631" s="834"/>
      <c r="AF631" s="781">
        <f>+U631+V631-AD631</f>
        <v>0</v>
      </c>
    </row>
    <row r="632" spans="1:32">
      <c r="A632" s="779">
        <f t="shared" si="155"/>
        <v>618</v>
      </c>
      <c r="B632" s="422"/>
      <c r="C632" s="422"/>
      <c r="D632" s="422"/>
      <c r="E632" s="763" t="s">
        <v>679</v>
      </c>
      <c r="F632" s="394">
        <f t="shared" ref="F632:S632" si="161">SUM(F621:F631)</f>
        <v>-1039860.6799999999</v>
      </c>
      <c r="G632" s="394">
        <f t="shared" si="161"/>
        <v>-85052.239999999991</v>
      </c>
      <c r="H632" s="394">
        <f t="shared" si="161"/>
        <v>-156272.76</v>
      </c>
      <c r="I632" s="394">
        <f t="shared" si="161"/>
        <v>-226920.5</v>
      </c>
      <c r="J632" s="394">
        <f t="shared" si="161"/>
        <v>-279224.61</v>
      </c>
      <c r="K632" s="394">
        <f t="shared" si="161"/>
        <v>-309408.52</v>
      </c>
      <c r="L632" s="394">
        <f t="shared" si="161"/>
        <v>-348905.59</v>
      </c>
      <c r="M632" s="394">
        <f t="shared" si="161"/>
        <v>-394317.06</v>
      </c>
      <c r="N632" s="394">
        <f t="shared" si="161"/>
        <v>-493635.16</v>
      </c>
      <c r="O632" s="394">
        <f t="shared" si="161"/>
        <v>-558700.79</v>
      </c>
      <c r="P632" s="394">
        <f t="shared" si="161"/>
        <v>-643635.67000000004</v>
      </c>
      <c r="Q632" s="394">
        <f t="shared" si="161"/>
        <v>-742428.25999999989</v>
      </c>
      <c r="R632" s="394">
        <f t="shared" si="161"/>
        <v>-886903.1399999999</v>
      </c>
      <c r="S632" s="620">
        <f t="shared" si="161"/>
        <v>-433490.2558333333</v>
      </c>
      <c r="T632" s="382"/>
      <c r="U632" s="833"/>
      <c r="V632" s="833"/>
      <c r="W632" s="833"/>
      <c r="X632" s="425"/>
      <c r="Y632" s="833"/>
      <c r="Z632" s="833"/>
      <c r="AA632" s="833"/>
      <c r="AB632" s="833"/>
      <c r="AC632" s="834"/>
      <c r="AD632" s="834"/>
      <c r="AE632" s="834"/>
    </row>
    <row r="633" spans="1:32">
      <c r="A633" s="779">
        <f t="shared" si="155"/>
        <v>619</v>
      </c>
      <c r="B633" s="422"/>
      <c r="C633" s="422"/>
      <c r="D633" s="422"/>
      <c r="E633" s="763"/>
      <c r="F633" s="391"/>
      <c r="G633" s="420"/>
      <c r="H633" s="408"/>
      <c r="I633" s="408"/>
      <c r="J633" s="409"/>
      <c r="K633" s="410"/>
      <c r="L633" s="411"/>
      <c r="M633" s="412"/>
      <c r="N633" s="413"/>
      <c r="O633" s="414"/>
      <c r="P633" s="415"/>
      <c r="Q633" s="421"/>
      <c r="R633" s="391"/>
      <c r="S633" s="392"/>
      <c r="T633" s="382"/>
      <c r="U633" s="833"/>
      <c r="V633" s="833"/>
      <c r="W633" s="833"/>
      <c r="X633" s="425"/>
      <c r="Y633" s="833"/>
      <c r="Z633" s="833"/>
      <c r="AA633" s="833"/>
      <c r="AB633" s="833"/>
      <c r="AC633" s="834"/>
      <c r="AD633" s="834"/>
      <c r="AE633" s="834"/>
    </row>
    <row r="634" spans="1:32" ht="15.75" thickBot="1">
      <c r="A634" s="779">
        <f t="shared" si="155"/>
        <v>620</v>
      </c>
      <c r="B634" s="662"/>
      <c r="C634" s="662"/>
      <c r="D634" s="662"/>
      <c r="E634" s="770" t="s">
        <v>680</v>
      </c>
      <c r="F634" s="431">
        <f>+F632+F619+F551+F528+F494+F416+F381+F366</f>
        <v>-1010058740.8999999</v>
      </c>
      <c r="G634" s="431">
        <f t="shared" ref="G634:S634" si="162">+G632+G619+G551+G528+G494+G416+G381+G366</f>
        <v>-755596030.13999999</v>
      </c>
      <c r="H634" s="431">
        <f t="shared" si="162"/>
        <v>-785949713.57000017</v>
      </c>
      <c r="I634" s="431">
        <f t="shared" si="162"/>
        <v>-809849531.25999999</v>
      </c>
      <c r="J634" s="431">
        <f t="shared" si="162"/>
        <v>-821119251.98000002</v>
      </c>
      <c r="K634" s="431">
        <f t="shared" si="162"/>
        <v>-834114722.8900001</v>
      </c>
      <c r="L634" s="431">
        <f t="shared" si="162"/>
        <v>-850558705.20000005</v>
      </c>
      <c r="M634" s="431">
        <f t="shared" si="162"/>
        <v>-868721350.27999997</v>
      </c>
      <c r="N634" s="431">
        <f t="shared" si="162"/>
        <v>-891100472.71000004</v>
      </c>
      <c r="O634" s="431">
        <f t="shared" si="162"/>
        <v>-918592888.9400003</v>
      </c>
      <c r="P634" s="431">
        <f t="shared" si="162"/>
        <v>-955424093.46000004</v>
      </c>
      <c r="Q634" s="431">
        <f t="shared" si="162"/>
        <v>-1022043333.5400002</v>
      </c>
      <c r="R634" s="431">
        <f t="shared" si="162"/>
        <v>-1117173255.4099998</v>
      </c>
      <c r="S634" s="431">
        <f t="shared" si="162"/>
        <v>-881390507.67708325</v>
      </c>
      <c r="T634" s="430"/>
      <c r="U634" s="838"/>
      <c r="V634" s="838"/>
      <c r="W634" s="838"/>
      <c r="X634" s="664"/>
      <c r="Y634" s="838"/>
      <c r="Z634" s="838"/>
      <c r="AA634" s="838"/>
      <c r="AB634" s="838"/>
      <c r="AC634" s="839"/>
      <c r="AD634" s="839"/>
      <c r="AE634" s="839"/>
    </row>
    <row r="635" spans="1:32" ht="15.75" thickTop="1">
      <c r="A635" s="779">
        <f t="shared" si="155"/>
        <v>621</v>
      </c>
      <c r="B635" s="422"/>
      <c r="C635" s="422"/>
      <c r="D635" s="422"/>
      <c r="E635" s="779"/>
      <c r="F635" s="422"/>
      <c r="G635" s="422"/>
      <c r="H635" s="422"/>
      <c r="I635" s="422"/>
      <c r="J635" s="422"/>
      <c r="K635" s="422"/>
      <c r="L635" s="422"/>
      <c r="M635" s="422"/>
      <c r="N635" s="422"/>
      <c r="O635" s="422"/>
      <c r="P635" s="422"/>
      <c r="Q635" s="422"/>
      <c r="R635" s="422"/>
      <c r="S635" s="424"/>
      <c r="T635" s="382"/>
      <c r="U635" s="841"/>
      <c r="V635" s="841"/>
      <c r="W635" s="841"/>
      <c r="X635" s="841"/>
      <c r="Y635" s="841"/>
      <c r="Z635" s="841"/>
      <c r="AA635" s="841"/>
      <c r="AB635" s="841"/>
      <c r="AC635" s="842"/>
      <c r="AD635" s="842"/>
      <c r="AE635" s="842"/>
    </row>
    <row r="636" spans="1:32">
      <c r="A636" s="779">
        <f t="shared" si="155"/>
        <v>622</v>
      </c>
      <c r="B636" s="422"/>
      <c r="C636" s="422"/>
      <c r="D636" s="422"/>
      <c r="E636" s="779"/>
      <c r="F636" s="422"/>
      <c r="G636" s="422"/>
      <c r="H636" s="422"/>
      <c r="I636" s="422"/>
      <c r="J636" s="422"/>
      <c r="K636" s="422"/>
      <c r="L636" s="422"/>
      <c r="M636" s="422"/>
      <c r="N636" s="422"/>
      <c r="O636" s="422"/>
      <c r="P636" s="422"/>
      <c r="Q636" s="422"/>
      <c r="R636" s="422"/>
      <c r="S636" s="424"/>
      <c r="T636" s="382"/>
      <c r="U636" s="383"/>
      <c r="V636" s="383"/>
      <c r="W636" s="383"/>
      <c r="X636" s="383"/>
      <c r="Y636" s="383"/>
      <c r="Z636" s="383"/>
      <c r="AA636" s="383"/>
      <c r="AB636" s="383"/>
      <c r="AC636" s="382"/>
      <c r="AD636" s="382"/>
      <c r="AE636" s="382"/>
    </row>
    <row r="637" spans="1:32">
      <c r="A637" s="779">
        <f t="shared" si="155"/>
        <v>623</v>
      </c>
      <c r="B637" s="422"/>
      <c r="C637" s="422"/>
      <c r="D637" s="422"/>
      <c r="E637" s="662" t="s">
        <v>1367</v>
      </c>
      <c r="F637" s="422"/>
      <c r="G637" s="422"/>
      <c r="H637" s="422"/>
      <c r="I637" s="422"/>
      <c r="J637" s="422"/>
      <c r="K637" s="422"/>
      <c r="L637" s="422"/>
      <c r="M637" s="422"/>
      <c r="N637" s="422"/>
      <c r="O637" s="422"/>
      <c r="P637" s="422"/>
      <c r="Q637" s="422"/>
      <c r="R637" s="422"/>
      <c r="S637" s="424"/>
      <c r="T637" s="382"/>
      <c r="U637" s="432">
        <f t="shared" ref="U637:AD637" si="163">SUM(U15:U632)</f>
        <v>138520811.55708331</v>
      </c>
      <c r="V637" s="432">
        <f t="shared" si="163"/>
        <v>-116753678.02541664</v>
      </c>
      <c r="W637" s="432">
        <f t="shared" si="163"/>
        <v>-464292073.60958332</v>
      </c>
      <c r="X637" s="432">
        <f t="shared" si="163"/>
        <v>442524940.07791638</v>
      </c>
      <c r="Y637" s="432">
        <f t="shared" si="163"/>
        <v>345302278.88784313</v>
      </c>
      <c r="Z637" s="432">
        <f t="shared" si="163"/>
        <v>71737441.800299913</v>
      </c>
      <c r="AA637" s="432">
        <f t="shared" si="163"/>
        <v>-113549867.61749999</v>
      </c>
      <c r="AB637" s="432">
        <f t="shared" si="163"/>
        <v>25484188.826249998</v>
      </c>
      <c r="AC637" s="443">
        <f t="shared" si="163"/>
        <v>-464292073.60958332</v>
      </c>
      <c r="AD637" s="443">
        <f t="shared" si="163"/>
        <v>21767133.531666622</v>
      </c>
      <c r="AE637" s="417">
        <f>+AB637+Z637+Y637</f>
        <v>442523909.51439303</v>
      </c>
    </row>
    <row r="638" spans="1:32">
      <c r="A638" s="779">
        <f t="shared" si="155"/>
        <v>624</v>
      </c>
      <c r="B638" s="422"/>
      <c r="C638" s="422"/>
      <c r="D638" s="422"/>
      <c r="E638" s="779" t="s">
        <v>1368</v>
      </c>
      <c r="F638" s="422"/>
      <c r="G638" s="422"/>
      <c r="H638" s="422"/>
      <c r="I638" s="422"/>
      <c r="J638" s="422"/>
      <c r="K638" s="422"/>
      <c r="L638" s="422"/>
      <c r="M638" s="422"/>
      <c r="N638" s="422"/>
      <c r="O638" s="422"/>
      <c r="P638" s="422"/>
      <c r="Q638" s="422"/>
      <c r="R638" s="422"/>
      <c r="S638" s="424"/>
      <c r="T638" s="382"/>
      <c r="U638" s="444" t="s">
        <v>1369</v>
      </c>
      <c r="V638" s="445">
        <f>+U637+V637</f>
        <v>21767133.531666666</v>
      </c>
      <c r="W638" s="450" t="s">
        <v>1370</v>
      </c>
      <c r="X638" s="451">
        <f>-W637-X637</f>
        <v>21767133.531666934</v>
      </c>
      <c r="Y638" s="383"/>
      <c r="Z638" s="383"/>
      <c r="AA638" s="383"/>
      <c r="AB638" s="383"/>
      <c r="AC638" s="417">
        <f>+AB637+Z637+Y637</f>
        <v>442523909.51439303</v>
      </c>
      <c r="AD638" s="382"/>
      <c r="AE638" s="417">
        <f>+AE637-X637</f>
        <v>-1030.5635233521461</v>
      </c>
    </row>
    <row r="639" spans="1:32">
      <c r="A639" s="779">
        <f t="shared" si="155"/>
        <v>625</v>
      </c>
      <c r="B639" s="422"/>
      <c r="C639" s="422"/>
      <c r="D639" s="422"/>
      <c r="E639" s="779"/>
      <c r="F639" s="422"/>
      <c r="G639" s="422"/>
      <c r="H639" s="422"/>
      <c r="I639" s="422"/>
      <c r="J639" s="422"/>
      <c r="K639" s="422"/>
      <c r="L639" s="422"/>
      <c r="M639" s="422"/>
      <c r="N639" s="422"/>
      <c r="O639" s="422"/>
      <c r="P639" s="422"/>
      <c r="Q639" s="422"/>
      <c r="R639" s="422"/>
      <c r="S639" s="424"/>
      <c r="T639" s="382"/>
      <c r="U639" s="383"/>
      <c r="V639" s="383"/>
      <c r="W639" s="383"/>
      <c r="X639" s="449">
        <f>+X638-V638</f>
        <v>2.6822090148925781E-7</v>
      </c>
      <c r="Y639" s="383"/>
      <c r="Z639" s="383"/>
      <c r="AA639" s="383">
        <f>+Y637+Z637+AB637-X637</f>
        <v>-1030.5635233521461</v>
      </c>
      <c r="AB639" s="383"/>
      <c r="AC639" s="382"/>
      <c r="AD639" s="417"/>
      <c r="AE639" s="382"/>
    </row>
    <row r="640" spans="1:32">
      <c r="A640" s="779">
        <f t="shared" si="155"/>
        <v>626</v>
      </c>
      <c r="B640" s="422"/>
      <c r="C640" s="422"/>
      <c r="D640" s="422"/>
      <c r="E640" s="779" t="s">
        <v>1371</v>
      </c>
      <c r="F640" s="422"/>
      <c r="G640" s="422"/>
      <c r="H640" s="422"/>
      <c r="I640" s="422"/>
      <c r="J640" s="422"/>
      <c r="K640" s="422"/>
      <c r="L640" s="422"/>
      <c r="M640" s="422"/>
      <c r="N640" s="422"/>
      <c r="O640" s="422"/>
      <c r="P640" s="422"/>
      <c r="Q640" s="422"/>
      <c r="R640" s="422"/>
      <c r="S640" s="424"/>
      <c r="T640" s="382"/>
      <c r="U640" s="383"/>
      <c r="V640" s="383"/>
      <c r="W640" s="383"/>
      <c r="X640" s="383">
        <f>+X637-Y637-Z637-AB637</f>
        <v>1030.5635233409703</v>
      </c>
      <c r="Y640" s="384">
        <f>+Y637/AC638</f>
        <v>0.78030197117883016</v>
      </c>
      <c r="Z640" s="384">
        <f>+Z637/AC638</f>
        <v>0.1621097532990286</v>
      </c>
      <c r="AA640" s="384"/>
      <c r="AB640" s="384">
        <f>+AB637/AC638</f>
        <v>5.7588275522141318E-2</v>
      </c>
      <c r="AC640" s="382"/>
      <c r="AD640" s="382"/>
      <c r="AE640" s="382"/>
    </row>
    <row r="641" spans="1:31">
      <c r="A641" s="779">
        <f t="shared" si="155"/>
        <v>627</v>
      </c>
      <c r="B641" s="422"/>
      <c r="C641" s="422"/>
      <c r="D641" s="422"/>
      <c r="E641" s="779"/>
      <c r="F641" s="422"/>
      <c r="G641" s="422"/>
      <c r="H641" s="422"/>
      <c r="I641" s="422"/>
      <c r="J641" s="422"/>
      <c r="K641" s="422"/>
      <c r="L641" s="422"/>
      <c r="M641" s="422"/>
      <c r="N641" s="422"/>
      <c r="O641" s="422"/>
      <c r="P641" s="422"/>
      <c r="Q641" s="422"/>
      <c r="R641" s="422"/>
      <c r="S641" s="424"/>
      <c r="T641" s="382"/>
      <c r="U641" s="383"/>
      <c r="V641" s="383"/>
      <c r="W641" s="383"/>
      <c r="X641" s="383"/>
      <c r="Y641" s="383"/>
      <c r="Z641" s="383"/>
      <c r="AA641" s="383"/>
      <c r="AB641" s="383"/>
      <c r="AC641" s="382"/>
      <c r="AD641" s="382"/>
      <c r="AE641" s="382"/>
    </row>
    <row r="642" spans="1:31">
      <c r="A642" s="779">
        <f t="shared" si="155"/>
        <v>628</v>
      </c>
      <c r="B642" s="422"/>
      <c r="C642" s="422"/>
      <c r="D642" s="422"/>
      <c r="E642" s="779" t="s">
        <v>1372</v>
      </c>
      <c r="F642" s="422"/>
      <c r="G642" s="422"/>
      <c r="H642" s="422"/>
      <c r="I642" s="422"/>
      <c r="J642" s="422"/>
      <c r="K642" s="422"/>
      <c r="L642" s="422"/>
      <c r="M642" s="422"/>
      <c r="N642" s="422"/>
      <c r="O642" s="422"/>
      <c r="P642" s="422"/>
      <c r="Q642" s="422"/>
      <c r="R642" s="422"/>
      <c r="S642" s="424"/>
      <c r="T642" s="382"/>
      <c r="U642" s="383"/>
      <c r="V642" s="383"/>
      <c r="W642" s="383"/>
      <c r="X642" s="383"/>
      <c r="Y642" s="446">
        <f>+X638*Y640</f>
        <v>16984937.20167252</v>
      </c>
      <c r="Z642" s="383">
        <f>+X638*Z640</f>
        <v>3528664.64684554</v>
      </c>
      <c r="AA642" s="383"/>
      <c r="AB642" s="383">
        <f>+X638*AB640</f>
        <v>1253531.6831488763</v>
      </c>
      <c r="AC642" s="382"/>
      <c r="AD642" s="382"/>
      <c r="AE642" s="382"/>
    </row>
    <row r="643" spans="1:31">
      <c r="A643" s="422"/>
      <c r="B643" s="422"/>
      <c r="C643" s="422"/>
      <c r="D643" s="422"/>
      <c r="E643" s="779"/>
      <c r="F643" s="422"/>
      <c r="G643" s="422"/>
      <c r="H643" s="422"/>
      <c r="I643" s="422"/>
      <c r="J643" s="422"/>
      <c r="K643" s="422"/>
      <c r="L643" s="422"/>
      <c r="M643" s="422"/>
      <c r="N643" s="422"/>
      <c r="O643" s="422"/>
      <c r="P643" s="422"/>
      <c r="Q643" s="422"/>
      <c r="R643" s="422"/>
      <c r="S643" s="424"/>
      <c r="T643" s="382"/>
      <c r="U643" s="383"/>
      <c r="V643" s="383"/>
      <c r="W643" s="383"/>
      <c r="X643" s="383"/>
      <c r="Y643" s="383"/>
      <c r="Z643" s="383"/>
      <c r="AA643" s="383"/>
      <c r="AB643" s="383"/>
      <c r="AC643" s="382"/>
      <c r="AD643" s="382"/>
      <c r="AE643" s="382"/>
    </row>
    <row r="644" spans="1:31">
      <c r="A644" s="422"/>
      <c r="B644" s="422"/>
      <c r="C644" s="422"/>
      <c r="D644" s="422"/>
      <c r="E644" s="779"/>
      <c r="F644" s="422"/>
      <c r="G644" s="422"/>
      <c r="H644" s="422"/>
      <c r="I644" s="422"/>
      <c r="J644" s="422"/>
      <c r="K644" s="422"/>
      <c r="L644" s="422"/>
      <c r="M644" s="422"/>
      <c r="N644" s="422"/>
      <c r="O644" s="422"/>
      <c r="P644" s="422"/>
      <c r="Q644" s="422"/>
      <c r="R644" s="422"/>
      <c r="S644" s="424"/>
      <c r="T644" s="382"/>
      <c r="U644" s="383"/>
      <c r="V644" s="383"/>
      <c r="W644" s="383"/>
      <c r="X644" s="383"/>
      <c r="Y644" s="383"/>
      <c r="Z644" s="383"/>
      <c r="AA644" s="383"/>
      <c r="AB644" s="383"/>
      <c r="AC644" s="382"/>
      <c r="AD644" s="382"/>
      <c r="AE644" s="382"/>
    </row>
    <row r="645" spans="1:31">
      <c r="A645" s="422"/>
      <c r="B645" s="422"/>
      <c r="C645" s="422"/>
      <c r="D645" s="422"/>
      <c r="E645" s="779"/>
      <c r="F645" s="422"/>
      <c r="G645" s="422"/>
      <c r="H645" s="422"/>
      <c r="I645" s="422"/>
      <c r="J645" s="422"/>
      <c r="K645" s="422"/>
      <c r="L645" s="422"/>
      <c r="M645" s="422"/>
      <c r="N645" s="422"/>
      <c r="O645" s="422"/>
      <c r="P645" s="422"/>
      <c r="Q645" s="422"/>
      <c r="R645" s="422"/>
      <c r="S645" s="424"/>
      <c r="T645" s="382"/>
      <c r="U645" s="383"/>
      <c r="V645" s="383"/>
      <c r="W645" s="383"/>
      <c r="X645" s="383"/>
      <c r="Y645" s="383"/>
      <c r="Z645" s="383"/>
      <c r="AA645" s="383"/>
      <c r="AB645" s="383"/>
      <c r="AC645" s="382"/>
      <c r="AD645" s="382"/>
      <c r="AE645" s="382"/>
    </row>
    <row r="646" spans="1:31">
      <c r="A646" s="422"/>
      <c r="B646" s="422"/>
      <c r="C646" s="422"/>
      <c r="D646" s="422"/>
      <c r="E646" s="779"/>
      <c r="F646" s="422"/>
      <c r="G646" s="422"/>
      <c r="H646" s="422"/>
      <c r="I646" s="422"/>
      <c r="J646" s="422"/>
      <c r="K646" s="422"/>
      <c r="L646" s="422"/>
      <c r="M646" s="422"/>
      <c r="N646" s="422"/>
      <c r="O646" s="422"/>
      <c r="P646" s="422"/>
      <c r="Q646" s="422"/>
      <c r="R646" s="422"/>
      <c r="S646" s="424"/>
      <c r="T646" s="382"/>
      <c r="U646" s="383"/>
      <c r="V646" s="383"/>
      <c r="W646" s="383"/>
      <c r="X646" s="383"/>
      <c r="Y646" s="383"/>
      <c r="Z646" s="383"/>
      <c r="AA646" s="383"/>
      <c r="AB646" s="383"/>
      <c r="AC646" s="382"/>
      <c r="AD646" s="382"/>
      <c r="AE646" s="382"/>
    </row>
    <row r="647" spans="1:31">
      <c r="A647" s="422"/>
      <c r="B647" s="422"/>
      <c r="C647" s="422"/>
      <c r="D647" s="422"/>
      <c r="E647" s="779"/>
      <c r="F647" s="422"/>
      <c r="G647" s="422"/>
      <c r="H647" s="422"/>
      <c r="I647" s="422"/>
      <c r="J647" s="422"/>
      <c r="K647" s="422"/>
      <c r="L647" s="422"/>
      <c r="M647" s="422"/>
      <c r="N647" s="422"/>
      <c r="O647" s="422"/>
      <c r="P647" s="422"/>
      <c r="Q647" s="422"/>
      <c r="R647" s="422"/>
      <c r="S647" s="424"/>
      <c r="T647" s="382"/>
      <c r="U647" s="383"/>
      <c r="V647" s="383"/>
      <c r="W647" s="383"/>
      <c r="X647" s="383"/>
      <c r="Y647" s="383"/>
      <c r="Z647" s="383"/>
      <c r="AA647" s="383"/>
      <c r="AB647" s="383"/>
      <c r="AC647" s="382"/>
      <c r="AD647" s="382"/>
      <c r="AE647" s="382"/>
    </row>
    <row r="648" spans="1:31">
      <c r="A648" s="422"/>
      <c r="B648" s="422"/>
      <c r="C648" s="422"/>
      <c r="D648" s="422"/>
      <c r="E648" s="779"/>
      <c r="F648" s="422"/>
      <c r="G648" s="422"/>
      <c r="H648" s="422"/>
      <c r="I648" s="422"/>
      <c r="J648" s="422"/>
      <c r="K648" s="422"/>
      <c r="L648" s="422"/>
      <c r="M648" s="422"/>
      <c r="N648" s="422"/>
      <c r="O648" s="422"/>
      <c r="P648" s="422"/>
      <c r="Q648" s="422"/>
      <c r="R648" s="422"/>
      <c r="S648" s="424"/>
      <c r="T648" s="382"/>
      <c r="U648" s="383"/>
      <c r="V648" s="383"/>
      <c r="W648" s="383"/>
      <c r="X648" s="383"/>
      <c r="Y648" s="383"/>
      <c r="Z648" s="383"/>
      <c r="AA648" s="383"/>
      <c r="AB648" s="383"/>
      <c r="AC648" s="382"/>
      <c r="AD648" s="382"/>
      <c r="AE648" s="382"/>
    </row>
    <row r="649" spans="1:31">
      <c r="A649" s="422"/>
      <c r="B649" s="422"/>
      <c r="C649" s="422"/>
      <c r="D649" s="422"/>
      <c r="E649" s="779"/>
      <c r="F649" s="422"/>
      <c r="G649" s="422"/>
      <c r="H649" s="422"/>
      <c r="I649" s="422"/>
      <c r="J649" s="422"/>
      <c r="K649" s="422"/>
      <c r="L649" s="422"/>
      <c r="M649" s="422"/>
      <c r="N649" s="422"/>
      <c r="O649" s="422"/>
      <c r="P649" s="422"/>
      <c r="Q649" s="422"/>
      <c r="R649" s="422"/>
      <c r="S649" s="424"/>
      <c r="T649" s="382"/>
      <c r="U649" s="383"/>
      <c r="V649" s="383"/>
      <c r="W649" s="383"/>
      <c r="X649" s="383"/>
      <c r="Y649" s="383"/>
      <c r="Z649" s="383"/>
      <c r="AA649" s="383"/>
      <c r="AB649" s="383"/>
      <c r="AC649" s="382"/>
      <c r="AD649" s="382"/>
      <c r="AE649" s="382"/>
    </row>
    <row r="650" spans="1:31">
      <c r="A650" s="422"/>
      <c r="B650" s="422"/>
      <c r="C650" s="422"/>
      <c r="D650" s="422"/>
      <c r="E650" s="779"/>
      <c r="F650" s="422"/>
      <c r="G650" s="422"/>
      <c r="H650" s="422"/>
      <c r="I650" s="422"/>
      <c r="J650" s="422"/>
      <c r="K650" s="422"/>
      <c r="L650" s="422"/>
      <c r="M650" s="422"/>
      <c r="N650" s="422"/>
      <c r="O650" s="422"/>
      <c r="P650" s="422"/>
      <c r="Q650" s="422"/>
      <c r="R650" s="422"/>
      <c r="S650" s="424"/>
      <c r="T650" s="382"/>
      <c r="U650" s="383"/>
      <c r="V650" s="383"/>
      <c r="W650" s="383"/>
      <c r="X650" s="383"/>
      <c r="Y650" s="383"/>
      <c r="Z650" s="383"/>
      <c r="AA650" s="383"/>
      <c r="AB650" s="383"/>
      <c r="AC650" s="382"/>
      <c r="AD650" s="382"/>
      <c r="AE650" s="382"/>
    </row>
    <row r="651" spans="1:31">
      <c r="A651" s="422"/>
      <c r="B651" s="422"/>
      <c r="C651" s="422"/>
      <c r="D651" s="422"/>
      <c r="E651" s="779"/>
      <c r="F651" s="422"/>
      <c r="G651" s="422"/>
      <c r="H651" s="422"/>
      <c r="I651" s="422"/>
      <c r="J651" s="422"/>
      <c r="K651" s="422"/>
      <c r="L651" s="422"/>
      <c r="M651" s="422"/>
      <c r="N651" s="422"/>
      <c r="O651" s="422"/>
      <c r="P651" s="422"/>
      <c r="Q651" s="422"/>
      <c r="R651" s="422"/>
      <c r="S651" s="424"/>
      <c r="T651" s="382"/>
      <c r="U651" s="383"/>
      <c r="V651" s="383"/>
      <c r="W651" s="383"/>
      <c r="X651" s="383"/>
      <c r="Y651" s="383"/>
      <c r="Z651" s="383"/>
      <c r="AA651" s="383"/>
      <c r="AB651" s="383"/>
      <c r="AC651" s="382"/>
      <c r="AD651" s="382"/>
      <c r="AE651" s="382"/>
    </row>
    <row r="652" spans="1:31">
      <c r="A652" s="422"/>
      <c r="B652" s="422"/>
      <c r="C652" s="422"/>
      <c r="D652" s="422"/>
      <c r="E652" s="779"/>
      <c r="F652" s="422"/>
      <c r="G652" s="422"/>
      <c r="H652" s="422"/>
      <c r="I652" s="422"/>
      <c r="J652" s="422"/>
      <c r="K652" s="422"/>
      <c r="L652" s="422"/>
      <c r="M652" s="422"/>
      <c r="N652" s="422"/>
      <c r="O652" s="422"/>
      <c r="P652" s="422"/>
      <c r="Q652" s="422"/>
      <c r="R652" s="422"/>
      <c r="S652" s="424"/>
      <c r="T652" s="382"/>
      <c r="U652" s="383"/>
      <c r="V652" s="383"/>
      <c r="W652" s="383"/>
      <c r="X652" s="383"/>
      <c r="Y652" s="383"/>
      <c r="Z652" s="383"/>
      <c r="AA652" s="383"/>
      <c r="AB652" s="383"/>
      <c r="AC652" s="382"/>
      <c r="AD652" s="382"/>
      <c r="AE652" s="382"/>
    </row>
    <row r="653" spans="1:31">
      <c r="A653" s="422"/>
      <c r="B653" s="422"/>
      <c r="C653" s="422"/>
      <c r="D653" s="422"/>
      <c r="E653" s="779"/>
      <c r="F653" s="422"/>
      <c r="G653" s="422"/>
      <c r="H653" s="422"/>
      <c r="I653" s="422"/>
      <c r="J653" s="422"/>
      <c r="K653" s="422"/>
      <c r="L653" s="422"/>
      <c r="M653" s="422"/>
      <c r="N653" s="422"/>
      <c r="O653" s="422"/>
      <c r="P653" s="422"/>
      <c r="Q653" s="422"/>
      <c r="R653" s="422"/>
      <c r="S653" s="424"/>
      <c r="T653" s="382"/>
      <c r="U653" s="383"/>
      <c r="V653" s="383"/>
      <c r="W653" s="383"/>
      <c r="X653" s="383"/>
      <c r="Y653" s="383"/>
      <c r="Z653" s="383"/>
      <c r="AA653" s="383"/>
      <c r="AB653" s="383"/>
      <c r="AC653" s="382"/>
      <c r="AD653" s="382"/>
      <c r="AE653" s="382"/>
    </row>
    <row r="654" spans="1:31">
      <c r="A654" s="422"/>
      <c r="B654" s="422"/>
      <c r="C654" s="422"/>
      <c r="D654" s="422"/>
      <c r="E654" s="779"/>
      <c r="F654" s="422"/>
      <c r="G654" s="422"/>
      <c r="H654" s="422"/>
      <c r="I654" s="422"/>
      <c r="J654" s="422"/>
      <c r="K654" s="422"/>
      <c r="L654" s="422"/>
      <c r="M654" s="422"/>
      <c r="N654" s="422"/>
      <c r="O654" s="422"/>
      <c r="P654" s="422"/>
      <c r="Q654" s="422"/>
      <c r="R654" s="422"/>
      <c r="S654" s="424"/>
      <c r="T654" s="382"/>
      <c r="U654" s="383"/>
      <c r="V654" s="383"/>
      <c r="W654" s="383"/>
      <c r="X654" s="383"/>
      <c r="Y654" s="383"/>
      <c r="Z654" s="383"/>
      <c r="AA654" s="383"/>
      <c r="AB654" s="383"/>
      <c r="AC654" s="382"/>
      <c r="AD654" s="382"/>
      <c r="AE654" s="382"/>
    </row>
    <row r="655" spans="1:31">
      <c r="A655" s="422"/>
      <c r="B655" s="422"/>
      <c r="C655" s="422"/>
      <c r="D655" s="422"/>
      <c r="E655" s="779"/>
      <c r="F655" s="422"/>
      <c r="G655" s="422"/>
      <c r="H655" s="422"/>
      <c r="I655" s="422"/>
      <c r="J655" s="422"/>
      <c r="K655" s="422"/>
      <c r="L655" s="422"/>
      <c r="M655" s="422"/>
      <c r="N655" s="422"/>
      <c r="O655" s="422"/>
      <c r="P655" s="422"/>
      <c r="Q655" s="422"/>
      <c r="R655" s="422"/>
      <c r="S655" s="424"/>
      <c r="T655" s="382"/>
      <c r="U655" s="383"/>
      <c r="V655" s="383"/>
      <c r="W655" s="383"/>
      <c r="X655" s="383"/>
      <c r="Y655" s="383"/>
      <c r="Z655" s="383"/>
      <c r="AA655" s="383"/>
      <c r="AB655" s="383"/>
      <c r="AC655" s="382"/>
      <c r="AD655" s="382"/>
      <c r="AE655" s="382"/>
    </row>
    <row r="656" spans="1:31">
      <c r="A656" s="422"/>
      <c r="B656" s="422"/>
      <c r="C656" s="422"/>
      <c r="D656" s="422"/>
      <c r="E656" s="779"/>
      <c r="F656" s="422"/>
      <c r="G656" s="422"/>
      <c r="H656" s="422"/>
      <c r="I656" s="422"/>
      <c r="J656" s="422"/>
      <c r="K656" s="422"/>
      <c r="L656" s="422"/>
      <c r="M656" s="422"/>
      <c r="N656" s="422"/>
      <c r="O656" s="422"/>
      <c r="P656" s="422"/>
      <c r="Q656" s="422"/>
      <c r="R656" s="422"/>
      <c r="S656" s="424"/>
      <c r="T656" s="382"/>
      <c r="U656" s="383"/>
      <c r="V656" s="383"/>
      <c r="W656" s="383"/>
      <c r="X656" s="383"/>
      <c r="Y656" s="383"/>
      <c r="Z656" s="383"/>
      <c r="AA656" s="383"/>
      <c r="AB656" s="383"/>
      <c r="AC656" s="382"/>
      <c r="AD656" s="382"/>
      <c r="AE656" s="382"/>
    </row>
    <row r="657" spans="1:31">
      <c r="A657" s="422"/>
      <c r="B657" s="422"/>
      <c r="C657" s="422"/>
      <c r="D657" s="422"/>
      <c r="E657" s="779"/>
      <c r="F657" s="422"/>
      <c r="G657" s="422"/>
      <c r="H657" s="422"/>
      <c r="I657" s="422"/>
      <c r="J657" s="422"/>
      <c r="K657" s="422"/>
      <c r="L657" s="422"/>
      <c r="M657" s="422"/>
      <c r="N657" s="422"/>
      <c r="O657" s="422"/>
      <c r="P657" s="422"/>
      <c r="Q657" s="422"/>
      <c r="R657" s="422"/>
      <c r="S657" s="424"/>
      <c r="T657" s="382"/>
      <c r="U657" s="383"/>
      <c r="V657" s="383"/>
      <c r="W657" s="383"/>
      <c r="X657" s="383"/>
      <c r="Y657" s="383"/>
      <c r="Z657" s="383"/>
      <c r="AA657" s="383"/>
      <c r="AB657" s="383"/>
      <c r="AC657" s="382"/>
      <c r="AD657" s="382"/>
      <c r="AE657" s="382"/>
    </row>
    <row r="658" spans="1:31">
      <c r="A658" s="422"/>
      <c r="B658" s="422"/>
      <c r="C658" s="422"/>
      <c r="D658" s="422"/>
      <c r="E658" s="779"/>
      <c r="F658" s="422"/>
      <c r="G658" s="422"/>
      <c r="H658" s="422"/>
      <c r="I658" s="422"/>
      <c r="J658" s="422"/>
      <c r="K658" s="422"/>
      <c r="L658" s="422"/>
      <c r="M658" s="422"/>
      <c r="N658" s="422"/>
      <c r="O658" s="422"/>
      <c r="P658" s="422"/>
      <c r="Q658" s="422"/>
      <c r="R658" s="422"/>
      <c r="S658" s="424"/>
      <c r="T658" s="382"/>
      <c r="U658" s="383"/>
      <c r="V658" s="383"/>
      <c r="W658" s="383"/>
      <c r="X658" s="383"/>
      <c r="Y658" s="383"/>
      <c r="Z658" s="383"/>
      <c r="AA658" s="383"/>
      <c r="AB658" s="383"/>
      <c r="AC658" s="382"/>
      <c r="AD658" s="382"/>
      <c r="AE658" s="382"/>
    </row>
    <row r="659" spans="1:31">
      <c r="A659" s="422"/>
      <c r="B659" s="422"/>
      <c r="C659" s="422"/>
      <c r="D659" s="422"/>
      <c r="E659" s="779"/>
      <c r="F659" s="422"/>
      <c r="G659" s="422"/>
      <c r="H659" s="422"/>
      <c r="I659" s="422"/>
      <c r="J659" s="422"/>
      <c r="K659" s="422"/>
      <c r="L659" s="422"/>
      <c r="M659" s="422"/>
      <c r="N659" s="422"/>
      <c r="O659" s="422"/>
      <c r="P659" s="422"/>
      <c r="Q659" s="422"/>
      <c r="R659" s="422"/>
      <c r="S659" s="424"/>
      <c r="T659" s="382"/>
      <c r="U659" s="383"/>
      <c r="V659" s="383"/>
      <c r="W659" s="383"/>
      <c r="X659" s="383"/>
      <c r="Y659" s="383"/>
      <c r="Z659" s="383"/>
      <c r="AA659" s="383"/>
      <c r="AB659" s="383"/>
      <c r="AC659" s="382"/>
      <c r="AD659" s="382"/>
      <c r="AE659" s="382"/>
    </row>
    <row r="660" spans="1:31">
      <c r="A660" s="422"/>
      <c r="B660" s="422"/>
      <c r="C660" s="422"/>
      <c r="D660" s="422"/>
      <c r="E660" s="779"/>
      <c r="F660" s="422"/>
      <c r="G660" s="422"/>
      <c r="H660" s="422"/>
      <c r="I660" s="422"/>
      <c r="J660" s="422"/>
      <c r="K660" s="422"/>
      <c r="L660" s="422"/>
      <c r="M660" s="422"/>
      <c r="N660" s="422"/>
      <c r="O660" s="422"/>
      <c r="P660" s="422"/>
      <c r="Q660" s="422"/>
      <c r="R660" s="422"/>
      <c r="S660" s="424"/>
      <c r="T660" s="382"/>
      <c r="U660" s="383"/>
      <c r="V660" s="383"/>
      <c r="W660" s="383"/>
      <c r="X660" s="383"/>
      <c r="Y660" s="383"/>
      <c r="Z660" s="383"/>
      <c r="AA660" s="383"/>
      <c r="AB660" s="383"/>
      <c r="AC660" s="382"/>
      <c r="AD660" s="382"/>
      <c r="AE660" s="382"/>
    </row>
    <row r="661" spans="1:31">
      <c r="A661" s="422"/>
      <c r="B661" s="422"/>
      <c r="C661" s="422"/>
      <c r="D661" s="422"/>
      <c r="E661" s="779"/>
      <c r="F661" s="422"/>
      <c r="G661" s="422"/>
      <c r="H661" s="422"/>
      <c r="I661" s="422"/>
      <c r="J661" s="422"/>
      <c r="K661" s="422"/>
      <c r="L661" s="422"/>
      <c r="M661" s="422"/>
      <c r="N661" s="422"/>
      <c r="O661" s="422"/>
      <c r="P661" s="422"/>
      <c r="Q661" s="422"/>
      <c r="R661" s="422"/>
      <c r="S661" s="424"/>
      <c r="T661" s="382"/>
      <c r="U661" s="383"/>
      <c r="V661" s="383"/>
      <c r="W661" s="383"/>
      <c r="X661" s="383"/>
      <c r="Y661" s="383"/>
      <c r="Z661" s="383"/>
      <c r="AA661" s="383"/>
      <c r="AB661" s="383"/>
      <c r="AC661" s="382"/>
      <c r="AD661" s="382"/>
      <c r="AE661" s="382"/>
    </row>
    <row r="662" spans="1:31">
      <c r="A662" s="422"/>
      <c r="B662" s="422"/>
      <c r="C662" s="422"/>
      <c r="D662" s="422"/>
      <c r="E662" s="779"/>
      <c r="F662" s="422"/>
      <c r="G662" s="422"/>
      <c r="H662" s="422"/>
      <c r="I662" s="422"/>
      <c r="J662" s="422"/>
      <c r="K662" s="422"/>
      <c r="L662" s="422"/>
      <c r="M662" s="422"/>
      <c r="N662" s="422"/>
      <c r="O662" s="422"/>
      <c r="P662" s="422"/>
      <c r="Q662" s="422"/>
      <c r="R662" s="422"/>
      <c r="S662" s="424"/>
      <c r="T662" s="382"/>
      <c r="U662" s="383"/>
      <c r="V662" s="383"/>
      <c r="W662" s="383"/>
      <c r="X662" s="383"/>
      <c r="Y662" s="383"/>
      <c r="Z662" s="383"/>
      <c r="AA662" s="383"/>
      <c r="AB662" s="383"/>
      <c r="AC662" s="382"/>
      <c r="AD662" s="382"/>
      <c r="AE662" s="382"/>
    </row>
    <row r="663" spans="1:31">
      <c r="A663" s="422"/>
      <c r="B663" s="422"/>
      <c r="C663" s="422"/>
      <c r="D663" s="422"/>
      <c r="E663" s="779"/>
      <c r="F663" s="422"/>
      <c r="G663" s="422"/>
      <c r="H663" s="422"/>
      <c r="I663" s="422"/>
      <c r="J663" s="422"/>
      <c r="K663" s="422"/>
      <c r="L663" s="422"/>
      <c r="M663" s="422"/>
      <c r="N663" s="422"/>
      <c r="O663" s="422"/>
      <c r="P663" s="422"/>
      <c r="Q663" s="422"/>
      <c r="R663" s="422"/>
      <c r="S663" s="424"/>
      <c r="T663" s="382"/>
      <c r="U663" s="383"/>
      <c r="V663" s="383"/>
      <c r="W663" s="383"/>
      <c r="X663" s="383"/>
      <c r="Y663" s="383"/>
      <c r="Z663" s="383"/>
      <c r="AA663" s="383"/>
      <c r="AB663" s="383"/>
      <c r="AC663" s="382"/>
      <c r="AD663" s="382"/>
      <c r="AE663" s="382"/>
    </row>
    <row r="664" spans="1:31">
      <c r="A664" s="422"/>
      <c r="B664" s="422"/>
      <c r="C664" s="422"/>
      <c r="D664" s="422"/>
      <c r="E664" s="779"/>
      <c r="F664" s="422"/>
      <c r="G664" s="422"/>
      <c r="H664" s="422"/>
      <c r="I664" s="422"/>
      <c r="J664" s="422"/>
      <c r="K664" s="422"/>
      <c r="L664" s="422"/>
      <c r="M664" s="422"/>
      <c r="N664" s="422"/>
      <c r="O664" s="422"/>
      <c r="P664" s="422"/>
      <c r="Q664" s="422"/>
      <c r="R664" s="422"/>
      <c r="S664" s="424"/>
      <c r="T664" s="382"/>
      <c r="U664" s="383"/>
      <c r="V664" s="383"/>
      <c r="W664" s="383"/>
      <c r="X664" s="383"/>
      <c r="Y664" s="383"/>
      <c r="Z664" s="383"/>
      <c r="AA664" s="383"/>
      <c r="AB664" s="383"/>
      <c r="AC664" s="382"/>
      <c r="AD664" s="382"/>
      <c r="AE664" s="382"/>
    </row>
    <row r="665" spans="1:31">
      <c r="A665" s="422"/>
      <c r="B665" s="422"/>
      <c r="C665" s="422"/>
      <c r="D665" s="422"/>
      <c r="E665" s="779"/>
      <c r="F665" s="422"/>
      <c r="G665" s="422"/>
      <c r="H665" s="422"/>
      <c r="I665" s="422"/>
      <c r="J665" s="422"/>
      <c r="K665" s="422"/>
      <c r="L665" s="422"/>
      <c r="M665" s="422"/>
      <c r="N665" s="422"/>
      <c r="O665" s="422"/>
      <c r="P665" s="422"/>
      <c r="Q665" s="422"/>
      <c r="R665" s="422"/>
      <c r="S665" s="424"/>
      <c r="T665" s="382"/>
      <c r="U665" s="383"/>
      <c r="V665" s="383"/>
      <c r="W665" s="383"/>
      <c r="X665" s="383"/>
      <c r="Y665" s="383"/>
      <c r="Z665" s="383"/>
      <c r="AA665" s="383"/>
      <c r="AB665" s="383"/>
      <c r="AC665" s="382"/>
      <c r="AD665" s="382"/>
      <c r="AE665" s="382"/>
    </row>
    <row r="666" spans="1:31">
      <c r="A666" s="422"/>
      <c r="B666" s="422"/>
      <c r="C666" s="422"/>
      <c r="D666" s="422"/>
      <c r="E666" s="779"/>
      <c r="F666" s="422"/>
      <c r="G666" s="422"/>
      <c r="H666" s="422"/>
      <c r="I666" s="422"/>
      <c r="J666" s="422"/>
      <c r="K666" s="422"/>
      <c r="L666" s="422"/>
      <c r="M666" s="422"/>
      <c r="N666" s="422"/>
      <c r="O666" s="422"/>
      <c r="P666" s="422"/>
      <c r="Q666" s="422"/>
      <c r="R666" s="422"/>
      <c r="S666" s="424"/>
      <c r="T666" s="382"/>
      <c r="U666" s="383"/>
      <c r="V666" s="383"/>
      <c r="W666" s="383"/>
      <c r="X666" s="383"/>
      <c r="Y666" s="383"/>
      <c r="Z666" s="383"/>
      <c r="AA666" s="383"/>
      <c r="AB666" s="383"/>
      <c r="AC666" s="382"/>
      <c r="AD666" s="382"/>
      <c r="AE666" s="382"/>
    </row>
    <row r="667" spans="1:31">
      <c r="A667" s="422"/>
      <c r="B667" s="422"/>
      <c r="C667" s="422"/>
      <c r="D667" s="422"/>
      <c r="E667" s="779"/>
      <c r="F667" s="422"/>
      <c r="G667" s="422"/>
      <c r="H667" s="422"/>
      <c r="I667" s="422"/>
      <c r="J667" s="422"/>
      <c r="K667" s="422"/>
      <c r="L667" s="422"/>
      <c r="M667" s="422"/>
      <c r="N667" s="422"/>
      <c r="O667" s="422"/>
      <c r="P667" s="422"/>
      <c r="Q667" s="422"/>
      <c r="R667" s="422"/>
      <c r="S667" s="424"/>
      <c r="T667" s="382"/>
      <c r="U667" s="383"/>
      <c r="V667" s="383"/>
      <c r="W667" s="383"/>
      <c r="X667" s="383"/>
      <c r="Y667" s="383"/>
      <c r="Z667" s="383"/>
      <c r="AA667" s="383"/>
      <c r="AB667" s="383"/>
      <c r="AC667" s="382"/>
      <c r="AD667" s="382"/>
      <c r="AE667" s="382"/>
    </row>
    <row r="668" spans="1:31">
      <c r="A668" s="422"/>
      <c r="B668" s="422"/>
      <c r="C668" s="422"/>
      <c r="D668" s="422"/>
      <c r="E668" s="779"/>
      <c r="F668" s="422"/>
      <c r="G668" s="422"/>
      <c r="H668" s="422"/>
      <c r="I668" s="422"/>
      <c r="J668" s="422"/>
      <c r="K668" s="422"/>
      <c r="L668" s="422"/>
      <c r="M668" s="422"/>
      <c r="N668" s="422"/>
      <c r="O668" s="422"/>
      <c r="P668" s="422"/>
      <c r="Q668" s="422"/>
      <c r="R668" s="422"/>
      <c r="S668" s="424"/>
      <c r="T668" s="382"/>
      <c r="U668" s="383"/>
      <c r="V668" s="383"/>
      <c r="W668" s="383"/>
      <c r="X668" s="383"/>
      <c r="Y668" s="383"/>
      <c r="Z668" s="383"/>
      <c r="AA668" s="383"/>
      <c r="AB668" s="383"/>
      <c r="AC668" s="382"/>
      <c r="AD668" s="382"/>
      <c r="AE668" s="382"/>
    </row>
    <row r="669" spans="1:31">
      <c r="A669" s="422"/>
      <c r="B669" s="422"/>
      <c r="C669" s="422"/>
      <c r="D669" s="422"/>
      <c r="E669" s="779"/>
      <c r="F669" s="422"/>
      <c r="G669" s="422"/>
      <c r="H669" s="422"/>
      <c r="I669" s="422"/>
      <c r="J669" s="422"/>
      <c r="K669" s="422"/>
      <c r="L669" s="422"/>
      <c r="M669" s="422"/>
      <c r="N669" s="422"/>
      <c r="O669" s="422"/>
      <c r="P669" s="422"/>
      <c r="Q669" s="422"/>
      <c r="R669" s="422"/>
      <c r="S669" s="424"/>
      <c r="T669" s="382"/>
      <c r="U669" s="383"/>
      <c r="V669" s="383"/>
      <c r="W669" s="383"/>
      <c r="X669" s="383"/>
      <c r="Y669" s="383"/>
      <c r="Z669" s="383"/>
      <c r="AA669" s="383"/>
      <c r="AB669" s="383"/>
      <c r="AC669" s="382"/>
      <c r="AD669" s="382"/>
      <c r="AE669" s="382"/>
    </row>
    <row r="670" spans="1:31">
      <c r="A670" s="422"/>
      <c r="B670" s="422"/>
      <c r="C670" s="422"/>
      <c r="D670" s="422"/>
      <c r="E670" s="779"/>
      <c r="F670" s="422"/>
      <c r="G670" s="422"/>
      <c r="H670" s="422"/>
      <c r="I670" s="422"/>
      <c r="J670" s="422"/>
      <c r="K670" s="422"/>
      <c r="L670" s="422"/>
      <c r="M670" s="422"/>
      <c r="N670" s="422"/>
      <c r="O670" s="422"/>
      <c r="P670" s="422"/>
      <c r="Q670" s="422"/>
      <c r="R670" s="422"/>
      <c r="S670" s="424"/>
      <c r="T670" s="382"/>
      <c r="U670" s="383"/>
      <c r="V670" s="383"/>
      <c r="W670" s="383"/>
      <c r="X670" s="383"/>
      <c r="Y670" s="383"/>
      <c r="Z670" s="383"/>
      <c r="AA670" s="383"/>
      <c r="AB670" s="383"/>
      <c r="AC670" s="382"/>
      <c r="AD670" s="382"/>
      <c r="AE670" s="382"/>
    </row>
    <row r="671" spans="1:31">
      <c r="A671" s="422"/>
      <c r="B671" s="422"/>
      <c r="C671" s="422"/>
      <c r="D671" s="422"/>
      <c r="E671" s="779"/>
      <c r="F671" s="422"/>
      <c r="G671" s="422"/>
      <c r="H671" s="422"/>
      <c r="I671" s="422"/>
      <c r="J671" s="422"/>
      <c r="K671" s="422"/>
      <c r="L671" s="422"/>
      <c r="M671" s="422"/>
      <c r="N671" s="422"/>
      <c r="O671" s="422"/>
      <c r="P671" s="422"/>
      <c r="Q671" s="422"/>
      <c r="R671" s="422"/>
      <c r="S671" s="424"/>
      <c r="T671" s="382"/>
      <c r="U671" s="383"/>
      <c r="V671" s="383"/>
      <c r="W671" s="383"/>
      <c r="X671" s="383"/>
      <c r="Y671" s="383"/>
      <c r="Z671" s="383"/>
      <c r="AA671" s="383"/>
      <c r="AB671" s="383"/>
      <c r="AC671" s="382"/>
      <c r="AD671" s="382"/>
      <c r="AE671" s="382"/>
    </row>
    <row r="672" spans="1:31">
      <c r="A672" s="422"/>
      <c r="B672" s="422"/>
      <c r="C672" s="422"/>
      <c r="D672" s="422"/>
      <c r="E672" s="779"/>
      <c r="F672" s="422"/>
      <c r="G672" s="422"/>
      <c r="H672" s="422"/>
      <c r="I672" s="422"/>
      <c r="J672" s="422"/>
      <c r="K672" s="422"/>
      <c r="L672" s="422"/>
      <c r="M672" s="422"/>
      <c r="N672" s="422"/>
      <c r="O672" s="422"/>
      <c r="P672" s="422"/>
      <c r="Q672" s="422"/>
      <c r="R672" s="422"/>
      <c r="S672" s="424"/>
      <c r="T672" s="382"/>
      <c r="U672" s="383"/>
      <c r="V672" s="383"/>
      <c r="W672" s="383"/>
      <c r="X672" s="383"/>
      <c r="Y672" s="383"/>
      <c r="Z672" s="383"/>
      <c r="AA672" s="383"/>
      <c r="AB672" s="383"/>
      <c r="AC672" s="382"/>
      <c r="AD672" s="382"/>
      <c r="AE672" s="382"/>
    </row>
    <row r="673" spans="1:31">
      <c r="A673" s="422"/>
      <c r="B673" s="422"/>
      <c r="C673" s="422"/>
      <c r="D673" s="422"/>
      <c r="E673" s="779"/>
      <c r="F673" s="422"/>
      <c r="G673" s="422"/>
      <c r="H673" s="422"/>
      <c r="I673" s="422"/>
      <c r="J673" s="422"/>
      <c r="K673" s="422"/>
      <c r="L673" s="422"/>
      <c r="M673" s="422"/>
      <c r="N673" s="422"/>
      <c r="O673" s="422"/>
      <c r="P673" s="422"/>
      <c r="Q673" s="422"/>
      <c r="R673" s="422"/>
      <c r="S673" s="424"/>
      <c r="T673" s="382"/>
      <c r="U673" s="383"/>
      <c r="V673" s="383"/>
      <c r="W673" s="383"/>
      <c r="X673" s="383"/>
      <c r="Y673" s="383"/>
      <c r="Z673" s="383"/>
      <c r="AA673" s="383"/>
      <c r="AB673" s="383"/>
      <c r="AC673" s="382"/>
      <c r="AD673" s="382"/>
      <c r="AE673" s="382"/>
    </row>
    <row r="674" spans="1:31">
      <c r="A674" s="422"/>
      <c r="B674" s="422"/>
      <c r="C674" s="422"/>
      <c r="D674" s="422"/>
      <c r="E674" s="779"/>
      <c r="F674" s="422"/>
      <c r="G674" s="422"/>
      <c r="H674" s="422"/>
      <c r="I674" s="422"/>
      <c r="J674" s="422"/>
      <c r="K674" s="422"/>
      <c r="L674" s="422"/>
      <c r="M674" s="422"/>
      <c r="N674" s="422"/>
      <c r="O674" s="422"/>
      <c r="P674" s="422"/>
      <c r="Q674" s="422"/>
      <c r="R674" s="422"/>
      <c r="S674" s="424"/>
      <c r="T674" s="382"/>
      <c r="U674" s="383"/>
      <c r="V674" s="383"/>
      <c r="W674" s="383"/>
      <c r="X674" s="383"/>
      <c r="Y674" s="383"/>
      <c r="Z674" s="383"/>
      <c r="AA674" s="383"/>
      <c r="AB674" s="383"/>
      <c r="AC674" s="382"/>
      <c r="AD674" s="382"/>
      <c r="AE674" s="382"/>
    </row>
    <row r="675" spans="1:31">
      <c r="A675" s="422"/>
      <c r="B675" s="422"/>
      <c r="C675" s="422"/>
      <c r="D675" s="422"/>
      <c r="E675" s="779"/>
      <c r="F675" s="422"/>
      <c r="G675" s="422"/>
      <c r="H675" s="422"/>
      <c r="I675" s="422"/>
      <c r="J675" s="422"/>
      <c r="K675" s="422"/>
      <c r="L675" s="422"/>
      <c r="M675" s="422"/>
      <c r="N675" s="422"/>
      <c r="O675" s="422"/>
      <c r="P675" s="422"/>
      <c r="Q675" s="422"/>
      <c r="R675" s="422"/>
      <c r="S675" s="424"/>
      <c r="T675" s="382"/>
      <c r="U675" s="383"/>
      <c r="V675" s="383"/>
      <c r="W675" s="383"/>
      <c r="X675" s="383"/>
      <c r="Y675" s="383"/>
      <c r="Z675" s="383"/>
      <c r="AA675" s="383"/>
      <c r="AB675" s="383"/>
      <c r="AC675" s="382"/>
      <c r="AD675" s="382"/>
      <c r="AE675" s="382"/>
    </row>
    <row r="676" spans="1:31">
      <c r="A676" s="422"/>
      <c r="B676" s="422"/>
      <c r="C676" s="422"/>
      <c r="D676" s="422"/>
      <c r="E676" s="779"/>
      <c r="F676" s="422"/>
      <c r="G676" s="422"/>
      <c r="H676" s="422"/>
      <c r="I676" s="422"/>
      <c r="J676" s="422"/>
      <c r="K676" s="422"/>
      <c r="L676" s="422"/>
      <c r="M676" s="422"/>
      <c r="N676" s="422"/>
      <c r="O676" s="422"/>
      <c r="P676" s="422"/>
      <c r="Q676" s="422"/>
      <c r="R676" s="422"/>
      <c r="S676" s="424"/>
      <c r="T676" s="382"/>
      <c r="U676" s="383"/>
      <c r="V676" s="383"/>
      <c r="W676" s="383"/>
      <c r="X676" s="383"/>
      <c r="Y676" s="383"/>
      <c r="Z676" s="383"/>
      <c r="AA676" s="383"/>
      <c r="AB676" s="383"/>
      <c r="AC676" s="382"/>
      <c r="AD676" s="382"/>
      <c r="AE676" s="382"/>
    </row>
    <row r="677" spans="1:31">
      <c r="A677" s="422"/>
      <c r="B677" s="422"/>
      <c r="C677" s="422"/>
      <c r="D677" s="422"/>
      <c r="E677" s="779"/>
      <c r="F677" s="422"/>
      <c r="G677" s="422"/>
      <c r="H677" s="422"/>
      <c r="I677" s="422"/>
      <c r="J677" s="422"/>
      <c r="K677" s="422"/>
      <c r="L677" s="422"/>
      <c r="M677" s="422"/>
      <c r="N677" s="422"/>
      <c r="O677" s="422"/>
      <c r="P677" s="422"/>
      <c r="Q677" s="422"/>
      <c r="R677" s="422"/>
      <c r="S677" s="424"/>
      <c r="T677" s="382"/>
      <c r="U677" s="383"/>
      <c r="V677" s="383"/>
      <c r="W677" s="383"/>
      <c r="X677" s="383"/>
      <c r="Y677" s="383"/>
      <c r="Z677" s="383"/>
      <c r="AA677" s="383"/>
      <c r="AB677" s="383"/>
      <c r="AC677" s="382"/>
      <c r="AD677" s="382"/>
      <c r="AE677" s="382"/>
    </row>
    <row r="678" spans="1:31">
      <c r="A678" s="422"/>
      <c r="B678" s="422"/>
      <c r="C678" s="422"/>
      <c r="D678" s="422"/>
      <c r="E678" s="779"/>
      <c r="F678" s="422"/>
      <c r="G678" s="422"/>
      <c r="H678" s="422"/>
      <c r="I678" s="422"/>
      <c r="J678" s="422"/>
      <c r="K678" s="422"/>
      <c r="L678" s="422"/>
      <c r="M678" s="422"/>
      <c r="N678" s="422"/>
      <c r="O678" s="422"/>
      <c r="P678" s="422"/>
      <c r="Q678" s="422"/>
      <c r="R678" s="422"/>
      <c r="S678" s="424"/>
      <c r="T678" s="382"/>
      <c r="U678" s="383"/>
      <c r="V678" s="383"/>
      <c r="W678" s="383"/>
      <c r="X678" s="383"/>
      <c r="Y678" s="383"/>
      <c r="Z678" s="383"/>
      <c r="AA678" s="383"/>
      <c r="AB678" s="383"/>
      <c r="AC678" s="382"/>
      <c r="AD678" s="382"/>
      <c r="AE678" s="382"/>
    </row>
    <row r="679" spans="1:31">
      <c r="A679" s="422"/>
      <c r="B679" s="422"/>
      <c r="C679" s="422"/>
      <c r="D679" s="422"/>
      <c r="E679" s="779"/>
      <c r="F679" s="422"/>
      <c r="G679" s="422"/>
      <c r="H679" s="422"/>
      <c r="I679" s="422"/>
      <c r="J679" s="422"/>
      <c r="K679" s="422"/>
      <c r="L679" s="422"/>
      <c r="M679" s="422"/>
      <c r="N679" s="422"/>
      <c r="O679" s="422"/>
      <c r="P679" s="422"/>
      <c r="Q679" s="422"/>
      <c r="R679" s="422"/>
      <c r="S679" s="424"/>
      <c r="T679" s="382"/>
      <c r="U679" s="383"/>
      <c r="V679" s="383"/>
      <c r="W679" s="383"/>
      <c r="X679" s="383"/>
      <c r="Y679" s="383"/>
      <c r="Z679" s="383"/>
      <c r="AA679" s="383"/>
      <c r="AB679" s="383"/>
      <c r="AC679" s="382"/>
      <c r="AD679" s="382"/>
      <c r="AE679" s="382"/>
    </row>
    <row r="680" spans="1:31">
      <c r="A680" s="422"/>
      <c r="B680" s="422"/>
      <c r="C680" s="422"/>
      <c r="D680" s="422"/>
      <c r="E680" s="779"/>
      <c r="F680" s="422"/>
      <c r="G680" s="422"/>
      <c r="H680" s="422"/>
      <c r="I680" s="422"/>
      <c r="J680" s="422"/>
      <c r="K680" s="422"/>
      <c r="L680" s="422"/>
      <c r="M680" s="422"/>
      <c r="N680" s="422"/>
      <c r="O680" s="422"/>
      <c r="P680" s="422"/>
      <c r="Q680" s="422"/>
      <c r="R680" s="422"/>
      <c r="S680" s="424"/>
      <c r="T680" s="382"/>
      <c r="U680" s="383"/>
      <c r="V680" s="383"/>
      <c r="W680" s="383"/>
      <c r="X680" s="383"/>
      <c r="Y680" s="383"/>
      <c r="Z680" s="383"/>
      <c r="AA680" s="383"/>
      <c r="AB680" s="383"/>
      <c r="AC680" s="382"/>
      <c r="AD680" s="382"/>
      <c r="AE680" s="382"/>
    </row>
    <row r="681" spans="1:31">
      <c r="A681" s="422"/>
      <c r="B681" s="422"/>
      <c r="C681" s="422"/>
      <c r="D681" s="422"/>
      <c r="E681" s="779"/>
      <c r="F681" s="422"/>
      <c r="G681" s="422"/>
      <c r="H681" s="422"/>
      <c r="I681" s="422"/>
      <c r="J681" s="422"/>
      <c r="K681" s="422"/>
      <c r="L681" s="422"/>
      <c r="M681" s="422"/>
      <c r="N681" s="422"/>
      <c r="O681" s="422"/>
      <c r="P681" s="422"/>
      <c r="Q681" s="422"/>
      <c r="R681" s="422"/>
      <c r="S681" s="424"/>
      <c r="T681" s="382"/>
      <c r="U681" s="383"/>
      <c r="V681" s="383"/>
      <c r="W681" s="383"/>
      <c r="X681" s="383"/>
      <c r="Y681" s="383"/>
      <c r="Z681" s="383"/>
      <c r="AA681" s="383"/>
      <c r="AB681" s="383"/>
      <c r="AC681" s="382"/>
      <c r="AD681" s="382"/>
      <c r="AE681" s="382"/>
    </row>
    <row r="682" spans="1:31">
      <c r="A682" s="422"/>
      <c r="B682" s="422"/>
      <c r="C682" s="422"/>
      <c r="D682" s="422"/>
      <c r="E682" s="779"/>
      <c r="F682" s="422"/>
      <c r="G682" s="422"/>
      <c r="H682" s="422"/>
      <c r="I682" s="422"/>
      <c r="J682" s="422"/>
      <c r="K682" s="422"/>
      <c r="L682" s="422"/>
      <c r="M682" s="422"/>
      <c r="N682" s="422"/>
      <c r="O682" s="422"/>
      <c r="P682" s="422"/>
      <c r="Q682" s="422"/>
      <c r="R682" s="422"/>
      <c r="S682" s="424"/>
      <c r="T682" s="382"/>
      <c r="U682" s="383"/>
      <c r="V682" s="383"/>
      <c r="W682" s="383"/>
      <c r="X682" s="383"/>
      <c r="Y682" s="383"/>
      <c r="Z682" s="383"/>
      <c r="AA682" s="383"/>
      <c r="AB682" s="383"/>
      <c r="AC682" s="382"/>
      <c r="AD682" s="382"/>
      <c r="AE682" s="382"/>
    </row>
    <row r="683" spans="1:31">
      <c r="A683" s="422"/>
      <c r="B683" s="422"/>
      <c r="C683" s="422"/>
      <c r="D683" s="422"/>
      <c r="E683" s="779"/>
      <c r="F683" s="422"/>
      <c r="G683" s="422"/>
      <c r="H683" s="422"/>
      <c r="I683" s="422"/>
      <c r="J683" s="422"/>
      <c r="K683" s="422"/>
      <c r="L683" s="422"/>
      <c r="M683" s="422"/>
      <c r="N683" s="422"/>
      <c r="O683" s="422"/>
      <c r="P683" s="422"/>
      <c r="Q683" s="422"/>
      <c r="R683" s="422"/>
      <c r="S683" s="424"/>
      <c r="T683" s="382"/>
      <c r="U683" s="383"/>
      <c r="V683" s="383"/>
      <c r="W683" s="383"/>
      <c r="X683" s="383"/>
      <c r="Y683" s="383"/>
      <c r="Z683" s="383"/>
      <c r="AA683" s="383"/>
      <c r="AB683" s="383"/>
      <c r="AC683" s="382"/>
      <c r="AD683" s="382"/>
      <c r="AE683" s="382"/>
    </row>
    <row r="684" spans="1:31">
      <c r="A684" s="422"/>
      <c r="B684" s="422"/>
      <c r="C684" s="422"/>
      <c r="D684" s="422"/>
      <c r="E684" s="779"/>
      <c r="F684" s="422"/>
      <c r="G684" s="422"/>
      <c r="H684" s="422"/>
      <c r="I684" s="422"/>
      <c r="J684" s="422"/>
      <c r="K684" s="422"/>
      <c r="L684" s="422"/>
      <c r="M684" s="422"/>
      <c r="N684" s="422"/>
      <c r="O684" s="422"/>
      <c r="P684" s="422"/>
      <c r="Q684" s="422"/>
      <c r="R684" s="422"/>
      <c r="S684" s="424"/>
      <c r="T684" s="382"/>
      <c r="U684" s="383"/>
      <c r="V684" s="383"/>
      <c r="W684" s="383"/>
      <c r="X684" s="383"/>
      <c r="Y684" s="383"/>
      <c r="Z684" s="383"/>
      <c r="AA684" s="383"/>
      <c r="AB684" s="383"/>
      <c r="AC684" s="382"/>
      <c r="AD684" s="382"/>
      <c r="AE684" s="382"/>
    </row>
    <row r="685" spans="1:31">
      <c r="A685" s="422"/>
      <c r="B685" s="422"/>
      <c r="C685" s="422"/>
      <c r="D685" s="422"/>
      <c r="E685" s="779"/>
      <c r="F685" s="422"/>
      <c r="G685" s="422"/>
      <c r="H685" s="422"/>
      <c r="I685" s="422"/>
      <c r="J685" s="422"/>
      <c r="K685" s="422"/>
      <c r="L685" s="422"/>
      <c r="M685" s="422"/>
      <c r="N685" s="422"/>
      <c r="O685" s="422"/>
      <c r="P685" s="422"/>
      <c r="Q685" s="422"/>
      <c r="R685" s="422"/>
      <c r="S685" s="424"/>
      <c r="T685" s="382"/>
      <c r="U685" s="383"/>
      <c r="V685" s="383"/>
      <c r="W685" s="383"/>
      <c r="X685" s="383"/>
      <c r="Y685" s="383"/>
      <c r="Z685" s="383"/>
      <c r="AA685" s="383"/>
      <c r="AB685" s="383"/>
      <c r="AC685" s="382"/>
      <c r="AD685" s="382"/>
      <c r="AE685" s="382"/>
    </row>
    <row r="686" spans="1:31">
      <c r="A686" s="422"/>
      <c r="B686" s="422"/>
      <c r="C686" s="422"/>
      <c r="D686" s="422"/>
      <c r="E686" s="779"/>
      <c r="F686" s="422"/>
      <c r="G686" s="422"/>
      <c r="H686" s="422"/>
      <c r="I686" s="422"/>
      <c r="J686" s="422"/>
      <c r="K686" s="422"/>
      <c r="L686" s="422"/>
      <c r="M686" s="422"/>
      <c r="N686" s="422"/>
      <c r="O686" s="422"/>
      <c r="P686" s="422"/>
      <c r="Q686" s="422"/>
      <c r="R686" s="422"/>
      <c r="S686" s="424"/>
      <c r="T686" s="382"/>
      <c r="U686" s="383"/>
      <c r="V686" s="383"/>
      <c r="W686" s="383"/>
      <c r="X686" s="383"/>
      <c r="Y686" s="383"/>
      <c r="Z686" s="383"/>
      <c r="AA686" s="383"/>
      <c r="AB686" s="383"/>
      <c r="AC686" s="382"/>
      <c r="AD686" s="382"/>
      <c r="AE686" s="382"/>
    </row>
    <row r="687" spans="1:31">
      <c r="A687" s="422"/>
      <c r="B687" s="422"/>
      <c r="C687" s="422"/>
      <c r="D687" s="422"/>
      <c r="E687" s="779"/>
      <c r="F687" s="422"/>
      <c r="G687" s="422"/>
      <c r="H687" s="422"/>
      <c r="I687" s="422"/>
      <c r="J687" s="422"/>
      <c r="K687" s="422"/>
      <c r="L687" s="422"/>
      <c r="M687" s="422"/>
      <c r="N687" s="422"/>
      <c r="O687" s="422"/>
      <c r="P687" s="422"/>
      <c r="Q687" s="422"/>
      <c r="R687" s="422"/>
      <c r="S687" s="424"/>
      <c r="T687" s="382"/>
      <c r="U687" s="383"/>
      <c r="V687" s="383"/>
      <c r="W687" s="383"/>
      <c r="X687" s="383"/>
      <c r="Y687" s="383"/>
      <c r="Z687" s="383"/>
      <c r="AA687" s="383"/>
      <c r="AB687" s="383"/>
      <c r="AC687" s="382"/>
      <c r="AD687" s="382"/>
      <c r="AE687" s="382"/>
    </row>
    <row r="688" spans="1:31">
      <c r="A688" s="422"/>
      <c r="B688" s="422"/>
      <c r="C688" s="422"/>
      <c r="D688" s="422"/>
      <c r="E688" s="779"/>
      <c r="F688" s="422"/>
      <c r="G688" s="422"/>
      <c r="H688" s="422"/>
      <c r="I688" s="422"/>
      <c r="J688" s="422"/>
      <c r="K688" s="422"/>
      <c r="L688" s="422"/>
      <c r="M688" s="422"/>
      <c r="N688" s="422"/>
      <c r="O688" s="422"/>
      <c r="P688" s="422"/>
      <c r="Q688" s="422"/>
      <c r="R688" s="422"/>
      <c r="S688" s="424"/>
      <c r="T688" s="382"/>
      <c r="U688" s="383"/>
      <c r="V688" s="383"/>
      <c r="W688" s="383"/>
      <c r="X688" s="383"/>
      <c r="Y688" s="383"/>
      <c r="Z688" s="383"/>
      <c r="AA688" s="383"/>
      <c r="AB688" s="383"/>
      <c r="AC688" s="382"/>
      <c r="AD688" s="382"/>
      <c r="AE688" s="382"/>
    </row>
    <row r="689" spans="1:31">
      <c r="A689" s="422"/>
      <c r="B689" s="422"/>
      <c r="C689" s="422"/>
      <c r="D689" s="422"/>
      <c r="E689" s="779"/>
      <c r="F689" s="422"/>
      <c r="G689" s="422"/>
      <c r="H689" s="422"/>
      <c r="I689" s="422"/>
      <c r="J689" s="422"/>
      <c r="K689" s="422"/>
      <c r="L689" s="422"/>
      <c r="M689" s="422"/>
      <c r="N689" s="422"/>
      <c r="O689" s="422"/>
      <c r="P689" s="422"/>
      <c r="Q689" s="422"/>
      <c r="R689" s="422"/>
      <c r="S689" s="424"/>
      <c r="T689" s="382"/>
      <c r="U689" s="383"/>
      <c r="V689" s="383"/>
      <c r="W689" s="383"/>
      <c r="X689" s="383"/>
      <c r="Y689" s="383"/>
      <c r="Z689" s="383"/>
      <c r="AA689" s="383"/>
      <c r="AB689" s="383"/>
      <c r="AC689" s="382"/>
      <c r="AD689" s="382"/>
      <c r="AE689" s="382"/>
    </row>
    <row r="690" spans="1:31">
      <c r="A690" s="422"/>
      <c r="B690" s="422"/>
      <c r="C690" s="422"/>
      <c r="D690" s="422"/>
      <c r="E690" s="779"/>
      <c r="F690" s="422"/>
      <c r="G690" s="422"/>
      <c r="H690" s="422"/>
      <c r="I690" s="422"/>
      <c r="J690" s="422"/>
      <c r="K690" s="422"/>
      <c r="L690" s="422"/>
      <c r="M690" s="422"/>
      <c r="N690" s="422"/>
      <c r="O690" s="422"/>
      <c r="P690" s="422"/>
      <c r="Q690" s="422"/>
      <c r="R690" s="422"/>
      <c r="S690" s="424"/>
      <c r="T690" s="382"/>
      <c r="U690" s="383"/>
      <c r="V690" s="383"/>
      <c r="W690" s="383"/>
      <c r="X690" s="383"/>
      <c r="Y690" s="383"/>
      <c r="Z690" s="383"/>
      <c r="AA690" s="383"/>
      <c r="AB690" s="383"/>
      <c r="AC690" s="382"/>
      <c r="AD690" s="382"/>
      <c r="AE690" s="382"/>
    </row>
    <row r="691" spans="1:31">
      <c r="A691" s="422"/>
      <c r="B691" s="422"/>
      <c r="C691" s="422"/>
      <c r="D691" s="422"/>
      <c r="E691" s="779"/>
      <c r="F691" s="422"/>
      <c r="G691" s="422"/>
      <c r="H691" s="422"/>
      <c r="I691" s="422"/>
      <c r="J691" s="422"/>
      <c r="K691" s="422"/>
      <c r="L691" s="422"/>
      <c r="M691" s="422"/>
      <c r="N691" s="422"/>
      <c r="O691" s="422"/>
      <c r="P691" s="422"/>
      <c r="Q691" s="422"/>
      <c r="R691" s="422"/>
      <c r="S691" s="424"/>
      <c r="T691" s="382"/>
      <c r="U691" s="383"/>
      <c r="V691" s="383"/>
      <c r="W691" s="383"/>
      <c r="X691" s="383"/>
      <c r="Y691" s="383"/>
      <c r="Z691" s="383"/>
      <c r="AA691" s="383"/>
      <c r="AB691" s="383"/>
      <c r="AC691" s="382"/>
      <c r="AD691" s="382"/>
      <c r="AE691" s="382"/>
    </row>
    <row r="692" spans="1:31">
      <c r="A692" s="422"/>
      <c r="B692" s="422"/>
      <c r="C692" s="422"/>
      <c r="D692" s="422"/>
      <c r="E692" s="779"/>
      <c r="F692" s="422"/>
      <c r="G692" s="422"/>
      <c r="H692" s="422"/>
      <c r="I692" s="422"/>
      <c r="J692" s="422"/>
      <c r="K692" s="422"/>
      <c r="L692" s="422"/>
      <c r="M692" s="422"/>
      <c r="N692" s="422"/>
      <c r="O692" s="422"/>
      <c r="P692" s="422"/>
      <c r="Q692" s="422"/>
      <c r="R692" s="422"/>
      <c r="S692" s="424"/>
      <c r="T692" s="382"/>
      <c r="U692" s="383"/>
      <c r="V692" s="383"/>
      <c r="W692" s="383"/>
      <c r="X692" s="383"/>
      <c r="Y692" s="383"/>
      <c r="Z692" s="383"/>
      <c r="AA692" s="383"/>
      <c r="AB692" s="383"/>
      <c r="AC692" s="382"/>
      <c r="AD692" s="382"/>
      <c r="AE692" s="382"/>
    </row>
    <row r="693" spans="1:31">
      <c r="A693" s="422"/>
      <c r="B693" s="422"/>
      <c r="C693" s="422"/>
      <c r="D693" s="422"/>
      <c r="E693" s="779"/>
      <c r="F693" s="422"/>
      <c r="G693" s="422"/>
      <c r="H693" s="422"/>
      <c r="I693" s="422"/>
      <c r="J693" s="422"/>
      <c r="K693" s="422"/>
      <c r="L693" s="422"/>
      <c r="M693" s="422"/>
      <c r="N693" s="422"/>
      <c r="O693" s="422"/>
      <c r="P693" s="422"/>
      <c r="Q693" s="422"/>
      <c r="R693" s="422"/>
      <c r="S693" s="424"/>
      <c r="T693" s="382"/>
      <c r="U693" s="383"/>
      <c r="V693" s="383"/>
      <c r="W693" s="383"/>
      <c r="X693" s="383"/>
      <c r="Y693" s="383"/>
      <c r="Z693" s="383"/>
      <c r="AA693" s="383"/>
      <c r="AB693" s="383"/>
      <c r="AC693" s="382"/>
      <c r="AD693" s="382"/>
      <c r="AE693" s="382"/>
    </row>
    <row r="694" spans="1:31">
      <c r="A694" s="422"/>
      <c r="B694" s="422"/>
      <c r="C694" s="422"/>
      <c r="D694" s="422"/>
      <c r="E694" s="779"/>
      <c r="F694" s="422"/>
      <c r="G694" s="422"/>
      <c r="H694" s="422"/>
      <c r="I694" s="422"/>
      <c r="J694" s="422"/>
      <c r="K694" s="422"/>
      <c r="L694" s="422"/>
      <c r="M694" s="422"/>
      <c r="N694" s="422"/>
      <c r="O694" s="422"/>
      <c r="P694" s="422"/>
      <c r="Q694" s="422"/>
      <c r="R694" s="422"/>
      <c r="S694" s="424"/>
      <c r="T694" s="382"/>
      <c r="U694" s="383"/>
      <c r="V694" s="383"/>
      <c r="W694" s="383"/>
      <c r="X694" s="383"/>
      <c r="Y694" s="383"/>
      <c r="Z694" s="383"/>
      <c r="AA694" s="383"/>
      <c r="AB694" s="383"/>
      <c r="AC694" s="382"/>
      <c r="AD694" s="382"/>
      <c r="AE694" s="382"/>
    </row>
    <row r="695" spans="1:31">
      <c r="A695" s="422"/>
      <c r="B695" s="422"/>
      <c r="C695" s="422"/>
      <c r="D695" s="422"/>
      <c r="E695" s="779"/>
      <c r="F695" s="422"/>
      <c r="G695" s="422"/>
      <c r="H695" s="422"/>
      <c r="I695" s="422"/>
      <c r="J695" s="422"/>
      <c r="K695" s="422"/>
      <c r="L695" s="422"/>
      <c r="M695" s="422"/>
      <c r="N695" s="422"/>
      <c r="O695" s="422"/>
      <c r="P695" s="422"/>
      <c r="Q695" s="422"/>
      <c r="R695" s="422"/>
      <c r="S695" s="424"/>
      <c r="T695" s="382"/>
      <c r="U695" s="383"/>
      <c r="V695" s="383"/>
      <c r="W695" s="383"/>
      <c r="X695" s="383"/>
      <c r="Y695" s="383"/>
      <c r="Z695" s="383"/>
      <c r="AA695" s="383"/>
      <c r="AB695" s="383"/>
      <c r="AC695" s="382"/>
      <c r="AD695" s="382"/>
      <c r="AE695" s="382"/>
    </row>
    <row r="696" spans="1:31">
      <c r="A696" s="422"/>
      <c r="B696" s="422"/>
      <c r="C696" s="422"/>
      <c r="D696" s="422"/>
      <c r="E696" s="779"/>
      <c r="F696" s="422"/>
      <c r="G696" s="422"/>
      <c r="H696" s="422"/>
      <c r="I696" s="422"/>
      <c r="J696" s="422"/>
      <c r="K696" s="422"/>
      <c r="L696" s="422"/>
      <c r="M696" s="422"/>
      <c r="N696" s="422"/>
      <c r="O696" s="422"/>
      <c r="P696" s="422"/>
      <c r="Q696" s="422"/>
      <c r="R696" s="422"/>
      <c r="S696" s="424"/>
      <c r="T696" s="382"/>
      <c r="U696" s="383"/>
      <c r="V696" s="383"/>
      <c r="W696" s="383"/>
      <c r="X696" s="383"/>
      <c r="Y696" s="383"/>
      <c r="Z696" s="383"/>
      <c r="AA696" s="383"/>
      <c r="AB696" s="383"/>
      <c r="AC696" s="382"/>
      <c r="AD696" s="382"/>
      <c r="AE696" s="382"/>
    </row>
    <row r="697" spans="1:31">
      <c r="A697" s="422"/>
      <c r="B697" s="422"/>
      <c r="C697" s="422"/>
      <c r="D697" s="422"/>
      <c r="E697" s="779"/>
      <c r="F697" s="422"/>
      <c r="G697" s="422"/>
      <c r="H697" s="422"/>
      <c r="I697" s="422"/>
      <c r="J697" s="422"/>
      <c r="K697" s="422"/>
      <c r="L697" s="422"/>
      <c r="M697" s="422"/>
      <c r="N697" s="422"/>
      <c r="O697" s="422"/>
      <c r="P697" s="422"/>
      <c r="Q697" s="422"/>
      <c r="R697" s="422"/>
      <c r="S697" s="424"/>
      <c r="T697" s="382"/>
      <c r="U697" s="383"/>
      <c r="V697" s="383"/>
      <c r="W697" s="383"/>
      <c r="X697" s="383"/>
      <c r="Y697" s="383"/>
      <c r="Z697" s="383"/>
      <c r="AA697" s="383"/>
      <c r="AB697" s="383"/>
      <c r="AC697" s="382"/>
      <c r="AD697" s="382"/>
      <c r="AE697" s="382"/>
    </row>
    <row r="698" spans="1:31">
      <c r="A698" s="422"/>
      <c r="B698" s="422"/>
      <c r="C698" s="422"/>
      <c r="D698" s="422"/>
      <c r="E698" s="779"/>
      <c r="F698" s="422"/>
      <c r="G698" s="422"/>
      <c r="H698" s="422"/>
      <c r="I698" s="422"/>
      <c r="J698" s="422"/>
      <c r="K698" s="422"/>
      <c r="L698" s="422"/>
      <c r="M698" s="422"/>
      <c r="N698" s="422"/>
      <c r="O698" s="422"/>
      <c r="P698" s="422"/>
      <c r="Q698" s="422"/>
      <c r="R698" s="422"/>
      <c r="S698" s="424"/>
      <c r="T698" s="382"/>
      <c r="U698" s="383"/>
      <c r="V698" s="383"/>
      <c r="W698" s="383"/>
      <c r="X698" s="383"/>
      <c r="Y698" s="383"/>
      <c r="Z698" s="383"/>
      <c r="AA698" s="383"/>
      <c r="AB698" s="383"/>
      <c r="AC698" s="382"/>
      <c r="AD698" s="382"/>
      <c r="AE698" s="382"/>
    </row>
    <row r="699" spans="1:31">
      <c r="A699" s="422"/>
      <c r="B699" s="422"/>
      <c r="C699" s="422"/>
      <c r="D699" s="422"/>
      <c r="E699" s="779"/>
      <c r="F699" s="422"/>
      <c r="G699" s="422"/>
      <c r="H699" s="422"/>
      <c r="I699" s="422"/>
      <c r="J699" s="422"/>
      <c r="K699" s="422"/>
      <c r="L699" s="422"/>
      <c r="M699" s="422"/>
      <c r="N699" s="422"/>
      <c r="O699" s="422"/>
      <c r="P699" s="422"/>
      <c r="Q699" s="422"/>
      <c r="R699" s="422"/>
      <c r="S699" s="424"/>
      <c r="T699" s="382"/>
      <c r="U699" s="383"/>
      <c r="V699" s="383"/>
      <c r="W699" s="383"/>
      <c r="X699" s="383"/>
      <c r="Y699" s="383"/>
      <c r="Z699" s="383"/>
      <c r="AA699" s="383"/>
      <c r="AB699" s="383"/>
      <c r="AC699" s="382"/>
      <c r="AD699" s="382"/>
      <c r="AE699" s="382"/>
    </row>
    <row r="700" spans="1:31">
      <c r="A700" s="422"/>
      <c r="B700" s="422"/>
      <c r="C700" s="422"/>
      <c r="D700" s="422"/>
      <c r="E700" s="779"/>
      <c r="F700" s="422"/>
      <c r="G700" s="422"/>
      <c r="H700" s="422"/>
      <c r="I700" s="422"/>
      <c r="J700" s="422"/>
      <c r="K700" s="422"/>
      <c r="L700" s="422"/>
      <c r="M700" s="422"/>
      <c r="N700" s="422"/>
      <c r="O700" s="422"/>
      <c r="P700" s="422"/>
      <c r="Q700" s="422"/>
      <c r="R700" s="422"/>
      <c r="S700" s="424"/>
      <c r="T700" s="382"/>
      <c r="U700" s="383"/>
      <c r="V700" s="383"/>
      <c r="W700" s="383"/>
      <c r="X700" s="383"/>
      <c r="Y700" s="383"/>
      <c r="Z700" s="383"/>
      <c r="AA700" s="383"/>
      <c r="AB700" s="383"/>
      <c r="AC700" s="382"/>
      <c r="AD700" s="382"/>
      <c r="AE700" s="382"/>
    </row>
    <row r="701" spans="1:31">
      <c r="A701" s="422"/>
      <c r="B701" s="422"/>
      <c r="C701" s="422"/>
      <c r="D701" s="422"/>
      <c r="E701" s="779"/>
      <c r="F701" s="422"/>
      <c r="G701" s="422"/>
      <c r="H701" s="422"/>
      <c r="I701" s="422"/>
      <c r="J701" s="422"/>
      <c r="K701" s="422"/>
      <c r="L701" s="422"/>
      <c r="M701" s="422"/>
      <c r="N701" s="422"/>
      <c r="O701" s="422"/>
      <c r="P701" s="422"/>
      <c r="Q701" s="422"/>
      <c r="R701" s="422"/>
      <c r="S701" s="424"/>
      <c r="T701" s="382"/>
      <c r="U701" s="383"/>
      <c r="V701" s="383"/>
      <c r="W701" s="383"/>
      <c r="X701" s="383"/>
      <c r="Y701" s="383"/>
      <c r="Z701" s="383"/>
      <c r="AA701" s="383"/>
      <c r="AB701" s="383"/>
      <c r="AC701" s="382"/>
      <c r="AD701" s="382"/>
      <c r="AE701" s="382"/>
    </row>
    <row r="702" spans="1:31">
      <c r="A702" s="422"/>
      <c r="B702" s="422"/>
      <c r="C702" s="422"/>
      <c r="D702" s="422"/>
      <c r="E702" s="779"/>
      <c r="F702" s="422"/>
      <c r="G702" s="422"/>
      <c r="H702" s="422"/>
      <c r="I702" s="422"/>
      <c r="J702" s="422"/>
      <c r="K702" s="422"/>
      <c r="L702" s="422"/>
      <c r="M702" s="422"/>
      <c r="N702" s="422"/>
      <c r="O702" s="422"/>
      <c r="P702" s="422"/>
      <c r="Q702" s="422"/>
      <c r="R702" s="422"/>
      <c r="S702" s="424"/>
      <c r="T702" s="382"/>
      <c r="U702" s="383"/>
      <c r="V702" s="383"/>
      <c r="W702" s="383"/>
      <c r="X702" s="383"/>
      <c r="Y702" s="383"/>
      <c r="Z702" s="383"/>
      <c r="AA702" s="383"/>
      <c r="AB702" s="383"/>
      <c r="AC702" s="382"/>
      <c r="AD702" s="382"/>
      <c r="AE702" s="382"/>
    </row>
    <row r="703" spans="1:31">
      <c r="A703" s="422"/>
      <c r="B703" s="422"/>
      <c r="C703" s="422"/>
      <c r="D703" s="422"/>
      <c r="E703" s="779"/>
      <c r="F703" s="422"/>
      <c r="G703" s="422"/>
      <c r="H703" s="422"/>
      <c r="I703" s="422"/>
      <c r="J703" s="422"/>
      <c r="K703" s="422"/>
      <c r="L703" s="422"/>
      <c r="M703" s="422"/>
      <c r="N703" s="422"/>
      <c r="O703" s="422"/>
      <c r="P703" s="422"/>
      <c r="Q703" s="422"/>
      <c r="R703" s="422"/>
      <c r="S703" s="424"/>
      <c r="T703" s="382"/>
      <c r="U703" s="383"/>
      <c r="V703" s="383"/>
      <c r="W703" s="383"/>
      <c r="X703" s="383"/>
      <c r="Y703" s="383"/>
      <c r="Z703" s="383"/>
      <c r="AA703" s="383"/>
      <c r="AB703" s="383"/>
      <c r="AC703" s="382"/>
      <c r="AD703" s="382"/>
      <c r="AE703" s="382"/>
    </row>
    <row r="704" spans="1:31">
      <c r="A704" s="422"/>
      <c r="B704" s="422"/>
      <c r="C704" s="422"/>
      <c r="D704" s="422"/>
      <c r="E704" s="779"/>
      <c r="F704" s="422"/>
      <c r="G704" s="422"/>
      <c r="H704" s="422"/>
      <c r="I704" s="422"/>
      <c r="J704" s="422"/>
      <c r="K704" s="422"/>
      <c r="L704" s="422"/>
      <c r="M704" s="422"/>
      <c r="N704" s="422"/>
      <c r="O704" s="422"/>
      <c r="P704" s="422"/>
      <c r="Q704" s="422"/>
      <c r="R704" s="422"/>
      <c r="S704" s="424"/>
      <c r="T704" s="382"/>
      <c r="U704" s="383"/>
      <c r="V704" s="383"/>
      <c r="W704" s="383"/>
      <c r="X704" s="383"/>
      <c r="Y704" s="383"/>
      <c r="Z704" s="383"/>
      <c r="AA704" s="383"/>
      <c r="AB704" s="383"/>
      <c r="AC704" s="382"/>
      <c r="AD704" s="382"/>
      <c r="AE704" s="382"/>
    </row>
    <row r="705" spans="1:31">
      <c r="A705" s="422"/>
      <c r="B705" s="422"/>
      <c r="C705" s="422"/>
      <c r="D705" s="422"/>
      <c r="E705" s="779"/>
      <c r="F705" s="422"/>
      <c r="G705" s="422"/>
      <c r="H705" s="422"/>
      <c r="I705" s="422"/>
      <c r="J705" s="422"/>
      <c r="K705" s="422"/>
      <c r="L705" s="422"/>
      <c r="M705" s="422"/>
      <c r="N705" s="422"/>
      <c r="O705" s="422"/>
      <c r="P705" s="422"/>
      <c r="Q705" s="422"/>
      <c r="R705" s="422"/>
      <c r="S705" s="424"/>
      <c r="T705" s="382"/>
      <c r="U705" s="383"/>
      <c r="V705" s="383"/>
      <c r="W705" s="383"/>
      <c r="X705" s="383"/>
      <c r="Y705" s="383"/>
      <c r="Z705" s="383"/>
      <c r="AA705" s="383"/>
      <c r="AB705" s="383"/>
      <c r="AC705" s="382"/>
      <c r="AD705" s="382"/>
      <c r="AE705" s="382"/>
    </row>
    <row r="706" spans="1:31">
      <c r="A706" s="422"/>
      <c r="B706" s="422"/>
      <c r="C706" s="422"/>
      <c r="D706" s="422"/>
      <c r="E706" s="779"/>
      <c r="F706" s="422"/>
      <c r="G706" s="422"/>
      <c r="H706" s="422"/>
      <c r="I706" s="422"/>
      <c r="J706" s="422"/>
      <c r="K706" s="422"/>
      <c r="L706" s="422"/>
      <c r="M706" s="422"/>
      <c r="N706" s="422"/>
      <c r="O706" s="422"/>
      <c r="P706" s="422"/>
      <c r="Q706" s="422"/>
      <c r="R706" s="422"/>
      <c r="S706" s="424"/>
      <c r="T706" s="382"/>
      <c r="U706" s="383"/>
      <c r="V706" s="383"/>
      <c r="W706" s="383"/>
      <c r="X706" s="383"/>
      <c r="Y706" s="383"/>
      <c r="Z706" s="383"/>
      <c r="AA706" s="383"/>
      <c r="AB706" s="383"/>
      <c r="AC706" s="382"/>
      <c r="AD706" s="382"/>
      <c r="AE706" s="382"/>
    </row>
    <row r="707" spans="1:31">
      <c r="A707" s="422"/>
      <c r="B707" s="422"/>
      <c r="C707" s="422"/>
      <c r="D707" s="422"/>
      <c r="E707" s="779"/>
      <c r="F707" s="422"/>
      <c r="G707" s="422"/>
      <c r="H707" s="422"/>
      <c r="I707" s="422"/>
      <c r="J707" s="422"/>
      <c r="K707" s="422"/>
      <c r="L707" s="422"/>
      <c r="M707" s="422"/>
      <c r="N707" s="422"/>
      <c r="O707" s="422"/>
      <c r="P707" s="422"/>
      <c r="Q707" s="422"/>
      <c r="R707" s="422"/>
      <c r="S707" s="424"/>
      <c r="T707" s="382"/>
      <c r="U707" s="383"/>
      <c r="V707" s="383"/>
      <c r="W707" s="383"/>
      <c r="X707" s="383"/>
      <c r="Y707" s="383"/>
      <c r="Z707" s="383"/>
      <c r="AA707" s="383"/>
      <c r="AB707" s="383"/>
      <c r="AC707" s="382"/>
      <c r="AD707" s="382"/>
      <c r="AE707" s="382"/>
    </row>
    <row r="708" spans="1:31">
      <c r="A708" s="422"/>
      <c r="B708" s="422"/>
      <c r="C708" s="422"/>
      <c r="D708" s="422"/>
      <c r="E708" s="779"/>
      <c r="F708" s="422"/>
      <c r="G708" s="422"/>
      <c r="H708" s="422"/>
      <c r="I708" s="422"/>
      <c r="J708" s="422"/>
      <c r="K708" s="422"/>
      <c r="L708" s="422"/>
      <c r="M708" s="422"/>
      <c r="N708" s="422"/>
      <c r="O708" s="422"/>
      <c r="P708" s="422"/>
      <c r="Q708" s="422"/>
      <c r="R708" s="422"/>
      <c r="S708" s="424"/>
      <c r="T708" s="382"/>
      <c r="U708" s="383"/>
      <c r="V708" s="383"/>
      <c r="W708" s="383"/>
      <c r="X708" s="383"/>
      <c r="Y708" s="383"/>
      <c r="Z708" s="383"/>
      <c r="AA708" s="383"/>
      <c r="AB708" s="383"/>
      <c r="AC708" s="382"/>
      <c r="AD708" s="382"/>
      <c r="AE708" s="382"/>
    </row>
    <row r="709" spans="1:31">
      <c r="A709" s="422"/>
      <c r="B709" s="422"/>
      <c r="C709" s="422"/>
      <c r="D709" s="422"/>
      <c r="E709" s="779"/>
      <c r="F709" s="422"/>
      <c r="G709" s="422"/>
      <c r="H709" s="422"/>
      <c r="I709" s="422"/>
      <c r="J709" s="422"/>
      <c r="K709" s="422"/>
      <c r="L709" s="422"/>
      <c r="M709" s="422"/>
      <c r="N709" s="422"/>
      <c r="O709" s="422"/>
      <c r="P709" s="422"/>
      <c r="Q709" s="422"/>
      <c r="R709" s="422"/>
      <c r="S709" s="424"/>
      <c r="T709" s="382"/>
      <c r="U709" s="383"/>
      <c r="V709" s="383"/>
      <c r="W709" s="383"/>
      <c r="X709" s="383"/>
      <c r="Y709" s="383"/>
      <c r="Z709" s="383"/>
      <c r="AA709" s="383"/>
      <c r="AB709" s="383"/>
      <c r="AC709" s="382"/>
      <c r="AD709" s="382"/>
      <c r="AE709" s="382"/>
    </row>
    <row r="710" spans="1:31">
      <c r="A710" s="422"/>
      <c r="B710" s="422"/>
      <c r="C710" s="422"/>
      <c r="D710" s="422"/>
      <c r="E710" s="779"/>
      <c r="F710" s="422"/>
      <c r="G710" s="422"/>
      <c r="H710" s="422"/>
      <c r="I710" s="422"/>
      <c r="J710" s="422"/>
      <c r="K710" s="422"/>
      <c r="L710" s="422"/>
      <c r="M710" s="422"/>
      <c r="N710" s="422"/>
      <c r="O710" s="422"/>
      <c r="P710" s="422"/>
      <c r="Q710" s="422"/>
      <c r="R710" s="422"/>
      <c r="S710" s="424"/>
      <c r="T710" s="382"/>
      <c r="U710" s="383"/>
      <c r="V710" s="383"/>
      <c r="W710" s="383"/>
      <c r="X710" s="383"/>
      <c r="Y710" s="383"/>
      <c r="Z710" s="383"/>
      <c r="AA710" s="383"/>
      <c r="AB710" s="383"/>
      <c r="AC710" s="382"/>
      <c r="AD710" s="382"/>
      <c r="AE710" s="382"/>
    </row>
    <row r="711" spans="1:31">
      <c r="A711" s="422"/>
      <c r="B711" s="422"/>
      <c r="C711" s="422"/>
      <c r="D711" s="422"/>
      <c r="E711" s="779"/>
      <c r="F711" s="422"/>
      <c r="G711" s="422"/>
      <c r="H711" s="422"/>
      <c r="I711" s="422"/>
      <c r="J711" s="422"/>
      <c r="K711" s="422"/>
      <c r="L711" s="422"/>
      <c r="M711" s="422"/>
      <c r="N711" s="422"/>
      <c r="O711" s="422"/>
      <c r="P711" s="422"/>
      <c r="Q711" s="422"/>
      <c r="R711" s="422"/>
      <c r="S711" s="424"/>
      <c r="T711" s="382"/>
      <c r="U711" s="383"/>
      <c r="V711" s="383"/>
      <c r="W711" s="383"/>
      <c r="X711" s="383"/>
      <c r="Y711" s="383"/>
      <c r="Z711" s="383"/>
      <c r="AA711" s="383"/>
      <c r="AB711" s="383"/>
      <c r="AC711" s="382"/>
      <c r="AD711" s="382"/>
      <c r="AE711" s="382"/>
    </row>
    <row r="712" spans="1:31">
      <c r="A712" s="422"/>
      <c r="B712" s="422"/>
      <c r="C712" s="422"/>
      <c r="D712" s="422"/>
      <c r="E712" s="779"/>
      <c r="F712" s="422"/>
      <c r="G712" s="422"/>
      <c r="H712" s="422"/>
      <c r="I712" s="422"/>
      <c r="J712" s="422"/>
      <c r="K712" s="422"/>
      <c r="L712" s="422"/>
      <c r="M712" s="422"/>
      <c r="N712" s="422"/>
      <c r="O712" s="422"/>
      <c r="P712" s="422"/>
      <c r="Q712" s="422"/>
      <c r="R712" s="422"/>
      <c r="S712" s="424"/>
      <c r="T712" s="382"/>
      <c r="U712" s="383"/>
      <c r="V712" s="383"/>
      <c r="W712" s="383"/>
      <c r="X712" s="383"/>
      <c r="Y712" s="383"/>
      <c r="Z712" s="383"/>
      <c r="AA712" s="383"/>
      <c r="AB712" s="383"/>
      <c r="AC712" s="382"/>
      <c r="AD712" s="382"/>
      <c r="AE712" s="382"/>
    </row>
    <row r="713" spans="1:31">
      <c r="A713" s="422"/>
      <c r="B713" s="422"/>
      <c r="C713" s="422"/>
      <c r="D713" s="422"/>
      <c r="E713" s="779"/>
      <c r="F713" s="422"/>
      <c r="G713" s="422"/>
      <c r="H713" s="422"/>
      <c r="I713" s="422"/>
      <c r="J713" s="422"/>
      <c r="K713" s="422"/>
      <c r="L713" s="422"/>
      <c r="M713" s="422"/>
      <c r="N713" s="422"/>
      <c r="O713" s="422"/>
      <c r="P713" s="422"/>
      <c r="Q713" s="422"/>
      <c r="R713" s="422"/>
      <c r="S713" s="424"/>
      <c r="T713" s="382"/>
      <c r="U713" s="383"/>
      <c r="V713" s="383"/>
      <c r="W713" s="383"/>
      <c r="X713" s="383"/>
      <c r="Y713" s="383"/>
      <c r="Z713" s="383"/>
      <c r="AA713" s="383"/>
      <c r="AB713" s="383"/>
      <c r="AC713" s="382"/>
      <c r="AD713" s="382"/>
      <c r="AE713" s="382"/>
    </row>
    <row r="714" spans="1:31">
      <c r="A714" s="422"/>
      <c r="B714" s="422"/>
      <c r="C714" s="422"/>
      <c r="D714" s="422"/>
      <c r="E714" s="779"/>
      <c r="F714" s="422"/>
      <c r="G714" s="422"/>
      <c r="H714" s="422"/>
      <c r="I714" s="422"/>
      <c r="J714" s="422"/>
      <c r="K714" s="422"/>
      <c r="L714" s="422"/>
      <c r="M714" s="422"/>
      <c r="N714" s="422"/>
      <c r="O714" s="422"/>
      <c r="P714" s="422"/>
      <c r="Q714" s="422"/>
      <c r="R714" s="422"/>
      <c r="S714" s="424"/>
      <c r="T714" s="382"/>
      <c r="U714" s="383"/>
      <c r="V714" s="383"/>
      <c r="W714" s="383"/>
      <c r="X714" s="383"/>
      <c r="Y714" s="383"/>
      <c r="Z714" s="383"/>
      <c r="AA714" s="383"/>
      <c r="AB714" s="383"/>
      <c r="AC714" s="382"/>
      <c r="AD714" s="382"/>
      <c r="AE714" s="382"/>
    </row>
    <row r="715" spans="1:31">
      <c r="A715" s="422"/>
      <c r="B715" s="422"/>
      <c r="C715" s="422"/>
      <c r="D715" s="422"/>
      <c r="E715" s="779"/>
      <c r="F715" s="422"/>
      <c r="G715" s="422"/>
      <c r="H715" s="422"/>
      <c r="I715" s="422"/>
      <c r="J715" s="422"/>
      <c r="K715" s="422"/>
      <c r="L715" s="422"/>
      <c r="M715" s="422"/>
      <c r="N715" s="422"/>
      <c r="O715" s="422"/>
      <c r="P715" s="422"/>
      <c r="Q715" s="422"/>
      <c r="R715" s="422"/>
      <c r="S715" s="424"/>
      <c r="T715" s="382"/>
      <c r="U715" s="383"/>
      <c r="V715" s="383"/>
      <c r="W715" s="383"/>
      <c r="X715" s="383"/>
      <c r="Y715" s="383"/>
      <c r="Z715" s="383"/>
      <c r="AA715" s="383"/>
      <c r="AB715" s="383"/>
      <c r="AC715" s="382"/>
      <c r="AD715" s="382"/>
      <c r="AE715" s="382"/>
    </row>
    <row r="716" spans="1:31">
      <c r="A716" s="422"/>
      <c r="B716" s="422"/>
      <c r="C716" s="422"/>
      <c r="D716" s="422"/>
      <c r="E716" s="779"/>
      <c r="F716" s="422"/>
      <c r="G716" s="422"/>
      <c r="H716" s="422"/>
      <c r="I716" s="422"/>
      <c r="J716" s="422"/>
      <c r="K716" s="422"/>
      <c r="L716" s="422"/>
      <c r="M716" s="422"/>
      <c r="N716" s="422"/>
      <c r="O716" s="422"/>
      <c r="P716" s="422"/>
      <c r="Q716" s="422"/>
      <c r="R716" s="422"/>
      <c r="S716" s="424"/>
      <c r="T716" s="382"/>
      <c r="U716" s="383"/>
      <c r="V716" s="383"/>
      <c r="W716" s="383"/>
      <c r="X716" s="383"/>
      <c r="Y716" s="383"/>
      <c r="Z716" s="383"/>
      <c r="AA716" s="383"/>
      <c r="AB716" s="383"/>
      <c r="AC716" s="382"/>
      <c r="AD716" s="382"/>
      <c r="AE716" s="382"/>
    </row>
    <row r="717" spans="1:31">
      <c r="A717" s="422"/>
      <c r="B717" s="422"/>
      <c r="C717" s="422"/>
      <c r="D717" s="422"/>
      <c r="E717" s="779"/>
      <c r="F717" s="422"/>
      <c r="G717" s="422"/>
      <c r="H717" s="422"/>
      <c r="I717" s="422"/>
      <c r="J717" s="422"/>
      <c r="K717" s="422"/>
      <c r="L717" s="422"/>
      <c r="M717" s="422"/>
      <c r="N717" s="422"/>
      <c r="O717" s="422"/>
      <c r="P717" s="422"/>
      <c r="Q717" s="422"/>
      <c r="R717" s="422"/>
      <c r="S717" s="424"/>
      <c r="T717" s="382"/>
      <c r="U717" s="383"/>
      <c r="V717" s="383"/>
      <c r="W717" s="383"/>
      <c r="X717" s="383"/>
      <c r="Y717" s="383"/>
      <c r="Z717" s="383"/>
      <c r="AA717" s="383"/>
      <c r="AB717" s="383"/>
      <c r="AC717" s="382"/>
      <c r="AD717" s="382"/>
      <c r="AE717" s="382"/>
    </row>
    <row r="718" spans="1:31">
      <c r="A718" s="422"/>
      <c r="B718" s="422"/>
      <c r="C718" s="422"/>
      <c r="D718" s="422"/>
      <c r="E718" s="779"/>
      <c r="F718" s="422"/>
      <c r="G718" s="422"/>
      <c r="H718" s="422"/>
      <c r="I718" s="422"/>
      <c r="J718" s="422"/>
      <c r="K718" s="422"/>
      <c r="L718" s="422"/>
      <c r="M718" s="422"/>
      <c r="N718" s="422"/>
      <c r="O718" s="422"/>
      <c r="P718" s="422"/>
      <c r="Q718" s="422"/>
      <c r="R718" s="422"/>
      <c r="S718" s="424"/>
      <c r="T718" s="382"/>
      <c r="U718" s="383"/>
      <c r="V718" s="383"/>
      <c r="W718" s="383"/>
      <c r="X718" s="383"/>
      <c r="Y718" s="383"/>
      <c r="Z718" s="383"/>
      <c r="AA718" s="383"/>
      <c r="AB718" s="383"/>
      <c r="AC718" s="382"/>
      <c r="AD718" s="382"/>
      <c r="AE718" s="382"/>
    </row>
    <row r="719" spans="1:31">
      <c r="A719" s="422"/>
      <c r="B719" s="422"/>
      <c r="C719" s="422"/>
      <c r="D719" s="422"/>
      <c r="E719" s="779"/>
      <c r="F719" s="422"/>
      <c r="G719" s="422"/>
      <c r="H719" s="422"/>
      <c r="I719" s="422"/>
      <c r="J719" s="422"/>
      <c r="K719" s="422"/>
      <c r="L719" s="422"/>
      <c r="M719" s="422"/>
      <c r="N719" s="422"/>
      <c r="O719" s="422"/>
      <c r="P719" s="422"/>
      <c r="Q719" s="422"/>
      <c r="R719" s="422"/>
      <c r="S719" s="424"/>
      <c r="T719" s="382"/>
      <c r="U719" s="383"/>
      <c r="V719" s="383"/>
      <c r="W719" s="383"/>
      <c r="X719" s="383"/>
      <c r="Y719" s="383"/>
      <c r="Z719" s="383"/>
      <c r="AA719" s="383"/>
      <c r="AB719" s="383"/>
      <c r="AC719" s="382"/>
      <c r="AD719" s="382"/>
      <c r="AE719" s="382"/>
    </row>
    <row r="720" spans="1:31">
      <c r="A720" s="422"/>
      <c r="B720" s="422"/>
      <c r="C720" s="422"/>
      <c r="D720" s="422"/>
      <c r="E720" s="779"/>
      <c r="F720" s="422"/>
      <c r="G720" s="422"/>
      <c r="H720" s="422"/>
      <c r="I720" s="422"/>
      <c r="J720" s="422"/>
      <c r="K720" s="422"/>
      <c r="L720" s="422"/>
      <c r="M720" s="422"/>
      <c r="N720" s="422"/>
      <c r="O720" s="422"/>
      <c r="P720" s="422"/>
      <c r="Q720" s="422"/>
      <c r="R720" s="422"/>
      <c r="S720" s="424"/>
      <c r="T720" s="382"/>
      <c r="U720" s="383"/>
      <c r="V720" s="383"/>
      <c r="W720" s="383"/>
      <c r="X720" s="383"/>
      <c r="Y720" s="383"/>
      <c r="Z720" s="383"/>
      <c r="AA720" s="383"/>
      <c r="AB720" s="383"/>
      <c r="AC720" s="382"/>
      <c r="AD720" s="382"/>
      <c r="AE720" s="382"/>
    </row>
    <row r="721" spans="1:31">
      <c r="A721" s="422"/>
      <c r="B721" s="422"/>
      <c r="C721" s="422"/>
      <c r="D721" s="422"/>
      <c r="E721" s="779"/>
      <c r="F721" s="422"/>
      <c r="G721" s="422"/>
      <c r="H721" s="422"/>
      <c r="I721" s="422"/>
      <c r="J721" s="422"/>
      <c r="K721" s="422"/>
      <c r="L721" s="422"/>
      <c r="M721" s="422"/>
      <c r="N721" s="422"/>
      <c r="O721" s="422"/>
      <c r="P721" s="422"/>
      <c r="Q721" s="422"/>
      <c r="R721" s="422"/>
      <c r="S721" s="424"/>
      <c r="T721" s="382"/>
      <c r="U721" s="383"/>
      <c r="V721" s="383"/>
      <c r="W721" s="383"/>
      <c r="X721" s="383"/>
      <c r="Y721" s="383"/>
      <c r="Z721" s="383"/>
      <c r="AA721" s="383"/>
      <c r="AB721" s="383"/>
      <c r="AC721" s="382"/>
      <c r="AD721" s="382"/>
      <c r="AE721" s="382"/>
    </row>
    <row r="722" spans="1:31">
      <c r="A722" s="422"/>
      <c r="B722" s="422"/>
      <c r="C722" s="422"/>
      <c r="D722" s="422"/>
      <c r="E722" s="779"/>
      <c r="F722" s="422"/>
      <c r="G722" s="422"/>
      <c r="H722" s="422"/>
      <c r="I722" s="422"/>
      <c r="J722" s="422"/>
      <c r="K722" s="422"/>
      <c r="L722" s="422"/>
      <c r="M722" s="422"/>
      <c r="N722" s="422"/>
      <c r="O722" s="422"/>
      <c r="P722" s="422"/>
      <c r="Q722" s="422"/>
      <c r="R722" s="422"/>
      <c r="S722" s="424"/>
      <c r="T722" s="382"/>
      <c r="U722" s="383"/>
      <c r="V722" s="383"/>
      <c r="W722" s="383"/>
      <c r="X722" s="383"/>
      <c r="Y722" s="383"/>
      <c r="Z722" s="383"/>
      <c r="AA722" s="383"/>
      <c r="AB722" s="383"/>
      <c r="AC722" s="382"/>
      <c r="AD722" s="382"/>
      <c r="AE722" s="382"/>
    </row>
    <row r="723" spans="1:31">
      <c r="A723" s="422"/>
      <c r="B723" s="422"/>
      <c r="C723" s="422"/>
      <c r="D723" s="422"/>
      <c r="E723" s="779"/>
      <c r="F723" s="422"/>
      <c r="G723" s="422"/>
      <c r="H723" s="422"/>
      <c r="I723" s="422"/>
      <c r="J723" s="422"/>
      <c r="K723" s="422"/>
      <c r="L723" s="422"/>
      <c r="M723" s="422"/>
      <c r="N723" s="422"/>
      <c r="O723" s="422"/>
      <c r="P723" s="422"/>
      <c r="Q723" s="422"/>
      <c r="R723" s="422"/>
      <c r="S723" s="424"/>
      <c r="T723" s="382"/>
      <c r="U723" s="383"/>
      <c r="V723" s="383"/>
      <c r="W723" s="383"/>
      <c r="X723" s="383"/>
      <c r="Y723" s="383"/>
      <c r="Z723" s="383"/>
      <c r="AA723" s="383"/>
      <c r="AB723" s="383"/>
      <c r="AC723" s="382"/>
      <c r="AD723" s="382"/>
      <c r="AE723" s="382"/>
    </row>
    <row r="724" spans="1:31">
      <c r="A724" s="422"/>
      <c r="B724" s="422"/>
      <c r="C724" s="422"/>
      <c r="D724" s="422"/>
      <c r="E724" s="779"/>
      <c r="F724" s="422"/>
      <c r="G724" s="422"/>
      <c r="H724" s="422"/>
      <c r="I724" s="422"/>
      <c r="J724" s="422"/>
      <c r="K724" s="422"/>
      <c r="L724" s="422"/>
      <c r="M724" s="422"/>
      <c r="N724" s="422"/>
      <c r="O724" s="422"/>
      <c r="P724" s="422"/>
      <c r="Q724" s="422"/>
      <c r="R724" s="422"/>
      <c r="S724" s="424"/>
      <c r="T724" s="382"/>
      <c r="U724" s="383"/>
      <c r="V724" s="383"/>
      <c r="W724" s="383"/>
      <c r="X724" s="383"/>
      <c r="Y724" s="383"/>
      <c r="Z724" s="383"/>
      <c r="AA724" s="383"/>
      <c r="AB724" s="383"/>
      <c r="AC724" s="382"/>
      <c r="AD724" s="382"/>
      <c r="AE724" s="382"/>
    </row>
    <row r="725" spans="1:31">
      <c r="A725" s="422"/>
      <c r="B725" s="422"/>
      <c r="C725" s="422"/>
      <c r="D725" s="422"/>
      <c r="E725" s="779"/>
      <c r="F725" s="422"/>
      <c r="G725" s="422"/>
      <c r="H725" s="422"/>
      <c r="I725" s="422"/>
      <c r="J725" s="422"/>
      <c r="K725" s="422"/>
      <c r="L725" s="422"/>
      <c r="M725" s="422"/>
      <c r="N725" s="422"/>
      <c r="O725" s="422"/>
      <c r="P725" s="422"/>
      <c r="Q725" s="422"/>
      <c r="R725" s="422"/>
      <c r="S725" s="424"/>
      <c r="T725" s="382"/>
      <c r="U725" s="383"/>
      <c r="V725" s="383"/>
      <c r="W725" s="383"/>
      <c r="X725" s="383"/>
      <c r="Y725" s="383"/>
      <c r="Z725" s="383"/>
      <c r="AA725" s="383"/>
      <c r="AB725" s="383"/>
      <c r="AC725" s="382"/>
      <c r="AD725" s="382"/>
      <c r="AE725" s="382"/>
    </row>
    <row r="726" spans="1:31">
      <c r="A726" s="422"/>
      <c r="B726" s="422"/>
      <c r="C726" s="422"/>
      <c r="D726" s="422"/>
      <c r="E726" s="779"/>
      <c r="F726" s="422"/>
      <c r="G726" s="422"/>
      <c r="H726" s="422"/>
      <c r="I726" s="422"/>
      <c r="J726" s="422"/>
      <c r="K726" s="422"/>
      <c r="L726" s="422"/>
      <c r="M726" s="422"/>
      <c r="N726" s="422"/>
      <c r="O726" s="422"/>
      <c r="P726" s="422"/>
      <c r="Q726" s="422"/>
      <c r="R726" s="422"/>
      <c r="S726" s="424"/>
      <c r="T726" s="382"/>
      <c r="U726" s="383"/>
      <c r="V726" s="383"/>
      <c r="W726" s="383"/>
      <c r="X726" s="383"/>
      <c r="Y726" s="383"/>
      <c r="Z726" s="383"/>
      <c r="AA726" s="383"/>
      <c r="AB726" s="383"/>
      <c r="AC726" s="382"/>
      <c r="AD726" s="382"/>
      <c r="AE726" s="382"/>
    </row>
    <row r="727" spans="1:31">
      <c r="A727" s="422"/>
      <c r="B727" s="422"/>
      <c r="C727" s="422"/>
      <c r="D727" s="422"/>
      <c r="E727" s="779"/>
      <c r="F727" s="422"/>
      <c r="G727" s="422"/>
      <c r="H727" s="422"/>
      <c r="I727" s="422"/>
      <c r="J727" s="422"/>
      <c r="K727" s="422"/>
      <c r="L727" s="422"/>
      <c r="M727" s="422"/>
      <c r="N727" s="422"/>
      <c r="O727" s="422"/>
      <c r="P727" s="422"/>
      <c r="Q727" s="422"/>
      <c r="R727" s="422"/>
      <c r="S727" s="424"/>
      <c r="T727" s="382"/>
      <c r="U727" s="383"/>
      <c r="V727" s="383"/>
      <c r="W727" s="383"/>
      <c r="X727" s="383"/>
      <c r="Y727" s="383"/>
      <c r="Z727" s="383"/>
      <c r="AA727" s="383"/>
      <c r="AB727" s="383"/>
      <c r="AC727" s="382"/>
      <c r="AD727" s="382"/>
      <c r="AE727" s="382"/>
    </row>
    <row r="728" spans="1:31">
      <c r="A728" s="422"/>
      <c r="B728" s="422"/>
      <c r="C728" s="422"/>
      <c r="D728" s="422"/>
      <c r="E728" s="779"/>
      <c r="F728" s="422"/>
      <c r="G728" s="422"/>
      <c r="H728" s="422"/>
      <c r="I728" s="422"/>
      <c r="J728" s="422"/>
      <c r="K728" s="422"/>
      <c r="L728" s="422"/>
      <c r="M728" s="422"/>
      <c r="N728" s="422"/>
      <c r="O728" s="422"/>
      <c r="P728" s="422"/>
      <c r="Q728" s="422"/>
      <c r="R728" s="422"/>
      <c r="S728" s="424"/>
      <c r="T728" s="382"/>
      <c r="U728" s="383"/>
      <c r="V728" s="383"/>
      <c r="W728" s="383"/>
      <c r="X728" s="383"/>
      <c r="Y728" s="383"/>
      <c r="Z728" s="383"/>
      <c r="AA728" s="383"/>
      <c r="AB728" s="383"/>
      <c r="AC728" s="382"/>
      <c r="AD728" s="382"/>
      <c r="AE728" s="382"/>
    </row>
    <row r="729" spans="1:31">
      <c r="A729" s="422"/>
      <c r="B729" s="422"/>
      <c r="C729" s="422"/>
      <c r="D729" s="422"/>
      <c r="E729" s="779"/>
      <c r="F729" s="422"/>
      <c r="G729" s="422"/>
      <c r="H729" s="422"/>
      <c r="I729" s="422"/>
      <c r="J729" s="422"/>
      <c r="K729" s="422"/>
      <c r="L729" s="422"/>
      <c r="M729" s="422"/>
      <c r="N729" s="422"/>
      <c r="O729" s="422"/>
      <c r="P729" s="422"/>
      <c r="Q729" s="422"/>
      <c r="R729" s="422"/>
      <c r="S729" s="424"/>
      <c r="T729" s="382"/>
      <c r="U729" s="383"/>
      <c r="V729" s="383"/>
      <c r="W729" s="383"/>
      <c r="X729" s="383"/>
      <c r="Y729" s="383"/>
      <c r="Z729" s="383"/>
      <c r="AA729" s="383"/>
      <c r="AB729" s="383"/>
      <c r="AC729" s="382"/>
      <c r="AD729" s="382"/>
      <c r="AE729" s="382"/>
    </row>
    <row r="730" spans="1:31">
      <c r="A730" s="422"/>
      <c r="B730" s="422"/>
      <c r="C730" s="422"/>
      <c r="D730" s="422"/>
      <c r="E730" s="779"/>
      <c r="F730" s="422"/>
      <c r="G730" s="422"/>
      <c r="H730" s="422"/>
      <c r="I730" s="422"/>
      <c r="J730" s="422"/>
      <c r="K730" s="422"/>
      <c r="L730" s="422"/>
      <c r="M730" s="422"/>
      <c r="N730" s="422"/>
      <c r="O730" s="422"/>
      <c r="P730" s="422"/>
      <c r="Q730" s="422"/>
      <c r="R730" s="422"/>
      <c r="S730" s="424"/>
      <c r="T730" s="382"/>
      <c r="U730" s="383"/>
      <c r="V730" s="383"/>
      <c r="W730" s="383"/>
      <c r="X730" s="383"/>
      <c r="Y730" s="383"/>
      <c r="Z730" s="383"/>
      <c r="AA730" s="383"/>
      <c r="AB730" s="383"/>
      <c r="AC730" s="382"/>
      <c r="AD730" s="382"/>
      <c r="AE730" s="382"/>
    </row>
    <row r="731" spans="1:31">
      <c r="A731" s="422"/>
      <c r="B731" s="422"/>
      <c r="C731" s="422"/>
      <c r="D731" s="422"/>
      <c r="E731" s="779"/>
      <c r="F731" s="422"/>
      <c r="G731" s="422"/>
      <c r="H731" s="422"/>
      <c r="I731" s="422"/>
      <c r="J731" s="422"/>
      <c r="K731" s="422"/>
      <c r="L731" s="422"/>
      <c r="M731" s="422"/>
      <c r="N731" s="422"/>
      <c r="O731" s="422"/>
      <c r="P731" s="422"/>
      <c r="Q731" s="422"/>
      <c r="R731" s="422"/>
      <c r="S731" s="424"/>
      <c r="T731" s="382"/>
      <c r="U731" s="383"/>
      <c r="V731" s="383"/>
      <c r="W731" s="383"/>
      <c r="X731" s="383"/>
      <c r="Y731" s="383"/>
      <c r="Z731" s="383"/>
      <c r="AA731" s="383"/>
      <c r="AB731" s="383"/>
      <c r="AC731" s="382"/>
      <c r="AD731" s="382"/>
      <c r="AE731" s="382"/>
    </row>
    <row r="732" spans="1:31">
      <c r="A732" s="422"/>
      <c r="B732" s="422"/>
      <c r="C732" s="422"/>
      <c r="D732" s="422"/>
      <c r="E732" s="779"/>
      <c r="F732" s="422"/>
      <c r="G732" s="422"/>
      <c r="H732" s="422"/>
      <c r="I732" s="422"/>
      <c r="J732" s="422"/>
      <c r="K732" s="422"/>
      <c r="L732" s="422"/>
      <c r="M732" s="422"/>
      <c r="N732" s="422"/>
      <c r="O732" s="422"/>
      <c r="P732" s="422"/>
      <c r="Q732" s="422"/>
      <c r="R732" s="422"/>
      <c r="S732" s="424"/>
      <c r="T732" s="382"/>
      <c r="U732" s="383"/>
      <c r="V732" s="383"/>
      <c r="W732" s="383"/>
      <c r="X732" s="383"/>
      <c r="Y732" s="383"/>
      <c r="Z732" s="383"/>
      <c r="AA732" s="383"/>
      <c r="AB732" s="383"/>
      <c r="AC732" s="382"/>
      <c r="AD732" s="382"/>
      <c r="AE732" s="382"/>
    </row>
    <row r="733" spans="1:31">
      <c r="A733" s="422"/>
      <c r="B733" s="422"/>
      <c r="C733" s="422"/>
      <c r="D733" s="422"/>
      <c r="E733" s="779"/>
      <c r="F733" s="422"/>
      <c r="G733" s="422"/>
      <c r="H733" s="422"/>
      <c r="I733" s="422"/>
      <c r="J733" s="422"/>
      <c r="K733" s="422"/>
      <c r="L733" s="422"/>
      <c r="M733" s="422"/>
      <c r="N733" s="422"/>
      <c r="O733" s="422"/>
      <c r="P733" s="422"/>
      <c r="Q733" s="422"/>
      <c r="R733" s="422"/>
      <c r="S733" s="424"/>
      <c r="T733" s="382"/>
      <c r="U733" s="383"/>
      <c r="V733" s="383"/>
      <c r="W733" s="383"/>
      <c r="X733" s="383"/>
      <c r="Y733" s="383"/>
      <c r="Z733" s="383"/>
      <c r="AA733" s="383"/>
      <c r="AB733" s="383"/>
      <c r="AC733" s="382"/>
      <c r="AD733" s="382"/>
      <c r="AE733" s="382"/>
    </row>
    <row r="734" spans="1:31">
      <c r="A734" s="422"/>
      <c r="B734" s="422"/>
      <c r="C734" s="422"/>
      <c r="D734" s="422"/>
      <c r="E734" s="779"/>
      <c r="F734" s="422"/>
      <c r="G734" s="422"/>
      <c r="H734" s="422"/>
      <c r="I734" s="422"/>
      <c r="J734" s="422"/>
      <c r="K734" s="422"/>
      <c r="L734" s="422"/>
      <c r="M734" s="422"/>
      <c r="N734" s="422"/>
      <c r="O734" s="422"/>
      <c r="P734" s="422"/>
      <c r="Q734" s="422"/>
      <c r="R734" s="422"/>
      <c r="S734" s="424"/>
      <c r="T734" s="382"/>
      <c r="U734" s="383"/>
      <c r="V734" s="383"/>
      <c r="W734" s="383"/>
      <c r="X734" s="383"/>
      <c r="Y734" s="383"/>
      <c r="Z734" s="383"/>
      <c r="AA734" s="383"/>
      <c r="AB734" s="383"/>
      <c r="AC734" s="382"/>
      <c r="AD734" s="382"/>
      <c r="AE734" s="382"/>
    </row>
    <row r="735" spans="1:31">
      <c r="A735" s="422"/>
      <c r="B735" s="422"/>
      <c r="C735" s="422"/>
      <c r="D735" s="422"/>
      <c r="E735" s="779"/>
      <c r="F735" s="422"/>
      <c r="G735" s="422"/>
      <c r="H735" s="422"/>
      <c r="I735" s="422"/>
      <c r="J735" s="422"/>
      <c r="K735" s="422"/>
      <c r="L735" s="422"/>
      <c r="M735" s="422"/>
      <c r="N735" s="422"/>
      <c r="O735" s="422"/>
      <c r="P735" s="422"/>
      <c r="Q735" s="422"/>
      <c r="R735" s="422"/>
      <c r="S735" s="424"/>
      <c r="T735" s="382"/>
      <c r="U735" s="383"/>
      <c r="V735" s="383"/>
      <c r="W735" s="383"/>
      <c r="X735" s="383"/>
      <c r="Y735" s="383"/>
      <c r="Z735" s="383"/>
      <c r="AA735" s="383"/>
      <c r="AB735" s="383"/>
      <c r="AC735" s="382"/>
      <c r="AD735" s="382"/>
      <c r="AE735" s="382"/>
    </row>
    <row r="736" spans="1:31">
      <c r="A736" s="422"/>
      <c r="B736" s="422"/>
      <c r="C736" s="422"/>
      <c r="D736" s="422"/>
      <c r="E736" s="779"/>
      <c r="F736" s="422"/>
      <c r="G736" s="422"/>
      <c r="H736" s="422"/>
      <c r="I736" s="422"/>
      <c r="J736" s="422"/>
      <c r="K736" s="422"/>
      <c r="L736" s="422"/>
      <c r="M736" s="422"/>
      <c r="N736" s="422"/>
      <c r="O736" s="422"/>
      <c r="P736" s="422"/>
      <c r="Q736" s="422"/>
      <c r="R736" s="422"/>
      <c r="S736" s="424"/>
      <c r="T736" s="382"/>
      <c r="U736" s="383"/>
      <c r="V736" s="383"/>
      <c r="W736" s="383"/>
      <c r="X736" s="383"/>
      <c r="Y736" s="383"/>
      <c r="Z736" s="383"/>
      <c r="AA736" s="383"/>
      <c r="AB736" s="383"/>
      <c r="AC736" s="382"/>
      <c r="AD736" s="382"/>
      <c r="AE736" s="382"/>
    </row>
    <row r="737" spans="1:31">
      <c r="A737" s="422"/>
      <c r="B737" s="422"/>
      <c r="C737" s="422"/>
      <c r="D737" s="422"/>
      <c r="E737" s="779"/>
      <c r="F737" s="422"/>
      <c r="G737" s="422"/>
      <c r="H737" s="422"/>
      <c r="I737" s="422"/>
      <c r="J737" s="422"/>
      <c r="K737" s="422"/>
      <c r="L737" s="422"/>
      <c r="M737" s="422"/>
      <c r="N737" s="422"/>
      <c r="O737" s="422"/>
      <c r="P737" s="422"/>
      <c r="Q737" s="422"/>
      <c r="R737" s="422"/>
      <c r="S737" s="424"/>
      <c r="T737" s="382"/>
      <c r="U737" s="383"/>
      <c r="V737" s="383"/>
      <c r="W737" s="383"/>
      <c r="X737" s="383"/>
      <c r="Y737" s="383"/>
      <c r="Z737" s="383"/>
      <c r="AA737" s="383"/>
      <c r="AB737" s="383"/>
      <c r="AC737" s="382"/>
      <c r="AD737" s="382"/>
      <c r="AE737" s="382"/>
    </row>
    <row r="738" spans="1:31">
      <c r="A738" s="422"/>
      <c r="B738" s="422"/>
      <c r="C738" s="422"/>
      <c r="D738" s="422"/>
      <c r="E738" s="779"/>
      <c r="F738" s="422"/>
      <c r="G738" s="422"/>
      <c r="H738" s="422"/>
      <c r="I738" s="422"/>
      <c r="J738" s="422"/>
      <c r="K738" s="422"/>
      <c r="L738" s="422"/>
      <c r="M738" s="422"/>
      <c r="N738" s="422"/>
      <c r="O738" s="422"/>
      <c r="P738" s="422"/>
      <c r="Q738" s="422"/>
      <c r="R738" s="422"/>
      <c r="S738" s="424"/>
      <c r="T738" s="382"/>
      <c r="U738" s="383"/>
      <c r="V738" s="383"/>
      <c r="W738" s="383"/>
      <c r="X738" s="383"/>
      <c r="Y738" s="383"/>
      <c r="Z738" s="383"/>
      <c r="AA738" s="383"/>
      <c r="AB738" s="383"/>
      <c r="AC738" s="382"/>
      <c r="AD738" s="382"/>
      <c r="AE738" s="382"/>
    </row>
    <row r="739" spans="1:31">
      <c r="A739" s="422"/>
      <c r="B739" s="422"/>
      <c r="C739" s="422"/>
      <c r="D739" s="422"/>
      <c r="E739" s="779"/>
      <c r="F739" s="422"/>
      <c r="G739" s="422"/>
      <c r="H739" s="422"/>
      <c r="I739" s="422"/>
      <c r="J739" s="422"/>
      <c r="K739" s="422"/>
      <c r="L739" s="422"/>
      <c r="M739" s="422"/>
      <c r="N739" s="422"/>
      <c r="O739" s="422"/>
      <c r="P739" s="422"/>
      <c r="Q739" s="422"/>
      <c r="R739" s="422"/>
      <c r="S739" s="424"/>
      <c r="T739" s="382"/>
      <c r="U739" s="383"/>
      <c r="V739" s="383"/>
      <c r="W739" s="383"/>
      <c r="X739" s="383"/>
      <c r="Y739" s="383"/>
      <c r="Z739" s="383"/>
      <c r="AA739" s="383"/>
      <c r="AB739" s="383"/>
      <c r="AC739" s="382"/>
      <c r="AD739" s="382"/>
      <c r="AE739" s="382"/>
    </row>
    <row r="740" spans="1:31">
      <c r="A740" s="422"/>
      <c r="B740" s="422"/>
      <c r="C740" s="422"/>
      <c r="D740" s="422"/>
      <c r="E740" s="779"/>
      <c r="F740" s="422"/>
      <c r="G740" s="422"/>
      <c r="H740" s="422"/>
      <c r="I740" s="422"/>
      <c r="J740" s="422"/>
      <c r="K740" s="422"/>
      <c r="L740" s="422"/>
      <c r="M740" s="422"/>
      <c r="N740" s="422"/>
      <c r="O740" s="422"/>
      <c r="P740" s="422"/>
      <c r="Q740" s="422"/>
      <c r="R740" s="422"/>
      <c r="S740" s="424"/>
      <c r="T740" s="382"/>
      <c r="U740" s="383"/>
      <c r="V740" s="383"/>
      <c r="W740" s="383"/>
      <c r="X740" s="383"/>
      <c r="Y740" s="383"/>
      <c r="Z740" s="383"/>
      <c r="AA740" s="383"/>
      <c r="AB740" s="383"/>
      <c r="AC740" s="382"/>
      <c r="AD740" s="382"/>
      <c r="AE740" s="382"/>
    </row>
    <row r="741" spans="1:31">
      <c r="A741" s="422"/>
      <c r="B741" s="422"/>
      <c r="C741" s="422"/>
      <c r="D741" s="422"/>
      <c r="E741" s="779"/>
      <c r="F741" s="422"/>
      <c r="G741" s="422"/>
      <c r="H741" s="422"/>
      <c r="I741" s="422"/>
      <c r="J741" s="422"/>
      <c r="K741" s="422"/>
      <c r="L741" s="422"/>
      <c r="M741" s="422"/>
      <c r="N741" s="422"/>
      <c r="O741" s="422"/>
      <c r="P741" s="422"/>
      <c r="Q741" s="422"/>
      <c r="R741" s="422"/>
      <c r="S741" s="424"/>
      <c r="T741" s="382"/>
      <c r="U741" s="383"/>
      <c r="V741" s="383"/>
      <c r="W741" s="383"/>
      <c r="X741" s="383"/>
      <c r="Y741" s="383"/>
      <c r="Z741" s="383"/>
      <c r="AA741" s="383"/>
      <c r="AB741" s="383"/>
      <c r="AC741" s="382"/>
      <c r="AD741" s="382"/>
      <c r="AE741" s="382"/>
    </row>
    <row r="742" spans="1:31">
      <c r="A742" s="422"/>
      <c r="B742" s="422"/>
      <c r="C742" s="422"/>
      <c r="D742" s="422"/>
      <c r="E742" s="779"/>
      <c r="F742" s="422"/>
      <c r="G742" s="422"/>
      <c r="H742" s="422"/>
      <c r="I742" s="422"/>
      <c r="J742" s="422"/>
      <c r="K742" s="422"/>
      <c r="L742" s="422"/>
      <c r="M742" s="422"/>
      <c r="N742" s="422"/>
      <c r="O742" s="422"/>
      <c r="P742" s="422"/>
      <c r="Q742" s="422"/>
      <c r="R742" s="422"/>
      <c r="S742" s="424"/>
      <c r="T742" s="382"/>
      <c r="U742" s="383"/>
      <c r="V742" s="383"/>
      <c r="W742" s="383"/>
      <c r="X742" s="383"/>
      <c r="Y742" s="383"/>
      <c r="Z742" s="383"/>
      <c r="AA742" s="383"/>
      <c r="AB742" s="383"/>
      <c r="AC742" s="382"/>
      <c r="AD742" s="382"/>
      <c r="AE742" s="382"/>
    </row>
    <row r="743" spans="1:31">
      <c r="A743" s="422"/>
      <c r="B743" s="422"/>
      <c r="C743" s="422"/>
      <c r="D743" s="422"/>
      <c r="E743" s="779"/>
      <c r="F743" s="422"/>
      <c r="G743" s="422"/>
      <c r="H743" s="422"/>
      <c r="I743" s="422"/>
      <c r="J743" s="422"/>
      <c r="K743" s="422"/>
      <c r="L743" s="422"/>
      <c r="M743" s="422"/>
      <c r="N743" s="422"/>
      <c r="O743" s="422"/>
      <c r="P743" s="422"/>
      <c r="Q743" s="422"/>
      <c r="R743" s="422"/>
      <c r="S743" s="424"/>
      <c r="T743" s="382"/>
      <c r="U743" s="383"/>
      <c r="V743" s="383"/>
      <c r="W743" s="383"/>
      <c r="X743" s="383"/>
      <c r="Y743" s="383"/>
      <c r="Z743" s="383"/>
      <c r="AA743" s="383"/>
      <c r="AB743" s="383"/>
      <c r="AC743" s="382"/>
      <c r="AD743" s="382"/>
      <c r="AE743" s="382"/>
    </row>
    <row r="744" spans="1:31">
      <c r="A744" s="422"/>
      <c r="B744" s="422"/>
      <c r="C744" s="422"/>
      <c r="D744" s="422"/>
      <c r="E744" s="779"/>
      <c r="F744" s="422"/>
      <c r="G744" s="422"/>
      <c r="H744" s="422"/>
      <c r="I744" s="422"/>
      <c r="J744" s="422"/>
      <c r="K744" s="422"/>
      <c r="L744" s="422"/>
      <c r="M744" s="422"/>
      <c r="N744" s="422"/>
      <c r="O744" s="422"/>
      <c r="P744" s="422"/>
      <c r="Q744" s="422"/>
      <c r="R744" s="422"/>
      <c r="S744" s="424"/>
      <c r="T744" s="382"/>
      <c r="U744" s="383"/>
      <c r="V744" s="383"/>
      <c r="W744" s="383"/>
      <c r="X744" s="383"/>
      <c r="Y744" s="383"/>
      <c r="Z744" s="383"/>
      <c r="AA744" s="383"/>
      <c r="AB744" s="383"/>
      <c r="AC744" s="382"/>
      <c r="AD744" s="382"/>
      <c r="AE744" s="382"/>
    </row>
    <row r="745" spans="1:31">
      <c r="A745" s="422"/>
      <c r="B745" s="422"/>
      <c r="C745" s="422"/>
      <c r="D745" s="422"/>
      <c r="E745" s="779"/>
      <c r="F745" s="422"/>
      <c r="G745" s="422"/>
      <c r="H745" s="422"/>
      <c r="I745" s="422"/>
      <c r="J745" s="422"/>
      <c r="K745" s="422"/>
      <c r="L745" s="422"/>
      <c r="M745" s="422"/>
      <c r="N745" s="422"/>
      <c r="O745" s="422"/>
      <c r="P745" s="422"/>
      <c r="Q745" s="422"/>
      <c r="R745" s="422"/>
      <c r="S745" s="424"/>
      <c r="T745" s="382"/>
      <c r="U745" s="383"/>
      <c r="V745" s="383"/>
      <c r="W745" s="383"/>
      <c r="X745" s="383"/>
      <c r="Y745" s="383"/>
      <c r="Z745" s="383"/>
      <c r="AA745" s="383"/>
      <c r="AB745" s="383"/>
      <c r="AC745" s="382"/>
      <c r="AD745" s="382"/>
      <c r="AE745" s="382"/>
    </row>
    <row r="746" spans="1:31">
      <c r="A746" s="422"/>
      <c r="B746" s="422"/>
      <c r="C746" s="422"/>
      <c r="D746" s="422"/>
      <c r="E746" s="779"/>
      <c r="F746" s="422"/>
      <c r="G746" s="422"/>
      <c r="H746" s="422"/>
      <c r="I746" s="422"/>
      <c r="J746" s="422"/>
      <c r="K746" s="422"/>
      <c r="L746" s="422"/>
      <c r="M746" s="422"/>
      <c r="N746" s="422"/>
      <c r="O746" s="422"/>
      <c r="P746" s="422"/>
      <c r="Q746" s="422"/>
      <c r="R746" s="422"/>
      <c r="S746" s="424"/>
      <c r="T746" s="382"/>
      <c r="U746" s="383"/>
      <c r="V746" s="383"/>
      <c r="W746" s="383"/>
      <c r="X746" s="383"/>
      <c r="Y746" s="383"/>
      <c r="Z746" s="383"/>
      <c r="AA746" s="383"/>
      <c r="AB746" s="383"/>
      <c r="AC746" s="382"/>
      <c r="AD746" s="382"/>
      <c r="AE746" s="382"/>
    </row>
    <row r="747" spans="1:31">
      <c r="A747" s="422"/>
      <c r="B747" s="422"/>
      <c r="C747" s="422"/>
      <c r="D747" s="422"/>
      <c r="E747" s="779"/>
      <c r="F747" s="422"/>
      <c r="G747" s="422"/>
      <c r="H747" s="422"/>
      <c r="I747" s="422"/>
      <c r="J747" s="422"/>
      <c r="K747" s="422"/>
      <c r="L747" s="422"/>
      <c r="M747" s="422"/>
      <c r="N747" s="422"/>
      <c r="O747" s="422"/>
      <c r="P747" s="422"/>
      <c r="Q747" s="422"/>
      <c r="R747" s="422"/>
      <c r="S747" s="424"/>
      <c r="T747" s="382"/>
      <c r="U747" s="383"/>
      <c r="V747" s="383"/>
      <c r="W747" s="383"/>
      <c r="X747" s="383"/>
      <c r="Y747" s="383"/>
      <c r="Z747" s="383"/>
      <c r="AA747" s="383"/>
      <c r="AB747" s="383"/>
      <c r="AC747" s="382"/>
      <c r="AD747" s="382"/>
      <c r="AE747" s="382"/>
    </row>
    <row r="748" spans="1:31">
      <c r="A748" s="422"/>
      <c r="B748" s="422"/>
      <c r="C748" s="422"/>
      <c r="D748" s="422"/>
      <c r="E748" s="779"/>
      <c r="F748" s="422"/>
      <c r="G748" s="422"/>
      <c r="H748" s="422"/>
      <c r="I748" s="422"/>
      <c r="J748" s="422"/>
      <c r="K748" s="422"/>
      <c r="L748" s="422"/>
      <c r="M748" s="422"/>
      <c r="N748" s="422"/>
      <c r="O748" s="422"/>
      <c r="P748" s="422"/>
      <c r="Q748" s="422"/>
      <c r="R748" s="422"/>
      <c r="S748" s="424"/>
      <c r="T748" s="382"/>
      <c r="U748" s="383"/>
      <c r="V748" s="383"/>
      <c r="W748" s="383"/>
      <c r="X748" s="383"/>
      <c r="Y748" s="383"/>
      <c r="Z748" s="383"/>
      <c r="AA748" s="383"/>
      <c r="AB748" s="383"/>
      <c r="AC748" s="382"/>
      <c r="AD748" s="382"/>
      <c r="AE748" s="382"/>
    </row>
    <row r="749" spans="1:31">
      <c r="A749" s="422"/>
      <c r="B749" s="422"/>
      <c r="C749" s="422"/>
      <c r="D749" s="422"/>
      <c r="E749" s="779"/>
      <c r="F749" s="422"/>
      <c r="G749" s="422"/>
      <c r="H749" s="422"/>
      <c r="I749" s="422"/>
      <c r="J749" s="422"/>
      <c r="K749" s="422"/>
      <c r="L749" s="422"/>
      <c r="M749" s="422"/>
      <c r="N749" s="422"/>
      <c r="O749" s="422"/>
      <c r="P749" s="422"/>
      <c r="Q749" s="422"/>
      <c r="R749" s="422"/>
      <c r="S749" s="424"/>
      <c r="T749" s="382"/>
      <c r="U749" s="383"/>
      <c r="V749" s="383"/>
      <c r="W749" s="383"/>
      <c r="X749" s="383"/>
      <c r="Y749" s="383"/>
      <c r="Z749" s="383"/>
      <c r="AA749" s="383"/>
      <c r="AB749" s="383"/>
      <c r="AC749" s="382"/>
      <c r="AD749" s="382"/>
      <c r="AE749" s="382"/>
    </row>
    <row r="750" spans="1:31">
      <c r="A750" s="422"/>
      <c r="B750" s="422"/>
      <c r="C750" s="422"/>
      <c r="D750" s="422"/>
      <c r="E750" s="779"/>
      <c r="F750" s="422"/>
      <c r="G750" s="422"/>
      <c r="H750" s="422"/>
      <c r="I750" s="422"/>
      <c r="J750" s="422"/>
      <c r="K750" s="422"/>
      <c r="L750" s="422"/>
      <c r="M750" s="422"/>
      <c r="N750" s="422"/>
      <c r="O750" s="422"/>
      <c r="P750" s="422"/>
      <c r="Q750" s="422"/>
      <c r="R750" s="422"/>
      <c r="S750" s="424"/>
      <c r="T750" s="382"/>
      <c r="U750" s="383"/>
      <c r="V750" s="383"/>
      <c r="W750" s="383"/>
      <c r="X750" s="383"/>
      <c r="Y750" s="383"/>
      <c r="Z750" s="383"/>
      <c r="AA750" s="383"/>
      <c r="AB750" s="383"/>
      <c r="AC750" s="382"/>
      <c r="AD750" s="382"/>
      <c r="AE750" s="382"/>
    </row>
    <row r="751" spans="1:31">
      <c r="A751" s="422"/>
      <c r="B751" s="422"/>
      <c r="C751" s="422"/>
      <c r="D751" s="422"/>
      <c r="E751" s="779"/>
      <c r="F751" s="422"/>
      <c r="G751" s="422"/>
      <c r="H751" s="422"/>
      <c r="I751" s="422"/>
      <c r="J751" s="422"/>
      <c r="K751" s="422"/>
      <c r="L751" s="422"/>
      <c r="M751" s="422"/>
      <c r="N751" s="422"/>
      <c r="O751" s="422"/>
      <c r="P751" s="422"/>
      <c r="Q751" s="422"/>
      <c r="R751" s="422"/>
      <c r="S751" s="424"/>
      <c r="T751" s="382"/>
      <c r="U751" s="383"/>
      <c r="V751" s="383"/>
      <c r="W751" s="383"/>
      <c r="X751" s="383"/>
      <c r="Y751" s="383"/>
      <c r="Z751" s="383"/>
      <c r="AA751" s="383"/>
      <c r="AB751" s="383"/>
      <c r="AC751" s="382"/>
      <c r="AD751" s="382"/>
      <c r="AE751" s="382"/>
    </row>
    <row r="752" spans="1:31">
      <c r="A752" s="422"/>
      <c r="B752" s="422"/>
      <c r="C752" s="422"/>
      <c r="D752" s="422"/>
      <c r="E752" s="779"/>
      <c r="F752" s="422"/>
      <c r="G752" s="422"/>
      <c r="H752" s="422"/>
      <c r="I752" s="422"/>
      <c r="J752" s="422"/>
      <c r="K752" s="422"/>
      <c r="L752" s="422"/>
      <c r="M752" s="422"/>
      <c r="N752" s="422"/>
      <c r="O752" s="422"/>
      <c r="P752" s="422"/>
      <c r="Q752" s="422"/>
      <c r="R752" s="422"/>
      <c r="S752" s="424"/>
      <c r="T752" s="382"/>
      <c r="U752" s="383"/>
      <c r="V752" s="383"/>
      <c r="W752" s="383"/>
      <c r="X752" s="383"/>
      <c r="Y752" s="383"/>
      <c r="Z752" s="383"/>
      <c r="AA752" s="383"/>
      <c r="AB752" s="383"/>
      <c r="AC752" s="382"/>
      <c r="AD752" s="382"/>
      <c r="AE752" s="382"/>
    </row>
    <row r="753" spans="1:31">
      <c r="A753" s="422"/>
      <c r="B753" s="422"/>
      <c r="C753" s="422"/>
      <c r="D753" s="422"/>
      <c r="E753" s="779"/>
      <c r="F753" s="422"/>
      <c r="G753" s="422"/>
      <c r="H753" s="422"/>
      <c r="I753" s="422"/>
      <c r="J753" s="422"/>
      <c r="K753" s="422"/>
      <c r="L753" s="422"/>
      <c r="M753" s="422"/>
      <c r="N753" s="422"/>
      <c r="O753" s="422"/>
      <c r="P753" s="422"/>
      <c r="Q753" s="422"/>
      <c r="R753" s="422"/>
      <c r="S753" s="424"/>
      <c r="T753" s="382"/>
      <c r="U753" s="383"/>
      <c r="V753" s="383"/>
      <c r="W753" s="383"/>
      <c r="X753" s="383"/>
      <c r="Y753" s="383"/>
      <c r="Z753" s="383"/>
      <c r="AA753" s="383"/>
      <c r="AB753" s="383"/>
      <c r="AC753" s="382"/>
      <c r="AD753" s="382"/>
      <c r="AE753" s="382"/>
    </row>
    <row r="754" spans="1:31">
      <c r="A754" s="422"/>
      <c r="B754" s="422"/>
      <c r="C754" s="422"/>
      <c r="D754" s="422"/>
      <c r="E754" s="779"/>
      <c r="F754" s="422"/>
      <c r="G754" s="422"/>
      <c r="H754" s="422"/>
      <c r="I754" s="422"/>
      <c r="J754" s="422"/>
      <c r="K754" s="422"/>
      <c r="L754" s="422"/>
      <c r="M754" s="422"/>
      <c r="N754" s="422"/>
      <c r="O754" s="422"/>
      <c r="P754" s="422"/>
      <c r="Q754" s="422"/>
      <c r="R754" s="422"/>
      <c r="S754" s="424"/>
      <c r="T754" s="382"/>
      <c r="U754" s="383"/>
      <c r="V754" s="383"/>
      <c r="W754" s="383"/>
      <c r="X754" s="383"/>
      <c r="Y754" s="383"/>
      <c r="Z754" s="383"/>
      <c r="AA754" s="383"/>
      <c r="AB754" s="383"/>
      <c r="AC754" s="382"/>
      <c r="AD754" s="382"/>
      <c r="AE754" s="382"/>
    </row>
    <row r="755" spans="1:31">
      <c r="A755" s="422"/>
      <c r="B755" s="422"/>
      <c r="C755" s="422"/>
      <c r="D755" s="422"/>
      <c r="E755" s="779"/>
      <c r="F755" s="422"/>
      <c r="G755" s="422"/>
      <c r="H755" s="422"/>
      <c r="I755" s="422"/>
      <c r="J755" s="422"/>
      <c r="K755" s="422"/>
      <c r="L755" s="422"/>
      <c r="M755" s="422"/>
      <c r="N755" s="422"/>
      <c r="O755" s="422"/>
      <c r="P755" s="422"/>
      <c r="Q755" s="422"/>
      <c r="R755" s="422"/>
      <c r="S755" s="424"/>
      <c r="T755" s="382"/>
      <c r="U755" s="383"/>
      <c r="V755" s="383"/>
      <c r="W755" s="383"/>
      <c r="X755" s="383"/>
      <c r="Y755" s="383"/>
      <c r="Z755" s="383"/>
      <c r="AA755" s="383"/>
      <c r="AB755" s="383"/>
      <c r="AC755" s="382"/>
      <c r="AD755" s="382"/>
      <c r="AE755" s="382"/>
    </row>
    <row r="756" spans="1:31">
      <c r="A756" s="422"/>
      <c r="B756" s="422"/>
      <c r="C756" s="422"/>
      <c r="D756" s="422"/>
      <c r="E756" s="779"/>
      <c r="F756" s="422"/>
      <c r="G756" s="422"/>
      <c r="H756" s="422"/>
      <c r="I756" s="422"/>
      <c r="J756" s="422"/>
      <c r="K756" s="422"/>
      <c r="L756" s="422"/>
      <c r="M756" s="422"/>
      <c r="N756" s="422"/>
      <c r="O756" s="422"/>
      <c r="P756" s="422"/>
      <c r="Q756" s="422"/>
      <c r="R756" s="422"/>
      <c r="S756" s="424"/>
      <c r="T756" s="382"/>
      <c r="U756" s="383"/>
      <c r="V756" s="383"/>
      <c r="W756" s="383"/>
      <c r="X756" s="383"/>
      <c r="Y756" s="383"/>
      <c r="Z756" s="383"/>
      <c r="AA756" s="383"/>
      <c r="AB756" s="383"/>
      <c r="AC756" s="382"/>
      <c r="AD756" s="382"/>
      <c r="AE756" s="382"/>
    </row>
    <row r="757" spans="1:31">
      <c r="A757" s="422"/>
      <c r="B757" s="422"/>
      <c r="C757" s="422"/>
      <c r="D757" s="422"/>
      <c r="E757" s="779"/>
      <c r="F757" s="422"/>
      <c r="G757" s="422"/>
      <c r="H757" s="422"/>
      <c r="I757" s="422"/>
      <c r="J757" s="422"/>
      <c r="K757" s="422"/>
      <c r="L757" s="422"/>
      <c r="M757" s="422"/>
      <c r="N757" s="422"/>
      <c r="O757" s="422"/>
      <c r="P757" s="422"/>
      <c r="Q757" s="422"/>
      <c r="R757" s="422"/>
      <c r="S757" s="424"/>
      <c r="T757" s="382"/>
      <c r="U757" s="383"/>
      <c r="V757" s="383"/>
      <c r="W757" s="383"/>
      <c r="X757" s="383"/>
      <c r="Y757" s="383"/>
      <c r="Z757" s="383"/>
      <c r="AA757" s="383"/>
      <c r="AB757" s="383"/>
      <c r="AC757" s="382"/>
      <c r="AD757" s="382"/>
      <c r="AE757" s="382"/>
    </row>
    <row r="758" spans="1:31">
      <c r="A758" s="422"/>
      <c r="B758" s="422"/>
      <c r="C758" s="422"/>
      <c r="D758" s="422"/>
      <c r="E758" s="779"/>
      <c r="F758" s="422"/>
      <c r="G758" s="422"/>
      <c r="H758" s="422"/>
      <c r="I758" s="422"/>
      <c r="J758" s="422"/>
      <c r="K758" s="422"/>
      <c r="L758" s="422"/>
      <c r="M758" s="422"/>
      <c r="N758" s="422"/>
      <c r="O758" s="422"/>
      <c r="P758" s="422"/>
      <c r="Q758" s="422"/>
      <c r="R758" s="422"/>
      <c r="S758" s="424"/>
      <c r="T758" s="382"/>
      <c r="U758" s="383"/>
      <c r="V758" s="383"/>
      <c r="W758" s="383"/>
      <c r="X758" s="383"/>
      <c r="Y758" s="383"/>
      <c r="Z758" s="383"/>
      <c r="AA758" s="383"/>
      <c r="AB758" s="383"/>
      <c r="AC758" s="382"/>
      <c r="AD758" s="382"/>
      <c r="AE758" s="382"/>
    </row>
    <row r="759" spans="1:31">
      <c r="A759" s="422"/>
      <c r="B759" s="422"/>
      <c r="C759" s="422"/>
      <c r="D759" s="422"/>
      <c r="E759" s="779"/>
      <c r="F759" s="422"/>
      <c r="G759" s="422"/>
      <c r="H759" s="422"/>
      <c r="I759" s="422"/>
      <c r="J759" s="422"/>
      <c r="K759" s="422"/>
      <c r="L759" s="422"/>
      <c r="M759" s="422"/>
      <c r="N759" s="422"/>
      <c r="O759" s="422"/>
      <c r="P759" s="422"/>
      <c r="Q759" s="422"/>
      <c r="R759" s="422"/>
      <c r="S759" s="424"/>
      <c r="T759" s="382"/>
      <c r="U759" s="383"/>
      <c r="V759" s="383"/>
      <c r="W759" s="383"/>
      <c r="X759" s="383"/>
      <c r="Y759" s="383"/>
      <c r="Z759" s="383"/>
      <c r="AA759" s="383"/>
      <c r="AB759" s="383"/>
      <c r="AC759" s="382"/>
      <c r="AD759" s="382"/>
      <c r="AE759" s="382"/>
    </row>
    <row r="760" spans="1:31">
      <c r="A760" s="422"/>
      <c r="B760" s="422"/>
      <c r="C760" s="422"/>
      <c r="D760" s="422"/>
      <c r="E760" s="779"/>
      <c r="F760" s="422"/>
      <c r="G760" s="422"/>
      <c r="H760" s="422"/>
      <c r="I760" s="422"/>
      <c r="J760" s="422"/>
      <c r="K760" s="422"/>
      <c r="L760" s="422"/>
      <c r="M760" s="422"/>
      <c r="N760" s="422"/>
      <c r="O760" s="422"/>
      <c r="P760" s="422"/>
      <c r="Q760" s="422"/>
      <c r="R760" s="422"/>
      <c r="S760" s="424"/>
      <c r="T760" s="382"/>
      <c r="U760" s="383"/>
      <c r="V760" s="383"/>
      <c r="W760" s="383"/>
      <c r="X760" s="383"/>
      <c r="Y760" s="383"/>
      <c r="Z760" s="383"/>
      <c r="AA760" s="383"/>
      <c r="AB760" s="383"/>
      <c r="AC760" s="382"/>
      <c r="AD760" s="382"/>
      <c r="AE760" s="382"/>
    </row>
    <row r="761" spans="1:31">
      <c r="A761" s="422"/>
      <c r="B761" s="422"/>
      <c r="C761" s="422"/>
      <c r="D761" s="422"/>
      <c r="E761" s="779"/>
      <c r="F761" s="422"/>
      <c r="G761" s="422"/>
      <c r="H761" s="422"/>
      <c r="I761" s="422"/>
      <c r="J761" s="422"/>
      <c r="K761" s="422"/>
      <c r="L761" s="422"/>
      <c r="M761" s="422"/>
      <c r="N761" s="422"/>
      <c r="O761" s="422"/>
      <c r="P761" s="422"/>
      <c r="Q761" s="422"/>
      <c r="R761" s="422"/>
      <c r="S761" s="424"/>
      <c r="T761" s="382"/>
      <c r="U761" s="383"/>
      <c r="V761" s="383"/>
      <c r="W761" s="383"/>
      <c r="X761" s="383"/>
      <c r="Y761" s="383"/>
      <c r="Z761" s="383"/>
      <c r="AA761" s="383"/>
      <c r="AB761" s="383"/>
      <c r="AC761" s="382"/>
      <c r="AD761" s="382"/>
      <c r="AE761" s="382"/>
    </row>
    <row r="762" spans="1:31">
      <c r="A762" s="422"/>
      <c r="B762" s="422"/>
      <c r="C762" s="422"/>
      <c r="D762" s="422"/>
      <c r="E762" s="779"/>
      <c r="F762" s="422"/>
      <c r="G762" s="422"/>
      <c r="H762" s="422"/>
      <c r="I762" s="422"/>
      <c r="J762" s="422"/>
      <c r="K762" s="422"/>
      <c r="L762" s="422"/>
      <c r="M762" s="422"/>
      <c r="N762" s="422"/>
      <c r="O762" s="422"/>
      <c r="P762" s="422"/>
      <c r="Q762" s="422"/>
      <c r="R762" s="422"/>
      <c r="S762" s="424"/>
      <c r="T762" s="382"/>
      <c r="U762" s="383"/>
      <c r="V762" s="383"/>
      <c r="W762" s="383"/>
      <c r="X762" s="383"/>
      <c r="Y762" s="383"/>
      <c r="Z762" s="383"/>
      <c r="AA762" s="383"/>
      <c r="AB762" s="383"/>
      <c r="AC762" s="382"/>
      <c r="AD762" s="382"/>
      <c r="AE762" s="382"/>
    </row>
    <row r="763" spans="1:31">
      <c r="A763" s="422"/>
      <c r="B763" s="422"/>
      <c r="C763" s="422"/>
      <c r="D763" s="422"/>
      <c r="E763" s="779"/>
      <c r="F763" s="422"/>
      <c r="G763" s="422"/>
      <c r="H763" s="422"/>
      <c r="I763" s="422"/>
      <c r="J763" s="422"/>
      <c r="K763" s="422"/>
      <c r="L763" s="422"/>
      <c r="M763" s="422"/>
      <c r="N763" s="422"/>
      <c r="O763" s="422"/>
      <c r="P763" s="422"/>
      <c r="Q763" s="422"/>
      <c r="R763" s="422"/>
      <c r="S763" s="424"/>
      <c r="T763" s="382"/>
      <c r="U763" s="383"/>
      <c r="V763" s="383"/>
      <c r="W763" s="383"/>
      <c r="X763" s="383"/>
      <c r="Y763" s="383"/>
      <c r="Z763" s="383"/>
      <c r="AA763" s="383"/>
      <c r="AB763" s="383"/>
      <c r="AC763" s="382"/>
      <c r="AD763" s="382"/>
      <c r="AE763" s="382"/>
    </row>
    <row r="764" spans="1:31">
      <c r="A764" s="422"/>
      <c r="B764" s="422"/>
      <c r="C764" s="422"/>
      <c r="D764" s="422"/>
      <c r="E764" s="779"/>
      <c r="F764" s="422"/>
      <c r="G764" s="422"/>
      <c r="H764" s="422"/>
      <c r="I764" s="422"/>
      <c r="J764" s="422"/>
      <c r="K764" s="422"/>
      <c r="L764" s="422"/>
      <c r="M764" s="422"/>
      <c r="N764" s="422"/>
      <c r="O764" s="422"/>
      <c r="P764" s="422"/>
      <c r="Q764" s="422"/>
      <c r="R764" s="422"/>
      <c r="S764" s="424"/>
      <c r="T764" s="382"/>
      <c r="U764" s="383"/>
      <c r="V764" s="383"/>
      <c r="W764" s="383"/>
      <c r="X764" s="383"/>
      <c r="Y764" s="383"/>
      <c r="Z764" s="383"/>
      <c r="AA764" s="383"/>
      <c r="AB764" s="383"/>
      <c r="AC764" s="382"/>
      <c r="AD764" s="382"/>
      <c r="AE764" s="382"/>
    </row>
    <row r="765" spans="1:31">
      <c r="A765" s="422"/>
      <c r="B765" s="422"/>
      <c r="C765" s="422"/>
      <c r="D765" s="422"/>
      <c r="E765" s="779"/>
      <c r="F765" s="422"/>
      <c r="G765" s="422"/>
      <c r="H765" s="422"/>
      <c r="I765" s="422"/>
      <c r="J765" s="422"/>
      <c r="K765" s="422"/>
      <c r="L765" s="422"/>
      <c r="M765" s="422"/>
      <c r="N765" s="422"/>
      <c r="O765" s="422"/>
      <c r="P765" s="422"/>
      <c r="Q765" s="422"/>
      <c r="R765" s="422"/>
      <c r="S765" s="424"/>
      <c r="T765" s="382"/>
      <c r="U765" s="383"/>
      <c r="V765" s="383"/>
      <c r="W765" s="383"/>
      <c r="X765" s="383"/>
      <c r="Y765" s="383"/>
      <c r="Z765" s="383"/>
      <c r="AA765" s="383"/>
      <c r="AB765" s="383"/>
      <c r="AC765" s="382"/>
      <c r="AD765" s="382"/>
      <c r="AE765" s="382"/>
    </row>
    <row r="766" spans="1:31">
      <c r="A766" s="422"/>
      <c r="B766" s="422"/>
      <c r="C766" s="422"/>
      <c r="D766" s="422"/>
      <c r="E766" s="779"/>
      <c r="F766" s="422"/>
      <c r="G766" s="422"/>
      <c r="H766" s="422"/>
      <c r="I766" s="422"/>
      <c r="J766" s="422"/>
      <c r="K766" s="422"/>
      <c r="L766" s="422"/>
      <c r="M766" s="422"/>
      <c r="N766" s="422"/>
      <c r="O766" s="422"/>
      <c r="P766" s="422"/>
      <c r="Q766" s="422"/>
      <c r="R766" s="422"/>
      <c r="S766" s="424"/>
      <c r="T766" s="382"/>
      <c r="U766" s="383"/>
      <c r="V766" s="383"/>
      <c r="W766" s="383"/>
      <c r="X766" s="383"/>
      <c r="Y766" s="383"/>
      <c r="Z766" s="383"/>
      <c r="AA766" s="383"/>
      <c r="AB766" s="383"/>
      <c r="AC766" s="382"/>
      <c r="AD766" s="382"/>
      <c r="AE766" s="382"/>
    </row>
    <row r="767" spans="1:31">
      <c r="A767" s="422"/>
      <c r="B767" s="422"/>
      <c r="C767" s="422"/>
      <c r="D767" s="422"/>
      <c r="E767" s="779"/>
      <c r="F767" s="422"/>
      <c r="G767" s="422"/>
      <c r="H767" s="422"/>
      <c r="I767" s="422"/>
      <c r="J767" s="422"/>
      <c r="K767" s="422"/>
      <c r="L767" s="422"/>
      <c r="M767" s="422"/>
      <c r="N767" s="422"/>
      <c r="O767" s="422"/>
      <c r="P767" s="422"/>
      <c r="Q767" s="422"/>
      <c r="R767" s="422"/>
      <c r="S767" s="424"/>
      <c r="T767" s="382"/>
      <c r="U767" s="383"/>
      <c r="V767" s="383"/>
      <c r="W767" s="383"/>
      <c r="X767" s="383"/>
      <c r="Y767" s="383"/>
      <c r="Z767" s="383"/>
      <c r="AA767" s="383"/>
      <c r="AB767" s="383"/>
      <c r="AC767" s="382"/>
      <c r="AD767" s="382"/>
      <c r="AE767" s="382"/>
    </row>
    <row r="768" spans="1:31">
      <c r="A768" s="422"/>
      <c r="B768" s="422"/>
      <c r="C768" s="422"/>
      <c r="D768" s="422"/>
      <c r="E768" s="779"/>
      <c r="F768" s="422"/>
      <c r="G768" s="422"/>
      <c r="H768" s="422"/>
      <c r="I768" s="422"/>
      <c r="J768" s="422"/>
      <c r="K768" s="422"/>
      <c r="L768" s="422"/>
      <c r="M768" s="422"/>
      <c r="N768" s="422"/>
      <c r="O768" s="422"/>
      <c r="P768" s="422"/>
      <c r="Q768" s="422"/>
      <c r="R768" s="422"/>
      <c r="S768" s="424"/>
      <c r="T768" s="382"/>
      <c r="U768" s="383"/>
      <c r="V768" s="383"/>
      <c r="W768" s="383"/>
      <c r="X768" s="383"/>
      <c r="Y768" s="383"/>
      <c r="Z768" s="383"/>
      <c r="AA768" s="383"/>
      <c r="AB768" s="383"/>
      <c r="AC768" s="382"/>
      <c r="AD768" s="382"/>
      <c r="AE768" s="382"/>
    </row>
    <row r="769" spans="1:31">
      <c r="A769" s="422"/>
      <c r="B769" s="422"/>
      <c r="C769" s="422"/>
      <c r="D769" s="422"/>
      <c r="E769" s="779"/>
      <c r="F769" s="422"/>
      <c r="G769" s="422"/>
      <c r="H769" s="422"/>
      <c r="I769" s="422"/>
      <c r="J769" s="422"/>
      <c r="K769" s="422"/>
      <c r="L769" s="422"/>
      <c r="M769" s="422"/>
      <c r="N769" s="422"/>
      <c r="O769" s="422"/>
      <c r="P769" s="422"/>
      <c r="Q769" s="422"/>
      <c r="R769" s="422"/>
      <c r="S769" s="424"/>
      <c r="T769" s="382"/>
      <c r="U769" s="383"/>
      <c r="V769" s="383"/>
      <c r="W769" s="383"/>
      <c r="X769" s="383"/>
      <c r="Y769" s="383"/>
      <c r="Z769" s="383"/>
      <c r="AA769" s="383"/>
      <c r="AB769" s="383"/>
      <c r="AC769" s="382"/>
      <c r="AD769" s="382"/>
      <c r="AE769" s="382"/>
    </row>
    <row r="770" spans="1:31">
      <c r="A770" s="422"/>
      <c r="B770" s="422"/>
      <c r="C770" s="422"/>
      <c r="D770" s="422"/>
      <c r="E770" s="779"/>
      <c r="F770" s="422"/>
      <c r="G770" s="422"/>
      <c r="H770" s="422"/>
      <c r="I770" s="422"/>
      <c r="J770" s="422"/>
      <c r="K770" s="422"/>
      <c r="L770" s="422"/>
      <c r="M770" s="422"/>
      <c r="N770" s="422"/>
      <c r="O770" s="422"/>
      <c r="P770" s="422"/>
      <c r="Q770" s="422"/>
      <c r="R770" s="422"/>
      <c r="S770" s="424"/>
      <c r="T770" s="382"/>
      <c r="U770" s="383"/>
      <c r="V770" s="383"/>
      <c r="W770" s="383"/>
      <c r="X770" s="383"/>
      <c r="Y770" s="383"/>
      <c r="Z770" s="383"/>
      <c r="AA770" s="383"/>
      <c r="AB770" s="383"/>
      <c r="AC770" s="382"/>
      <c r="AD770" s="382"/>
      <c r="AE770" s="382"/>
    </row>
    <row r="771" spans="1:31">
      <c r="A771" s="422"/>
      <c r="B771" s="422"/>
      <c r="C771" s="422"/>
      <c r="D771" s="422"/>
      <c r="E771" s="779"/>
      <c r="F771" s="422"/>
      <c r="G771" s="422"/>
      <c r="H771" s="422"/>
      <c r="I771" s="422"/>
      <c r="J771" s="422"/>
      <c r="K771" s="422"/>
      <c r="L771" s="422"/>
      <c r="M771" s="422"/>
      <c r="N771" s="422"/>
      <c r="O771" s="422"/>
      <c r="P771" s="422"/>
      <c r="Q771" s="422"/>
      <c r="R771" s="422"/>
      <c r="S771" s="424"/>
      <c r="T771" s="382"/>
      <c r="U771" s="383"/>
      <c r="V771" s="383"/>
      <c r="W771" s="383"/>
      <c r="X771" s="383"/>
      <c r="Y771" s="383"/>
      <c r="Z771" s="383"/>
      <c r="AA771" s="383"/>
      <c r="AB771" s="383"/>
      <c r="AC771" s="382"/>
      <c r="AD771" s="382"/>
      <c r="AE771" s="382"/>
    </row>
    <row r="772" spans="1:31">
      <c r="A772" s="422"/>
      <c r="B772" s="422"/>
      <c r="C772" s="422"/>
      <c r="D772" s="422"/>
      <c r="E772" s="779"/>
      <c r="F772" s="422"/>
      <c r="G772" s="422"/>
      <c r="H772" s="422"/>
      <c r="I772" s="422"/>
      <c r="J772" s="422"/>
      <c r="K772" s="422"/>
      <c r="L772" s="422"/>
      <c r="M772" s="422"/>
      <c r="N772" s="422"/>
      <c r="O772" s="422"/>
      <c r="P772" s="422"/>
      <c r="Q772" s="422"/>
      <c r="R772" s="422"/>
      <c r="S772" s="424"/>
      <c r="T772" s="382"/>
      <c r="U772" s="383"/>
      <c r="V772" s="383"/>
      <c r="W772" s="383"/>
      <c r="X772" s="383"/>
      <c r="Y772" s="383"/>
      <c r="Z772" s="383"/>
      <c r="AA772" s="383"/>
      <c r="AB772" s="383"/>
      <c r="AC772" s="382"/>
      <c r="AD772" s="382"/>
      <c r="AE772" s="382"/>
    </row>
    <row r="773" spans="1:31">
      <c r="A773" s="422"/>
      <c r="B773" s="422"/>
      <c r="C773" s="422"/>
      <c r="D773" s="422"/>
      <c r="E773" s="779"/>
      <c r="F773" s="422"/>
      <c r="G773" s="422"/>
      <c r="H773" s="422"/>
      <c r="I773" s="422"/>
      <c r="J773" s="422"/>
      <c r="K773" s="422"/>
      <c r="L773" s="422"/>
      <c r="M773" s="422"/>
      <c r="N773" s="422"/>
      <c r="O773" s="422"/>
      <c r="P773" s="422"/>
      <c r="Q773" s="422"/>
      <c r="R773" s="422"/>
      <c r="S773" s="424"/>
      <c r="T773" s="382"/>
      <c r="U773" s="383"/>
      <c r="V773" s="383"/>
      <c r="W773" s="383"/>
      <c r="X773" s="383"/>
      <c r="Y773" s="383"/>
      <c r="Z773" s="383"/>
      <c r="AA773" s="383"/>
      <c r="AB773" s="383"/>
      <c r="AC773" s="382"/>
      <c r="AD773" s="382"/>
      <c r="AE773" s="382"/>
    </row>
    <row r="774" spans="1:31">
      <c r="A774" s="422"/>
      <c r="B774" s="422"/>
      <c r="C774" s="422"/>
      <c r="D774" s="422"/>
      <c r="E774" s="779"/>
      <c r="F774" s="422"/>
      <c r="G774" s="422"/>
      <c r="H774" s="422"/>
      <c r="I774" s="422"/>
      <c r="J774" s="422"/>
      <c r="K774" s="422"/>
      <c r="L774" s="422"/>
      <c r="M774" s="422"/>
      <c r="N774" s="422"/>
      <c r="O774" s="422"/>
      <c r="P774" s="422"/>
      <c r="Q774" s="422"/>
      <c r="R774" s="422"/>
      <c r="S774" s="424"/>
      <c r="T774" s="382"/>
      <c r="U774" s="383"/>
      <c r="V774" s="383"/>
      <c r="W774" s="383"/>
      <c r="X774" s="383"/>
      <c r="Y774" s="383"/>
      <c r="Z774" s="383"/>
      <c r="AA774" s="383"/>
      <c r="AB774" s="383"/>
      <c r="AC774" s="382"/>
      <c r="AD774" s="382"/>
      <c r="AE774" s="382"/>
    </row>
    <row r="775" spans="1:31">
      <c r="A775" s="422"/>
      <c r="B775" s="422"/>
      <c r="C775" s="422"/>
      <c r="D775" s="422"/>
      <c r="E775" s="779"/>
      <c r="F775" s="422"/>
      <c r="G775" s="422"/>
      <c r="H775" s="422"/>
      <c r="I775" s="422"/>
      <c r="J775" s="422"/>
      <c r="K775" s="422"/>
      <c r="L775" s="422"/>
      <c r="M775" s="422"/>
      <c r="N775" s="422"/>
      <c r="O775" s="422"/>
      <c r="P775" s="422"/>
      <c r="Q775" s="422"/>
      <c r="R775" s="422"/>
      <c r="S775" s="424"/>
      <c r="T775" s="382"/>
      <c r="U775" s="383"/>
      <c r="V775" s="383"/>
      <c r="W775" s="383"/>
      <c r="X775" s="383"/>
      <c r="Y775" s="383"/>
      <c r="Z775" s="383"/>
      <c r="AA775" s="383"/>
      <c r="AB775" s="383"/>
      <c r="AC775" s="382"/>
      <c r="AD775" s="382"/>
      <c r="AE775" s="382"/>
    </row>
    <row r="776" spans="1:31">
      <c r="A776" s="422"/>
      <c r="B776" s="422"/>
      <c r="C776" s="422"/>
      <c r="D776" s="422"/>
      <c r="E776" s="779"/>
      <c r="F776" s="422"/>
      <c r="G776" s="422"/>
      <c r="H776" s="422"/>
      <c r="I776" s="422"/>
      <c r="J776" s="422"/>
      <c r="K776" s="422"/>
      <c r="L776" s="422"/>
      <c r="M776" s="422"/>
      <c r="N776" s="422"/>
      <c r="O776" s="422"/>
      <c r="P776" s="422"/>
      <c r="Q776" s="422"/>
      <c r="R776" s="422"/>
      <c r="S776" s="424"/>
      <c r="T776" s="382"/>
      <c r="U776" s="383"/>
      <c r="V776" s="383"/>
      <c r="W776" s="383"/>
      <c r="X776" s="383"/>
      <c r="Y776" s="383"/>
      <c r="Z776" s="383"/>
      <c r="AA776" s="383"/>
      <c r="AB776" s="383"/>
      <c r="AC776" s="382"/>
      <c r="AD776" s="382"/>
      <c r="AE776" s="382"/>
    </row>
    <row r="777" spans="1:31">
      <c r="A777" s="422"/>
      <c r="B777" s="422"/>
      <c r="C777" s="422"/>
      <c r="D777" s="422"/>
      <c r="E777" s="779"/>
      <c r="F777" s="422"/>
      <c r="G777" s="422"/>
      <c r="H777" s="422"/>
      <c r="I777" s="422"/>
      <c r="J777" s="422"/>
      <c r="K777" s="422"/>
      <c r="L777" s="422"/>
      <c r="M777" s="422"/>
      <c r="N777" s="422"/>
      <c r="O777" s="422"/>
      <c r="P777" s="422"/>
      <c r="Q777" s="422"/>
      <c r="R777" s="422"/>
      <c r="S777" s="424"/>
      <c r="T777" s="382"/>
      <c r="U777" s="383"/>
      <c r="V777" s="383"/>
      <c r="W777" s="383"/>
      <c r="X777" s="383"/>
      <c r="Y777" s="383"/>
      <c r="Z777" s="383"/>
      <c r="AA777" s="383"/>
      <c r="AB777" s="383"/>
      <c r="AC777" s="382"/>
      <c r="AD777" s="382"/>
      <c r="AE777" s="382"/>
    </row>
    <row r="778" spans="1:31">
      <c r="A778" s="422"/>
      <c r="B778" s="422"/>
      <c r="C778" s="422"/>
      <c r="D778" s="422"/>
      <c r="E778" s="779"/>
      <c r="F778" s="422"/>
      <c r="G778" s="422"/>
      <c r="H778" s="422"/>
      <c r="I778" s="422"/>
      <c r="J778" s="422"/>
      <c r="K778" s="422"/>
      <c r="L778" s="422"/>
      <c r="M778" s="422"/>
      <c r="N778" s="422"/>
      <c r="O778" s="422"/>
      <c r="P778" s="422"/>
      <c r="Q778" s="422"/>
      <c r="R778" s="422"/>
      <c r="S778" s="424"/>
      <c r="T778" s="382"/>
      <c r="U778" s="383"/>
      <c r="V778" s="383"/>
      <c r="W778" s="383"/>
      <c r="X778" s="383"/>
      <c r="Y778" s="383"/>
      <c r="Z778" s="383"/>
      <c r="AA778" s="383"/>
      <c r="AB778" s="383"/>
      <c r="AC778" s="382"/>
      <c r="AD778" s="382"/>
      <c r="AE778" s="382"/>
    </row>
    <row r="779" spans="1:31">
      <c r="A779" s="422"/>
      <c r="B779" s="422"/>
      <c r="C779" s="422"/>
      <c r="D779" s="422"/>
      <c r="E779" s="779"/>
      <c r="F779" s="422"/>
      <c r="G779" s="422"/>
      <c r="H779" s="422"/>
      <c r="I779" s="422"/>
      <c r="J779" s="422"/>
      <c r="K779" s="422"/>
      <c r="L779" s="422"/>
      <c r="M779" s="422"/>
      <c r="N779" s="422"/>
      <c r="O779" s="422"/>
      <c r="P779" s="422"/>
      <c r="Q779" s="422"/>
      <c r="R779" s="422"/>
      <c r="S779" s="424"/>
      <c r="T779" s="382"/>
      <c r="U779" s="383"/>
      <c r="V779" s="383"/>
      <c r="W779" s="383"/>
      <c r="X779" s="383"/>
      <c r="Y779" s="383"/>
      <c r="Z779" s="383"/>
      <c r="AA779" s="383"/>
      <c r="AB779" s="383"/>
      <c r="AC779" s="382"/>
      <c r="AD779" s="382"/>
      <c r="AE779" s="382"/>
    </row>
    <row r="780" spans="1:31">
      <c r="A780" s="422"/>
      <c r="B780" s="422"/>
      <c r="C780" s="422"/>
      <c r="D780" s="422"/>
      <c r="E780" s="779"/>
      <c r="F780" s="422"/>
      <c r="G780" s="422"/>
      <c r="H780" s="422"/>
      <c r="I780" s="422"/>
      <c r="J780" s="422"/>
      <c r="K780" s="422"/>
      <c r="L780" s="422"/>
      <c r="M780" s="422"/>
      <c r="N780" s="422"/>
      <c r="O780" s="422"/>
      <c r="P780" s="422"/>
      <c r="Q780" s="422"/>
      <c r="R780" s="422"/>
      <c r="S780" s="424"/>
      <c r="T780" s="382"/>
      <c r="U780" s="383"/>
      <c r="V780" s="383"/>
      <c r="W780" s="383"/>
      <c r="X780" s="383"/>
      <c r="Y780" s="383"/>
      <c r="Z780" s="383"/>
      <c r="AA780" s="383"/>
      <c r="AB780" s="383"/>
      <c r="AC780" s="382"/>
      <c r="AD780" s="382"/>
      <c r="AE780" s="382"/>
    </row>
    <row r="781" spans="1:31">
      <c r="A781" s="422"/>
      <c r="B781" s="422"/>
      <c r="C781" s="422"/>
      <c r="D781" s="422"/>
      <c r="E781" s="779"/>
      <c r="F781" s="422"/>
      <c r="G781" s="422"/>
      <c r="H781" s="422"/>
      <c r="I781" s="422"/>
      <c r="J781" s="422"/>
      <c r="K781" s="422"/>
      <c r="L781" s="422"/>
      <c r="M781" s="422"/>
      <c r="N781" s="422"/>
      <c r="O781" s="422"/>
      <c r="P781" s="422"/>
      <c r="Q781" s="422"/>
      <c r="R781" s="422"/>
      <c r="S781" s="424"/>
      <c r="T781" s="382"/>
      <c r="U781" s="383"/>
      <c r="V781" s="383"/>
      <c r="W781" s="383"/>
      <c r="X781" s="383"/>
      <c r="Y781" s="383"/>
      <c r="Z781" s="383"/>
      <c r="AA781" s="383"/>
      <c r="AB781" s="383"/>
      <c r="AC781" s="382"/>
      <c r="AD781" s="382"/>
      <c r="AE781" s="382"/>
    </row>
    <row r="782" spans="1:31">
      <c r="A782" s="422"/>
      <c r="B782" s="422"/>
      <c r="C782" s="422"/>
      <c r="D782" s="422"/>
      <c r="E782" s="779"/>
      <c r="F782" s="422"/>
      <c r="G782" s="422"/>
      <c r="H782" s="422"/>
      <c r="I782" s="422"/>
      <c r="J782" s="422"/>
      <c r="K782" s="422"/>
      <c r="L782" s="422"/>
      <c r="M782" s="422"/>
      <c r="N782" s="422"/>
      <c r="O782" s="422"/>
      <c r="P782" s="422"/>
      <c r="Q782" s="422"/>
      <c r="R782" s="422"/>
      <c r="S782" s="424"/>
      <c r="T782" s="382"/>
      <c r="U782" s="383"/>
      <c r="V782" s="383"/>
      <c r="W782" s="383"/>
      <c r="X782" s="383"/>
      <c r="Y782" s="383"/>
      <c r="Z782" s="383"/>
      <c r="AA782" s="383"/>
      <c r="AB782" s="383"/>
      <c r="AC782" s="382"/>
      <c r="AD782" s="382"/>
      <c r="AE782" s="382"/>
    </row>
    <row r="783" spans="1:31">
      <c r="A783" s="422"/>
      <c r="B783" s="422"/>
      <c r="C783" s="422"/>
      <c r="D783" s="422"/>
      <c r="E783" s="779"/>
      <c r="F783" s="422"/>
      <c r="G783" s="422"/>
      <c r="H783" s="422"/>
      <c r="I783" s="422"/>
      <c r="J783" s="422"/>
      <c r="K783" s="422"/>
      <c r="L783" s="422"/>
      <c r="M783" s="422"/>
      <c r="N783" s="422"/>
      <c r="O783" s="422"/>
      <c r="P783" s="422"/>
      <c r="Q783" s="422"/>
      <c r="R783" s="422"/>
      <c r="S783" s="424"/>
      <c r="T783" s="382"/>
      <c r="U783" s="383"/>
      <c r="V783" s="383"/>
      <c r="W783" s="383"/>
      <c r="X783" s="383"/>
      <c r="Y783" s="383"/>
      <c r="Z783" s="383"/>
      <c r="AA783" s="383"/>
      <c r="AB783" s="383"/>
      <c r="AC783" s="382"/>
      <c r="AD783" s="382"/>
      <c r="AE783" s="382"/>
    </row>
    <row r="784" spans="1:31">
      <c r="A784" s="422"/>
      <c r="B784" s="422"/>
      <c r="C784" s="422"/>
      <c r="D784" s="422"/>
      <c r="E784" s="779"/>
      <c r="F784" s="422"/>
      <c r="G784" s="422"/>
      <c r="H784" s="422"/>
      <c r="I784" s="422"/>
      <c r="J784" s="422"/>
      <c r="K784" s="422"/>
      <c r="L784" s="422"/>
      <c r="M784" s="422"/>
      <c r="N784" s="422"/>
      <c r="O784" s="422"/>
      <c r="P784" s="422"/>
      <c r="Q784" s="422"/>
      <c r="R784" s="422"/>
      <c r="S784" s="424"/>
      <c r="T784" s="382"/>
      <c r="U784" s="383"/>
      <c r="V784" s="383"/>
      <c r="W784" s="383"/>
      <c r="X784" s="383"/>
      <c r="Y784" s="383"/>
      <c r="Z784" s="383"/>
      <c r="AA784" s="383"/>
      <c r="AB784" s="383"/>
      <c r="AC784" s="382"/>
      <c r="AD784" s="382"/>
      <c r="AE784" s="382"/>
    </row>
    <row r="785" spans="1:31">
      <c r="A785" s="422"/>
      <c r="B785" s="422"/>
      <c r="C785" s="422"/>
      <c r="D785" s="422"/>
      <c r="E785" s="779"/>
      <c r="F785" s="422"/>
      <c r="G785" s="422"/>
      <c r="H785" s="422"/>
      <c r="I785" s="422"/>
      <c r="J785" s="422"/>
      <c r="K785" s="422"/>
      <c r="L785" s="422"/>
      <c r="M785" s="422"/>
      <c r="N785" s="422"/>
      <c r="O785" s="422"/>
      <c r="P785" s="422"/>
      <c r="Q785" s="422"/>
      <c r="R785" s="422"/>
      <c r="S785" s="424"/>
      <c r="T785" s="382"/>
      <c r="U785" s="383"/>
      <c r="V785" s="383"/>
      <c r="W785" s="383"/>
      <c r="X785" s="383"/>
      <c r="Y785" s="383"/>
      <c r="Z785" s="383"/>
      <c r="AA785" s="383"/>
      <c r="AB785" s="383"/>
      <c r="AC785" s="382"/>
      <c r="AD785" s="382"/>
      <c r="AE785" s="382"/>
    </row>
    <row r="786" spans="1:31">
      <c r="A786" s="422"/>
      <c r="B786" s="422"/>
      <c r="C786" s="422"/>
      <c r="D786" s="422"/>
      <c r="E786" s="779"/>
      <c r="F786" s="422"/>
      <c r="G786" s="422"/>
      <c r="H786" s="422"/>
      <c r="I786" s="422"/>
      <c r="J786" s="422"/>
      <c r="K786" s="422"/>
      <c r="L786" s="422"/>
      <c r="M786" s="422"/>
      <c r="N786" s="422"/>
      <c r="O786" s="422"/>
      <c r="P786" s="422"/>
      <c r="Q786" s="422"/>
      <c r="R786" s="422"/>
      <c r="S786" s="424"/>
      <c r="T786" s="382"/>
      <c r="U786" s="383"/>
      <c r="V786" s="383"/>
      <c r="W786" s="383"/>
      <c r="X786" s="383"/>
      <c r="Y786" s="383"/>
      <c r="Z786" s="383"/>
      <c r="AA786" s="383"/>
      <c r="AB786" s="383"/>
      <c r="AC786" s="382"/>
      <c r="AD786" s="382"/>
      <c r="AE786" s="382"/>
    </row>
    <row r="787" spans="1:31">
      <c r="A787" s="422"/>
      <c r="B787" s="422"/>
      <c r="C787" s="422"/>
      <c r="D787" s="422"/>
      <c r="E787" s="779"/>
      <c r="F787" s="422"/>
      <c r="G787" s="422"/>
      <c r="H787" s="422"/>
      <c r="I787" s="422"/>
      <c r="J787" s="422"/>
      <c r="K787" s="422"/>
      <c r="L787" s="422"/>
      <c r="M787" s="422"/>
      <c r="N787" s="422"/>
      <c r="O787" s="422"/>
      <c r="P787" s="422"/>
      <c r="Q787" s="422"/>
      <c r="R787" s="422"/>
      <c r="S787" s="424"/>
      <c r="T787" s="382"/>
      <c r="U787" s="383"/>
      <c r="V787" s="383"/>
      <c r="W787" s="383"/>
      <c r="X787" s="383"/>
      <c r="Y787" s="383"/>
      <c r="Z787" s="383"/>
      <c r="AA787" s="383"/>
      <c r="AB787" s="383"/>
      <c r="AC787" s="382"/>
      <c r="AD787" s="382"/>
      <c r="AE787" s="382"/>
    </row>
    <row r="788" spans="1:31">
      <c r="A788" s="422"/>
      <c r="B788" s="422"/>
      <c r="C788" s="422"/>
      <c r="D788" s="422"/>
      <c r="E788" s="779"/>
      <c r="F788" s="422"/>
      <c r="G788" s="422"/>
      <c r="H788" s="422"/>
      <c r="I788" s="422"/>
      <c r="J788" s="422"/>
      <c r="K788" s="422"/>
      <c r="L788" s="422"/>
      <c r="M788" s="422"/>
      <c r="N788" s="422"/>
      <c r="O788" s="422"/>
      <c r="P788" s="422"/>
      <c r="Q788" s="422"/>
      <c r="R788" s="422"/>
      <c r="S788" s="424"/>
      <c r="T788" s="382"/>
      <c r="U788" s="383"/>
      <c r="V788" s="383"/>
      <c r="W788" s="383"/>
      <c r="X788" s="383"/>
      <c r="Y788" s="383"/>
      <c r="Z788" s="383"/>
      <c r="AA788" s="383"/>
      <c r="AB788" s="383"/>
      <c r="AC788" s="382"/>
      <c r="AD788" s="382"/>
      <c r="AE788" s="382"/>
    </row>
    <row r="789" spans="1:31">
      <c r="A789" s="422"/>
      <c r="B789" s="422"/>
      <c r="C789" s="422"/>
      <c r="D789" s="422"/>
      <c r="E789" s="779"/>
      <c r="F789" s="422"/>
      <c r="G789" s="422"/>
      <c r="H789" s="422"/>
      <c r="I789" s="422"/>
      <c r="J789" s="422"/>
      <c r="K789" s="422"/>
      <c r="L789" s="422"/>
      <c r="M789" s="422"/>
      <c r="N789" s="422"/>
      <c r="O789" s="422"/>
      <c r="P789" s="422"/>
      <c r="Q789" s="422"/>
      <c r="R789" s="422"/>
      <c r="S789" s="424"/>
      <c r="T789" s="382"/>
      <c r="U789" s="383"/>
      <c r="V789" s="383"/>
      <c r="W789" s="383"/>
      <c r="X789" s="383"/>
      <c r="Y789" s="383"/>
      <c r="Z789" s="383"/>
      <c r="AA789" s="383"/>
      <c r="AB789" s="383"/>
      <c r="AC789" s="382"/>
      <c r="AD789" s="382"/>
      <c r="AE789" s="382"/>
    </row>
    <row r="790" spans="1:31">
      <c r="A790" s="422"/>
      <c r="B790" s="422"/>
      <c r="C790" s="422"/>
      <c r="D790" s="422"/>
      <c r="E790" s="779"/>
      <c r="F790" s="422"/>
      <c r="G790" s="422"/>
      <c r="H790" s="422"/>
      <c r="I790" s="422"/>
      <c r="J790" s="422"/>
      <c r="K790" s="422"/>
      <c r="L790" s="422"/>
      <c r="M790" s="422"/>
      <c r="N790" s="422"/>
      <c r="O790" s="422"/>
      <c r="P790" s="422"/>
      <c r="Q790" s="422"/>
      <c r="R790" s="422"/>
      <c r="S790" s="424"/>
      <c r="T790" s="382"/>
      <c r="U790" s="383"/>
      <c r="V790" s="383"/>
      <c r="W790" s="383"/>
      <c r="X790" s="383"/>
      <c r="Y790" s="383"/>
      <c r="Z790" s="383"/>
      <c r="AA790" s="383"/>
      <c r="AB790" s="383"/>
      <c r="AC790" s="382"/>
      <c r="AD790" s="382"/>
      <c r="AE790" s="382"/>
    </row>
    <row r="791" spans="1:31">
      <c r="A791" s="422"/>
      <c r="B791" s="422"/>
      <c r="C791" s="422"/>
      <c r="D791" s="422"/>
      <c r="E791" s="779"/>
      <c r="F791" s="422"/>
      <c r="G791" s="422"/>
      <c r="H791" s="422"/>
      <c r="I791" s="422"/>
      <c r="J791" s="422"/>
      <c r="K791" s="422"/>
      <c r="L791" s="422"/>
      <c r="M791" s="422"/>
      <c r="N791" s="422"/>
      <c r="O791" s="422"/>
      <c r="P791" s="422"/>
      <c r="Q791" s="422"/>
      <c r="R791" s="422"/>
      <c r="S791" s="424"/>
      <c r="T791" s="382"/>
      <c r="U791" s="383"/>
      <c r="V791" s="383"/>
      <c r="W791" s="383"/>
      <c r="X791" s="383"/>
      <c r="Y791" s="383"/>
      <c r="Z791" s="383"/>
      <c r="AA791" s="383"/>
      <c r="AB791" s="383"/>
      <c r="AC791" s="382"/>
      <c r="AD791" s="382"/>
      <c r="AE791" s="382"/>
    </row>
    <row r="792" spans="1:31">
      <c r="A792" s="422"/>
      <c r="B792" s="422"/>
      <c r="C792" s="422"/>
      <c r="D792" s="422"/>
      <c r="E792" s="779"/>
      <c r="F792" s="422"/>
      <c r="G792" s="422"/>
      <c r="H792" s="422"/>
      <c r="I792" s="422"/>
      <c r="J792" s="422"/>
      <c r="K792" s="422"/>
      <c r="L792" s="422"/>
      <c r="M792" s="422"/>
      <c r="N792" s="422"/>
      <c r="O792" s="422"/>
      <c r="P792" s="422"/>
      <c r="Q792" s="422"/>
      <c r="R792" s="422"/>
      <c r="S792" s="424"/>
      <c r="T792" s="382"/>
      <c r="U792" s="383"/>
      <c r="V792" s="383"/>
      <c r="W792" s="383"/>
      <c r="X792" s="383"/>
      <c r="Y792" s="383"/>
      <c r="Z792" s="383"/>
      <c r="AA792" s="383"/>
      <c r="AB792" s="383"/>
      <c r="AC792" s="382"/>
      <c r="AD792" s="382"/>
      <c r="AE792" s="382"/>
    </row>
    <row r="793" spans="1:31">
      <c r="A793" s="422"/>
      <c r="B793" s="422"/>
      <c r="C793" s="422"/>
      <c r="D793" s="422"/>
      <c r="E793" s="779"/>
      <c r="F793" s="422"/>
      <c r="G793" s="422"/>
      <c r="H793" s="422"/>
      <c r="I793" s="422"/>
      <c r="J793" s="422"/>
      <c r="K793" s="422"/>
      <c r="L793" s="422"/>
      <c r="M793" s="422"/>
      <c r="N793" s="422"/>
      <c r="O793" s="422"/>
      <c r="P793" s="422"/>
      <c r="Q793" s="422"/>
      <c r="R793" s="422"/>
      <c r="S793" s="424"/>
      <c r="T793" s="382"/>
      <c r="U793" s="383"/>
      <c r="V793" s="383"/>
      <c r="W793" s="383"/>
      <c r="X793" s="383"/>
      <c r="Y793" s="383"/>
      <c r="Z793" s="383"/>
      <c r="AA793" s="383"/>
      <c r="AB793" s="383"/>
      <c r="AC793" s="382"/>
      <c r="AD793" s="382"/>
      <c r="AE793" s="382"/>
    </row>
    <row r="794" spans="1:31">
      <c r="A794" s="422"/>
      <c r="B794" s="422"/>
      <c r="C794" s="422"/>
      <c r="D794" s="422"/>
      <c r="E794" s="779"/>
      <c r="F794" s="422"/>
      <c r="G794" s="422"/>
      <c r="H794" s="422"/>
      <c r="I794" s="422"/>
      <c r="J794" s="422"/>
      <c r="K794" s="422"/>
      <c r="L794" s="422"/>
      <c r="M794" s="422"/>
      <c r="N794" s="422"/>
      <c r="O794" s="422"/>
      <c r="P794" s="422"/>
      <c r="Q794" s="422"/>
      <c r="R794" s="422"/>
      <c r="S794" s="424"/>
      <c r="T794" s="382"/>
      <c r="U794" s="383"/>
      <c r="V794" s="383"/>
      <c r="W794" s="383"/>
      <c r="X794" s="383"/>
      <c r="Y794" s="383"/>
      <c r="Z794" s="383"/>
      <c r="AA794" s="383"/>
      <c r="AB794" s="383"/>
      <c r="AC794" s="382"/>
      <c r="AD794" s="382"/>
      <c r="AE794" s="382"/>
    </row>
    <row r="795" spans="1:31">
      <c r="A795" s="422"/>
      <c r="B795" s="422"/>
      <c r="C795" s="422"/>
      <c r="D795" s="422"/>
      <c r="E795" s="779"/>
      <c r="F795" s="422"/>
      <c r="G795" s="422"/>
      <c r="H795" s="422"/>
      <c r="I795" s="422"/>
      <c r="J795" s="422"/>
      <c r="K795" s="422"/>
      <c r="L795" s="422"/>
      <c r="M795" s="422"/>
      <c r="N795" s="422"/>
      <c r="O795" s="422"/>
      <c r="P795" s="422"/>
      <c r="Q795" s="422"/>
      <c r="R795" s="422"/>
      <c r="S795" s="424"/>
      <c r="T795" s="382"/>
      <c r="U795" s="383"/>
      <c r="V795" s="383"/>
      <c r="W795" s="383"/>
      <c r="X795" s="383"/>
      <c r="Y795" s="383"/>
      <c r="Z795" s="383"/>
      <c r="AA795" s="383"/>
      <c r="AB795" s="383"/>
      <c r="AC795" s="382"/>
      <c r="AD795" s="382"/>
      <c r="AE795" s="382"/>
    </row>
    <row r="796" spans="1:31">
      <c r="A796" s="422"/>
      <c r="B796" s="422"/>
      <c r="C796" s="422"/>
      <c r="D796" s="422"/>
      <c r="E796" s="779"/>
      <c r="F796" s="422"/>
      <c r="G796" s="422"/>
      <c r="H796" s="422"/>
      <c r="I796" s="422"/>
      <c r="J796" s="422"/>
      <c r="K796" s="422"/>
      <c r="L796" s="422"/>
      <c r="M796" s="422"/>
      <c r="N796" s="422"/>
      <c r="O796" s="422"/>
      <c r="P796" s="422"/>
      <c r="Q796" s="422"/>
      <c r="R796" s="422"/>
      <c r="S796" s="424"/>
      <c r="T796" s="382"/>
      <c r="U796" s="383"/>
      <c r="V796" s="383"/>
      <c r="W796" s="383"/>
      <c r="X796" s="383"/>
      <c r="Y796" s="383"/>
      <c r="Z796" s="383"/>
      <c r="AA796" s="383"/>
      <c r="AB796" s="383"/>
      <c r="AC796" s="382"/>
      <c r="AD796" s="382"/>
      <c r="AE796" s="382"/>
    </row>
    <row r="797" spans="1:31">
      <c r="A797" s="422"/>
      <c r="B797" s="422"/>
      <c r="C797" s="422"/>
      <c r="D797" s="422"/>
      <c r="E797" s="779"/>
      <c r="F797" s="422"/>
      <c r="G797" s="422"/>
      <c r="H797" s="422"/>
      <c r="I797" s="422"/>
      <c r="J797" s="422"/>
      <c r="K797" s="422"/>
      <c r="L797" s="422"/>
      <c r="M797" s="422"/>
      <c r="N797" s="422"/>
      <c r="O797" s="422"/>
      <c r="P797" s="422"/>
      <c r="Q797" s="422"/>
      <c r="R797" s="422"/>
      <c r="S797" s="424"/>
      <c r="T797" s="382"/>
      <c r="U797" s="383"/>
      <c r="V797" s="383"/>
      <c r="W797" s="383"/>
      <c r="X797" s="383"/>
      <c r="Y797" s="383"/>
      <c r="Z797" s="383"/>
      <c r="AA797" s="383"/>
      <c r="AB797" s="383"/>
      <c r="AC797" s="382"/>
      <c r="AD797" s="382"/>
      <c r="AE797" s="382"/>
    </row>
    <row r="798" spans="1:31">
      <c r="A798" s="422"/>
      <c r="B798" s="422"/>
      <c r="C798" s="422"/>
      <c r="D798" s="422"/>
      <c r="E798" s="779"/>
      <c r="F798" s="422"/>
      <c r="G798" s="422"/>
      <c r="H798" s="422"/>
      <c r="I798" s="422"/>
      <c r="J798" s="422"/>
      <c r="K798" s="422"/>
      <c r="L798" s="422"/>
      <c r="M798" s="422"/>
      <c r="N798" s="422"/>
      <c r="O798" s="422"/>
      <c r="P798" s="422"/>
      <c r="Q798" s="422"/>
      <c r="R798" s="422"/>
      <c r="S798" s="424"/>
      <c r="T798" s="382"/>
      <c r="U798" s="383"/>
      <c r="V798" s="383"/>
      <c r="W798" s="383"/>
      <c r="X798" s="383"/>
      <c r="Y798" s="383"/>
      <c r="Z798" s="383"/>
      <c r="AA798" s="383"/>
      <c r="AB798" s="383"/>
      <c r="AC798" s="382"/>
      <c r="AD798" s="382"/>
      <c r="AE798" s="382"/>
    </row>
    <row r="799" spans="1:31">
      <c r="A799" s="422"/>
      <c r="B799" s="422"/>
      <c r="C799" s="422"/>
      <c r="D799" s="422"/>
      <c r="E799" s="779"/>
      <c r="F799" s="422"/>
      <c r="G799" s="422"/>
      <c r="H799" s="422"/>
      <c r="I799" s="422"/>
      <c r="J799" s="422"/>
      <c r="K799" s="422"/>
      <c r="L799" s="422"/>
      <c r="M799" s="422"/>
      <c r="N799" s="422"/>
      <c r="O799" s="422"/>
      <c r="P799" s="422"/>
      <c r="Q799" s="422"/>
      <c r="R799" s="422"/>
      <c r="S799" s="424"/>
      <c r="T799" s="382"/>
      <c r="U799" s="383"/>
      <c r="V799" s="383"/>
      <c r="W799" s="383"/>
      <c r="X799" s="383"/>
      <c r="Y799" s="383"/>
      <c r="Z799" s="383"/>
      <c r="AA799" s="383"/>
      <c r="AB799" s="383"/>
      <c r="AC799" s="382"/>
      <c r="AD799" s="382"/>
      <c r="AE799" s="382"/>
    </row>
    <row r="800" spans="1:31">
      <c r="A800" s="422"/>
      <c r="B800" s="422"/>
      <c r="C800" s="422"/>
      <c r="D800" s="422"/>
      <c r="E800" s="779"/>
      <c r="F800" s="422"/>
      <c r="G800" s="422"/>
      <c r="H800" s="422"/>
      <c r="I800" s="422"/>
      <c r="J800" s="422"/>
      <c r="K800" s="422"/>
      <c r="L800" s="422"/>
      <c r="M800" s="422"/>
      <c r="N800" s="422"/>
      <c r="O800" s="422"/>
      <c r="P800" s="422"/>
      <c r="Q800" s="422"/>
      <c r="R800" s="422"/>
      <c r="S800" s="424"/>
      <c r="T800" s="382"/>
      <c r="U800" s="383"/>
      <c r="V800" s="383"/>
      <c r="W800" s="383"/>
      <c r="X800" s="383"/>
      <c r="Y800" s="383"/>
      <c r="Z800" s="383"/>
      <c r="AA800" s="383"/>
      <c r="AB800" s="383"/>
      <c r="AC800" s="382"/>
      <c r="AD800" s="382"/>
      <c r="AE800" s="382"/>
    </row>
    <row r="801" spans="1:31">
      <c r="A801" s="422"/>
      <c r="B801" s="422"/>
      <c r="C801" s="422"/>
      <c r="D801" s="422"/>
      <c r="E801" s="779"/>
      <c r="F801" s="422"/>
      <c r="G801" s="422"/>
      <c r="H801" s="422"/>
      <c r="I801" s="422"/>
      <c r="J801" s="422"/>
      <c r="K801" s="422"/>
      <c r="L801" s="422"/>
      <c r="M801" s="422"/>
      <c r="N801" s="422"/>
      <c r="O801" s="422"/>
      <c r="P801" s="422"/>
      <c r="Q801" s="422"/>
      <c r="R801" s="422"/>
      <c r="S801" s="424"/>
      <c r="T801" s="382"/>
      <c r="U801" s="383"/>
      <c r="V801" s="383"/>
      <c r="W801" s="383"/>
      <c r="X801" s="383"/>
      <c r="Y801" s="383"/>
      <c r="Z801" s="383"/>
      <c r="AA801" s="383"/>
      <c r="AB801" s="383"/>
      <c r="AC801" s="382"/>
      <c r="AD801" s="382"/>
      <c r="AE801" s="382"/>
    </row>
    <row r="802" spans="1:31">
      <c r="A802" s="422"/>
      <c r="B802" s="422"/>
      <c r="C802" s="422"/>
      <c r="D802" s="422"/>
      <c r="E802" s="779"/>
      <c r="F802" s="422"/>
      <c r="G802" s="422"/>
      <c r="H802" s="422"/>
      <c r="I802" s="422"/>
      <c r="J802" s="422"/>
      <c r="K802" s="422"/>
      <c r="L802" s="422"/>
      <c r="M802" s="422"/>
      <c r="N802" s="422"/>
      <c r="O802" s="422"/>
      <c r="P802" s="422"/>
      <c r="Q802" s="422"/>
      <c r="R802" s="422"/>
      <c r="S802" s="424"/>
      <c r="T802" s="382"/>
      <c r="U802" s="383"/>
      <c r="V802" s="383"/>
      <c r="W802" s="383"/>
      <c r="X802" s="383"/>
      <c r="Y802" s="383"/>
      <c r="Z802" s="383"/>
      <c r="AA802" s="383"/>
      <c r="AB802" s="383"/>
      <c r="AC802" s="382"/>
      <c r="AD802" s="382"/>
      <c r="AE802" s="382"/>
    </row>
    <row r="803" spans="1:31">
      <c r="A803" s="422"/>
      <c r="B803" s="422"/>
      <c r="C803" s="422"/>
      <c r="D803" s="422"/>
      <c r="E803" s="779"/>
      <c r="F803" s="422"/>
      <c r="G803" s="422"/>
      <c r="H803" s="422"/>
      <c r="I803" s="422"/>
      <c r="J803" s="422"/>
      <c r="K803" s="422"/>
      <c r="L803" s="422"/>
      <c r="M803" s="422"/>
      <c r="N803" s="422"/>
      <c r="O803" s="422"/>
      <c r="P803" s="422"/>
      <c r="Q803" s="422"/>
      <c r="R803" s="422"/>
      <c r="S803" s="424"/>
      <c r="T803" s="382"/>
      <c r="U803" s="383"/>
      <c r="V803" s="383"/>
      <c r="W803" s="383"/>
      <c r="X803" s="383"/>
      <c r="Y803" s="383"/>
      <c r="Z803" s="383"/>
      <c r="AA803" s="383"/>
      <c r="AB803" s="383"/>
      <c r="AC803" s="382"/>
      <c r="AD803" s="382"/>
      <c r="AE803" s="382"/>
    </row>
    <row r="804" spans="1:31">
      <c r="A804" s="422"/>
      <c r="B804" s="422"/>
      <c r="C804" s="422"/>
      <c r="D804" s="422"/>
      <c r="E804" s="779"/>
      <c r="F804" s="422"/>
      <c r="G804" s="422"/>
      <c r="H804" s="422"/>
      <c r="I804" s="422"/>
      <c r="J804" s="422"/>
      <c r="K804" s="422"/>
      <c r="L804" s="422"/>
      <c r="M804" s="422"/>
      <c r="N804" s="422"/>
      <c r="O804" s="422"/>
      <c r="P804" s="422"/>
      <c r="Q804" s="422"/>
      <c r="R804" s="422"/>
      <c r="S804" s="424"/>
      <c r="T804" s="382"/>
      <c r="U804" s="383"/>
      <c r="V804" s="383"/>
      <c r="W804" s="383"/>
      <c r="X804" s="383"/>
      <c r="Y804" s="383"/>
      <c r="Z804" s="383"/>
      <c r="AA804" s="383"/>
      <c r="AB804" s="383"/>
      <c r="AC804" s="382"/>
      <c r="AD804" s="382"/>
      <c r="AE804" s="382"/>
    </row>
    <row r="805" spans="1:31">
      <c r="A805" s="422"/>
      <c r="B805" s="422"/>
      <c r="C805" s="422"/>
      <c r="D805" s="422"/>
      <c r="E805" s="779"/>
      <c r="F805" s="422"/>
      <c r="G805" s="422"/>
      <c r="H805" s="422"/>
      <c r="I805" s="422"/>
      <c r="J805" s="422"/>
      <c r="K805" s="422"/>
      <c r="L805" s="422"/>
      <c r="M805" s="422"/>
      <c r="N805" s="422"/>
      <c r="O805" s="422"/>
      <c r="P805" s="422"/>
      <c r="Q805" s="422"/>
      <c r="R805" s="422"/>
      <c r="S805" s="424"/>
      <c r="T805" s="382"/>
      <c r="U805" s="383"/>
      <c r="V805" s="383"/>
      <c r="W805" s="383"/>
      <c r="X805" s="383"/>
      <c r="Y805" s="383"/>
      <c r="Z805" s="383"/>
      <c r="AA805" s="383"/>
      <c r="AB805" s="383"/>
      <c r="AC805" s="382"/>
      <c r="AD805" s="382"/>
      <c r="AE805" s="382"/>
    </row>
    <row r="806" spans="1:31">
      <c r="A806" s="422"/>
      <c r="B806" s="422"/>
      <c r="C806" s="422"/>
      <c r="D806" s="422"/>
      <c r="E806" s="779"/>
      <c r="F806" s="422"/>
      <c r="G806" s="422"/>
      <c r="H806" s="422"/>
      <c r="I806" s="422"/>
      <c r="J806" s="422"/>
      <c r="K806" s="422"/>
      <c r="L806" s="422"/>
      <c r="M806" s="422"/>
      <c r="N806" s="422"/>
      <c r="O806" s="422"/>
      <c r="P806" s="422"/>
      <c r="Q806" s="422"/>
      <c r="R806" s="422"/>
      <c r="S806" s="424"/>
      <c r="T806" s="382"/>
      <c r="U806" s="383"/>
      <c r="V806" s="383"/>
      <c r="W806" s="383"/>
      <c r="X806" s="383"/>
      <c r="Y806" s="383"/>
      <c r="Z806" s="383"/>
      <c r="AA806" s="383"/>
      <c r="AB806" s="383"/>
      <c r="AC806" s="382"/>
      <c r="AD806" s="382"/>
      <c r="AE806" s="382"/>
    </row>
    <row r="807" spans="1:31">
      <c r="A807" s="422"/>
      <c r="B807" s="422"/>
      <c r="C807" s="422"/>
      <c r="D807" s="422"/>
      <c r="E807" s="779"/>
      <c r="F807" s="422"/>
      <c r="G807" s="422"/>
      <c r="H807" s="422"/>
      <c r="I807" s="422"/>
      <c r="J807" s="422"/>
      <c r="K807" s="422"/>
      <c r="L807" s="422"/>
      <c r="M807" s="422"/>
      <c r="N807" s="422"/>
      <c r="O807" s="422"/>
      <c r="P807" s="422"/>
      <c r="Q807" s="422"/>
      <c r="R807" s="422"/>
      <c r="S807" s="424"/>
      <c r="T807" s="382"/>
      <c r="U807" s="383"/>
      <c r="V807" s="383"/>
      <c r="W807" s="383"/>
      <c r="X807" s="383"/>
      <c r="Y807" s="383"/>
      <c r="Z807" s="383"/>
      <c r="AA807" s="383"/>
      <c r="AB807" s="383"/>
      <c r="AC807" s="382"/>
      <c r="AD807" s="382"/>
      <c r="AE807" s="382"/>
    </row>
    <row r="808" spans="1:31">
      <c r="A808" s="422"/>
      <c r="B808" s="422"/>
      <c r="C808" s="422"/>
      <c r="D808" s="422"/>
      <c r="E808" s="779"/>
      <c r="F808" s="422"/>
      <c r="G808" s="422"/>
      <c r="H808" s="422"/>
      <c r="I808" s="422"/>
      <c r="J808" s="422"/>
      <c r="K808" s="422"/>
      <c r="L808" s="422"/>
      <c r="M808" s="422"/>
      <c r="N808" s="422"/>
      <c r="O808" s="422"/>
      <c r="P808" s="422"/>
      <c r="Q808" s="422"/>
      <c r="R808" s="422"/>
      <c r="S808" s="424"/>
      <c r="T808" s="382"/>
      <c r="U808" s="383"/>
      <c r="V808" s="383"/>
      <c r="W808" s="383"/>
      <c r="X808" s="383"/>
      <c r="Y808" s="383"/>
      <c r="Z808" s="383"/>
      <c r="AA808" s="383"/>
      <c r="AB808" s="383"/>
      <c r="AC808" s="382"/>
      <c r="AD808" s="382"/>
      <c r="AE808" s="382"/>
    </row>
    <row r="809" spans="1:31">
      <c r="A809" s="422"/>
      <c r="B809" s="422"/>
      <c r="C809" s="422"/>
      <c r="D809" s="422"/>
      <c r="E809" s="779"/>
      <c r="F809" s="422"/>
      <c r="G809" s="422"/>
      <c r="H809" s="422"/>
      <c r="I809" s="422"/>
      <c r="J809" s="422"/>
      <c r="K809" s="422"/>
      <c r="L809" s="422"/>
      <c r="M809" s="422"/>
      <c r="N809" s="422"/>
      <c r="O809" s="422"/>
      <c r="P809" s="422"/>
      <c r="Q809" s="422"/>
      <c r="R809" s="422"/>
      <c r="S809" s="424"/>
      <c r="T809" s="382"/>
      <c r="U809" s="383"/>
      <c r="V809" s="383"/>
      <c r="W809" s="383"/>
      <c r="X809" s="383"/>
      <c r="Y809" s="383"/>
      <c r="Z809" s="383"/>
      <c r="AA809" s="383"/>
      <c r="AB809" s="383"/>
      <c r="AC809" s="382"/>
      <c r="AD809" s="382"/>
      <c r="AE809" s="382"/>
    </row>
    <row r="810" spans="1:31">
      <c r="A810" s="422"/>
      <c r="B810" s="422"/>
      <c r="C810" s="422"/>
      <c r="D810" s="422"/>
      <c r="E810" s="779"/>
      <c r="F810" s="422"/>
      <c r="G810" s="422"/>
      <c r="H810" s="422"/>
      <c r="I810" s="422"/>
      <c r="J810" s="422"/>
      <c r="K810" s="422"/>
      <c r="L810" s="422"/>
      <c r="M810" s="422"/>
      <c r="N810" s="422"/>
      <c r="O810" s="422"/>
      <c r="P810" s="422"/>
      <c r="Q810" s="422"/>
      <c r="R810" s="422"/>
      <c r="S810" s="424"/>
      <c r="T810" s="382"/>
      <c r="U810" s="383"/>
      <c r="V810" s="383"/>
      <c r="W810" s="383"/>
      <c r="X810" s="383"/>
      <c r="Y810" s="383"/>
      <c r="Z810" s="383"/>
      <c r="AA810" s="383"/>
      <c r="AB810" s="383"/>
      <c r="AC810" s="382"/>
      <c r="AD810" s="382"/>
      <c r="AE810" s="382"/>
    </row>
    <row r="811" spans="1:31">
      <c r="A811" s="422"/>
      <c r="B811" s="422"/>
      <c r="C811" s="422"/>
      <c r="D811" s="422"/>
      <c r="E811" s="779"/>
      <c r="F811" s="422"/>
      <c r="G811" s="422"/>
      <c r="H811" s="422"/>
      <c r="I811" s="422"/>
      <c r="J811" s="422"/>
      <c r="K811" s="422"/>
      <c r="L811" s="422"/>
      <c r="M811" s="422"/>
      <c r="N811" s="422"/>
      <c r="O811" s="422"/>
      <c r="P811" s="422"/>
      <c r="Q811" s="422"/>
      <c r="R811" s="422"/>
      <c r="S811" s="424"/>
      <c r="T811" s="382"/>
      <c r="U811" s="383"/>
      <c r="V811" s="383"/>
      <c r="W811" s="383"/>
      <c r="X811" s="383"/>
      <c r="Y811" s="383"/>
      <c r="Z811" s="383"/>
      <c r="AA811" s="383"/>
      <c r="AB811" s="383"/>
      <c r="AC811" s="382"/>
      <c r="AD811" s="382"/>
      <c r="AE811" s="382"/>
    </row>
    <row r="812" spans="1:31">
      <c r="A812" s="422"/>
      <c r="B812" s="422"/>
      <c r="C812" s="422"/>
      <c r="D812" s="422"/>
      <c r="E812" s="779"/>
      <c r="F812" s="422"/>
      <c r="G812" s="422"/>
      <c r="H812" s="422"/>
      <c r="I812" s="422"/>
      <c r="J812" s="422"/>
      <c r="K812" s="422"/>
      <c r="L812" s="422"/>
      <c r="M812" s="422"/>
      <c r="N812" s="422"/>
      <c r="O812" s="422"/>
      <c r="P812" s="422"/>
      <c r="Q812" s="422"/>
      <c r="R812" s="422"/>
      <c r="S812" s="424"/>
      <c r="T812" s="382"/>
      <c r="U812" s="383"/>
      <c r="V812" s="383"/>
      <c r="W812" s="383"/>
      <c r="X812" s="383"/>
      <c r="Y812" s="383"/>
      <c r="Z812" s="383"/>
      <c r="AA812" s="383"/>
      <c r="AB812" s="383"/>
      <c r="AC812" s="382"/>
      <c r="AD812" s="382"/>
      <c r="AE812" s="382"/>
    </row>
    <row r="813" spans="1:31">
      <c r="A813" s="422"/>
      <c r="B813" s="422"/>
      <c r="C813" s="422"/>
      <c r="D813" s="422"/>
      <c r="E813" s="779"/>
      <c r="F813" s="422"/>
      <c r="G813" s="422"/>
      <c r="H813" s="422"/>
      <c r="I813" s="422"/>
      <c r="J813" s="422"/>
      <c r="K813" s="422"/>
      <c r="L813" s="422"/>
      <c r="M813" s="422"/>
      <c r="N813" s="422"/>
      <c r="O813" s="422"/>
      <c r="P813" s="422"/>
      <c r="Q813" s="422"/>
      <c r="R813" s="422"/>
      <c r="S813" s="424"/>
      <c r="T813" s="382"/>
      <c r="U813" s="383"/>
      <c r="V813" s="383"/>
      <c r="W813" s="383"/>
      <c r="X813" s="383"/>
      <c r="Y813" s="383"/>
      <c r="Z813" s="383"/>
      <c r="AA813" s="383"/>
      <c r="AB813" s="383"/>
      <c r="AC813" s="382"/>
      <c r="AD813" s="382"/>
      <c r="AE813" s="382"/>
    </row>
    <row r="814" spans="1:31">
      <c r="A814" s="422"/>
      <c r="B814" s="422"/>
      <c r="C814" s="422"/>
      <c r="D814" s="422"/>
      <c r="E814" s="779"/>
      <c r="F814" s="422"/>
      <c r="G814" s="422"/>
      <c r="H814" s="422"/>
      <c r="I814" s="422"/>
      <c r="J814" s="422"/>
      <c r="K814" s="422"/>
      <c r="L814" s="422"/>
      <c r="M814" s="422"/>
      <c r="N814" s="422"/>
      <c r="O814" s="422"/>
      <c r="P814" s="422"/>
      <c r="Q814" s="422"/>
      <c r="R814" s="422"/>
      <c r="S814" s="424"/>
      <c r="T814" s="382"/>
      <c r="U814" s="383"/>
      <c r="V814" s="383"/>
      <c r="W814" s="383"/>
      <c r="X814" s="383"/>
      <c r="Y814" s="383"/>
      <c r="Z814" s="383"/>
      <c r="AA814" s="383"/>
      <c r="AB814" s="383"/>
      <c r="AC814" s="382"/>
      <c r="AD814" s="382"/>
      <c r="AE814" s="382"/>
    </row>
    <row r="815" spans="1:31">
      <c r="A815" s="422"/>
      <c r="B815" s="422"/>
      <c r="C815" s="422"/>
      <c r="D815" s="422"/>
      <c r="E815" s="779"/>
      <c r="F815" s="422"/>
      <c r="G815" s="422"/>
      <c r="H815" s="422"/>
      <c r="I815" s="422"/>
      <c r="J815" s="422"/>
      <c r="K815" s="422"/>
      <c r="L815" s="422"/>
      <c r="M815" s="422"/>
      <c r="N815" s="422"/>
      <c r="O815" s="422"/>
      <c r="P815" s="422"/>
      <c r="Q815" s="422"/>
      <c r="R815" s="422"/>
      <c r="S815" s="424"/>
      <c r="T815" s="382"/>
      <c r="U815" s="383"/>
      <c r="V815" s="383"/>
      <c r="W815" s="383"/>
      <c r="X815" s="383"/>
      <c r="Y815" s="383"/>
      <c r="Z815" s="383"/>
      <c r="AA815" s="383"/>
      <c r="AB815" s="383"/>
      <c r="AC815" s="382"/>
      <c r="AD815" s="382"/>
      <c r="AE815" s="382"/>
    </row>
    <row r="816" spans="1:31">
      <c r="A816" s="422"/>
      <c r="B816" s="422"/>
      <c r="C816" s="422"/>
      <c r="D816" s="422"/>
      <c r="E816" s="779"/>
      <c r="F816" s="422"/>
      <c r="G816" s="422"/>
      <c r="H816" s="422"/>
      <c r="I816" s="422"/>
      <c r="J816" s="422"/>
      <c r="K816" s="422"/>
      <c r="L816" s="422"/>
      <c r="M816" s="422"/>
      <c r="N816" s="422"/>
      <c r="O816" s="422"/>
      <c r="P816" s="422"/>
      <c r="Q816" s="422"/>
      <c r="R816" s="422"/>
      <c r="S816" s="424"/>
      <c r="T816" s="382"/>
      <c r="U816" s="383"/>
      <c r="V816" s="383"/>
      <c r="W816" s="383"/>
      <c r="X816" s="383"/>
      <c r="Y816" s="383"/>
      <c r="Z816" s="383"/>
      <c r="AA816" s="383"/>
      <c r="AB816" s="383"/>
      <c r="AC816" s="382"/>
      <c r="AD816" s="382"/>
      <c r="AE816" s="382"/>
    </row>
    <row r="817" spans="1:31">
      <c r="A817" s="422"/>
      <c r="B817" s="422"/>
      <c r="C817" s="422"/>
      <c r="D817" s="422"/>
      <c r="E817" s="779"/>
      <c r="F817" s="422"/>
      <c r="G817" s="422"/>
      <c r="H817" s="422"/>
      <c r="I817" s="422"/>
      <c r="J817" s="422"/>
      <c r="K817" s="422"/>
      <c r="L817" s="422"/>
      <c r="M817" s="422"/>
      <c r="N817" s="422"/>
      <c r="O817" s="422"/>
      <c r="P817" s="422"/>
      <c r="Q817" s="422"/>
      <c r="R817" s="422"/>
      <c r="S817" s="424"/>
      <c r="T817" s="382"/>
      <c r="U817" s="383"/>
      <c r="V817" s="383"/>
      <c r="W817" s="383"/>
      <c r="X817" s="383"/>
      <c r="Y817" s="383"/>
      <c r="Z817" s="383"/>
      <c r="AA817" s="383"/>
      <c r="AB817" s="383"/>
      <c r="AC817" s="382"/>
      <c r="AD817" s="382"/>
      <c r="AE817" s="382"/>
    </row>
    <row r="818" spans="1:31">
      <c r="A818" s="422"/>
      <c r="B818" s="422"/>
      <c r="C818" s="422"/>
      <c r="D818" s="422"/>
      <c r="E818" s="779"/>
      <c r="F818" s="422"/>
      <c r="G818" s="422"/>
      <c r="H818" s="422"/>
      <c r="I818" s="422"/>
      <c r="J818" s="422"/>
      <c r="K818" s="422"/>
      <c r="L818" s="422"/>
      <c r="M818" s="422"/>
      <c r="N818" s="422"/>
      <c r="O818" s="422"/>
      <c r="P818" s="422"/>
      <c r="Q818" s="422"/>
      <c r="R818" s="422"/>
      <c r="S818" s="424"/>
      <c r="T818" s="382"/>
      <c r="U818" s="383"/>
      <c r="V818" s="383"/>
      <c r="W818" s="383"/>
      <c r="X818" s="383"/>
      <c r="Y818" s="383"/>
      <c r="Z818" s="383"/>
      <c r="AA818" s="383"/>
      <c r="AB818" s="383"/>
      <c r="AC818" s="382"/>
      <c r="AD818" s="382"/>
      <c r="AE818" s="382"/>
    </row>
    <row r="819" spans="1:31">
      <c r="A819" s="422"/>
      <c r="B819" s="422"/>
      <c r="C819" s="422"/>
      <c r="D819" s="422"/>
      <c r="E819" s="779"/>
      <c r="F819" s="422"/>
      <c r="G819" s="422"/>
      <c r="H819" s="422"/>
      <c r="I819" s="422"/>
      <c r="J819" s="422"/>
      <c r="K819" s="422"/>
      <c r="L819" s="422"/>
      <c r="M819" s="422"/>
      <c r="N819" s="422"/>
      <c r="O819" s="422"/>
      <c r="P819" s="422"/>
      <c r="Q819" s="422"/>
      <c r="R819" s="422"/>
      <c r="S819" s="424"/>
      <c r="T819" s="382"/>
      <c r="U819" s="383"/>
      <c r="V819" s="383"/>
      <c r="W819" s="383"/>
      <c r="X819" s="383"/>
      <c r="Y819" s="383"/>
      <c r="Z819" s="383"/>
      <c r="AA819" s="383"/>
      <c r="AB819" s="383"/>
      <c r="AC819" s="382"/>
      <c r="AD819" s="382"/>
      <c r="AE819" s="382"/>
    </row>
    <row r="820" spans="1:31">
      <c r="A820" s="422"/>
      <c r="B820" s="422"/>
      <c r="C820" s="422"/>
      <c r="D820" s="422"/>
      <c r="E820" s="779"/>
      <c r="F820" s="422"/>
      <c r="G820" s="422"/>
      <c r="H820" s="422"/>
      <c r="I820" s="422"/>
      <c r="J820" s="422"/>
      <c r="K820" s="422"/>
      <c r="L820" s="422"/>
      <c r="M820" s="422"/>
      <c r="N820" s="422"/>
      <c r="O820" s="422"/>
      <c r="P820" s="422"/>
      <c r="Q820" s="422"/>
      <c r="R820" s="422"/>
      <c r="S820" s="424"/>
      <c r="T820" s="382"/>
      <c r="U820" s="383"/>
      <c r="V820" s="383"/>
      <c r="W820" s="383"/>
      <c r="X820" s="383"/>
      <c r="Y820" s="383"/>
      <c r="Z820" s="383"/>
      <c r="AA820" s="383"/>
      <c r="AB820" s="383"/>
      <c r="AC820" s="382"/>
      <c r="AD820" s="382"/>
      <c r="AE820" s="382"/>
    </row>
    <row r="821" spans="1:31">
      <c r="A821" s="422"/>
      <c r="B821" s="422"/>
      <c r="C821" s="422"/>
      <c r="D821" s="422"/>
      <c r="E821" s="779"/>
      <c r="F821" s="422"/>
      <c r="G821" s="422"/>
      <c r="H821" s="422"/>
      <c r="I821" s="422"/>
      <c r="J821" s="422"/>
      <c r="K821" s="422"/>
      <c r="L821" s="422"/>
      <c r="M821" s="422"/>
      <c r="N821" s="422"/>
      <c r="O821" s="422"/>
      <c r="P821" s="422"/>
      <c r="Q821" s="422"/>
      <c r="R821" s="422"/>
      <c r="S821" s="424"/>
      <c r="T821" s="382"/>
      <c r="U821" s="383"/>
      <c r="V821" s="383"/>
      <c r="W821" s="383"/>
      <c r="X821" s="383"/>
      <c r="Y821" s="383"/>
      <c r="Z821" s="383"/>
      <c r="AA821" s="383"/>
      <c r="AB821" s="383"/>
      <c r="AC821" s="382"/>
      <c r="AD821" s="382"/>
      <c r="AE821" s="382"/>
    </row>
    <row r="822" spans="1:31">
      <c r="A822" s="422"/>
      <c r="B822" s="422"/>
      <c r="C822" s="422"/>
      <c r="D822" s="422"/>
      <c r="E822" s="779"/>
      <c r="F822" s="422"/>
      <c r="G822" s="422"/>
      <c r="H822" s="422"/>
      <c r="I822" s="422"/>
      <c r="J822" s="422"/>
      <c r="K822" s="422"/>
      <c r="L822" s="422"/>
      <c r="M822" s="422"/>
      <c r="N822" s="422"/>
      <c r="O822" s="422"/>
      <c r="P822" s="422"/>
      <c r="Q822" s="422"/>
      <c r="R822" s="422"/>
      <c r="S822" s="424"/>
      <c r="T822" s="382"/>
      <c r="U822" s="383"/>
      <c r="V822" s="383"/>
      <c r="W822" s="383"/>
      <c r="X822" s="383"/>
      <c r="Y822" s="383"/>
      <c r="Z822" s="383"/>
      <c r="AA822" s="383"/>
      <c r="AB822" s="383"/>
      <c r="AC822" s="382"/>
      <c r="AD822" s="382"/>
      <c r="AE822" s="382"/>
    </row>
    <row r="823" spans="1:31">
      <c r="A823" s="422"/>
      <c r="B823" s="422"/>
      <c r="C823" s="422"/>
      <c r="D823" s="422"/>
      <c r="E823" s="779"/>
      <c r="F823" s="422"/>
      <c r="G823" s="422"/>
      <c r="H823" s="422"/>
      <c r="I823" s="422"/>
      <c r="J823" s="422"/>
      <c r="K823" s="422"/>
      <c r="L823" s="422"/>
      <c r="M823" s="422"/>
      <c r="N823" s="422"/>
      <c r="O823" s="422"/>
      <c r="P823" s="422"/>
      <c r="Q823" s="422"/>
      <c r="R823" s="422"/>
      <c r="S823" s="424"/>
      <c r="T823" s="382"/>
      <c r="U823" s="383"/>
      <c r="V823" s="383"/>
      <c r="W823" s="383"/>
      <c r="X823" s="383"/>
      <c r="Y823" s="383"/>
      <c r="Z823" s="383"/>
      <c r="AA823" s="383"/>
      <c r="AB823" s="383"/>
      <c r="AC823" s="382"/>
      <c r="AD823" s="382"/>
      <c r="AE823" s="382"/>
    </row>
    <row r="824" spans="1:31">
      <c r="A824" s="422"/>
      <c r="B824" s="422"/>
      <c r="C824" s="422"/>
      <c r="D824" s="422"/>
      <c r="E824" s="779"/>
      <c r="F824" s="422"/>
      <c r="G824" s="422"/>
      <c r="H824" s="422"/>
      <c r="I824" s="422"/>
      <c r="J824" s="422"/>
      <c r="K824" s="422"/>
      <c r="L824" s="422"/>
      <c r="M824" s="422"/>
      <c r="N824" s="422"/>
      <c r="O824" s="422"/>
      <c r="P824" s="422"/>
      <c r="Q824" s="422"/>
      <c r="R824" s="422"/>
      <c r="S824" s="424"/>
      <c r="T824" s="382"/>
      <c r="U824" s="383"/>
      <c r="V824" s="383"/>
      <c r="W824" s="383"/>
      <c r="X824" s="383"/>
      <c r="Y824" s="383"/>
      <c r="Z824" s="383"/>
      <c r="AA824" s="383"/>
      <c r="AB824" s="383"/>
      <c r="AC824" s="382"/>
      <c r="AD824" s="382"/>
      <c r="AE824" s="382"/>
    </row>
    <row r="825" spans="1:31">
      <c r="A825" s="422"/>
      <c r="B825" s="422"/>
      <c r="C825" s="422"/>
      <c r="D825" s="422"/>
      <c r="E825" s="779"/>
      <c r="F825" s="422"/>
      <c r="G825" s="422"/>
      <c r="H825" s="422"/>
      <c r="I825" s="422"/>
      <c r="J825" s="422"/>
      <c r="K825" s="422"/>
      <c r="L825" s="422"/>
      <c r="M825" s="422"/>
      <c r="N825" s="422"/>
      <c r="O825" s="422"/>
      <c r="P825" s="422"/>
      <c r="Q825" s="422"/>
      <c r="R825" s="422"/>
      <c r="S825" s="424"/>
      <c r="T825" s="382"/>
      <c r="U825" s="383"/>
      <c r="V825" s="383"/>
      <c r="W825" s="383"/>
      <c r="X825" s="383"/>
      <c r="Y825" s="383"/>
      <c r="Z825" s="383"/>
      <c r="AA825" s="383"/>
      <c r="AB825" s="383"/>
      <c r="AC825" s="382"/>
      <c r="AD825" s="382"/>
      <c r="AE825" s="382"/>
    </row>
    <row r="826" spans="1:31">
      <c r="A826" s="422"/>
      <c r="B826" s="422"/>
      <c r="C826" s="422"/>
      <c r="D826" s="422"/>
      <c r="E826" s="779"/>
      <c r="F826" s="422"/>
      <c r="G826" s="422"/>
      <c r="H826" s="422"/>
      <c r="I826" s="422"/>
      <c r="J826" s="422"/>
      <c r="K826" s="422"/>
      <c r="L826" s="422"/>
      <c r="M826" s="422"/>
      <c r="N826" s="422"/>
      <c r="O826" s="422"/>
      <c r="P826" s="422"/>
      <c r="Q826" s="422"/>
      <c r="R826" s="422"/>
      <c r="S826" s="424"/>
      <c r="T826" s="382"/>
      <c r="U826" s="383"/>
      <c r="V826" s="383"/>
      <c r="W826" s="383"/>
      <c r="X826" s="383"/>
      <c r="Y826" s="383"/>
      <c r="Z826" s="383"/>
      <c r="AA826" s="383"/>
      <c r="AB826" s="383"/>
      <c r="AC826" s="382"/>
      <c r="AD826" s="382"/>
      <c r="AE826" s="382"/>
    </row>
    <row r="827" spans="1:31">
      <c r="A827" s="422"/>
      <c r="B827" s="422"/>
      <c r="C827" s="422"/>
      <c r="D827" s="422"/>
      <c r="E827" s="779"/>
      <c r="F827" s="422"/>
      <c r="G827" s="422"/>
      <c r="H827" s="422"/>
      <c r="I827" s="422"/>
      <c r="J827" s="422"/>
      <c r="K827" s="422"/>
      <c r="L827" s="422"/>
      <c r="M827" s="422"/>
      <c r="N827" s="422"/>
      <c r="O827" s="422"/>
      <c r="P827" s="422"/>
      <c r="Q827" s="422"/>
      <c r="R827" s="422"/>
      <c r="S827" s="424"/>
      <c r="T827" s="382"/>
      <c r="U827" s="383"/>
      <c r="V827" s="383"/>
      <c r="W827" s="383"/>
      <c r="X827" s="383"/>
      <c r="Y827" s="383"/>
      <c r="Z827" s="383"/>
      <c r="AA827" s="383"/>
      <c r="AB827" s="383"/>
      <c r="AC827" s="382"/>
      <c r="AD827" s="382"/>
      <c r="AE827" s="382"/>
    </row>
    <row r="828" spans="1:31">
      <c r="A828" s="422"/>
      <c r="B828" s="422"/>
      <c r="C828" s="422"/>
      <c r="D828" s="422"/>
      <c r="E828" s="779"/>
      <c r="F828" s="422"/>
      <c r="G828" s="422"/>
      <c r="H828" s="422"/>
      <c r="I828" s="422"/>
      <c r="J828" s="422"/>
      <c r="K828" s="422"/>
      <c r="L828" s="422"/>
      <c r="M828" s="422"/>
      <c r="N828" s="422"/>
      <c r="O828" s="422"/>
      <c r="P828" s="422"/>
      <c r="Q828" s="422"/>
      <c r="R828" s="422"/>
      <c r="S828" s="424"/>
      <c r="T828" s="382"/>
      <c r="U828" s="383"/>
      <c r="V828" s="383"/>
      <c r="W828" s="383"/>
      <c r="X828" s="383"/>
      <c r="Y828" s="383"/>
      <c r="Z828" s="383"/>
      <c r="AA828" s="383"/>
      <c r="AB828" s="383"/>
      <c r="AC828" s="382"/>
      <c r="AD828" s="382"/>
      <c r="AE828" s="382"/>
    </row>
    <row r="829" spans="1:31">
      <c r="A829" s="422"/>
      <c r="B829" s="422"/>
      <c r="C829" s="422"/>
      <c r="D829" s="422"/>
      <c r="E829" s="779"/>
      <c r="F829" s="422"/>
      <c r="G829" s="422"/>
      <c r="H829" s="422"/>
      <c r="I829" s="422"/>
      <c r="J829" s="422"/>
      <c r="K829" s="422"/>
      <c r="L829" s="422"/>
      <c r="M829" s="422"/>
      <c r="N829" s="422"/>
      <c r="O829" s="422"/>
      <c r="P829" s="422"/>
      <c r="Q829" s="422"/>
      <c r="R829" s="422"/>
      <c r="S829" s="424"/>
      <c r="T829" s="382"/>
      <c r="U829" s="383"/>
      <c r="V829" s="383"/>
      <c r="W829" s="383"/>
      <c r="X829" s="383"/>
      <c r="Y829" s="383"/>
      <c r="Z829" s="383"/>
      <c r="AA829" s="383"/>
      <c r="AB829" s="383"/>
      <c r="AC829" s="382"/>
      <c r="AD829" s="382"/>
      <c r="AE829" s="382"/>
    </row>
    <row r="830" spans="1:31">
      <c r="A830" s="422"/>
      <c r="B830" s="422"/>
      <c r="C830" s="422"/>
      <c r="D830" s="422"/>
      <c r="E830" s="779"/>
      <c r="F830" s="422"/>
      <c r="G830" s="422"/>
      <c r="H830" s="422"/>
      <c r="I830" s="422"/>
      <c r="J830" s="422"/>
      <c r="K830" s="422"/>
      <c r="L830" s="422"/>
      <c r="M830" s="422"/>
      <c r="N830" s="422"/>
      <c r="O830" s="422"/>
      <c r="P830" s="422"/>
      <c r="Q830" s="422"/>
      <c r="R830" s="422"/>
      <c r="S830" s="424"/>
      <c r="T830" s="382"/>
      <c r="U830" s="383"/>
      <c r="V830" s="383"/>
      <c r="W830" s="383"/>
      <c r="X830" s="383"/>
      <c r="Y830" s="383"/>
      <c r="Z830" s="383"/>
      <c r="AA830" s="383"/>
      <c r="AB830" s="383"/>
      <c r="AC830" s="382"/>
      <c r="AD830" s="382"/>
      <c r="AE830" s="382"/>
    </row>
    <row r="831" spans="1:31">
      <c r="A831" s="422"/>
      <c r="B831" s="422"/>
      <c r="C831" s="422"/>
      <c r="D831" s="422"/>
      <c r="E831" s="779"/>
      <c r="F831" s="422"/>
      <c r="G831" s="422"/>
      <c r="H831" s="422"/>
      <c r="I831" s="422"/>
      <c r="J831" s="422"/>
      <c r="K831" s="422"/>
      <c r="L831" s="422"/>
      <c r="M831" s="422"/>
      <c r="N831" s="422"/>
      <c r="O831" s="422"/>
      <c r="P831" s="422"/>
      <c r="Q831" s="422"/>
      <c r="R831" s="422"/>
      <c r="S831" s="424"/>
      <c r="T831" s="382"/>
      <c r="U831" s="383"/>
      <c r="V831" s="383"/>
      <c r="W831" s="383"/>
      <c r="X831" s="383"/>
      <c r="Y831" s="383"/>
      <c r="Z831" s="383"/>
      <c r="AA831" s="383"/>
      <c r="AB831" s="383"/>
      <c r="AC831" s="382"/>
      <c r="AD831" s="382"/>
      <c r="AE831" s="382"/>
    </row>
    <row r="832" spans="1:31">
      <c r="A832" s="422"/>
      <c r="B832" s="422"/>
      <c r="C832" s="422"/>
      <c r="D832" s="422"/>
      <c r="E832" s="779"/>
      <c r="F832" s="422"/>
      <c r="G832" s="422"/>
      <c r="H832" s="422"/>
      <c r="I832" s="422"/>
      <c r="J832" s="422"/>
      <c r="K832" s="422"/>
      <c r="L832" s="422"/>
      <c r="M832" s="422"/>
      <c r="N832" s="422"/>
      <c r="O832" s="422"/>
      <c r="P832" s="422"/>
      <c r="Q832" s="422"/>
      <c r="R832" s="422"/>
      <c r="S832" s="424"/>
      <c r="T832" s="382"/>
      <c r="U832" s="383"/>
      <c r="V832" s="383"/>
      <c r="W832" s="383"/>
      <c r="X832" s="383"/>
      <c r="Y832" s="383"/>
      <c r="Z832" s="383"/>
      <c r="AA832" s="383"/>
      <c r="AB832" s="383"/>
      <c r="AC832" s="382"/>
      <c r="AD832" s="382"/>
      <c r="AE832" s="382"/>
    </row>
    <row r="833" spans="1:31">
      <c r="A833" s="422"/>
      <c r="B833" s="422"/>
      <c r="C833" s="422"/>
      <c r="D833" s="422"/>
      <c r="E833" s="779"/>
      <c r="F833" s="422"/>
      <c r="G833" s="422"/>
      <c r="H833" s="422"/>
      <c r="I833" s="422"/>
      <c r="J833" s="422"/>
      <c r="K833" s="422"/>
      <c r="L833" s="422"/>
      <c r="M833" s="422"/>
      <c r="N833" s="422"/>
      <c r="O833" s="422"/>
      <c r="P833" s="422"/>
      <c r="Q833" s="422"/>
      <c r="R833" s="422"/>
      <c r="S833" s="424"/>
      <c r="T833" s="382"/>
      <c r="U833" s="383"/>
      <c r="V833" s="383"/>
      <c r="W833" s="383"/>
      <c r="X833" s="383"/>
      <c r="Y833" s="383"/>
      <c r="Z833" s="383"/>
      <c r="AA833" s="383"/>
      <c r="AB833" s="383"/>
      <c r="AC833" s="382"/>
      <c r="AD833" s="382"/>
      <c r="AE833" s="382"/>
    </row>
  </sheetData>
  <mergeCells count="2">
    <mergeCell ref="B11:B12"/>
    <mergeCell ref="D11:D12"/>
  </mergeCells>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5:R5 F8:R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3"/>
  <sheetViews>
    <sheetView view="pageBreakPreview" topLeftCell="M1" zoomScale="90" zoomScaleNormal="100" zoomScaleSheetLayoutView="90" workbookViewId="0">
      <selection activeCell="V638" sqref="V638"/>
    </sheetView>
  </sheetViews>
  <sheetFormatPr defaultRowHeight="15"/>
  <cols>
    <col min="1" max="1" width="5.28515625" customWidth="1"/>
    <col min="2" max="2" width="9" bestFit="1" customWidth="1"/>
    <col min="3" max="3" width="7.42578125" customWidth="1"/>
    <col min="4" max="4" width="5.28515625" customWidth="1"/>
    <col min="5" max="5" width="56.28515625" customWidth="1"/>
    <col min="6" max="6" width="18.42578125" bestFit="1" customWidth="1"/>
    <col min="7" max="15" width="17.7109375" bestFit="1" customWidth="1"/>
    <col min="16" max="16" width="17.7109375" customWidth="1"/>
    <col min="17" max="17" width="0.28515625" customWidth="1"/>
    <col min="18" max="18" width="17.28515625" bestFit="1" customWidth="1"/>
    <col min="19" max="19" width="17.85546875" customWidth="1"/>
    <col min="21" max="21" width="13.28515625" bestFit="1" customWidth="1"/>
    <col min="22" max="23" width="14" bestFit="1" customWidth="1"/>
    <col min="24" max="24" width="15" bestFit="1" customWidth="1"/>
    <col min="25" max="25" width="20.42578125" customWidth="1"/>
    <col min="26" max="27" width="14" bestFit="1" customWidth="1"/>
    <col min="28" max="28" width="13.85546875" bestFit="1" customWidth="1"/>
    <col min="29" max="29" width="16.85546875" bestFit="1" customWidth="1"/>
    <col min="30" max="30" width="15.7109375" bestFit="1" customWidth="1"/>
    <col min="31" max="31" width="94.42578125" bestFit="1" customWidth="1"/>
  </cols>
  <sheetData>
    <row r="1" spans="1:32" ht="15.75">
      <c r="A1" s="381" t="s">
        <v>60</v>
      </c>
      <c r="B1" s="779"/>
      <c r="C1" s="779"/>
      <c r="D1" s="779"/>
      <c r="E1" s="779"/>
      <c r="F1" s="623" t="s">
        <v>789</v>
      </c>
      <c r="G1" s="623" t="s">
        <v>789</v>
      </c>
      <c r="H1" s="623" t="s">
        <v>789</v>
      </c>
      <c r="I1" s="623" t="s">
        <v>789</v>
      </c>
      <c r="J1" s="623" t="s">
        <v>789</v>
      </c>
      <c r="K1" s="623" t="s">
        <v>789</v>
      </c>
      <c r="L1" s="623" t="s">
        <v>789</v>
      </c>
      <c r="M1" s="623" t="s">
        <v>789</v>
      </c>
      <c r="N1" s="623" t="s">
        <v>789</v>
      </c>
      <c r="O1" s="623" t="s">
        <v>789</v>
      </c>
      <c r="P1" s="623" t="s">
        <v>789</v>
      </c>
      <c r="Q1" s="623" t="s">
        <v>789</v>
      </c>
      <c r="R1" s="623" t="s">
        <v>789</v>
      </c>
      <c r="S1" s="424"/>
      <c r="T1" s="773"/>
      <c r="U1" s="383"/>
      <c r="V1" s="383"/>
      <c r="W1" s="383"/>
      <c r="X1" s="383"/>
      <c r="Y1" s="383"/>
      <c r="Z1" s="383"/>
      <c r="AA1" s="383"/>
      <c r="AB1" s="383"/>
      <c r="AC1" s="773"/>
      <c r="AD1" s="773"/>
      <c r="AE1" s="773"/>
      <c r="AF1" s="762"/>
    </row>
    <row r="2" spans="1:32" ht="15.75">
      <c r="A2" s="381" t="s">
        <v>2161</v>
      </c>
      <c r="B2" s="779"/>
      <c r="C2" s="779"/>
      <c r="D2" s="779"/>
      <c r="E2" s="779"/>
      <c r="F2" s="623"/>
      <c r="G2" s="623"/>
      <c r="H2" s="623"/>
      <c r="I2" s="623"/>
      <c r="J2" s="623"/>
      <c r="K2" s="623"/>
      <c r="L2" s="623"/>
      <c r="M2" s="623"/>
      <c r="N2" s="623"/>
      <c r="O2" s="623"/>
      <c r="P2" s="623"/>
      <c r="Q2" s="623"/>
      <c r="R2" s="623"/>
      <c r="S2" s="424"/>
      <c r="T2" s="773"/>
      <c r="U2" s="383"/>
      <c r="V2" s="383"/>
      <c r="W2" s="383"/>
      <c r="X2" s="383"/>
      <c r="Y2" s="383"/>
      <c r="Z2" s="383"/>
      <c r="AA2" s="383"/>
      <c r="AB2" s="383"/>
      <c r="AC2" s="773"/>
      <c r="AD2" s="773"/>
      <c r="AE2" s="773"/>
      <c r="AF2" s="762"/>
    </row>
    <row r="3" spans="1:32" ht="15.75">
      <c r="A3" s="381" t="s">
        <v>2170</v>
      </c>
      <c r="B3" s="779"/>
      <c r="C3" s="779"/>
      <c r="D3" s="779"/>
      <c r="E3" s="779"/>
      <c r="F3" s="623"/>
      <c r="G3" s="623"/>
      <c r="H3" s="623"/>
      <c r="I3" s="623"/>
      <c r="J3" s="623"/>
      <c r="K3" s="623"/>
      <c r="L3" s="623"/>
      <c r="M3" s="623"/>
      <c r="N3" s="623"/>
      <c r="O3" s="623"/>
      <c r="P3" s="623"/>
      <c r="Q3" s="623"/>
      <c r="R3" s="623"/>
      <c r="S3" s="424"/>
      <c r="T3" s="773"/>
      <c r="U3" s="383"/>
      <c r="V3" s="383"/>
      <c r="W3" s="383"/>
      <c r="X3" s="383"/>
      <c r="Y3" s="383"/>
      <c r="Z3" s="383"/>
      <c r="AA3" s="383"/>
      <c r="AB3" s="383"/>
      <c r="AC3" s="773"/>
      <c r="AD3" s="773"/>
      <c r="AE3" s="773"/>
      <c r="AF3" s="762"/>
    </row>
    <row r="4" spans="1:32" ht="15.75">
      <c r="A4" s="381"/>
      <c r="B4" s="779"/>
      <c r="C4" s="779"/>
      <c r="D4" s="779"/>
      <c r="E4" s="779"/>
      <c r="F4" s="623"/>
      <c r="G4" s="623"/>
      <c r="H4" s="623"/>
      <c r="I4" s="623"/>
      <c r="J4" s="623"/>
      <c r="K4" s="623"/>
      <c r="L4" s="623"/>
      <c r="M4" s="623"/>
      <c r="N4" s="623"/>
      <c r="O4" s="623"/>
      <c r="P4" s="623"/>
      <c r="Q4" s="623"/>
      <c r="R4" s="623"/>
      <c r="S4" s="424"/>
      <c r="T4" s="773"/>
      <c r="U4" s="383"/>
      <c r="V4" s="383"/>
      <c r="W4" s="383"/>
      <c r="X4" s="383"/>
      <c r="Y4" s="383"/>
      <c r="Z4" s="383"/>
      <c r="AA4" s="383"/>
      <c r="AB4" s="383"/>
      <c r="AC4" s="773"/>
      <c r="AD4" s="773"/>
      <c r="AE4" s="773"/>
      <c r="AF4" s="762"/>
    </row>
    <row r="5" spans="1:32">
      <c r="A5" s="779"/>
      <c r="B5" s="779"/>
      <c r="C5" s="779"/>
      <c r="D5" s="779"/>
      <c r="E5" s="779"/>
      <c r="F5" s="623" t="s">
        <v>1556</v>
      </c>
      <c r="G5" s="623" t="s">
        <v>1556</v>
      </c>
      <c r="H5" s="623" t="s">
        <v>1557</v>
      </c>
      <c r="I5" s="623" t="s">
        <v>1557</v>
      </c>
      <c r="J5" s="623" t="s">
        <v>1557</v>
      </c>
      <c r="K5" s="623" t="s">
        <v>1557</v>
      </c>
      <c r="L5" s="623" t="s">
        <v>1557</v>
      </c>
      <c r="M5" s="623" t="s">
        <v>1557</v>
      </c>
      <c r="N5" s="623" t="s">
        <v>1557</v>
      </c>
      <c r="O5" s="623" t="s">
        <v>1557</v>
      </c>
      <c r="P5" s="623" t="s">
        <v>1557</v>
      </c>
      <c r="Q5" s="623" t="s">
        <v>1557</v>
      </c>
      <c r="R5" s="623" t="s">
        <v>1557</v>
      </c>
      <c r="S5" s="424"/>
      <c r="T5" s="773"/>
      <c r="U5" s="383"/>
      <c r="V5" s="383"/>
      <c r="W5" s="383"/>
      <c r="X5" s="383"/>
      <c r="Y5" s="383"/>
      <c r="Z5" s="383"/>
      <c r="AA5" s="383"/>
      <c r="AB5" s="383"/>
      <c r="AC5" s="773"/>
      <c r="AD5" s="773"/>
      <c r="AE5" s="773"/>
      <c r="AF5" s="762"/>
    </row>
    <row r="6" spans="1:32">
      <c r="A6" s="779"/>
      <c r="B6" s="779"/>
      <c r="C6" s="779"/>
      <c r="D6" s="779"/>
      <c r="E6" s="779"/>
      <c r="F6" s="623" t="s">
        <v>1049</v>
      </c>
      <c r="G6" s="623" t="s">
        <v>1049</v>
      </c>
      <c r="H6" s="623" t="s">
        <v>1049</v>
      </c>
      <c r="I6" s="623" t="s">
        <v>1049</v>
      </c>
      <c r="J6" s="623" t="s">
        <v>1049</v>
      </c>
      <c r="K6" s="623" t="s">
        <v>1049</v>
      </c>
      <c r="L6" s="623" t="s">
        <v>1049</v>
      </c>
      <c r="M6" s="623" t="s">
        <v>1049</v>
      </c>
      <c r="N6" s="623" t="s">
        <v>1049</v>
      </c>
      <c r="O6" s="623" t="s">
        <v>1049</v>
      </c>
      <c r="P6" s="623" t="s">
        <v>1049</v>
      </c>
      <c r="Q6" s="623" t="s">
        <v>1049</v>
      </c>
      <c r="R6" s="623" t="s">
        <v>1049</v>
      </c>
      <c r="S6" s="424"/>
      <c r="T6" s="779"/>
      <c r="U6" s="424"/>
      <c r="V6" s="829"/>
      <c r="W6" s="383"/>
      <c r="X6" s="383"/>
      <c r="Y6" s="617" t="s">
        <v>1197</v>
      </c>
      <c r="Z6" s="617"/>
      <c r="AA6" s="383"/>
      <c r="AB6" s="383"/>
      <c r="AC6" s="773"/>
      <c r="AD6" s="773"/>
      <c r="AE6" s="773"/>
      <c r="AF6" s="762"/>
    </row>
    <row r="7" spans="1:32">
      <c r="A7" s="779"/>
      <c r="B7" s="779"/>
      <c r="C7" s="779"/>
      <c r="D7" s="779"/>
      <c r="E7" s="779"/>
      <c r="F7" s="623" t="s">
        <v>1198</v>
      </c>
      <c r="G7" s="623" t="s">
        <v>1198</v>
      </c>
      <c r="H7" s="623" t="s">
        <v>1198</v>
      </c>
      <c r="I7" s="623" t="s">
        <v>1198</v>
      </c>
      <c r="J7" s="623" t="s">
        <v>1198</v>
      </c>
      <c r="K7" s="623" t="s">
        <v>1198</v>
      </c>
      <c r="L7" s="623" t="s">
        <v>1198</v>
      </c>
      <c r="M7" s="623" t="s">
        <v>1198</v>
      </c>
      <c r="N7" s="623" t="s">
        <v>1198</v>
      </c>
      <c r="O7" s="623" t="s">
        <v>1198</v>
      </c>
      <c r="P7" s="623" t="s">
        <v>1198</v>
      </c>
      <c r="Q7" s="623" t="s">
        <v>1198</v>
      </c>
      <c r="R7" s="623" t="s">
        <v>1198</v>
      </c>
      <c r="S7" s="424"/>
      <c r="T7" s="779"/>
      <c r="U7" s="424"/>
      <c r="V7" s="829"/>
      <c r="W7" s="383"/>
      <c r="X7" s="383"/>
      <c r="Y7" s="617" t="s">
        <v>106</v>
      </c>
      <c r="Z7" s="622">
        <f>+'State Allocation Formulas'!C21</f>
        <v>0.74850000000000005</v>
      </c>
      <c r="AA7" s="383"/>
      <c r="AB7" s="383"/>
      <c r="AC7" s="773"/>
      <c r="AD7" s="773"/>
      <c r="AE7" s="773"/>
      <c r="AF7" s="762"/>
    </row>
    <row r="8" spans="1:32">
      <c r="A8" s="779"/>
      <c r="B8" s="779"/>
      <c r="C8" s="779"/>
      <c r="D8" s="779"/>
      <c r="E8" s="385"/>
      <c r="F8" s="624" t="s">
        <v>482</v>
      </c>
      <c r="G8" s="624" t="s">
        <v>539</v>
      </c>
      <c r="H8" s="624" t="s">
        <v>573</v>
      </c>
      <c r="I8" s="624" t="s">
        <v>575</v>
      </c>
      <c r="J8" s="624" t="s">
        <v>1050</v>
      </c>
      <c r="K8" s="624" t="s">
        <v>1051</v>
      </c>
      <c r="L8" s="624" t="s">
        <v>1052</v>
      </c>
      <c r="M8" s="624" t="s">
        <v>1053</v>
      </c>
      <c r="N8" s="624" t="s">
        <v>390</v>
      </c>
      <c r="O8" s="624" t="s">
        <v>1054</v>
      </c>
      <c r="P8" s="624" t="s">
        <v>1055</v>
      </c>
      <c r="Q8" s="624" t="s">
        <v>1056</v>
      </c>
      <c r="R8" s="624" t="s">
        <v>482</v>
      </c>
      <c r="S8" s="424"/>
      <c r="T8" s="773"/>
      <c r="U8" s="383"/>
      <c r="V8" s="383"/>
      <c r="W8" s="383"/>
      <c r="X8" s="383"/>
      <c r="Y8" s="617" t="s">
        <v>83</v>
      </c>
      <c r="Z8" s="622">
        <f>+'State Allocation Formulas'!D21</f>
        <v>0.25146666666666667</v>
      </c>
      <c r="AA8" s="383"/>
      <c r="AB8" s="383"/>
      <c r="AC8" s="773"/>
      <c r="AD8" s="773"/>
      <c r="AE8" s="773"/>
      <c r="AF8" s="762"/>
    </row>
    <row r="9" spans="1:32">
      <c r="A9" s="779"/>
      <c r="B9" s="779"/>
      <c r="C9" s="779"/>
      <c r="D9" s="779"/>
      <c r="E9" s="385"/>
      <c r="F9" s="623" t="s">
        <v>750</v>
      </c>
      <c r="G9" s="623" t="s">
        <v>750</v>
      </c>
      <c r="H9" s="623" t="s">
        <v>750</v>
      </c>
      <c r="I9" s="623" t="s">
        <v>750</v>
      </c>
      <c r="J9" s="623" t="s">
        <v>750</v>
      </c>
      <c r="K9" s="623" t="s">
        <v>750</v>
      </c>
      <c r="L9" s="623" t="s">
        <v>750</v>
      </c>
      <c r="M9" s="623" t="s">
        <v>750</v>
      </c>
      <c r="N9" s="623" t="s">
        <v>750</v>
      </c>
      <c r="O9" s="623" t="s">
        <v>750</v>
      </c>
      <c r="P9" s="623" t="s">
        <v>750</v>
      </c>
      <c r="Q9" s="623" t="s">
        <v>750</v>
      </c>
      <c r="R9" s="623" t="s">
        <v>750</v>
      </c>
      <c r="S9" s="424"/>
      <c r="T9" s="773"/>
      <c r="U9" s="383"/>
      <c r="V9" s="383"/>
      <c r="W9" s="383"/>
      <c r="X9" s="383"/>
      <c r="Y9" s="383"/>
      <c r="Z9" s="383"/>
      <c r="AA9" s="383"/>
      <c r="AB9" s="383"/>
      <c r="AC9" s="773"/>
      <c r="AD9" s="773"/>
      <c r="AE9" s="773"/>
      <c r="AF9" s="762"/>
    </row>
    <row r="10" spans="1:32">
      <c r="A10" s="779"/>
      <c r="B10" s="779"/>
      <c r="C10" s="779"/>
      <c r="D10" s="779"/>
      <c r="E10" s="385"/>
      <c r="F10" s="623" t="s">
        <v>790</v>
      </c>
      <c r="G10" s="623" t="s">
        <v>790</v>
      </c>
      <c r="H10" s="623" t="s">
        <v>790</v>
      </c>
      <c r="I10" s="623" t="s">
        <v>790</v>
      </c>
      <c r="J10" s="623" t="s">
        <v>790</v>
      </c>
      <c r="K10" s="623" t="s">
        <v>790</v>
      </c>
      <c r="L10" s="623" t="s">
        <v>790</v>
      </c>
      <c r="M10" s="623" t="s">
        <v>790</v>
      </c>
      <c r="N10" s="623" t="s">
        <v>790</v>
      </c>
      <c r="O10" s="623" t="s">
        <v>790</v>
      </c>
      <c r="P10" s="623" t="s">
        <v>790</v>
      </c>
      <c r="Q10" s="623" t="s">
        <v>790</v>
      </c>
      <c r="R10" s="623" t="s">
        <v>790</v>
      </c>
      <c r="S10" s="424"/>
      <c r="T10" s="773"/>
      <c r="U10" s="383"/>
      <c r="V10" s="383"/>
      <c r="W10" s="383"/>
      <c r="X10" s="383"/>
      <c r="Y10" s="383"/>
      <c r="Z10" s="383"/>
      <c r="AA10" s="383"/>
      <c r="AB10" s="383"/>
      <c r="AC10" s="773"/>
      <c r="AD10" s="773"/>
      <c r="AE10" s="773"/>
      <c r="AF10" s="762"/>
    </row>
    <row r="11" spans="1:32">
      <c r="A11" s="779"/>
      <c r="B11" s="944" t="s">
        <v>1199</v>
      </c>
      <c r="C11" s="625"/>
      <c r="D11" s="944" t="s">
        <v>1200</v>
      </c>
      <c r="E11" s="779"/>
      <c r="F11" s="779"/>
      <c r="G11" s="779"/>
      <c r="H11" s="779"/>
      <c r="I11" s="779"/>
      <c r="J11" s="779"/>
      <c r="K11" s="779"/>
      <c r="L11" s="779"/>
      <c r="M11" s="779"/>
      <c r="N11" s="779"/>
      <c r="O11" s="779"/>
      <c r="P11" s="779"/>
      <c r="Q11" s="779"/>
      <c r="R11" s="779"/>
      <c r="S11" s="424"/>
      <c r="T11" s="773"/>
      <c r="U11" s="383"/>
      <c r="V11" s="383"/>
      <c r="W11" s="383"/>
      <c r="X11" s="383"/>
      <c r="Y11" s="386" t="s">
        <v>1201</v>
      </c>
      <c r="Z11" s="387"/>
      <c r="AA11" s="387"/>
      <c r="AB11" s="383"/>
      <c r="AC11" s="773"/>
      <c r="AD11" s="773"/>
      <c r="AE11" s="773"/>
      <c r="AF11" s="762"/>
    </row>
    <row r="12" spans="1:32">
      <c r="A12" s="626" t="s">
        <v>1202</v>
      </c>
      <c r="B12" s="944"/>
      <c r="C12" s="625" t="s">
        <v>858</v>
      </c>
      <c r="D12" s="944"/>
      <c r="E12" s="779"/>
      <c r="F12" s="779"/>
      <c r="G12" s="779"/>
      <c r="H12" s="779"/>
      <c r="I12" s="779"/>
      <c r="J12" s="779"/>
      <c r="K12" s="779"/>
      <c r="L12" s="779"/>
      <c r="M12" s="779"/>
      <c r="N12" s="779"/>
      <c r="O12" s="779"/>
      <c r="P12" s="779"/>
      <c r="Q12" s="779"/>
      <c r="R12" s="779"/>
      <c r="S12" s="424"/>
      <c r="T12" s="773"/>
      <c r="U12" s="388" t="s">
        <v>1203</v>
      </c>
      <c r="V12" s="388" t="s">
        <v>1203</v>
      </c>
      <c r="W12" s="388" t="s">
        <v>378</v>
      </c>
      <c r="X12" s="388" t="s">
        <v>58</v>
      </c>
      <c r="Y12" s="383"/>
      <c r="Z12" s="383"/>
      <c r="AA12" s="383"/>
      <c r="AB12" s="383"/>
      <c r="AC12" s="773"/>
      <c r="AD12" s="773"/>
      <c r="AE12" s="773"/>
      <c r="AF12" s="762"/>
    </row>
    <row r="13" spans="1:32">
      <c r="A13" s="626" t="s">
        <v>1204</v>
      </c>
      <c r="B13" s="625" t="s">
        <v>1205</v>
      </c>
      <c r="C13" s="625" t="s">
        <v>1204</v>
      </c>
      <c r="D13" s="625" t="s">
        <v>858</v>
      </c>
      <c r="E13" s="779"/>
      <c r="F13" s="389" t="s">
        <v>1670</v>
      </c>
      <c r="G13" s="627" t="s">
        <v>1671</v>
      </c>
      <c r="H13" s="389" t="s">
        <v>1672</v>
      </c>
      <c r="I13" s="389" t="s">
        <v>1673</v>
      </c>
      <c r="J13" s="389" t="s">
        <v>1674</v>
      </c>
      <c r="K13" s="389" t="s">
        <v>1675</v>
      </c>
      <c r="L13" s="389" t="s">
        <v>1676</v>
      </c>
      <c r="M13" s="389" t="s">
        <v>1677</v>
      </c>
      <c r="N13" s="389" t="s">
        <v>1678</v>
      </c>
      <c r="O13" s="389" t="s">
        <v>1679</v>
      </c>
      <c r="P13" s="389" t="s">
        <v>1680</v>
      </c>
      <c r="Q13" s="389" t="s">
        <v>1681</v>
      </c>
      <c r="R13" s="389" t="s">
        <v>1682</v>
      </c>
      <c r="S13" s="390" t="s">
        <v>2116</v>
      </c>
      <c r="T13" s="773"/>
      <c r="U13" s="388" t="s">
        <v>1206</v>
      </c>
      <c r="V13" s="388" t="s">
        <v>1207</v>
      </c>
      <c r="W13" s="388" t="s">
        <v>379</v>
      </c>
      <c r="X13" s="388" t="s">
        <v>380</v>
      </c>
      <c r="Y13" s="388" t="s">
        <v>372</v>
      </c>
      <c r="Z13" s="388" t="s">
        <v>760</v>
      </c>
      <c r="AA13" s="388" t="s">
        <v>1208</v>
      </c>
      <c r="AB13" s="388" t="s">
        <v>1209</v>
      </c>
      <c r="AC13" s="773" t="s">
        <v>371</v>
      </c>
      <c r="AD13" s="773" t="s">
        <v>1210</v>
      </c>
      <c r="AE13" s="773"/>
      <c r="AF13" s="762"/>
    </row>
    <row r="14" spans="1:32">
      <c r="A14" s="626"/>
      <c r="B14" s="625"/>
      <c r="C14" s="625"/>
      <c r="D14" s="625"/>
      <c r="E14" s="779"/>
      <c r="F14" s="447"/>
      <c r="G14" s="628"/>
      <c r="H14" s="447"/>
      <c r="I14" s="447"/>
      <c r="J14" s="447"/>
      <c r="K14" s="447"/>
      <c r="L14" s="447"/>
      <c r="M14" s="447"/>
      <c r="N14" s="447"/>
      <c r="O14" s="447"/>
      <c r="P14" s="447"/>
      <c r="Q14" s="447"/>
      <c r="R14" s="447"/>
      <c r="S14" s="448" t="s">
        <v>110</v>
      </c>
      <c r="T14" s="773"/>
      <c r="U14" s="388" t="s">
        <v>111</v>
      </c>
      <c r="V14" s="388" t="s">
        <v>1211</v>
      </c>
      <c r="W14" s="388" t="s">
        <v>1212</v>
      </c>
      <c r="X14" s="388" t="s">
        <v>1213</v>
      </c>
      <c r="Y14" s="388" t="s">
        <v>1214</v>
      </c>
      <c r="Z14" s="388" t="s">
        <v>1215</v>
      </c>
      <c r="AA14" s="388"/>
      <c r="AB14" s="388" t="s">
        <v>1216</v>
      </c>
      <c r="AC14" s="773"/>
      <c r="AD14" s="773"/>
      <c r="AE14" s="773"/>
      <c r="AF14" s="762"/>
    </row>
    <row r="15" spans="1:32">
      <c r="A15" s="779">
        <v>1</v>
      </c>
      <c r="B15" s="423" t="s">
        <v>1063</v>
      </c>
      <c r="C15" s="423" t="s">
        <v>381</v>
      </c>
      <c r="D15" s="779" t="s">
        <v>382</v>
      </c>
      <c r="E15" s="777" t="s">
        <v>383</v>
      </c>
      <c r="F15" s="778">
        <v>954960214.52999997</v>
      </c>
      <c r="G15" s="778">
        <v>955271288.53999996</v>
      </c>
      <c r="H15" s="778">
        <v>958999807.75999999</v>
      </c>
      <c r="I15" s="778">
        <v>959271873.67999995</v>
      </c>
      <c r="J15" s="778">
        <v>961429978.09000003</v>
      </c>
      <c r="K15" s="778">
        <v>969168227.27999997</v>
      </c>
      <c r="L15" s="778">
        <v>983640654.03999996</v>
      </c>
      <c r="M15" s="778">
        <v>986426018.51999998</v>
      </c>
      <c r="N15" s="778">
        <v>991284385.44000006</v>
      </c>
      <c r="O15" s="778">
        <v>994724254.46000004</v>
      </c>
      <c r="P15" s="778">
        <v>996900436.60000002</v>
      </c>
      <c r="Q15" s="778">
        <v>998550390.24000001</v>
      </c>
      <c r="R15" s="778">
        <v>1054152346.6799999</v>
      </c>
      <c r="S15" s="618">
        <f>+R15</f>
        <v>1054152346.6799999</v>
      </c>
      <c r="T15" s="773"/>
      <c r="U15" s="383"/>
      <c r="V15" s="383"/>
      <c r="W15" s="383"/>
      <c r="X15" s="393">
        <f>+S15</f>
        <v>1054152346.6799999</v>
      </c>
      <c r="Y15" s="424">
        <f>+'Plant in Serv &amp; Accum Depr'!AD159</f>
        <v>817220128.27877688</v>
      </c>
      <c r="Z15" s="383">
        <f>+X15-Y15</f>
        <v>236932218.40122306</v>
      </c>
      <c r="AA15" s="383"/>
      <c r="AB15" s="383"/>
      <c r="AC15" s="773"/>
      <c r="AD15" s="773"/>
      <c r="AE15" s="773" t="s">
        <v>1728</v>
      </c>
      <c r="AF15" s="781">
        <f t="shared" ref="AF15:AF78" si="0">+U15+V15-AD15</f>
        <v>0</v>
      </c>
    </row>
    <row r="16" spans="1:32">
      <c r="A16" s="779">
        <f>+A15+1</f>
        <v>2</v>
      </c>
      <c r="B16" s="423" t="s">
        <v>1063</v>
      </c>
      <c r="C16" s="423" t="s">
        <v>384</v>
      </c>
      <c r="D16" s="779" t="s">
        <v>382</v>
      </c>
      <c r="E16" s="777" t="s">
        <v>385</v>
      </c>
      <c r="F16" s="778">
        <v>42677267.270000003</v>
      </c>
      <c r="G16" s="778">
        <v>46181313.079999998</v>
      </c>
      <c r="H16" s="778">
        <v>44878818.090000004</v>
      </c>
      <c r="I16" s="778">
        <v>46850903.719999999</v>
      </c>
      <c r="J16" s="778">
        <v>48671668.939999998</v>
      </c>
      <c r="K16" s="778">
        <v>46504919.969999999</v>
      </c>
      <c r="L16" s="778">
        <v>37760264.009999998</v>
      </c>
      <c r="M16" s="778">
        <v>38935196.590000004</v>
      </c>
      <c r="N16" s="778">
        <v>41767099.710000001</v>
      </c>
      <c r="O16" s="778">
        <v>52068090.939999998</v>
      </c>
      <c r="P16" s="778">
        <v>61580081.479999997</v>
      </c>
      <c r="Q16" s="778">
        <v>66760540.119999997</v>
      </c>
      <c r="R16" s="778">
        <v>23074397.219999999</v>
      </c>
      <c r="S16" s="618">
        <f t="shared" ref="S16:S17" si="1">+R16</f>
        <v>23074397.219999999</v>
      </c>
      <c r="T16" s="773"/>
      <c r="U16" s="383"/>
      <c r="V16" s="383"/>
      <c r="W16" s="383"/>
      <c r="X16" s="393">
        <f>+S16</f>
        <v>23074397.219999999</v>
      </c>
      <c r="Y16" s="383">
        <f>+X16*Z7</f>
        <v>17271186.319170002</v>
      </c>
      <c r="Z16" s="383">
        <f>+X16*Z8</f>
        <v>5802441.7542559998</v>
      </c>
      <c r="AA16" s="383"/>
      <c r="AB16" s="383"/>
      <c r="AC16" s="773"/>
      <c r="AD16" s="773"/>
      <c r="AE16" s="773"/>
      <c r="AF16" s="781">
        <f t="shared" si="0"/>
        <v>0</v>
      </c>
    </row>
    <row r="17" spans="1:32">
      <c r="A17" s="779">
        <f t="shared" ref="A17:A80" si="2">+A16+1</f>
        <v>3</v>
      </c>
      <c r="B17" s="423" t="s">
        <v>1063</v>
      </c>
      <c r="C17" s="423" t="s">
        <v>386</v>
      </c>
      <c r="D17" s="423" t="s">
        <v>382</v>
      </c>
      <c r="E17" s="777" t="s">
        <v>387</v>
      </c>
      <c r="F17" s="778">
        <v>8458803.8800000008</v>
      </c>
      <c r="G17" s="778">
        <v>8044239.9800000004</v>
      </c>
      <c r="H17" s="778">
        <v>9590430.0199999996</v>
      </c>
      <c r="I17" s="778">
        <v>9963218.9000000004</v>
      </c>
      <c r="J17" s="778">
        <v>10160924.32</v>
      </c>
      <c r="K17" s="778">
        <v>12665643.82</v>
      </c>
      <c r="L17" s="778">
        <v>11895074.75</v>
      </c>
      <c r="M17" s="778">
        <v>15896861.26</v>
      </c>
      <c r="N17" s="778">
        <v>15216784.77</v>
      </c>
      <c r="O17" s="778">
        <v>9364077.1099999994</v>
      </c>
      <c r="P17" s="778">
        <v>10015988.92</v>
      </c>
      <c r="Q17" s="778">
        <v>12165487.189999999</v>
      </c>
      <c r="R17" s="778">
        <v>12854207.49</v>
      </c>
      <c r="S17" s="618">
        <f t="shared" si="1"/>
        <v>12854207.49</v>
      </c>
      <c r="T17" s="773"/>
      <c r="U17" s="383"/>
      <c r="V17" s="383"/>
      <c r="W17" s="383"/>
      <c r="X17" s="393">
        <f>+S17</f>
        <v>12854207.49</v>
      </c>
      <c r="Y17" s="383"/>
      <c r="Z17" s="383"/>
      <c r="AA17" s="383"/>
      <c r="AB17" s="383">
        <f>+S17</f>
        <v>12854207.49</v>
      </c>
      <c r="AC17" s="773"/>
      <c r="AD17" s="773"/>
      <c r="AE17" s="773"/>
      <c r="AF17" s="781">
        <f t="shared" si="0"/>
        <v>0</v>
      </c>
    </row>
    <row r="18" spans="1:32">
      <c r="A18" s="779">
        <f t="shared" si="2"/>
        <v>4</v>
      </c>
      <c r="B18" s="779"/>
      <c r="C18" s="779"/>
      <c r="D18" s="779"/>
      <c r="E18" s="777" t="s">
        <v>388</v>
      </c>
      <c r="F18" s="394">
        <f t="shared" ref="F18:S18" si="3">SUM(F15:F17)</f>
        <v>1006096285.6799999</v>
      </c>
      <c r="G18" s="394">
        <f t="shared" si="3"/>
        <v>1009496841.6</v>
      </c>
      <c r="H18" s="394">
        <f t="shared" si="3"/>
        <v>1013469055.87</v>
      </c>
      <c r="I18" s="394">
        <f t="shared" si="3"/>
        <v>1016085996.3</v>
      </c>
      <c r="J18" s="394">
        <f t="shared" si="3"/>
        <v>1020262571.35</v>
      </c>
      <c r="K18" s="394">
        <f t="shared" si="3"/>
        <v>1028338791.0700001</v>
      </c>
      <c r="L18" s="394">
        <f t="shared" si="3"/>
        <v>1033295992.8</v>
      </c>
      <c r="M18" s="394">
        <f t="shared" si="3"/>
        <v>1041258076.37</v>
      </c>
      <c r="N18" s="394">
        <f t="shared" si="3"/>
        <v>1048268269.9200001</v>
      </c>
      <c r="O18" s="394">
        <f t="shared" si="3"/>
        <v>1056156422.5100001</v>
      </c>
      <c r="P18" s="394">
        <f t="shared" si="3"/>
        <v>1068496507</v>
      </c>
      <c r="Q18" s="394">
        <f t="shared" si="3"/>
        <v>1077476417.55</v>
      </c>
      <c r="R18" s="394">
        <f t="shared" si="3"/>
        <v>1090080951.3899999</v>
      </c>
      <c r="S18" s="620">
        <f t="shared" si="3"/>
        <v>1090080951.3899999</v>
      </c>
      <c r="T18" s="773"/>
      <c r="U18" s="383"/>
      <c r="V18" s="383"/>
      <c r="W18" s="383"/>
      <c r="X18" s="393"/>
      <c r="Y18" s="383"/>
      <c r="Z18" s="383"/>
      <c r="AA18" s="383"/>
      <c r="AB18" s="383"/>
      <c r="AC18" s="773"/>
      <c r="AD18" s="773"/>
      <c r="AE18" s="773"/>
      <c r="AF18" s="781">
        <f t="shared" si="0"/>
        <v>0</v>
      </c>
    </row>
    <row r="19" spans="1:32">
      <c r="A19" s="779">
        <f t="shared" si="2"/>
        <v>5</v>
      </c>
      <c r="B19" s="779"/>
      <c r="C19" s="779"/>
      <c r="D19" s="779"/>
      <c r="E19" s="777"/>
      <c r="F19" s="396"/>
      <c r="G19" s="629"/>
      <c r="H19" s="768"/>
      <c r="I19" s="768"/>
      <c r="J19" s="398"/>
      <c r="K19" s="772"/>
      <c r="L19" s="400"/>
      <c r="M19" s="401"/>
      <c r="N19" s="402"/>
      <c r="O19" s="403"/>
      <c r="P19" s="404"/>
      <c r="Q19" s="630"/>
      <c r="R19" s="396"/>
      <c r="S19" s="392"/>
      <c r="T19" s="773"/>
      <c r="U19" s="383"/>
      <c r="V19" s="383"/>
      <c r="W19" s="383"/>
      <c r="X19" s="393"/>
      <c r="Y19" s="383"/>
      <c r="Z19" s="383"/>
      <c r="AA19" s="383"/>
      <c r="AB19" s="383"/>
      <c r="AC19" s="773"/>
      <c r="AD19" s="773"/>
      <c r="AE19" s="773"/>
      <c r="AF19" s="781">
        <f t="shared" si="0"/>
        <v>0</v>
      </c>
    </row>
    <row r="20" spans="1:32">
      <c r="A20" s="779">
        <f t="shared" si="2"/>
        <v>6</v>
      </c>
      <c r="B20" s="423" t="s">
        <v>1063</v>
      </c>
      <c r="C20" s="423" t="s">
        <v>389</v>
      </c>
      <c r="D20" s="423" t="s">
        <v>390</v>
      </c>
      <c r="E20" s="764" t="s">
        <v>391</v>
      </c>
      <c r="F20" s="778">
        <v>1304185.71</v>
      </c>
      <c r="G20" s="778">
        <v>1361456.93</v>
      </c>
      <c r="H20" s="778">
        <v>2470006.59</v>
      </c>
      <c r="I20" s="778">
        <v>2890499.7</v>
      </c>
      <c r="J20" s="778">
        <v>2916076.74</v>
      </c>
      <c r="K20" s="778">
        <v>2595455.38</v>
      </c>
      <c r="L20" s="778">
        <v>2112426.61</v>
      </c>
      <c r="M20" s="778">
        <v>1516892.97</v>
      </c>
      <c r="N20" s="778">
        <v>1900343.43</v>
      </c>
      <c r="O20" s="778">
        <v>1929091.96</v>
      </c>
      <c r="P20" s="778">
        <v>2080763.68</v>
      </c>
      <c r="Q20" s="778">
        <v>2130353.02</v>
      </c>
      <c r="R20" s="778">
        <v>205126.12</v>
      </c>
      <c r="S20" s="618">
        <f t="shared" ref="S20:S23" si="4">+R20</f>
        <v>205126.12</v>
      </c>
      <c r="T20" s="773"/>
      <c r="U20" s="383"/>
      <c r="V20" s="383"/>
      <c r="W20" s="383"/>
      <c r="X20" s="393">
        <f>+S20</f>
        <v>205126.12</v>
      </c>
      <c r="Y20" s="383">
        <f>+AA20*Z7</f>
        <v>153536.90082000001</v>
      </c>
      <c r="Z20" s="383">
        <f>+X20-Y20</f>
        <v>51589.219179999985</v>
      </c>
      <c r="AA20" s="383">
        <f>+S20</f>
        <v>205126.12</v>
      </c>
      <c r="AB20" s="383"/>
      <c r="AC20" s="773"/>
      <c r="AD20" s="773"/>
      <c r="AE20" s="773"/>
      <c r="AF20" s="781">
        <f t="shared" si="0"/>
        <v>0</v>
      </c>
    </row>
    <row r="21" spans="1:32">
      <c r="A21" s="779">
        <f t="shared" si="2"/>
        <v>7</v>
      </c>
      <c r="B21" s="423" t="s">
        <v>1063</v>
      </c>
      <c r="C21" s="423" t="s">
        <v>389</v>
      </c>
      <c r="D21" s="423"/>
      <c r="E21" s="777" t="s">
        <v>392</v>
      </c>
      <c r="F21" s="778">
        <v>-326996779.68000001</v>
      </c>
      <c r="G21" s="778">
        <v>-327454425.81</v>
      </c>
      <c r="H21" s="778">
        <v>-330025838.31</v>
      </c>
      <c r="I21" s="778">
        <v>-330860579.06999999</v>
      </c>
      <c r="J21" s="778">
        <v>-330925264.75999999</v>
      </c>
      <c r="K21" s="778">
        <v>-332293772.66000003</v>
      </c>
      <c r="L21" s="778">
        <v>-333062091.58999997</v>
      </c>
      <c r="M21" s="778">
        <v>-334736388.06</v>
      </c>
      <c r="N21" s="778">
        <v>-335604241.25</v>
      </c>
      <c r="O21" s="778">
        <v>-337244544.37</v>
      </c>
      <c r="P21" s="778">
        <v>-338523698.99000001</v>
      </c>
      <c r="Q21" s="778">
        <v>-340190998</v>
      </c>
      <c r="R21" s="778">
        <v>-333307309.50999999</v>
      </c>
      <c r="S21" s="618">
        <f t="shared" si="4"/>
        <v>-333307309.50999999</v>
      </c>
      <c r="T21" s="773"/>
      <c r="U21" s="383"/>
      <c r="V21" s="383"/>
      <c r="W21" s="383"/>
      <c r="X21" s="393"/>
      <c r="Y21" s="383"/>
      <c r="Z21" s="383"/>
      <c r="AA21" s="383"/>
      <c r="AB21" s="383"/>
      <c r="AC21" s="773"/>
      <c r="AD21" s="773"/>
      <c r="AE21" s="773"/>
      <c r="AF21" s="781">
        <f t="shared" si="0"/>
        <v>0</v>
      </c>
    </row>
    <row r="22" spans="1:32">
      <c r="A22" s="779">
        <f t="shared" si="2"/>
        <v>8</v>
      </c>
      <c r="B22" s="423" t="s">
        <v>1063</v>
      </c>
      <c r="C22" s="423" t="s">
        <v>393</v>
      </c>
      <c r="D22" s="423"/>
      <c r="E22" s="777" t="s">
        <v>394</v>
      </c>
      <c r="F22" s="778">
        <v>-13839974.779999999</v>
      </c>
      <c r="G22" s="778">
        <v>-14124777.689999999</v>
      </c>
      <c r="H22" s="778">
        <v>-14409696.48</v>
      </c>
      <c r="I22" s="778">
        <v>-14694726.68</v>
      </c>
      <c r="J22" s="778">
        <v>-14979836.73</v>
      </c>
      <c r="K22" s="778">
        <v>-15264783.689999999</v>
      </c>
      <c r="L22" s="778">
        <v>-15549730.65</v>
      </c>
      <c r="M22" s="778">
        <v>-15834895.51</v>
      </c>
      <c r="N22" s="778">
        <v>-16120060.58</v>
      </c>
      <c r="O22" s="778">
        <v>-16405242.960000001</v>
      </c>
      <c r="P22" s="778">
        <v>-16690426.619999999</v>
      </c>
      <c r="Q22" s="778">
        <v>-16975611.760000002</v>
      </c>
      <c r="R22" s="778">
        <v>-17326335.18</v>
      </c>
      <c r="S22" s="618">
        <f t="shared" si="4"/>
        <v>-17326335.18</v>
      </c>
      <c r="T22" s="773"/>
      <c r="U22" s="383"/>
      <c r="V22" s="383"/>
      <c r="W22" s="383"/>
      <c r="X22" s="393"/>
      <c r="Y22" s="383"/>
      <c r="Z22" s="383"/>
      <c r="AA22" s="383"/>
      <c r="AB22" s="383"/>
      <c r="AC22" s="773"/>
      <c r="AD22" s="773"/>
      <c r="AE22" s="773"/>
      <c r="AF22" s="781">
        <f t="shared" si="0"/>
        <v>0</v>
      </c>
    </row>
    <row r="23" spans="1:32">
      <c r="A23" s="779">
        <f t="shared" si="2"/>
        <v>9</v>
      </c>
      <c r="B23" s="423" t="s">
        <v>1063</v>
      </c>
      <c r="C23" s="423" t="s">
        <v>395</v>
      </c>
      <c r="D23" s="423"/>
      <c r="E23" s="777" t="s">
        <v>396</v>
      </c>
      <c r="F23" s="405">
        <v>0</v>
      </c>
      <c r="G23" s="405">
        <v>0</v>
      </c>
      <c r="H23" s="405">
        <v>0</v>
      </c>
      <c r="I23" s="405">
        <v>0</v>
      </c>
      <c r="J23" s="405">
        <v>0</v>
      </c>
      <c r="K23" s="405">
        <v>0</v>
      </c>
      <c r="L23" s="405">
        <v>0</v>
      </c>
      <c r="M23" s="405">
        <v>0</v>
      </c>
      <c r="N23" s="405">
        <v>0</v>
      </c>
      <c r="O23" s="405">
        <v>0</v>
      </c>
      <c r="P23" s="405">
        <v>0</v>
      </c>
      <c r="Q23" s="405">
        <v>0</v>
      </c>
      <c r="R23" s="405">
        <v>0</v>
      </c>
      <c r="S23" s="618">
        <f t="shared" si="4"/>
        <v>0</v>
      </c>
      <c r="T23" s="773"/>
      <c r="U23" s="383"/>
      <c r="V23" s="383"/>
      <c r="W23" s="383"/>
      <c r="X23" s="393"/>
      <c r="Y23" s="383"/>
      <c r="Z23" s="383"/>
      <c r="AA23" s="383"/>
      <c r="AB23" s="383"/>
      <c r="AC23" s="773"/>
      <c r="AD23" s="773"/>
      <c r="AE23" s="773"/>
      <c r="AF23" s="781">
        <f t="shared" si="0"/>
        <v>0</v>
      </c>
    </row>
    <row r="24" spans="1:32">
      <c r="A24" s="779">
        <f t="shared" si="2"/>
        <v>10</v>
      </c>
      <c r="B24" s="779"/>
      <c r="C24" s="779"/>
      <c r="D24" s="779"/>
      <c r="E24" s="777" t="s">
        <v>397</v>
      </c>
      <c r="F24" s="631">
        <f>SUM(F20:F23)</f>
        <v>-339532568.75</v>
      </c>
      <c r="G24" s="631">
        <f t="shared" ref="G24:R24" si="5">SUM(G20:G23)</f>
        <v>-340217746.56999999</v>
      </c>
      <c r="H24" s="631">
        <f t="shared" si="5"/>
        <v>-341965528.20000005</v>
      </c>
      <c r="I24" s="631">
        <f t="shared" si="5"/>
        <v>-342664806.05000001</v>
      </c>
      <c r="J24" s="631">
        <f t="shared" si="5"/>
        <v>-342989024.75</v>
      </c>
      <c r="K24" s="631">
        <f t="shared" si="5"/>
        <v>-344963100.97000003</v>
      </c>
      <c r="L24" s="631">
        <f t="shared" si="5"/>
        <v>-346499395.62999994</v>
      </c>
      <c r="M24" s="631">
        <f t="shared" si="5"/>
        <v>-349054390.59999996</v>
      </c>
      <c r="N24" s="631">
        <f t="shared" si="5"/>
        <v>-349823958.39999998</v>
      </c>
      <c r="O24" s="631">
        <f t="shared" si="5"/>
        <v>-351720695.37</v>
      </c>
      <c r="P24" s="631">
        <f t="shared" si="5"/>
        <v>-353133361.93000001</v>
      </c>
      <c r="Q24" s="631">
        <f t="shared" si="5"/>
        <v>-355036256.74000001</v>
      </c>
      <c r="R24" s="631">
        <f t="shared" si="5"/>
        <v>-350428518.56999999</v>
      </c>
      <c r="S24" s="618">
        <f>SUM(S20:S23)</f>
        <v>-350428518.56999999</v>
      </c>
      <c r="T24" s="773"/>
      <c r="U24" s="383"/>
      <c r="V24" s="383"/>
      <c r="W24" s="383"/>
      <c r="X24" s="393"/>
      <c r="Y24" s="383"/>
      <c r="Z24" s="383"/>
      <c r="AA24" s="383"/>
      <c r="AB24" s="383"/>
      <c r="AC24" s="773"/>
      <c r="AD24" s="773"/>
      <c r="AE24" s="773"/>
      <c r="AF24" s="781">
        <f t="shared" si="0"/>
        <v>0</v>
      </c>
    </row>
    <row r="25" spans="1:32">
      <c r="A25" s="779">
        <f t="shared" si="2"/>
        <v>11</v>
      </c>
      <c r="B25" s="779"/>
      <c r="C25" s="779"/>
      <c r="D25" s="779"/>
      <c r="E25" s="777"/>
      <c r="F25" s="396"/>
      <c r="G25" s="629"/>
      <c r="H25" s="768"/>
      <c r="I25" s="768"/>
      <c r="J25" s="398"/>
      <c r="K25" s="772"/>
      <c r="L25" s="400"/>
      <c r="M25" s="401"/>
      <c r="N25" s="402"/>
      <c r="O25" s="403"/>
      <c r="P25" s="404"/>
      <c r="Q25" s="630"/>
      <c r="R25" s="396"/>
      <c r="S25" s="392"/>
      <c r="T25" s="773"/>
      <c r="U25" s="383"/>
      <c r="V25" s="383"/>
      <c r="W25" s="383"/>
      <c r="X25" s="393"/>
      <c r="Y25" s="383"/>
      <c r="Z25" s="383"/>
      <c r="AA25" s="383"/>
      <c r="AB25" s="383"/>
      <c r="AC25" s="773"/>
      <c r="AD25" s="773"/>
      <c r="AE25" s="773"/>
      <c r="AF25" s="781">
        <f t="shared" si="0"/>
        <v>0</v>
      </c>
    </row>
    <row r="26" spans="1:32">
      <c r="A26" s="779">
        <f t="shared" si="2"/>
        <v>12</v>
      </c>
      <c r="B26" s="423" t="s">
        <v>1063</v>
      </c>
      <c r="C26" s="423" t="s">
        <v>398</v>
      </c>
      <c r="D26" s="423"/>
      <c r="E26" s="777" t="s">
        <v>399</v>
      </c>
      <c r="F26" s="778">
        <v>-3402276.42</v>
      </c>
      <c r="G26" s="778">
        <v>-3418783.51</v>
      </c>
      <c r="H26" s="778">
        <v>-3437290.37</v>
      </c>
      <c r="I26" s="778">
        <v>-3454067.11</v>
      </c>
      <c r="J26" s="778">
        <v>-3470598.76</v>
      </c>
      <c r="K26" s="778">
        <v>-3452136.47</v>
      </c>
      <c r="L26" s="778">
        <v>-3454880.55</v>
      </c>
      <c r="M26" s="778">
        <v>-3457729.76</v>
      </c>
      <c r="N26" s="778">
        <v>-3266102.9</v>
      </c>
      <c r="O26" s="778">
        <v>-3276360.38</v>
      </c>
      <c r="P26" s="778">
        <v>-3294259.08</v>
      </c>
      <c r="Q26" s="778">
        <v>-3311778.78</v>
      </c>
      <c r="R26" s="778">
        <v>-3052834.66</v>
      </c>
      <c r="S26" s="618">
        <f t="shared" ref="S26:S27" si="6">+R26</f>
        <v>-3052834.66</v>
      </c>
      <c r="T26" s="773"/>
      <c r="U26" s="383"/>
      <c r="V26" s="383"/>
      <c r="W26" s="383"/>
      <c r="X26" s="393"/>
      <c r="Y26" s="383"/>
      <c r="Z26" s="383"/>
      <c r="AA26" s="383"/>
      <c r="AB26" s="383"/>
      <c r="AC26" s="773"/>
      <c r="AD26" s="773"/>
      <c r="AE26" s="773"/>
      <c r="AF26" s="781">
        <f t="shared" si="0"/>
        <v>0</v>
      </c>
    </row>
    <row r="27" spans="1:32">
      <c r="A27" s="779">
        <f t="shared" si="2"/>
        <v>13</v>
      </c>
      <c r="B27" s="423" t="s">
        <v>1063</v>
      </c>
      <c r="C27" s="423" t="s">
        <v>751</v>
      </c>
      <c r="D27" s="423"/>
      <c r="E27" s="778" t="s">
        <v>752</v>
      </c>
      <c r="F27" s="405">
        <v>-134206540.91</v>
      </c>
      <c r="G27" s="405">
        <v>-134643098.88</v>
      </c>
      <c r="H27" s="405">
        <v>-135132778.09</v>
      </c>
      <c r="I27" s="405">
        <v>-135518929.47</v>
      </c>
      <c r="J27" s="405">
        <v>-135813181.63999999</v>
      </c>
      <c r="K27" s="405">
        <v>-136015906.84999999</v>
      </c>
      <c r="L27" s="405">
        <v>-135780122.75</v>
      </c>
      <c r="M27" s="405">
        <v>-136242177.21000001</v>
      </c>
      <c r="N27" s="405">
        <v>-136391566.18000001</v>
      </c>
      <c r="O27" s="405">
        <v>-136761935.13999999</v>
      </c>
      <c r="P27" s="405">
        <v>-137091177.91999999</v>
      </c>
      <c r="Q27" s="405">
        <v>-137465061.97999999</v>
      </c>
      <c r="R27" s="405">
        <v>-137249402.78999999</v>
      </c>
      <c r="S27" s="618">
        <f t="shared" si="6"/>
        <v>-137249402.78999999</v>
      </c>
      <c r="T27" s="773"/>
      <c r="U27" s="383"/>
      <c r="V27" s="383"/>
      <c r="W27" s="383"/>
      <c r="X27" s="393"/>
      <c r="Y27" s="383"/>
      <c r="Z27" s="383"/>
      <c r="AA27" s="383"/>
      <c r="AB27" s="383"/>
      <c r="AC27" s="773"/>
      <c r="AD27" s="773"/>
      <c r="AE27" s="773"/>
      <c r="AF27" s="781">
        <f t="shared" si="0"/>
        <v>0</v>
      </c>
    </row>
    <row r="28" spans="1:32">
      <c r="A28" s="779">
        <f t="shared" si="2"/>
        <v>14</v>
      </c>
      <c r="B28" s="779"/>
      <c r="C28" s="779"/>
      <c r="D28" s="779"/>
      <c r="E28" s="777" t="s">
        <v>400</v>
      </c>
      <c r="F28" s="632">
        <f>+F26+F27</f>
        <v>-137608817.32999998</v>
      </c>
      <c r="G28" s="632">
        <f t="shared" ref="G28:R28" si="7">+G26+G27</f>
        <v>-138061882.38999999</v>
      </c>
      <c r="H28" s="632">
        <f t="shared" si="7"/>
        <v>-138570068.46000001</v>
      </c>
      <c r="I28" s="632">
        <f t="shared" si="7"/>
        <v>-138972996.58000001</v>
      </c>
      <c r="J28" s="632">
        <f t="shared" si="7"/>
        <v>-139283780.39999998</v>
      </c>
      <c r="K28" s="632">
        <f t="shared" si="7"/>
        <v>-139468043.31999999</v>
      </c>
      <c r="L28" s="632">
        <f t="shared" si="7"/>
        <v>-139235003.30000001</v>
      </c>
      <c r="M28" s="632">
        <f t="shared" si="7"/>
        <v>-139699906.97</v>
      </c>
      <c r="N28" s="632">
        <f t="shared" si="7"/>
        <v>-139657669.08000001</v>
      </c>
      <c r="O28" s="632">
        <f t="shared" si="7"/>
        <v>-140038295.51999998</v>
      </c>
      <c r="P28" s="632">
        <f t="shared" si="7"/>
        <v>-140385437</v>
      </c>
      <c r="Q28" s="632">
        <f t="shared" si="7"/>
        <v>-140776840.75999999</v>
      </c>
      <c r="R28" s="632">
        <f t="shared" si="7"/>
        <v>-140302237.44999999</v>
      </c>
      <c r="S28" s="633">
        <f>+S26+S27</f>
        <v>-140302237.44999999</v>
      </c>
      <c r="T28" s="773"/>
      <c r="U28" s="383"/>
      <c r="V28" s="383"/>
      <c r="W28" s="383"/>
      <c r="X28" s="393"/>
      <c r="Y28" s="383"/>
      <c r="Z28" s="383"/>
      <c r="AA28" s="383"/>
      <c r="AB28" s="383"/>
      <c r="AC28" s="773"/>
      <c r="AD28" s="773"/>
      <c r="AE28" s="773"/>
      <c r="AF28" s="781">
        <f t="shared" si="0"/>
        <v>0</v>
      </c>
    </row>
    <row r="29" spans="1:32">
      <c r="A29" s="779">
        <f t="shared" si="2"/>
        <v>15</v>
      </c>
      <c r="B29" s="779"/>
      <c r="C29" s="779"/>
      <c r="D29" s="779"/>
      <c r="E29" s="777"/>
      <c r="F29" s="396"/>
      <c r="G29" s="629"/>
      <c r="H29" s="768"/>
      <c r="I29" s="768"/>
      <c r="J29" s="398"/>
      <c r="K29" s="772"/>
      <c r="L29" s="400"/>
      <c r="M29" s="401"/>
      <c r="N29" s="402"/>
      <c r="O29" s="403"/>
      <c r="P29" s="404"/>
      <c r="Q29" s="630"/>
      <c r="R29" s="396"/>
      <c r="S29" s="392"/>
      <c r="T29" s="773"/>
      <c r="U29" s="383"/>
      <c r="V29" s="383"/>
      <c r="W29" s="383"/>
      <c r="X29" s="393"/>
      <c r="Y29" s="383"/>
      <c r="Z29" s="383"/>
      <c r="AA29" s="383"/>
      <c r="AB29" s="383"/>
      <c r="AC29" s="773"/>
      <c r="AD29" s="773"/>
      <c r="AE29" s="773"/>
      <c r="AF29" s="781">
        <f t="shared" si="0"/>
        <v>0</v>
      </c>
    </row>
    <row r="30" spans="1:32">
      <c r="A30" s="779">
        <f t="shared" si="2"/>
        <v>16</v>
      </c>
      <c r="B30" s="779"/>
      <c r="C30" s="779"/>
      <c r="D30" s="779"/>
      <c r="E30" s="777" t="s">
        <v>401</v>
      </c>
      <c r="F30" s="634">
        <f>+F28+F24</f>
        <v>-477141386.07999998</v>
      </c>
      <c r="G30" s="634">
        <f t="shared" ref="G30:R30" si="8">+G28+G24</f>
        <v>-478279628.95999998</v>
      </c>
      <c r="H30" s="634">
        <f t="shared" si="8"/>
        <v>-480535596.66000009</v>
      </c>
      <c r="I30" s="634">
        <f t="shared" si="8"/>
        <v>-481637802.63</v>
      </c>
      <c r="J30" s="634">
        <f t="shared" si="8"/>
        <v>-482272805.14999998</v>
      </c>
      <c r="K30" s="634">
        <f t="shared" si="8"/>
        <v>-484431144.29000002</v>
      </c>
      <c r="L30" s="634">
        <f t="shared" si="8"/>
        <v>-485734398.92999995</v>
      </c>
      <c r="M30" s="634">
        <f t="shared" si="8"/>
        <v>-488754297.56999993</v>
      </c>
      <c r="N30" s="634">
        <f t="shared" si="8"/>
        <v>-489481627.48000002</v>
      </c>
      <c r="O30" s="634">
        <f t="shared" si="8"/>
        <v>-491758990.88999999</v>
      </c>
      <c r="P30" s="634">
        <f t="shared" si="8"/>
        <v>-493518798.93000001</v>
      </c>
      <c r="Q30" s="634">
        <f t="shared" si="8"/>
        <v>-495813097.5</v>
      </c>
      <c r="R30" s="634">
        <f t="shared" si="8"/>
        <v>-490730756.01999998</v>
      </c>
      <c r="S30" s="619">
        <f>+S28+S24</f>
        <v>-490730756.01999998</v>
      </c>
      <c r="T30" s="773"/>
      <c r="U30" s="383"/>
      <c r="V30" s="383"/>
      <c r="W30" s="383"/>
      <c r="X30" s="393">
        <f>+S30-S20</f>
        <v>-490935882.13999999</v>
      </c>
      <c r="Y30" s="424">
        <f>-'Plant in Serv &amp; Accum Depr'!AD165</f>
        <v>-381207641.80520397</v>
      </c>
      <c r="Z30" s="424">
        <f>+S30-S20-Y30</f>
        <v>-109728240.33479601</v>
      </c>
      <c r="AA30" s="383"/>
      <c r="AB30" s="383"/>
      <c r="AC30" s="773"/>
      <c r="AD30" s="773"/>
      <c r="AE30" s="773" t="s">
        <v>1727</v>
      </c>
      <c r="AF30" s="781">
        <f t="shared" si="0"/>
        <v>0</v>
      </c>
    </row>
    <row r="31" spans="1:32">
      <c r="A31" s="779">
        <f t="shared" si="2"/>
        <v>17</v>
      </c>
      <c r="B31" s="779"/>
      <c r="C31" s="779"/>
      <c r="D31" s="779"/>
      <c r="E31" s="763"/>
      <c r="F31" s="635"/>
      <c r="G31" s="636"/>
      <c r="H31" s="637"/>
      <c r="I31" s="637"/>
      <c r="J31" s="638"/>
      <c r="K31" s="639"/>
      <c r="L31" s="640"/>
      <c r="M31" s="641"/>
      <c r="N31" s="642"/>
      <c r="O31" s="643"/>
      <c r="P31" s="644"/>
      <c r="Q31" s="645"/>
      <c r="R31" s="635"/>
      <c r="S31" s="392"/>
      <c r="T31" s="773"/>
      <c r="U31" s="383"/>
      <c r="V31" s="383"/>
      <c r="W31" s="383"/>
      <c r="X31" s="393"/>
      <c r="Y31" s="383"/>
      <c r="Z31" s="383"/>
      <c r="AA31" s="383"/>
      <c r="AB31" s="383"/>
      <c r="AC31" s="773"/>
      <c r="AD31" s="773"/>
      <c r="AE31" s="773"/>
      <c r="AF31" s="781">
        <f t="shared" si="0"/>
        <v>0</v>
      </c>
    </row>
    <row r="32" spans="1:32">
      <c r="A32" s="779">
        <f t="shared" si="2"/>
        <v>18</v>
      </c>
      <c r="B32" s="779"/>
      <c r="C32" s="779"/>
      <c r="D32" s="779"/>
      <c r="E32" s="763" t="s">
        <v>402</v>
      </c>
      <c r="F32" s="646">
        <f>+F18+F30</f>
        <v>528954899.59999996</v>
      </c>
      <c r="G32" s="646">
        <f t="shared" ref="G32:S32" si="9">+G18+G30</f>
        <v>531217212.64000005</v>
      </c>
      <c r="H32" s="646">
        <f t="shared" si="9"/>
        <v>532933459.20999992</v>
      </c>
      <c r="I32" s="646">
        <f t="shared" si="9"/>
        <v>534448193.66999996</v>
      </c>
      <c r="J32" s="646">
        <f t="shared" si="9"/>
        <v>537989766.20000005</v>
      </c>
      <c r="K32" s="646">
        <f t="shared" si="9"/>
        <v>543907646.77999997</v>
      </c>
      <c r="L32" s="646">
        <f t="shared" si="9"/>
        <v>547561593.87</v>
      </c>
      <c r="M32" s="646">
        <f t="shared" si="9"/>
        <v>552503778.80000007</v>
      </c>
      <c r="N32" s="646">
        <f t="shared" si="9"/>
        <v>558786642.44000006</v>
      </c>
      <c r="O32" s="646">
        <f t="shared" si="9"/>
        <v>564397431.62000012</v>
      </c>
      <c r="P32" s="646">
        <f t="shared" si="9"/>
        <v>574977708.06999993</v>
      </c>
      <c r="Q32" s="646">
        <f t="shared" si="9"/>
        <v>581663320.04999995</v>
      </c>
      <c r="R32" s="646">
        <f t="shared" si="9"/>
        <v>599350195.36999989</v>
      </c>
      <c r="S32" s="618">
        <f t="shared" si="9"/>
        <v>599350195.36999989</v>
      </c>
      <c r="T32" s="773"/>
      <c r="U32" s="383"/>
      <c r="V32" s="383"/>
      <c r="W32" s="383"/>
      <c r="X32" s="393"/>
      <c r="Y32" s="383"/>
      <c r="Z32" s="383"/>
      <c r="AA32" s="383"/>
      <c r="AB32" s="383"/>
      <c r="AC32" s="773"/>
      <c r="AD32" s="773"/>
      <c r="AE32" s="773"/>
      <c r="AF32" s="781">
        <f t="shared" si="0"/>
        <v>0</v>
      </c>
    </row>
    <row r="33" spans="1:32">
      <c r="A33" s="779">
        <f t="shared" si="2"/>
        <v>19</v>
      </c>
      <c r="B33" s="779"/>
      <c r="C33" s="779"/>
      <c r="D33" s="779"/>
      <c r="E33" s="763"/>
      <c r="F33" s="396"/>
      <c r="G33" s="629"/>
      <c r="H33" s="768"/>
      <c r="I33" s="768"/>
      <c r="J33" s="398"/>
      <c r="K33" s="772"/>
      <c r="L33" s="400"/>
      <c r="M33" s="401"/>
      <c r="N33" s="402"/>
      <c r="O33" s="403"/>
      <c r="P33" s="404"/>
      <c r="Q33" s="630"/>
      <c r="R33" s="396"/>
      <c r="S33" s="392"/>
      <c r="T33" s="773"/>
      <c r="U33" s="383"/>
      <c r="V33" s="383"/>
      <c r="W33" s="383"/>
      <c r="X33" s="393"/>
      <c r="Y33" s="383"/>
      <c r="Z33" s="383"/>
      <c r="AA33" s="383"/>
      <c r="AB33" s="383"/>
      <c r="AC33" s="773"/>
      <c r="AD33" s="773"/>
      <c r="AE33" s="773"/>
      <c r="AF33" s="781">
        <f t="shared" si="0"/>
        <v>0</v>
      </c>
    </row>
    <row r="34" spans="1:32">
      <c r="A34" s="779">
        <f t="shared" si="2"/>
        <v>20</v>
      </c>
      <c r="B34" s="423" t="s">
        <v>1063</v>
      </c>
      <c r="C34" s="423" t="s">
        <v>403</v>
      </c>
      <c r="D34" s="423"/>
      <c r="E34" s="777" t="s">
        <v>404</v>
      </c>
      <c r="F34" s="405">
        <v>0</v>
      </c>
      <c r="G34" s="405">
        <v>0</v>
      </c>
      <c r="H34" s="405">
        <v>0</v>
      </c>
      <c r="I34" s="405">
        <v>0</v>
      </c>
      <c r="J34" s="405">
        <v>0</v>
      </c>
      <c r="K34" s="405">
        <v>0</v>
      </c>
      <c r="L34" s="405">
        <v>0</v>
      </c>
      <c r="M34" s="405">
        <v>0</v>
      </c>
      <c r="N34" s="405">
        <v>0</v>
      </c>
      <c r="O34" s="405">
        <v>0</v>
      </c>
      <c r="P34" s="405">
        <v>0</v>
      </c>
      <c r="Q34" s="405">
        <v>0</v>
      </c>
      <c r="R34" s="405">
        <v>0</v>
      </c>
      <c r="S34" s="618">
        <f t="shared" ref="S34:S41" si="10">+R34</f>
        <v>0</v>
      </c>
      <c r="T34" s="773"/>
      <c r="U34" s="383">
        <f>+S34</f>
        <v>0</v>
      </c>
      <c r="V34" s="383"/>
      <c r="W34" s="383"/>
      <c r="X34" s="393"/>
      <c r="Y34" s="383"/>
      <c r="Z34" s="383"/>
      <c r="AA34" s="383"/>
      <c r="AB34" s="383"/>
      <c r="AC34" s="773"/>
      <c r="AD34" s="773"/>
      <c r="AE34" s="773"/>
      <c r="AF34" s="781">
        <f t="shared" si="0"/>
        <v>0</v>
      </c>
    </row>
    <row r="35" spans="1:32">
      <c r="A35" s="779">
        <f t="shared" si="2"/>
        <v>21</v>
      </c>
      <c r="B35" s="779"/>
      <c r="C35" s="779"/>
      <c r="D35" s="779"/>
      <c r="E35" s="763" t="s">
        <v>405</v>
      </c>
      <c r="F35" s="394">
        <f>+F34</f>
        <v>0</v>
      </c>
      <c r="G35" s="647">
        <v>0</v>
      </c>
      <c r="H35" s="648">
        <v>0</v>
      </c>
      <c r="I35" s="648">
        <v>0</v>
      </c>
      <c r="J35" s="649">
        <v>0</v>
      </c>
      <c r="K35" s="650">
        <v>0</v>
      </c>
      <c r="L35" s="651">
        <v>0</v>
      </c>
      <c r="M35" s="652">
        <v>0</v>
      </c>
      <c r="N35" s="653">
        <v>0</v>
      </c>
      <c r="O35" s="654">
        <v>0</v>
      </c>
      <c r="P35" s="655">
        <v>0</v>
      </c>
      <c r="Q35" s="656">
        <v>0</v>
      </c>
      <c r="R35" s="394">
        <v>0</v>
      </c>
      <c r="S35" s="618">
        <f t="shared" si="10"/>
        <v>0</v>
      </c>
      <c r="T35" s="773"/>
      <c r="U35" s="383"/>
      <c r="V35" s="383"/>
      <c r="W35" s="383"/>
      <c r="X35" s="393"/>
      <c r="Y35" s="383"/>
      <c r="Z35" s="383"/>
      <c r="AA35" s="383"/>
      <c r="AB35" s="383"/>
      <c r="AC35" s="773"/>
      <c r="AD35" s="773"/>
      <c r="AE35" s="773"/>
      <c r="AF35" s="781">
        <f t="shared" si="0"/>
        <v>0</v>
      </c>
    </row>
    <row r="36" spans="1:32">
      <c r="A36" s="779">
        <f t="shared" si="2"/>
        <v>22</v>
      </c>
      <c r="B36" s="779"/>
      <c r="C36" s="779"/>
      <c r="D36" s="779"/>
      <c r="E36" s="763"/>
      <c r="F36" s="778"/>
      <c r="G36" s="407"/>
      <c r="H36" s="408"/>
      <c r="I36" s="408"/>
      <c r="J36" s="409"/>
      <c r="K36" s="410"/>
      <c r="L36" s="411"/>
      <c r="M36" s="412"/>
      <c r="N36" s="413"/>
      <c r="O36" s="764"/>
      <c r="P36" s="415"/>
      <c r="Q36" s="416"/>
      <c r="R36" s="778"/>
      <c r="S36" s="618">
        <f t="shared" si="10"/>
        <v>0</v>
      </c>
      <c r="T36" s="773"/>
      <c r="U36" s="383"/>
      <c r="V36" s="383"/>
      <c r="W36" s="383"/>
      <c r="X36" s="393"/>
      <c r="Y36" s="383"/>
      <c r="Z36" s="383"/>
      <c r="AA36" s="383"/>
      <c r="AB36" s="383"/>
      <c r="AC36" s="773"/>
      <c r="AD36" s="773"/>
      <c r="AE36" s="773"/>
      <c r="AF36" s="781">
        <f t="shared" si="0"/>
        <v>0</v>
      </c>
    </row>
    <row r="37" spans="1:32">
      <c r="A37" s="779">
        <f t="shared" si="2"/>
        <v>23</v>
      </c>
      <c r="B37" s="423" t="s">
        <v>1063</v>
      </c>
      <c r="C37" s="423" t="s">
        <v>1217</v>
      </c>
      <c r="D37" s="423" t="s">
        <v>472</v>
      </c>
      <c r="E37" s="777" t="s">
        <v>1778</v>
      </c>
      <c r="F37" s="778">
        <v>148792.91</v>
      </c>
      <c r="G37" s="778">
        <v>148939.26</v>
      </c>
      <c r="H37" s="778">
        <v>149076.48000000001</v>
      </c>
      <c r="I37" s="778">
        <v>1624913.09</v>
      </c>
      <c r="J37" s="778">
        <v>1626921.7</v>
      </c>
      <c r="K37" s="778">
        <v>1629103.54</v>
      </c>
      <c r="L37" s="778">
        <v>1631367.96</v>
      </c>
      <c r="M37" s="778">
        <v>1633821.98</v>
      </c>
      <c r="N37" s="778">
        <v>1636307.08</v>
      </c>
      <c r="O37" s="778">
        <v>1603384.25</v>
      </c>
      <c r="P37" s="778">
        <v>1616117.41</v>
      </c>
      <c r="Q37" s="778">
        <v>1644345.36</v>
      </c>
      <c r="R37" s="778">
        <v>1647363.37</v>
      </c>
      <c r="S37" s="618">
        <f t="shared" si="10"/>
        <v>1647363.37</v>
      </c>
      <c r="T37" s="773"/>
      <c r="U37" s="383"/>
      <c r="V37" s="383"/>
      <c r="W37" s="383"/>
      <c r="X37" s="393">
        <f>+S37</f>
        <v>1647363.37</v>
      </c>
      <c r="Y37" s="383"/>
      <c r="Z37" s="383"/>
      <c r="AA37" s="383"/>
      <c r="AB37" s="383">
        <f>+S37</f>
        <v>1647363.37</v>
      </c>
      <c r="AC37" s="773"/>
      <c r="AD37" s="773"/>
      <c r="AE37" s="773"/>
      <c r="AF37" s="781">
        <f t="shared" si="0"/>
        <v>0</v>
      </c>
    </row>
    <row r="38" spans="1:32">
      <c r="A38" s="779">
        <f t="shared" si="2"/>
        <v>24</v>
      </c>
      <c r="B38" s="423" t="s">
        <v>1063</v>
      </c>
      <c r="C38" s="423" t="s">
        <v>1217</v>
      </c>
      <c r="D38" s="423" t="s">
        <v>459</v>
      </c>
      <c r="E38" s="777" t="s">
        <v>1779</v>
      </c>
      <c r="F38" s="778">
        <v>11390212.779999999</v>
      </c>
      <c r="G38" s="778">
        <v>11455629.17</v>
      </c>
      <c r="H38" s="778">
        <v>11360583.09</v>
      </c>
      <c r="I38" s="778">
        <v>10541477.949999999</v>
      </c>
      <c r="J38" s="778">
        <v>10527536.859999999</v>
      </c>
      <c r="K38" s="778">
        <v>10595275.92</v>
      </c>
      <c r="L38" s="778">
        <v>10639794.699999999</v>
      </c>
      <c r="M38" s="778">
        <v>10671743.66</v>
      </c>
      <c r="N38" s="778">
        <v>10761004.279999999</v>
      </c>
      <c r="O38" s="778">
        <v>10880511.43</v>
      </c>
      <c r="P38" s="778">
        <v>10656799.140000001</v>
      </c>
      <c r="Q38" s="778">
        <v>10673596.33</v>
      </c>
      <c r="R38" s="778">
        <v>10584814.859999999</v>
      </c>
      <c r="S38" s="618">
        <f t="shared" si="10"/>
        <v>10584814.859999999</v>
      </c>
      <c r="T38" s="773"/>
      <c r="U38" s="383"/>
      <c r="V38" s="383"/>
      <c r="W38" s="383"/>
      <c r="X38" s="393">
        <f>+S38</f>
        <v>10584814.859999999</v>
      </c>
      <c r="Y38" s="383"/>
      <c r="Z38" s="383"/>
      <c r="AA38" s="383"/>
      <c r="AB38" s="383">
        <f>+S38</f>
        <v>10584814.859999999</v>
      </c>
      <c r="AC38" s="773"/>
      <c r="AD38" s="773"/>
      <c r="AE38" s="773"/>
      <c r="AF38" s="781">
        <f t="shared" si="0"/>
        <v>0</v>
      </c>
    </row>
    <row r="39" spans="1:32">
      <c r="A39" s="779">
        <f t="shared" si="2"/>
        <v>25</v>
      </c>
      <c r="B39" s="423" t="s">
        <v>1063</v>
      </c>
      <c r="C39" s="423" t="s">
        <v>1217</v>
      </c>
      <c r="D39" s="423" t="s">
        <v>506</v>
      </c>
      <c r="E39" s="777" t="s">
        <v>1780</v>
      </c>
      <c r="F39" s="778">
        <v>153632.07999999999</v>
      </c>
      <c r="G39" s="778">
        <v>157143.48000000001</v>
      </c>
      <c r="H39" s="778">
        <v>150124.17000000001</v>
      </c>
      <c r="I39" s="778">
        <v>148310.60999999999</v>
      </c>
      <c r="J39" s="778">
        <v>148835.67000000001</v>
      </c>
      <c r="K39" s="778">
        <v>151047.26</v>
      </c>
      <c r="L39" s="778">
        <v>149968.1</v>
      </c>
      <c r="M39" s="778">
        <v>152978.67000000001</v>
      </c>
      <c r="N39" s="778">
        <v>154757.26</v>
      </c>
      <c r="O39" s="778">
        <v>154483.79999999999</v>
      </c>
      <c r="P39" s="778">
        <v>144731.20000000001</v>
      </c>
      <c r="Q39" s="778">
        <v>144980.03</v>
      </c>
      <c r="R39" s="778">
        <v>139136.91</v>
      </c>
      <c r="S39" s="618">
        <f t="shared" si="10"/>
        <v>139136.91</v>
      </c>
      <c r="T39" s="773"/>
      <c r="U39" s="383"/>
      <c r="V39" s="383"/>
      <c r="W39" s="383"/>
      <c r="X39" s="393">
        <f>+S39</f>
        <v>139136.91</v>
      </c>
      <c r="Y39" s="383"/>
      <c r="Z39" s="383"/>
      <c r="AA39" s="383"/>
      <c r="AB39" s="383">
        <f>+S39</f>
        <v>139136.91</v>
      </c>
      <c r="AC39" s="773"/>
      <c r="AD39" s="773"/>
      <c r="AE39" s="773"/>
      <c r="AF39" s="781">
        <f t="shared" si="0"/>
        <v>0</v>
      </c>
    </row>
    <row r="40" spans="1:32">
      <c r="A40" s="779">
        <f t="shared" si="2"/>
        <v>26</v>
      </c>
      <c r="B40" s="423" t="s">
        <v>1063</v>
      </c>
      <c r="C40" s="423" t="s">
        <v>406</v>
      </c>
      <c r="D40" s="423"/>
      <c r="E40" s="777" t="s">
        <v>407</v>
      </c>
      <c r="F40" s="778">
        <v>202030.18</v>
      </c>
      <c r="G40" s="778">
        <v>202030.18</v>
      </c>
      <c r="H40" s="778">
        <v>202030.18</v>
      </c>
      <c r="I40" s="778">
        <v>202030.18</v>
      </c>
      <c r="J40" s="778">
        <v>202030.18</v>
      </c>
      <c r="K40" s="778">
        <v>202030.18</v>
      </c>
      <c r="L40" s="778">
        <v>202030.18</v>
      </c>
      <c r="M40" s="778">
        <v>202030.18</v>
      </c>
      <c r="N40" s="778">
        <v>202030.18</v>
      </c>
      <c r="O40" s="778">
        <v>202030.18</v>
      </c>
      <c r="P40" s="778">
        <v>202030.18</v>
      </c>
      <c r="Q40" s="778">
        <v>202030.18</v>
      </c>
      <c r="R40" s="778">
        <v>202030.18</v>
      </c>
      <c r="S40" s="618">
        <f t="shared" si="10"/>
        <v>202030.18</v>
      </c>
      <c r="T40" s="773"/>
      <c r="U40" s="383"/>
      <c r="V40" s="383"/>
      <c r="W40" s="383"/>
      <c r="X40" s="393">
        <f>+S40</f>
        <v>202030.18</v>
      </c>
      <c r="Y40" s="383"/>
      <c r="Z40" s="383"/>
      <c r="AA40" s="383"/>
      <c r="AB40" s="383">
        <f>+S40</f>
        <v>202030.18</v>
      </c>
      <c r="AC40" s="773"/>
      <c r="AD40" s="773"/>
      <c r="AE40" s="773"/>
      <c r="AF40" s="781">
        <f t="shared" si="0"/>
        <v>0</v>
      </c>
    </row>
    <row r="41" spans="1:32">
      <c r="A41" s="779">
        <f t="shared" si="2"/>
        <v>27</v>
      </c>
      <c r="B41" s="423" t="s">
        <v>1063</v>
      </c>
      <c r="C41" s="423" t="s">
        <v>408</v>
      </c>
      <c r="D41" s="423"/>
      <c r="E41" s="777" t="s">
        <v>409</v>
      </c>
      <c r="F41" s="405">
        <v>0</v>
      </c>
      <c r="G41" s="405">
        <v>0</v>
      </c>
      <c r="H41" s="405">
        <v>0</v>
      </c>
      <c r="I41" s="405">
        <v>0</v>
      </c>
      <c r="J41" s="405">
        <v>0</v>
      </c>
      <c r="K41" s="405">
        <v>0</v>
      </c>
      <c r="L41" s="405">
        <v>0</v>
      </c>
      <c r="M41" s="405">
        <v>0</v>
      </c>
      <c r="N41" s="405">
        <v>0</v>
      </c>
      <c r="O41" s="405">
        <v>0</v>
      </c>
      <c r="P41" s="405">
        <v>0</v>
      </c>
      <c r="Q41" s="405">
        <v>0</v>
      </c>
      <c r="R41" s="405">
        <v>0</v>
      </c>
      <c r="S41" s="618">
        <f t="shared" si="10"/>
        <v>0</v>
      </c>
      <c r="T41" s="773"/>
      <c r="U41" s="383">
        <f t="shared" ref="U41" si="11">+S41</f>
        <v>0</v>
      </c>
      <c r="V41" s="383"/>
      <c r="W41" s="383"/>
      <c r="X41" s="393"/>
      <c r="Y41" s="383"/>
      <c r="Z41" s="383"/>
      <c r="AA41" s="383"/>
      <c r="AB41" s="383">
        <f>+S41</f>
        <v>0</v>
      </c>
      <c r="AC41" s="773"/>
      <c r="AD41" s="773"/>
      <c r="AE41" s="773"/>
      <c r="AF41" s="781">
        <f t="shared" si="0"/>
        <v>0</v>
      </c>
    </row>
    <row r="42" spans="1:32">
      <c r="A42" s="779">
        <f t="shared" si="2"/>
        <v>28</v>
      </c>
      <c r="B42" s="779"/>
      <c r="C42" s="779"/>
      <c r="D42" s="779"/>
      <c r="E42" s="763" t="s">
        <v>410</v>
      </c>
      <c r="F42" s="394">
        <f t="shared" ref="F42:S42" si="12">SUM(F37:F41)</f>
        <v>11894667.949999999</v>
      </c>
      <c r="G42" s="394">
        <f t="shared" si="12"/>
        <v>11963742.09</v>
      </c>
      <c r="H42" s="394">
        <f t="shared" si="12"/>
        <v>11861813.92</v>
      </c>
      <c r="I42" s="394">
        <f t="shared" si="12"/>
        <v>12516731.829999998</v>
      </c>
      <c r="J42" s="394">
        <f t="shared" si="12"/>
        <v>12505324.409999998</v>
      </c>
      <c r="K42" s="394">
        <f t="shared" si="12"/>
        <v>12577456.9</v>
      </c>
      <c r="L42" s="394">
        <f t="shared" si="12"/>
        <v>12623160.939999999</v>
      </c>
      <c r="M42" s="394">
        <f t="shared" si="12"/>
        <v>12660574.49</v>
      </c>
      <c r="N42" s="394">
        <f t="shared" si="12"/>
        <v>12754098.799999999</v>
      </c>
      <c r="O42" s="394">
        <f t="shared" si="12"/>
        <v>12840409.66</v>
      </c>
      <c r="P42" s="394">
        <f t="shared" si="12"/>
        <v>12619677.93</v>
      </c>
      <c r="Q42" s="394">
        <f t="shared" si="12"/>
        <v>12664951.899999999</v>
      </c>
      <c r="R42" s="394">
        <f t="shared" si="12"/>
        <v>12573345.32</v>
      </c>
      <c r="S42" s="620">
        <f t="shared" si="12"/>
        <v>12573345.32</v>
      </c>
      <c r="T42" s="773"/>
      <c r="U42" s="383"/>
      <c r="V42" s="383"/>
      <c r="W42" s="383"/>
      <c r="X42" s="393"/>
      <c r="Y42" s="383"/>
      <c r="Z42" s="383"/>
      <c r="AA42" s="383"/>
      <c r="AB42" s="383"/>
      <c r="AC42" s="773"/>
      <c r="AD42" s="773"/>
      <c r="AE42" s="773"/>
      <c r="AF42" s="781">
        <f t="shared" si="0"/>
        <v>0</v>
      </c>
    </row>
    <row r="43" spans="1:32">
      <c r="A43" s="779">
        <f t="shared" si="2"/>
        <v>29</v>
      </c>
      <c r="B43" s="779"/>
      <c r="C43" s="779"/>
      <c r="D43" s="779"/>
      <c r="E43" s="763"/>
      <c r="F43" s="778"/>
      <c r="G43" s="407"/>
      <c r="H43" s="408"/>
      <c r="I43" s="408"/>
      <c r="J43" s="409"/>
      <c r="K43" s="410"/>
      <c r="L43" s="411"/>
      <c r="M43" s="412"/>
      <c r="N43" s="413"/>
      <c r="O43" s="764"/>
      <c r="P43" s="415"/>
      <c r="Q43" s="416"/>
      <c r="R43" s="778"/>
      <c r="S43" s="392"/>
      <c r="T43" s="773"/>
      <c r="U43" s="383"/>
      <c r="V43" s="383"/>
      <c r="W43" s="383"/>
      <c r="X43" s="393"/>
      <c r="Y43" s="383"/>
      <c r="Z43" s="383"/>
      <c r="AA43" s="383"/>
      <c r="AB43" s="383"/>
      <c r="AC43" s="773"/>
      <c r="AD43" s="773"/>
      <c r="AE43" s="773"/>
      <c r="AF43" s="781">
        <f t="shared" si="0"/>
        <v>0</v>
      </c>
    </row>
    <row r="44" spans="1:32">
      <c r="A44" s="779">
        <f t="shared" si="2"/>
        <v>30</v>
      </c>
      <c r="B44" s="779"/>
      <c r="C44" s="625">
        <v>1310</v>
      </c>
      <c r="D44" s="625">
        <v>2101</v>
      </c>
      <c r="E44" s="763" t="s">
        <v>1781</v>
      </c>
      <c r="F44" s="778">
        <v>0</v>
      </c>
      <c r="G44" s="407">
        <v>0</v>
      </c>
      <c r="H44" s="408">
        <v>0</v>
      </c>
      <c r="I44" s="408">
        <v>0</v>
      </c>
      <c r="J44" s="409">
        <v>0</v>
      </c>
      <c r="K44" s="410">
        <v>0</v>
      </c>
      <c r="L44" s="411">
        <v>0</v>
      </c>
      <c r="M44" s="412">
        <v>0</v>
      </c>
      <c r="N44" s="413">
        <v>185991.95</v>
      </c>
      <c r="O44" s="764">
        <v>0</v>
      </c>
      <c r="P44" s="415">
        <v>0</v>
      </c>
      <c r="Q44" s="416">
        <v>330096.89</v>
      </c>
      <c r="R44" s="778">
        <v>0</v>
      </c>
      <c r="S44" s="618">
        <f t="shared" ref="S44:S56" si="13">+R44</f>
        <v>0</v>
      </c>
      <c r="T44" s="773"/>
      <c r="U44" s="383">
        <f t="shared" ref="U44:U56" si="14">+S44</f>
        <v>0</v>
      </c>
      <c r="V44" s="383"/>
      <c r="W44" s="383"/>
      <c r="X44" s="393"/>
      <c r="Y44" s="383"/>
      <c r="Z44" s="383"/>
      <c r="AA44" s="383"/>
      <c r="AB44" s="383"/>
      <c r="AC44" s="773"/>
      <c r="AD44" s="417">
        <f>+S44</f>
        <v>0</v>
      </c>
      <c r="AE44" s="773"/>
      <c r="AF44" s="781">
        <f t="shared" si="0"/>
        <v>0</v>
      </c>
    </row>
    <row r="45" spans="1:32">
      <c r="A45" s="779">
        <f t="shared" si="2"/>
        <v>31</v>
      </c>
      <c r="B45" s="423" t="s">
        <v>1063</v>
      </c>
      <c r="C45" s="423" t="s">
        <v>411</v>
      </c>
      <c r="D45" s="423" t="s">
        <v>1218</v>
      </c>
      <c r="E45" s="777" t="s">
        <v>1782</v>
      </c>
      <c r="F45" s="778">
        <v>1038440.97</v>
      </c>
      <c r="G45" s="778">
        <v>1891923.36</v>
      </c>
      <c r="H45" s="778">
        <v>1866613.08</v>
      </c>
      <c r="I45" s="778">
        <v>1253479.17</v>
      </c>
      <c r="J45" s="778">
        <v>1478154.04</v>
      </c>
      <c r="K45" s="778">
        <v>731492.4</v>
      </c>
      <c r="L45" s="778">
        <v>462315.82</v>
      </c>
      <c r="M45" s="778">
        <v>685838.07</v>
      </c>
      <c r="N45" s="778">
        <v>274269.96000000002</v>
      </c>
      <c r="O45" s="778">
        <v>358037.77</v>
      </c>
      <c r="P45" s="778">
        <v>597121.24</v>
      </c>
      <c r="Q45" s="778">
        <v>565043.81999999995</v>
      </c>
      <c r="R45" s="778">
        <v>2550120.08</v>
      </c>
      <c r="S45" s="618">
        <f t="shared" si="13"/>
        <v>2550120.08</v>
      </c>
      <c r="T45" s="773"/>
      <c r="U45" s="383">
        <f t="shared" si="14"/>
        <v>2550120.08</v>
      </c>
      <c r="V45" s="383"/>
      <c r="W45" s="383"/>
      <c r="X45" s="393"/>
      <c r="Y45" s="383"/>
      <c r="Z45" s="383"/>
      <c r="AA45" s="383"/>
      <c r="AB45" s="383"/>
      <c r="AC45" s="773"/>
      <c r="AD45" s="417">
        <f t="shared" ref="AD45:AD56" si="15">+U45</f>
        <v>2550120.08</v>
      </c>
      <c r="AE45" s="773"/>
      <c r="AF45" s="781">
        <f t="shared" si="0"/>
        <v>0</v>
      </c>
    </row>
    <row r="46" spans="1:32">
      <c r="A46" s="779">
        <f t="shared" si="2"/>
        <v>32</v>
      </c>
      <c r="B46" s="423" t="s">
        <v>1063</v>
      </c>
      <c r="C46" s="423" t="s">
        <v>411</v>
      </c>
      <c r="D46" s="423" t="s">
        <v>1219</v>
      </c>
      <c r="E46" s="777" t="s">
        <v>1783</v>
      </c>
      <c r="F46" s="778">
        <v>-996174.58</v>
      </c>
      <c r="G46" s="778">
        <v>-873910.08</v>
      </c>
      <c r="H46" s="778">
        <v>-801677.63</v>
      </c>
      <c r="I46" s="778">
        <v>-556051.32999999996</v>
      </c>
      <c r="J46" s="778">
        <v>-1860384.61</v>
      </c>
      <c r="K46" s="778">
        <v>-665615.02</v>
      </c>
      <c r="L46" s="778">
        <v>-571152.13</v>
      </c>
      <c r="M46" s="778">
        <v>-1188666.55</v>
      </c>
      <c r="N46" s="778">
        <v>-677981.84</v>
      </c>
      <c r="O46" s="778">
        <v>-658744.56000000006</v>
      </c>
      <c r="P46" s="778">
        <v>-715759.62</v>
      </c>
      <c r="Q46" s="778">
        <v>-899415.71</v>
      </c>
      <c r="R46" s="778">
        <v>-819556.52</v>
      </c>
      <c r="S46" s="618">
        <f t="shared" si="13"/>
        <v>-819556.52</v>
      </c>
      <c r="T46" s="773"/>
      <c r="U46" s="383">
        <f t="shared" si="14"/>
        <v>-819556.52</v>
      </c>
      <c r="V46" s="383"/>
      <c r="W46" s="383"/>
      <c r="X46" s="393"/>
      <c r="Y46" s="383"/>
      <c r="Z46" s="383"/>
      <c r="AA46" s="383"/>
      <c r="AB46" s="383"/>
      <c r="AC46" s="773"/>
      <c r="AD46" s="417">
        <f t="shared" si="15"/>
        <v>-819556.52</v>
      </c>
      <c r="AE46" s="773"/>
      <c r="AF46" s="781">
        <f t="shared" si="0"/>
        <v>0</v>
      </c>
    </row>
    <row r="47" spans="1:32">
      <c r="A47" s="779">
        <f t="shared" si="2"/>
        <v>33</v>
      </c>
      <c r="B47" s="423" t="s">
        <v>1063</v>
      </c>
      <c r="C47" s="423" t="s">
        <v>411</v>
      </c>
      <c r="D47" s="423" t="s">
        <v>1220</v>
      </c>
      <c r="E47" s="777" t="s">
        <v>1784</v>
      </c>
      <c r="F47" s="778">
        <v>-4703.6499999999996</v>
      </c>
      <c r="G47" s="778">
        <v>-2145.94</v>
      </c>
      <c r="H47" s="778">
        <v>-115189.4</v>
      </c>
      <c r="I47" s="778">
        <v>-5149.8700000000099</v>
      </c>
      <c r="J47" s="778">
        <v>-13832.28</v>
      </c>
      <c r="K47" s="778">
        <v>-20337.62</v>
      </c>
      <c r="L47" s="778">
        <v>-1925.00000000001</v>
      </c>
      <c r="M47" s="778">
        <v>-11833.97</v>
      </c>
      <c r="N47" s="778">
        <v>-2300.00000000001</v>
      </c>
      <c r="O47" s="778">
        <v>-2150.00000000001</v>
      </c>
      <c r="P47" s="778">
        <v>-1400.00000000001</v>
      </c>
      <c r="Q47" s="778">
        <v>-725.00000000001103</v>
      </c>
      <c r="R47" s="778">
        <v>-500.00000000001103</v>
      </c>
      <c r="S47" s="618">
        <f t="shared" si="13"/>
        <v>-500.00000000001103</v>
      </c>
      <c r="T47" s="773"/>
      <c r="U47" s="383">
        <f t="shared" si="14"/>
        <v>-500.00000000001103</v>
      </c>
      <c r="V47" s="383"/>
      <c r="W47" s="383"/>
      <c r="X47" s="393"/>
      <c r="Y47" s="383"/>
      <c r="Z47" s="383"/>
      <c r="AA47" s="383"/>
      <c r="AB47" s="383"/>
      <c r="AC47" s="773"/>
      <c r="AD47" s="417">
        <f t="shared" si="15"/>
        <v>-500.00000000001103</v>
      </c>
      <c r="AE47" s="773"/>
      <c r="AF47" s="781">
        <f t="shared" si="0"/>
        <v>0</v>
      </c>
    </row>
    <row r="48" spans="1:32">
      <c r="A48" s="779">
        <f t="shared" si="2"/>
        <v>34</v>
      </c>
      <c r="B48" s="423" t="s">
        <v>1063</v>
      </c>
      <c r="C48" s="423" t="s">
        <v>411</v>
      </c>
      <c r="D48" s="423" t="s">
        <v>1221</v>
      </c>
      <c r="E48" s="777" t="s">
        <v>1785</v>
      </c>
      <c r="F48" s="778">
        <v>2689567.34</v>
      </c>
      <c r="G48" s="778">
        <v>898854.94</v>
      </c>
      <c r="H48" s="778">
        <v>887580.26</v>
      </c>
      <c r="I48" s="778">
        <v>1780809.56</v>
      </c>
      <c r="J48" s="778">
        <v>504898.6</v>
      </c>
      <c r="K48" s="778">
        <v>510216.49</v>
      </c>
      <c r="L48" s="778">
        <v>1255939.2</v>
      </c>
      <c r="M48" s="778">
        <v>662785.5</v>
      </c>
      <c r="N48" s="778">
        <v>220019.93</v>
      </c>
      <c r="O48" s="778">
        <v>2048746.17</v>
      </c>
      <c r="P48" s="778">
        <v>5000.0000000002301</v>
      </c>
      <c r="Q48" s="778">
        <v>5000.0000000002301</v>
      </c>
      <c r="R48" s="778">
        <v>5000.0000000002301</v>
      </c>
      <c r="S48" s="618">
        <f t="shared" si="13"/>
        <v>5000.0000000002301</v>
      </c>
      <c r="T48" s="779"/>
      <c r="U48" s="424">
        <f>+S48</f>
        <v>5000.0000000002301</v>
      </c>
      <c r="V48" s="424"/>
      <c r="W48" s="424"/>
      <c r="X48" s="425">
        <f>+S48-U48</f>
        <v>0</v>
      </c>
      <c r="Y48" s="424"/>
      <c r="Z48" s="424"/>
      <c r="AA48" s="424"/>
      <c r="AB48" s="424">
        <f>+X48</f>
        <v>0</v>
      </c>
      <c r="AC48" s="779"/>
      <c r="AD48" s="426">
        <f t="shared" si="15"/>
        <v>5000.0000000002301</v>
      </c>
      <c r="AE48" s="779"/>
      <c r="AF48" s="781">
        <f t="shared" si="0"/>
        <v>0</v>
      </c>
    </row>
    <row r="49" spans="1:32">
      <c r="A49" s="779">
        <f t="shared" si="2"/>
        <v>35</v>
      </c>
      <c r="B49" s="423" t="s">
        <v>1063</v>
      </c>
      <c r="C49" s="423" t="s">
        <v>411</v>
      </c>
      <c r="D49" s="423" t="s">
        <v>1683</v>
      </c>
      <c r="E49" s="777" t="s">
        <v>1684</v>
      </c>
      <c r="F49" s="778">
        <v>0</v>
      </c>
      <c r="G49" s="778">
        <v>0</v>
      </c>
      <c r="H49" s="778">
        <v>0</v>
      </c>
      <c r="I49" s="778">
        <v>0</v>
      </c>
      <c r="J49" s="778">
        <v>0</v>
      </c>
      <c r="K49" s="778">
        <v>0</v>
      </c>
      <c r="L49" s="778">
        <v>0</v>
      </c>
      <c r="M49" s="778">
        <v>0</v>
      </c>
      <c r="N49" s="778">
        <v>0</v>
      </c>
      <c r="O49" s="778">
        <v>0</v>
      </c>
      <c r="P49" s="778">
        <v>0</v>
      </c>
      <c r="Q49" s="778">
        <v>0</v>
      </c>
      <c r="R49" s="778">
        <v>1468095.37</v>
      </c>
      <c r="S49" s="618">
        <f t="shared" si="13"/>
        <v>1468095.37</v>
      </c>
      <c r="T49" s="779"/>
      <c r="U49" s="424">
        <f t="shared" si="14"/>
        <v>1468095.37</v>
      </c>
      <c r="V49" s="424"/>
      <c r="W49" s="424"/>
      <c r="X49" s="425"/>
      <c r="Y49" s="424"/>
      <c r="Z49" s="424"/>
      <c r="AA49" s="424"/>
      <c r="AB49" s="424"/>
      <c r="AC49" s="779"/>
      <c r="AD49" s="426">
        <f t="shared" si="15"/>
        <v>1468095.37</v>
      </c>
      <c r="AE49" s="779"/>
      <c r="AF49" s="781">
        <f t="shared" si="0"/>
        <v>0</v>
      </c>
    </row>
    <row r="50" spans="1:32">
      <c r="A50" s="779">
        <f t="shared" si="2"/>
        <v>36</v>
      </c>
      <c r="B50" s="423" t="s">
        <v>1063</v>
      </c>
      <c r="C50" s="423" t="s">
        <v>413</v>
      </c>
      <c r="D50" s="423" t="s">
        <v>1222</v>
      </c>
      <c r="E50" s="777" t="s">
        <v>1786</v>
      </c>
      <c r="F50" s="778">
        <v>600</v>
      </c>
      <c r="G50" s="778">
        <v>600</v>
      </c>
      <c r="H50" s="778">
        <v>600</v>
      </c>
      <c r="I50" s="778">
        <v>600</v>
      </c>
      <c r="J50" s="778">
        <v>600</v>
      </c>
      <c r="K50" s="778">
        <v>600</v>
      </c>
      <c r="L50" s="778">
        <v>600</v>
      </c>
      <c r="M50" s="778">
        <v>600</v>
      </c>
      <c r="N50" s="778">
        <v>600</v>
      </c>
      <c r="O50" s="778">
        <v>600</v>
      </c>
      <c r="P50" s="778">
        <v>600</v>
      </c>
      <c r="Q50" s="778">
        <v>600</v>
      </c>
      <c r="R50" s="778">
        <v>600</v>
      </c>
      <c r="S50" s="618">
        <f t="shared" si="13"/>
        <v>600</v>
      </c>
      <c r="T50" s="773"/>
      <c r="U50" s="383">
        <f t="shared" si="14"/>
        <v>600</v>
      </c>
      <c r="V50" s="383"/>
      <c r="W50" s="383"/>
      <c r="X50" s="393"/>
      <c r="Y50" s="383"/>
      <c r="Z50" s="383"/>
      <c r="AA50" s="383"/>
      <c r="AB50" s="383"/>
      <c r="AC50" s="773"/>
      <c r="AD50" s="417">
        <f t="shared" si="15"/>
        <v>600</v>
      </c>
      <c r="AE50" s="773"/>
      <c r="AF50" s="781">
        <f t="shared" si="0"/>
        <v>0</v>
      </c>
    </row>
    <row r="51" spans="1:32">
      <c r="A51" s="779">
        <f t="shared" si="2"/>
        <v>37</v>
      </c>
      <c r="B51" s="423" t="s">
        <v>1063</v>
      </c>
      <c r="C51" s="423" t="s">
        <v>413</v>
      </c>
      <c r="D51" s="423" t="s">
        <v>1223</v>
      </c>
      <c r="E51" s="777" t="s">
        <v>1787</v>
      </c>
      <c r="F51" s="778">
        <v>300</v>
      </c>
      <c r="G51" s="778">
        <v>300</v>
      </c>
      <c r="H51" s="778">
        <v>300</v>
      </c>
      <c r="I51" s="778">
        <v>300</v>
      </c>
      <c r="J51" s="778">
        <v>300</v>
      </c>
      <c r="K51" s="778">
        <v>300</v>
      </c>
      <c r="L51" s="778">
        <v>300</v>
      </c>
      <c r="M51" s="778">
        <v>300</v>
      </c>
      <c r="N51" s="778">
        <v>300</v>
      </c>
      <c r="O51" s="778">
        <v>300</v>
      </c>
      <c r="P51" s="778">
        <v>300</v>
      </c>
      <c r="Q51" s="778">
        <v>300</v>
      </c>
      <c r="R51" s="778">
        <v>300</v>
      </c>
      <c r="S51" s="618">
        <f t="shared" si="13"/>
        <v>300</v>
      </c>
      <c r="T51" s="773"/>
      <c r="U51" s="383">
        <f t="shared" si="14"/>
        <v>300</v>
      </c>
      <c r="V51" s="383"/>
      <c r="W51" s="383"/>
      <c r="X51" s="393"/>
      <c r="Y51" s="383"/>
      <c r="Z51" s="383"/>
      <c r="AA51" s="383"/>
      <c r="AB51" s="383"/>
      <c r="AC51" s="773"/>
      <c r="AD51" s="417">
        <f t="shared" si="15"/>
        <v>300</v>
      </c>
      <c r="AE51" s="773"/>
      <c r="AF51" s="781">
        <f t="shared" si="0"/>
        <v>0</v>
      </c>
    </row>
    <row r="52" spans="1:32">
      <c r="A52" s="779">
        <f t="shared" si="2"/>
        <v>38</v>
      </c>
      <c r="B52" s="423" t="s">
        <v>1063</v>
      </c>
      <c r="C52" s="423" t="s">
        <v>413</v>
      </c>
      <c r="D52" s="423" t="s">
        <v>1224</v>
      </c>
      <c r="E52" s="777" t="s">
        <v>414</v>
      </c>
      <c r="F52" s="778">
        <v>0</v>
      </c>
      <c r="G52" s="778">
        <v>0</v>
      </c>
      <c r="H52" s="778">
        <v>0</v>
      </c>
      <c r="I52" s="778">
        <v>0</v>
      </c>
      <c r="J52" s="778">
        <v>0</v>
      </c>
      <c r="K52" s="778">
        <v>0</v>
      </c>
      <c r="L52" s="778">
        <v>0</v>
      </c>
      <c r="M52" s="778">
        <v>0</v>
      </c>
      <c r="N52" s="778">
        <v>0</v>
      </c>
      <c r="O52" s="778">
        <v>0</v>
      </c>
      <c r="P52" s="778">
        <v>0</v>
      </c>
      <c r="Q52" s="778">
        <v>0</v>
      </c>
      <c r="R52" s="778">
        <v>0</v>
      </c>
      <c r="S52" s="618">
        <f t="shared" si="13"/>
        <v>0</v>
      </c>
      <c r="T52" s="773"/>
      <c r="U52" s="383">
        <f t="shared" si="14"/>
        <v>0</v>
      </c>
      <c r="V52" s="383"/>
      <c r="W52" s="383"/>
      <c r="X52" s="393"/>
      <c r="Y52" s="383"/>
      <c r="Z52" s="383"/>
      <c r="AA52" s="383"/>
      <c r="AB52" s="383"/>
      <c r="AC52" s="773"/>
      <c r="AD52" s="417">
        <f t="shared" si="15"/>
        <v>0</v>
      </c>
      <c r="AE52" s="773"/>
      <c r="AF52" s="781">
        <f t="shared" si="0"/>
        <v>0</v>
      </c>
    </row>
    <row r="53" spans="1:32">
      <c r="A53" s="779">
        <f t="shared" si="2"/>
        <v>39</v>
      </c>
      <c r="B53" s="423" t="s">
        <v>1063</v>
      </c>
      <c r="C53" s="423" t="s">
        <v>413</v>
      </c>
      <c r="D53" s="657" t="s">
        <v>1225</v>
      </c>
      <c r="E53" s="777" t="s">
        <v>1788</v>
      </c>
      <c r="F53" s="778">
        <v>400</v>
      </c>
      <c r="G53" s="778">
        <v>400</v>
      </c>
      <c r="H53" s="778">
        <v>0</v>
      </c>
      <c r="I53" s="778">
        <v>0</v>
      </c>
      <c r="J53" s="778">
        <v>0</v>
      </c>
      <c r="K53" s="778">
        <v>0</v>
      </c>
      <c r="L53" s="778">
        <v>0</v>
      </c>
      <c r="M53" s="778">
        <v>0</v>
      </c>
      <c r="N53" s="778">
        <v>0</v>
      </c>
      <c r="O53" s="778">
        <v>0</v>
      </c>
      <c r="P53" s="778">
        <v>0</v>
      </c>
      <c r="Q53" s="778">
        <v>0</v>
      </c>
      <c r="R53" s="778">
        <v>0</v>
      </c>
      <c r="S53" s="618">
        <f t="shared" si="13"/>
        <v>0</v>
      </c>
      <c r="T53" s="773"/>
      <c r="U53" s="383">
        <f t="shared" si="14"/>
        <v>0</v>
      </c>
      <c r="V53" s="383"/>
      <c r="W53" s="383"/>
      <c r="X53" s="393"/>
      <c r="Y53" s="383"/>
      <c r="Z53" s="383"/>
      <c r="AA53" s="383"/>
      <c r="AB53" s="383"/>
      <c r="AC53" s="773"/>
      <c r="AD53" s="417">
        <f t="shared" si="15"/>
        <v>0</v>
      </c>
      <c r="AE53" s="773"/>
      <c r="AF53" s="781">
        <f t="shared" si="0"/>
        <v>0</v>
      </c>
    </row>
    <row r="54" spans="1:32">
      <c r="A54" s="779">
        <f t="shared" si="2"/>
        <v>40</v>
      </c>
      <c r="B54" s="423" t="s">
        <v>1063</v>
      </c>
      <c r="C54" s="423" t="s">
        <v>413</v>
      </c>
      <c r="D54" s="423" t="s">
        <v>1226</v>
      </c>
      <c r="E54" s="777" t="s">
        <v>1789</v>
      </c>
      <c r="F54" s="778">
        <v>250</v>
      </c>
      <c r="G54" s="778">
        <v>250</v>
      </c>
      <c r="H54" s="778">
        <v>250</v>
      </c>
      <c r="I54" s="778">
        <v>250</v>
      </c>
      <c r="J54" s="778">
        <v>250</v>
      </c>
      <c r="K54" s="778">
        <v>250</v>
      </c>
      <c r="L54" s="778">
        <v>250</v>
      </c>
      <c r="M54" s="778">
        <v>250</v>
      </c>
      <c r="N54" s="778">
        <v>250</v>
      </c>
      <c r="O54" s="778">
        <v>250</v>
      </c>
      <c r="P54" s="778">
        <v>250</v>
      </c>
      <c r="Q54" s="778">
        <v>250</v>
      </c>
      <c r="R54" s="778">
        <v>250</v>
      </c>
      <c r="S54" s="618">
        <f t="shared" si="13"/>
        <v>250</v>
      </c>
      <c r="T54" s="773"/>
      <c r="U54" s="383">
        <f t="shared" si="14"/>
        <v>250</v>
      </c>
      <c r="V54" s="383"/>
      <c r="W54" s="383"/>
      <c r="X54" s="393"/>
      <c r="Y54" s="383"/>
      <c r="Z54" s="383"/>
      <c r="AA54" s="383"/>
      <c r="AB54" s="383"/>
      <c r="AC54" s="773"/>
      <c r="AD54" s="417">
        <f t="shared" si="15"/>
        <v>250</v>
      </c>
      <c r="AE54" s="773"/>
      <c r="AF54" s="781">
        <f t="shared" si="0"/>
        <v>0</v>
      </c>
    </row>
    <row r="55" spans="1:32">
      <c r="A55" s="779">
        <f t="shared" si="2"/>
        <v>41</v>
      </c>
      <c r="B55" s="423" t="s">
        <v>1063</v>
      </c>
      <c r="C55" s="423" t="s">
        <v>413</v>
      </c>
      <c r="D55" s="423" t="s">
        <v>1227</v>
      </c>
      <c r="E55" s="777" t="s">
        <v>414</v>
      </c>
      <c r="F55" s="778">
        <v>0</v>
      </c>
      <c r="G55" s="778">
        <v>0</v>
      </c>
      <c r="H55" s="778">
        <v>0</v>
      </c>
      <c r="I55" s="778">
        <v>0</v>
      </c>
      <c r="J55" s="778">
        <v>0</v>
      </c>
      <c r="K55" s="778">
        <v>0</v>
      </c>
      <c r="L55" s="778">
        <v>0</v>
      </c>
      <c r="M55" s="778">
        <v>0</v>
      </c>
      <c r="N55" s="778">
        <v>0</v>
      </c>
      <c r="O55" s="778">
        <v>0</v>
      </c>
      <c r="P55" s="778">
        <v>0</v>
      </c>
      <c r="Q55" s="778">
        <v>0</v>
      </c>
      <c r="R55" s="778">
        <v>0</v>
      </c>
      <c r="S55" s="618">
        <f t="shared" si="13"/>
        <v>0</v>
      </c>
      <c r="T55" s="773"/>
      <c r="U55" s="383">
        <f t="shared" si="14"/>
        <v>0</v>
      </c>
      <c r="V55" s="383"/>
      <c r="W55" s="383"/>
      <c r="X55" s="393"/>
      <c r="Y55" s="383"/>
      <c r="Z55" s="383"/>
      <c r="AA55" s="383"/>
      <c r="AB55" s="383"/>
      <c r="AC55" s="773"/>
      <c r="AD55" s="417">
        <f t="shared" si="15"/>
        <v>0</v>
      </c>
      <c r="AE55" s="773"/>
      <c r="AF55" s="781">
        <f t="shared" si="0"/>
        <v>0</v>
      </c>
    </row>
    <row r="56" spans="1:32">
      <c r="A56" s="779">
        <f t="shared" si="2"/>
        <v>42</v>
      </c>
      <c r="B56" s="423" t="s">
        <v>1063</v>
      </c>
      <c r="C56" s="423" t="s">
        <v>413</v>
      </c>
      <c r="D56" s="423" t="s">
        <v>1228</v>
      </c>
      <c r="E56" s="777" t="s">
        <v>414</v>
      </c>
      <c r="F56" s="405">
        <v>0</v>
      </c>
      <c r="G56" s="405">
        <v>0</v>
      </c>
      <c r="H56" s="405">
        <v>0</v>
      </c>
      <c r="I56" s="405">
        <v>0</v>
      </c>
      <c r="J56" s="405">
        <v>0</v>
      </c>
      <c r="K56" s="405">
        <v>0</v>
      </c>
      <c r="L56" s="405">
        <v>0</v>
      </c>
      <c r="M56" s="405">
        <v>0</v>
      </c>
      <c r="N56" s="405">
        <v>0</v>
      </c>
      <c r="O56" s="405">
        <v>0</v>
      </c>
      <c r="P56" s="405">
        <v>0</v>
      </c>
      <c r="Q56" s="405">
        <v>0</v>
      </c>
      <c r="R56" s="405">
        <v>0</v>
      </c>
      <c r="S56" s="618">
        <f t="shared" si="13"/>
        <v>0</v>
      </c>
      <c r="T56" s="773"/>
      <c r="U56" s="383">
        <f t="shared" si="14"/>
        <v>0</v>
      </c>
      <c r="V56" s="383"/>
      <c r="W56" s="383"/>
      <c r="X56" s="393"/>
      <c r="Y56" s="383"/>
      <c r="Z56" s="383"/>
      <c r="AA56" s="383"/>
      <c r="AB56" s="383"/>
      <c r="AC56" s="773"/>
      <c r="AD56" s="417">
        <f t="shared" si="15"/>
        <v>0</v>
      </c>
      <c r="AE56" s="773"/>
      <c r="AF56" s="781">
        <f t="shared" si="0"/>
        <v>0</v>
      </c>
    </row>
    <row r="57" spans="1:32">
      <c r="A57" s="779">
        <f t="shared" si="2"/>
        <v>43</v>
      </c>
      <c r="B57" s="779"/>
      <c r="C57" s="779"/>
      <c r="D57" s="779"/>
      <c r="E57" s="763" t="s">
        <v>415</v>
      </c>
      <c r="F57" s="394">
        <f t="shared" ref="F57:Q57" si="16">SUM(F44:F56)</f>
        <v>2728680.08</v>
      </c>
      <c r="G57" s="394">
        <f t="shared" si="16"/>
        <v>1916272.2800000003</v>
      </c>
      <c r="H57" s="394">
        <f t="shared" si="16"/>
        <v>1838476.31</v>
      </c>
      <c r="I57" s="394">
        <f t="shared" si="16"/>
        <v>2474237.5300000003</v>
      </c>
      <c r="J57" s="394">
        <f t="shared" si="16"/>
        <v>109985.74999999988</v>
      </c>
      <c r="K57" s="394">
        <f t="shared" si="16"/>
        <v>556906.25</v>
      </c>
      <c r="L57" s="394">
        <f t="shared" si="16"/>
        <v>1146327.8899999999</v>
      </c>
      <c r="M57" s="394">
        <f t="shared" si="16"/>
        <v>149273.04999999993</v>
      </c>
      <c r="N57" s="394">
        <f t="shared" si="16"/>
        <v>1150.0000000000582</v>
      </c>
      <c r="O57" s="394">
        <f t="shared" si="16"/>
        <v>1747039.38</v>
      </c>
      <c r="P57" s="394">
        <f t="shared" si="16"/>
        <v>-113888.37999999979</v>
      </c>
      <c r="Q57" s="394">
        <f t="shared" si="16"/>
        <v>1150.0000000002192</v>
      </c>
      <c r="R57" s="394">
        <f>SUM(R44:R56)</f>
        <v>3204308.9300000006</v>
      </c>
      <c r="S57" s="620">
        <f>SUM(S44:S56)</f>
        <v>3204308.9300000006</v>
      </c>
      <c r="T57" s="773"/>
      <c r="U57" s="383"/>
      <c r="V57" s="383"/>
      <c r="W57" s="383"/>
      <c r="X57" s="393"/>
      <c r="Y57" s="383"/>
      <c r="Z57" s="383"/>
      <c r="AA57" s="383"/>
      <c r="AB57" s="383"/>
      <c r="AC57" s="773"/>
      <c r="AD57" s="773"/>
      <c r="AE57" s="773"/>
      <c r="AF57" s="781">
        <f t="shared" si="0"/>
        <v>0</v>
      </c>
    </row>
    <row r="58" spans="1:32">
      <c r="A58" s="779">
        <f t="shared" si="2"/>
        <v>44</v>
      </c>
      <c r="B58" s="779"/>
      <c r="C58" s="779"/>
      <c r="D58" s="779"/>
      <c r="E58" s="763"/>
      <c r="F58" s="778"/>
      <c r="G58" s="407"/>
      <c r="H58" s="408"/>
      <c r="I58" s="408"/>
      <c r="J58" s="409"/>
      <c r="K58" s="410"/>
      <c r="L58" s="411"/>
      <c r="M58" s="412"/>
      <c r="N58" s="413"/>
      <c r="O58" s="764"/>
      <c r="P58" s="415"/>
      <c r="Q58" s="416"/>
      <c r="R58" s="778"/>
      <c r="S58" s="392"/>
      <c r="T58" s="773"/>
      <c r="U58" s="383"/>
      <c r="V58" s="383"/>
      <c r="W58" s="383"/>
      <c r="X58" s="393"/>
      <c r="Y58" s="383"/>
      <c r="Z58" s="383"/>
      <c r="AA58" s="383"/>
      <c r="AB58" s="383"/>
      <c r="AC58" s="773"/>
      <c r="AD58" s="773"/>
      <c r="AE58" s="773"/>
      <c r="AF58" s="781">
        <f t="shared" si="0"/>
        <v>0</v>
      </c>
    </row>
    <row r="59" spans="1:32">
      <c r="A59" s="779">
        <f t="shared" si="2"/>
        <v>45</v>
      </c>
      <c r="B59" s="423" t="s">
        <v>1063</v>
      </c>
      <c r="C59" s="423" t="s">
        <v>416</v>
      </c>
      <c r="D59" s="423">
        <v>2103</v>
      </c>
      <c r="E59" s="777" t="s">
        <v>417</v>
      </c>
      <c r="F59" s="405">
        <v>0</v>
      </c>
      <c r="G59" s="405">
        <v>0</v>
      </c>
      <c r="H59" s="405">
        <v>0</v>
      </c>
      <c r="I59" s="405">
        <v>0</v>
      </c>
      <c r="J59" s="405">
        <v>0</v>
      </c>
      <c r="K59" s="405">
        <v>0</v>
      </c>
      <c r="L59" s="405">
        <v>0</v>
      </c>
      <c r="M59" s="405">
        <v>0</v>
      </c>
      <c r="N59" s="405">
        <v>0</v>
      </c>
      <c r="O59" s="405">
        <v>0</v>
      </c>
      <c r="P59" s="405">
        <v>323765.93</v>
      </c>
      <c r="Q59" s="405">
        <v>197130.52</v>
      </c>
      <c r="R59" s="405">
        <v>0</v>
      </c>
      <c r="S59" s="618">
        <f>+R59</f>
        <v>0</v>
      </c>
      <c r="T59" s="773"/>
      <c r="U59" s="383">
        <f>+S59</f>
        <v>0</v>
      </c>
      <c r="V59" s="383"/>
      <c r="W59" s="383"/>
      <c r="X59" s="393"/>
      <c r="Y59" s="383"/>
      <c r="Z59" s="383"/>
      <c r="AA59" s="383"/>
      <c r="AB59" s="383"/>
      <c r="AC59" s="773"/>
      <c r="AD59" s="380">
        <f>+U59</f>
        <v>0</v>
      </c>
      <c r="AE59" s="773"/>
      <c r="AF59" s="781">
        <f t="shared" si="0"/>
        <v>0</v>
      </c>
    </row>
    <row r="60" spans="1:32">
      <c r="A60" s="779">
        <f t="shared" si="2"/>
        <v>46</v>
      </c>
      <c r="B60" s="779"/>
      <c r="C60" s="779"/>
      <c r="D60" s="779"/>
      <c r="E60" s="763" t="s">
        <v>418</v>
      </c>
      <c r="F60" s="394">
        <f t="shared" ref="F60:S60" si="17">+F59</f>
        <v>0</v>
      </c>
      <c r="G60" s="394">
        <f t="shared" si="17"/>
        <v>0</v>
      </c>
      <c r="H60" s="394">
        <f t="shared" si="17"/>
        <v>0</v>
      </c>
      <c r="I60" s="394">
        <f t="shared" si="17"/>
        <v>0</v>
      </c>
      <c r="J60" s="394">
        <f t="shared" si="17"/>
        <v>0</v>
      </c>
      <c r="K60" s="394">
        <f t="shared" si="17"/>
        <v>0</v>
      </c>
      <c r="L60" s="394">
        <f t="shared" si="17"/>
        <v>0</v>
      </c>
      <c r="M60" s="394">
        <f t="shared" si="17"/>
        <v>0</v>
      </c>
      <c r="N60" s="394">
        <f t="shared" si="17"/>
        <v>0</v>
      </c>
      <c r="O60" s="394">
        <f t="shared" si="17"/>
        <v>0</v>
      </c>
      <c r="P60" s="394">
        <f t="shared" si="17"/>
        <v>323765.93</v>
      </c>
      <c r="Q60" s="394">
        <f t="shared" si="17"/>
        <v>197130.52</v>
      </c>
      <c r="R60" s="394">
        <f t="shared" si="17"/>
        <v>0</v>
      </c>
      <c r="S60" s="620">
        <f t="shared" si="17"/>
        <v>0</v>
      </c>
      <c r="T60" s="773"/>
      <c r="U60" s="383"/>
      <c r="V60" s="383"/>
      <c r="W60" s="383"/>
      <c r="X60" s="393"/>
      <c r="Y60" s="383"/>
      <c r="Z60" s="383"/>
      <c r="AA60" s="383"/>
      <c r="AB60" s="383"/>
      <c r="AC60" s="773"/>
      <c r="AD60" s="773"/>
      <c r="AE60" s="773"/>
      <c r="AF60" s="781">
        <f t="shared" si="0"/>
        <v>0</v>
      </c>
    </row>
    <row r="61" spans="1:32">
      <c r="A61" s="779">
        <f t="shared" si="2"/>
        <v>47</v>
      </c>
      <c r="B61" s="779"/>
      <c r="C61" s="779"/>
      <c r="D61" s="779"/>
      <c r="E61" s="763"/>
      <c r="F61" s="778"/>
      <c r="G61" s="407"/>
      <c r="H61" s="408"/>
      <c r="I61" s="408"/>
      <c r="J61" s="409"/>
      <c r="K61" s="410"/>
      <c r="L61" s="411"/>
      <c r="M61" s="412"/>
      <c r="N61" s="413"/>
      <c r="O61" s="764"/>
      <c r="P61" s="415"/>
      <c r="Q61" s="416"/>
      <c r="R61" s="778"/>
      <c r="S61" s="392"/>
      <c r="T61" s="773"/>
      <c r="U61" s="383"/>
      <c r="V61" s="383"/>
      <c r="W61" s="383"/>
      <c r="X61" s="393"/>
      <c r="Y61" s="383"/>
      <c r="Z61" s="383"/>
      <c r="AA61" s="383"/>
      <c r="AB61" s="383"/>
      <c r="AC61" s="773"/>
      <c r="AD61" s="773"/>
      <c r="AE61" s="773"/>
      <c r="AF61" s="781">
        <f t="shared" si="0"/>
        <v>0</v>
      </c>
    </row>
    <row r="62" spans="1:32">
      <c r="A62" s="779">
        <f t="shared" si="2"/>
        <v>48</v>
      </c>
      <c r="B62" s="423" t="s">
        <v>1063</v>
      </c>
      <c r="C62" s="423" t="s">
        <v>419</v>
      </c>
      <c r="D62" s="423" t="s">
        <v>539</v>
      </c>
      <c r="E62" s="777" t="s">
        <v>1790</v>
      </c>
      <c r="F62" s="778">
        <v>-32699.67</v>
      </c>
      <c r="G62" s="778">
        <v>284146.59999999998</v>
      </c>
      <c r="H62" s="778">
        <v>428727.33</v>
      </c>
      <c r="I62" s="778">
        <v>-104115</v>
      </c>
      <c r="J62" s="778">
        <v>654967.05000000005</v>
      </c>
      <c r="K62" s="778">
        <v>39350.070000000203</v>
      </c>
      <c r="L62" s="778">
        <v>45820.140000000203</v>
      </c>
      <c r="M62" s="778">
        <v>55770.240000000202</v>
      </c>
      <c r="N62" s="778">
        <v>36821.320000000203</v>
      </c>
      <c r="O62" s="778">
        <v>-809181.28</v>
      </c>
      <c r="P62" s="778">
        <v>140132.54</v>
      </c>
      <c r="Q62" s="778">
        <v>-33062.399999999798</v>
      </c>
      <c r="R62" s="778">
        <v>945100.14</v>
      </c>
      <c r="S62" s="618">
        <f t="shared" ref="S62:S73" si="18">+R62</f>
        <v>945100.14</v>
      </c>
      <c r="T62" s="773"/>
      <c r="U62" s="383">
        <f t="shared" ref="U62:U73" si="19">+S62</f>
        <v>945100.14</v>
      </c>
      <c r="V62" s="383"/>
      <c r="W62" s="383"/>
      <c r="X62" s="393"/>
      <c r="Y62" s="383"/>
      <c r="Z62" s="383"/>
      <c r="AA62" s="383"/>
      <c r="AB62" s="383"/>
      <c r="AC62" s="773"/>
      <c r="AD62" s="417">
        <f t="shared" ref="AD62:AD72" si="20">+U62</f>
        <v>945100.14</v>
      </c>
      <c r="AE62" s="773"/>
      <c r="AF62" s="781">
        <f t="shared" si="0"/>
        <v>0</v>
      </c>
    </row>
    <row r="63" spans="1:32">
      <c r="A63" s="779">
        <f t="shared" si="2"/>
        <v>49</v>
      </c>
      <c r="B63" s="423" t="s">
        <v>1094</v>
      </c>
      <c r="C63" s="423" t="s">
        <v>419</v>
      </c>
      <c r="D63" s="423" t="s">
        <v>539</v>
      </c>
      <c r="E63" s="777" t="s">
        <v>1795</v>
      </c>
      <c r="F63" s="778">
        <v>2835993.36</v>
      </c>
      <c r="G63" s="778">
        <v>4090258.85</v>
      </c>
      <c r="H63" s="778">
        <v>3097363.41</v>
      </c>
      <c r="I63" s="778">
        <v>3966179.72</v>
      </c>
      <c r="J63" s="778">
        <v>2729190.11</v>
      </c>
      <c r="K63" s="778">
        <v>1507978.1</v>
      </c>
      <c r="L63" s="778">
        <v>838109.84999999905</v>
      </c>
      <c r="M63" s="778">
        <v>209053.75999999899</v>
      </c>
      <c r="N63" s="778">
        <v>-104040.680000001</v>
      </c>
      <c r="O63" s="778">
        <v>-265867.140000001</v>
      </c>
      <c r="P63" s="778">
        <v>53120.499999999403</v>
      </c>
      <c r="Q63" s="778">
        <v>571152.98999999894</v>
      </c>
      <c r="R63" s="778">
        <v>2449138.14</v>
      </c>
      <c r="S63" s="618">
        <f t="shared" si="18"/>
        <v>2449138.14</v>
      </c>
      <c r="T63" s="773"/>
      <c r="U63" s="383">
        <f t="shared" si="19"/>
        <v>2449138.14</v>
      </c>
      <c r="V63" s="383"/>
      <c r="W63" s="383"/>
      <c r="X63" s="393"/>
      <c r="Y63" s="383"/>
      <c r="Z63" s="383"/>
      <c r="AA63" s="383"/>
      <c r="AB63" s="383"/>
      <c r="AC63" s="773"/>
      <c r="AD63" s="417">
        <f t="shared" si="20"/>
        <v>2449138.14</v>
      </c>
      <c r="AE63" s="773"/>
      <c r="AF63" s="781">
        <f t="shared" si="0"/>
        <v>0</v>
      </c>
    </row>
    <row r="64" spans="1:32">
      <c r="A64" s="779">
        <f t="shared" si="2"/>
        <v>50</v>
      </c>
      <c r="B64" s="423" t="s">
        <v>1066</v>
      </c>
      <c r="C64" s="423" t="s">
        <v>419</v>
      </c>
      <c r="D64" s="423" t="s">
        <v>539</v>
      </c>
      <c r="E64" s="777" t="s">
        <v>1795</v>
      </c>
      <c r="F64" s="778">
        <v>9640875.9800000004</v>
      </c>
      <c r="G64" s="778">
        <v>15211074.449999999</v>
      </c>
      <c r="H64" s="778">
        <v>12142832.08</v>
      </c>
      <c r="I64" s="778">
        <v>14657314.109999999</v>
      </c>
      <c r="J64" s="778">
        <v>10870701.210000001</v>
      </c>
      <c r="K64" s="778">
        <v>6281840.2000000002</v>
      </c>
      <c r="L64" s="778">
        <v>4086632.3</v>
      </c>
      <c r="M64" s="778">
        <v>1626340.06</v>
      </c>
      <c r="N64" s="778">
        <v>423547.82999999699</v>
      </c>
      <c r="O64" s="778">
        <v>70082.039999997301</v>
      </c>
      <c r="P64" s="778">
        <v>326053.78999999701</v>
      </c>
      <c r="Q64" s="778">
        <v>1819455.15</v>
      </c>
      <c r="R64" s="778">
        <v>7070459.8200000003</v>
      </c>
      <c r="S64" s="618">
        <f t="shared" si="18"/>
        <v>7070459.8200000003</v>
      </c>
      <c r="T64" s="773"/>
      <c r="U64" s="383">
        <f t="shared" si="19"/>
        <v>7070459.8200000003</v>
      </c>
      <c r="V64" s="383"/>
      <c r="W64" s="383"/>
      <c r="X64" s="393"/>
      <c r="Y64" s="383"/>
      <c r="Z64" s="383"/>
      <c r="AA64" s="383"/>
      <c r="AB64" s="383"/>
      <c r="AC64" s="773"/>
      <c r="AD64" s="417">
        <f t="shared" si="20"/>
        <v>7070459.8200000003</v>
      </c>
      <c r="AE64" s="773"/>
      <c r="AF64" s="781">
        <f t="shared" si="0"/>
        <v>0</v>
      </c>
    </row>
    <row r="65" spans="1:32">
      <c r="A65" s="779">
        <f t="shared" si="2"/>
        <v>51</v>
      </c>
      <c r="B65" s="423" t="s">
        <v>1094</v>
      </c>
      <c r="C65" s="423" t="s">
        <v>419</v>
      </c>
      <c r="D65" s="423" t="s">
        <v>573</v>
      </c>
      <c r="E65" s="777" t="s">
        <v>1796</v>
      </c>
      <c r="F65" s="778">
        <v>-8386.8500000000095</v>
      </c>
      <c r="G65" s="778">
        <v>35640.559999999998</v>
      </c>
      <c r="H65" s="778">
        <v>24896</v>
      </c>
      <c r="I65" s="778">
        <v>183937.79</v>
      </c>
      <c r="J65" s="778">
        <v>47582.27</v>
      </c>
      <c r="K65" s="778">
        <v>30323.85</v>
      </c>
      <c r="L65" s="778">
        <v>18262.11</v>
      </c>
      <c r="M65" s="778">
        <v>58462.66</v>
      </c>
      <c r="N65" s="778">
        <v>23924.43</v>
      </c>
      <c r="O65" s="778">
        <v>50253.01</v>
      </c>
      <c r="P65" s="778">
        <v>21029.56</v>
      </c>
      <c r="Q65" s="778">
        <v>43394.400000000001</v>
      </c>
      <c r="R65" s="778">
        <v>161397.89000000001</v>
      </c>
      <c r="S65" s="618">
        <f t="shared" si="18"/>
        <v>161397.89000000001</v>
      </c>
      <c r="T65" s="773"/>
      <c r="U65" s="383">
        <f t="shared" si="19"/>
        <v>161397.89000000001</v>
      </c>
      <c r="V65" s="383"/>
      <c r="W65" s="383"/>
      <c r="X65" s="393"/>
      <c r="Y65" s="383"/>
      <c r="Z65" s="383"/>
      <c r="AA65" s="383"/>
      <c r="AB65" s="383"/>
      <c r="AC65" s="773"/>
      <c r="AD65" s="417">
        <f t="shared" si="20"/>
        <v>161397.89000000001</v>
      </c>
      <c r="AE65" s="773"/>
      <c r="AF65" s="781">
        <f t="shared" si="0"/>
        <v>0</v>
      </c>
    </row>
    <row r="66" spans="1:32">
      <c r="A66" s="779">
        <f t="shared" si="2"/>
        <v>52</v>
      </c>
      <c r="B66" s="423" t="s">
        <v>1066</v>
      </c>
      <c r="C66" s="423" t="s">
        <v>419</v>
      </c>
      <c r="D66" s="423" t="s">
        <v>573</v>
      </c>
      <c r="E66" s="777" t="s">
        <v>1796</v>
      </c>
      <c r="F66" s="778">
        <v>113632.21</v>
      </c>
      <c r="G66" s="778">
        <v>97300.26</v>
      </c>
      <c r="H66" s="778">
        <v>405618.96</v>
      </c>
      <c r="I66" s="778">
        <v>231617.08</v>
      </c>
      <c r="J66" s="778">
        <v>352326.3</v>
      </c>
      <c r="K66" s="778">
        <v>76231.600000000006</v>
      </c>
      <c r="L66" s="778">
        <v>235283.31</v>
      </c>
      <c r="M66" s="778">
        <v>9825.9500000000407</v>
      </c>
      <c r="N66" s="778">
        <v>42721.3</v>
      </c>
      <c r="O66" s="778">
        <v>1058551.52</v>
      </c>
      <c r="P66" s="778">
        <v>95859.53</v>
      </c>
      <c r="Q66" s="778">
        <v>389537.99</v>
      </c>
      <c r="R66" s="778">
        <v>150854.79</v>
      </c>
      <c r="S66" s="618">
        <f t="shared" si="18"/>
        <v>150854.79</v>
      </c>
      <c r="T66" s="773"/>
      <c r="U66" s="383">
        <f t="shared" si="19"/>
        <v>150854.79</v>
      </c>
      <c r="V66" s="383"/>
      <c r="W66" s="383"/>
      <c r="X66" s="393"/>
      <c r="Y66" s="383"/>
      <c r="Z66" s="383"/>
      <c r="AA66" s="383"/>
      <c r="AB66" s="383"/>
      <c r="AC66" s="773"/>
      <c r="AD66" s="417">
        <f t="shared" si="20"/>
        <v>150854.79</v>
      </c>
      <c r="AE66" s="773"/>
      <c r="AF66" s="781">
        <f t="shared" si="0"/>
        <v>0</v>
      </c>
    </row>
    <row r="67" spans="1:32">
      <c r="A67" s="779">
        <f t="shared" si="2"/>
        <v>53</v>
      </c>
      <c r="B67" s="423" t="s">
        <v>1094</v>
      </c>
      <c r="C67" s="423" t="s">
        <v>419</v>
      </c>
      <c r="D67" s="423" t="s">
        <v>1050</v>
      </c>
      <c r="E67" s="777" t="s">
        <v>1797</v>
      </c>
      <c r="F67" s="778">
        <v>1256279.2</v>
      </c>
      <c r="G67" s="778">
        <v>949324.88</v>
      </c>
      <c r="H67" s="778">
        <v>860646.37</v>
      </c>
      <c r="I67" s="778">
        <v>692162.99</v>
      </c>
      <c r="J67" s="778">
        <v>681410.04</v>
      </c>
      <c r="K67" s="778">
        <v>796488.24</v>
      </c>
      <c r="L67" s="778">
        <v>973382.76</v>
      </c>
      <c r="M67" s="778">
        <v>1186726.51</v>
      </c>
      <c r="N67" s="778">
        <v>1406361.31</v>
      </c>
      <c r="O67" s="778">
        <v>1607889.07</v>
      </c>
      <c r="P67" s="778">
        <v>1768131.37</v>
      </c>
      <c r="Q67" s="778">
        <v>1767276.97</v>
      </c>
      <c r="R67" s="778">
        <v>1518612.94</v>
      </c>
      <c r="S67" s="618">
        <f t="shared" si="18"/>
        <v>1518612.94</v>
      </c>
      <c r="T67" s="773"/>
      <c r="U67" s="383">
        <f t="shared" si="19"/>
        <v>1518612.94</v>
      </c>
      <c r="V67" s="383"/>
      <c r="W67" s="383"/>
      <c r="X67" s="393"/>
      <c r="Y67" s="383"/>
      <c r="Z67" s="383"/>
      <c r="AA67" s="383"/>
      <c r="AB67" s="383"/>
      <c r="AC67" s="773"/>
      <c r="AD67" s="417">
        <f t="shared" si="20"/>
        <v>1518612.94</v>
      </c>
      <c r="AE67" s="773"/>
      <c r="AF67" s="781">
        <f t="shared" si="0"/>
        <v>0</v>
      </c>
    </row>
    <row r="68" spans="1:32">
      <c r="A68" s="779">
        <f t="shared" si="2"/>
        <v>54</v>
      </c>
      <c r="B68" s="423" t="s">
        <v>1066</v>
      </c>
      <c r="C68" s="423" t="s">
        <v>419</v>
      </c>
      <c r="D68" s="423" t="s">
        <v>1050</v>
      </c>
      <c r="E68" s="777" t="s">
        <v>1797</v>
      </c>
      <c r="F68" s="778">
        <v>4254314.09</v>
      </c>
      <c r="G68" s="778">
        <v>2993607.32</v>
      </c>
      <c r="H68" s="778">
        <v>2514876.98</v>
      </c>
      <c r="I68" s="778">
        <v>2017059.67</v>
      </c>
      <c r="J68" s="778">
        <v>1920120.96</v>
      </c>
      <c r="K68" s="778">
        <v>2201078.2799999998</v>
      </c>
      <c r="L68" s="778">
        <v>2678159.34</v>
      </c>
      <c r="M68" s="778">
        <v>3385501.36</v>
      </c>
      <c r="N68" s="778">
        <v>4123740.92</v>
      </c>
      <c r="O68" s="778">
        <v>4879511.5</v>
      </c>
      <c r="P68" s="778">
        <v>5690834.7599999998</v>
      </c>
      <c r="Q68" s="778">
        <v>5972637.8499999996</v>
      </c>
      <c r="R68" s="778">
        <v>5330310.5</v>
      </c>
      <c r="S68" s="618">
        <f t="shared" si="18"/>
        <v>5330310.5</v>
      </c>
      <c r="T68" s="773"/>
      <c r="U68" s="383">
        <f t="shared" si="19"/>
        <v>5330310.5</v>
      </c>
      <c r="V68" s="383"/>
      <c r="W68" s="383"/>
      <c r="X68" s="393"/>
      <c r="Y68" s="383"/>
      <c r="Z68" s="383"/>
      <c r="AA68" s="383"/>
      <c r="AB68" s="383"/>
      <c r="AC68" s="773"/>
      <c r="AD68" s="417">
        <f t="shared" si="20"/>
        <v>5330310.5</v>
      </c>
      <c r="AE68" s="773"/>
      <c r="AF68" s="781">
        <f t="shared" si="0"/>
        <v>0</v>
      </c>
    </row>
    <row r="69" spans="1:32">
      <c r="A69" s="779">
        <f t="shared" si="2"/>
        <v>55</v>
      </c>
      <c r="B69" s="423" t="s">
        <v>1063</v>
      </c>
      <c r="C69" s="423" t="s">
        <v>420</v>
      </c>
      <c r="D69" s="423" t="s">
        <v>1229</v>
      </c>
      <c r="E69" s="777" t="s">
        <v>1791</v>
      </c>
      <c r="F69" s="778">
        <v>139413.53</v>
      </c>
      <c r="G69" s="778">
        <v>146253.79</v>
      </c>
      <c r="H69" s="778">
        <v>177095.55</v>
      </c>
      <c r="I69" s="778">
        <v>1500323.46</v>
      </c>
      <c r="J69" s="778">
        <v>199216.04</v>
      </c>
      <c r="K69" s="778">
        <v>429255.56</v>
      </c>
      <c r="L69" s="778">
        <v>296036.5</v>
      </c>
      <c r="M69" s="778">
        <v>286762.89</v>
      </c>
      <c r="N69" s="778">
        <v>1296809.08</v>
      </c>
      <c r="O69" s="778">
        <v>518771.56</v>
      </c>
      <c r="P69" s="778">
        <v>1815453.45</v>
      </c>
      <c r="Q69" s="778">
        <v>805976.77</v>
      </c>
      <c r="R69" s="778">
        <v>1902279.41</v>
      </c>
      <c r="S69" s="618">
        <f t="shared" si="18"/>
        <v>1902279.41</v>
      </c>
      <c r="T69" s="773"/>
      <c r="U69" s="383">
        <f t="shared" si="19"/>
        <v>1902279.41</v>
      </c>
      <c r="V69" s="383"/>
      <c r="W69" s="383"/>
      <c r="X69" s="393"/>
      <c r="Y69" s="383"/>
      <c r="Z69" s="383"/>
      <c r="AA69" s="383"/>
      <c r="AB69" s="383"/>
      <c r="AC69" s="773"/>
      <c r="AD69" s="417">
        <f t="shared" si="20"/>
        <v>1902279.41</v>
      </c>
      <c r="AE69" s="773"/>
      <c r="AF69" s="781">
        <f t="shared" si="0"/>
        <v>0</v>
      </c>
    </row>
    <row r="70" spans="1:32">
      <c r="A70" s="779">
        <f t="shared" si="2"/>
        <v>56</v>
      </c>
      <c r="B70" s="423" t="s">
        <v>1063</v>
      </c>
      <c r="C70" s="423" t="s">
        <v>420</v>
      </c>
      <c r="D70" s="423" t="s">
        <v>472</v>
      </c>
      <c r="E70" s="777" t="s">
        <v>1792</v>
      </c>
      <c r="F70" s="778">
        <v>15</v>
      </c>
      <c r="G70" s="778">
        <v>0</v>
      </c>
      <c r="H70" s="778">
        <v>0</v>
      </c>
      <c r="I70" s="778">
        <v>0</v>
      </c>
      <c r="J70" s="778">
        <v>0</v>
      </c>
      <c r="K70" s="778">
        <v>-10030.18</v>
      </c>
      <c r="L70" s="778">
        <v>0</v>
      </c>
      <c r="M70" s="778">
        <v>0</v>
      </c>
      <c r="N70" s="778">
        <v>0</v>
      </c>
      <c r="O70" s="778">
        <v>0</v>
      </c>
      <c r="P70" s="778">
        <v>0</v>
      </c>
      <c r="Q70" s="778">
        <v>17.760000000000002</v>
      </c>
      <c r="R70" s="778">
        <v>0</v>
      </c>
      <c r="S70" s="618">
        <f t="shared" si="18"/>
        <v>0</v>
      </c>
      <c r="T70" s="773"/>
      <c r="U70" s="383">
        <f t="shared" si="19"/>
        <v>0</v>
      </c>
      <c r="V70" s="383"/>
      <c r="W70" s="383"/>
      <c r="X70" s="393"/>
      <c r="Y70" s="383"/>
      <c r="Z70" s="383"/>
      <c r="AA70" s="383"/>
      <c r="AB70" s="383"/>
      <c r="AC70" s="773"/>
      <c r="AD70" s="417">
        <f t="shared" si="20"/>
        <v>0</v>
      </c>
      <c r="AE70" s="773"/>
      <c r="AF70" s="781">
        <f t="shared" si="0"/>
        <v>0</v>
      </c>
    </row>
    <row r="71" spans="1:32">
      <c r="A71" s="779">
        <f t="shared" si="2"/>
        <v>57</v>
      </c>
      <c r="B71" s="423" t="s">
        <v>1063</v>
      </c>
      <c r="C71" s="423" t="s">
        <v>420</v>
      </c>
      <c r="D71" s="423" t="s">
        <v>505</v>
      </c>
      <c r="E71" s="777" t="s">
        <v>1793</v>
      </c>
      <c r="F71" s="778">
        <v>370.83</v>
      </c>
      <c r="G71" s="778">
        <v>288.22000000000003</v>
      </c>
      <c r="H71" s="778">
        <v>190.62</v>
      </c>
      <c r="I71" s="778">
        <v>484.82</v>
      </c>
      <c r="J71" s="778">
        <v>346.5</v>
      </c>
      <c r="K71" s="778">
        <v>368.46</v>
      </c>
      <c r="L71" s="778">
        <v>228.98</v>
      </c>
      <c r="M71" s="778">
        <v>27619.9</v>
      </c>
      <c r="N71" s="778">
        <v>11302.74</v>
      </c>
      <c r="O71" s="778">
        <v>362.51999999999902</v>
      </c>
      <c r="P71" s="778">
        <v>400.83999999999901</v>
      </c>
      <c r="Q71" s="778">
        <v>417.43999999999897</v>
      </c>
      <c r="R71" s="778">
        <v>359.95999999999901</v>
      </c>
      <c r="S71" s="618">
        <f t="shared" si="18"/>
        <v>359.95999999999901</v>
      </c>
      <c r="T71" s="773"/>
      <c r="U71" s="383">
        <f t="shared" si="19"/>
        <v>359.95999999999901</v>
      </c>
      <c r="V71" s="383"/>
      <c r="W71" s="383"/>
      <c r="X71" s="393"/>
      <c r="Y71" s="383"/>
      <c r="Z71" s="383"/>
      <c r="AA71" s="383"/>
      <c r="AB71" s="383"/>
      <c r="AC71" s="773"/>
      <c r="AD71" s="417">
        <f t="shared" si="20"/>
        <v>359.95999999999901</v>
      </c>
      <c r="AE71" s="773"/>
      <c r="AF71" s="781">
        <f t="shared" si="0"/>
        <v>0</v>
      </c>
    </row>
    <row r="72" spans="1:32">
      <c r="A72" s="779">
        <f t="shared" si="2"/>
        <v>58</v>
      </c>
      <c r="B72" s="423" t="s">
        <v>1063</v>
      </c>
      <c r="C72" s="423" t="s">
        <v>420</v>
      </c>
      <c r="D72" s="423" t="s">
        <v>506</v>
      </c>
      <c r="E72" s="777" t="s">
        <v>1794</v>
      </c>
      <c r="F72" s="778">
        <v>2115987.9</v>
      </c>
      <c r="G72" s="778">
        <v>2177234.81</v>
      </c>
      <c r="H72" s="778">
        <v>1837716.61</v>
      </c>
      <c r="I72" s="778">
        <v>1886078.7</v>
      </c>
      <c r="J72" s="778">
        <v>1935681</v>
      </c>
      <c r="K72" s="778">
        <v>1984043.09</v>
      </c>
      <c r="L72" s="778">
        <v>2035189.96</v>
      </c>
      <c r="M72" s="778">
        <v>2083604.36</v>
      </c>
      <c r="N72" s="778">
        <v>2131966.4500000002</v>
      </c>
      <c r="O72" s="778">
        <v>2180328.54</v>
      </c>
      <c r="P72" s="778">
        <v>2228832.44</v>
      </c>
      <c r="Q72" s="778">
        <v>2277316.44</v>
      </c>
      <c r="R72" s="778">
        <v>257648.3</v>
      </c>
      <c r="S72" s="618">
        <f t="shared" si="18"/>
        <v>257648.3</v>
      </c>
      <c r="T72" s="773"/>
      <c r="U72" s="383">
        <f t="shared" si="19"/>
        <v>257648.3</v>
      </c>
      <c r="V72" s="383"/>
      <c r="W72" s="383"/>
      <c r="X72" s="393"/>
      <c r="Y72" s="383"/>
      <c r="Z72" s="383"/>
      <c r="AA72" s="383"/>
      <c r="AB72" s="383"/>
      <c r="AC72" s="773"/>
      <c r="AD72" s="417">
        <f t="shared" si="20"/>
        <v>257648.3</v>
      </c>
      <c r="AE72" s="773"/>
      <c r="AF72" s="781">
        <f t="shared" si="0"/>
        <v>0</v>
      </c>
    </row>
    <row r="73" spans="1:32">
      <c r="A73" s="779">
        <f t="shared" si="2"/>
        <v>59</v>
      </c>
      <c r="B73" s="423" t="s">
        <v>1063</v>
      </c>
      <c r="C73" s="423" t="s">
        <v>421</v>
      </c>
      <c r="D73" s="423"/>
      <c r="E73" s="777" t="s">
        <v>422</v>
      </c>
      <c r="F73" s="405">
        <v>0</v>
      </c>
      <c r="G73" s="405">
        <v>0</v>
      </c>
      <c r="H73" s="405">
        <v>0</v>
      </c>
      <c r="I73" s="405">
        <v>0</v>
      </c>
      <c r="J73" s="405">
        <v>0</v>
      </c>
      <c r="K73" s="405">
        <v>0</v>
      </c>
      <c r="L73" s="405">
        <v>0</v>
      </c>
      <c r="M73" s="405">
        <v>0</v>
      </c>
      <c r="N73" s="405">
        <v>0</v>
      </c>
      <c r="O73" s="405">
        <v>0</v>
      </c>
      <c r="P73" s="405">
        <v>0</v>
      </c>
      <c r="Q73" s="405">
        <v>0</v>
      </c>
      <c r="R73" s="405">
        <v>0</v>
      </c>
      <c r="S73" s="618">
        <f t="shared" si="18"/>
        <v>0</v>
      </c>
      <c r="T73" s="773"/>
      <c r="U73" s="383">
        <f t="shared" si="19"/>
        <v>0</v>
      </c>
      <c r="V73" s="383"/>
      <c r="W73" s="383"/>
      <c r="X73" s="393"/>
      <c r="Y73" s="383"/>
      <c r="Z73" s="383"/>
      <c r="AA73" s="383"/>
      <c r="AB73" s="383"/>
      <c r="AC73" s="773"/>
      <c r="AD73" s="773"/>
      <c r="AE73" s="773"/>
      <c r="AF73" s="781">
        <f t="shared" si="0"/>
        <v>0</v>
      </c>
    </row>
    <row r="74" spans="1:32">
      <c r="A74" s="779">
        <f t="shared" si="2"/>
        <v>60</v>
      </c>
      <c r="B74" s="779"/>
      <c r="C74" s="779"/>
      <c r="D74" s="779"/>
      <c r="E74" s="763" t="s">
        <v>423</v>
      </c>
      <c r="F74" s="778">
        <f>SUM(F62:F73)</f>
        <v>20315795.579999998</v>
      </c>
      <c r="G74" s="778">
        <f t="shared" ref="G74:S74" si="21">SUM(G62:G73)</f>
        <v>25985129.739999995</v>
      </c>
      <c r="H74" s="778">
        <f t="shared" si="21"/>
        <v>21489963.910000004</v>
      </c>
      <c r="I74" s="778">
        <f t="shared" si="21"/>
        <v>25031043.339999992</v>
      </c>
      <c r="J74" s="778">
        <f t="shared" si="21"/>
        <v>19391541.48</v>
      </c>
      <c r="K74" s="778">
        <f t="shared" si="21"/>
        <v>13336927.270000001</v>
      </c>
      <c r="L74" s="778">
        <f t="shared" si="21"/>
        <v>11207105.25</v>
      </c>
      <c r="M74" s="778">
        <f t="shared" si="21"/>
        <v>8929667.6899999995</v>
      </c>
      <c r="N74" s="778">
        <f t="shared" si="21"/>
        <v>9393154.6999999955</v>
      </c>
      <c r="O74" s="778">
        <f t="shared" si="21"/>
        <v>9290701.3399999961</v>
      </c>
      <c r="P74" s="778">
        <f t="shared" si="21"/>
        <v>12139848.779999996</v>
      </c>
      <c r="Q74" s="778">
        <f t="shared" si="21"/>
        <v>13614121.359999998</v>
      </c>
      <c r="R74" s="778">
        <f t="shared" si="21"/>
        <v>19786161.890000001</v>
      </c>
      <c r="S74" s="618">
        <f t="shared" si="21"/>
        <v>19786161.890000001</v>
      </c>
      <c r="T74" s="773"/>
      <c r="U74" s="383"/>
      <c r="V74" s="383"/>
      <c r="W74" s="383"/>
      <c r="X74" s="393"/>
      <c r="Y74" s="383"/>
      <c r="Z74" s="383"/>
      <c r="AA74" s="383"/>
      <c r="AB74" s="383"/>
      <c r="AC74" s="773"/>
      <c r="AD74" s="773"/>
      <c r="AE74" s="773"/>
      <c r="AF74" s="781">
        <f t="shared" si="0"/>
        <v>0</v>
      </c>
    </row>
    <row r="75" spans="1:32">
      <c r="A75" s="779">
        <f t="shared" si="2"/>
        <v>61</v>
      </c>
      <c r="B75" s="779"/>
      <c r="C75" s="779"/>
      <c r="D75" s="779"/>
      <c r="E75" s="763" t="s">
        <v>104</v>
      </c>
      <c r="F75" s="778"/>
      <c r="G75" s="407"/>
      <c r="H75" s="408"/>
      <c r="I75" s="408"/>
      <c r="J75" s="409"/>
      <c r="K75" s="410"/>
      <c r="L75" s="411"/>
      <c r="M75" s="412"/>
      <c r="N75" s="413"/>
      <c r="O75" s="764"/>
      <c r="P75" s="415"/>
      <c r="Q75" s="416"/>
      <c r="R75" s="778"/>
      <c r="S75" s="392"/>
      <c r="T75" s="773"/>
      <c r="U75" s="383"/>
      <c r="V75" s="383"/>
      <c r="W75" s="383"/>
      <c r="X75" s="393"/>
      <c r="Y75" s="383"/>
      <c r="Z75" s="383"/>
      <c r="AA75" s="383"/>
      <c r="AB75" s="383"/>
      <c r="AC75" s="773"/>
      <c r="AD75" s="773"/>
      <c r="AE75" s="773"/>
      <c r="AF75" s="781">
        <f t="shared" si="0"/>
        <v>0</v>
      </c>
    </row>
    <row r="76" spans="1:32">
      <c r="A76" s="779">
        <f t="shared" si="2"/>
        <v>62</v>
      </c>
      <c r="B76" s="423" t="s">
        <v>1063</v>
      </c>
      <c r="C76" s="423" t="s">
        <v>424</v>
      </c>
      <c r="D76" s="423" t="s">
        <v>412</v>
      </c>
      <c r="E76" s="763" t="s">
        <v>425</v>
      </c>
      <c r="F76" s="778">
        <v>0</v>
      </c>
      <c r="G76" s="778">
        <v>0</v>
      </c>
      <c r="H76" s="778">
        <v>0</v>
      </c>
      <c r="I76" s="778">
        <v>0</v>
      </c>
      <c r="J76" s="778">
        <v>0</v>
      </c>
      <c r="K76" s="778">
        <v>0</v>
      </c>
      <c r="L76" s="778">
        <v>0</v>
      </c>
      <c r="M76" s="778">
        <v>0</v>
      </c>
      <c r="N76" s="778">
        <v>0</v>
      </c>
      <c r="O76" s="778">
        <v>0</v>
      </c>
      <c r="P76" s="778">
        <v>0</v>
      </c>
      <c r="Q76" s="778">
        <v>0</v>
      </c>
      <c r="R76" s="778">
        <v>0</v>
      </c>
      <c r="S76" s="618">
        <f t="shared" ref="S76:S88" si="22">+R76</f>
        <v>0</v>
      </c>
      <c r="T76" s="773"/>
      <c r="U76" s="383">
        <f t="shared" ref="U76:U77" si="23">+S76</f>
        <v>0</v>
      </c>
      <c r="V76" s="383"/>
      <c r="W76" s="383"/>
      <c r="X76" s="393"/>
      <c r="Y76" s="383"/>
      <c r="Z76" s="383"/>
      <c r="AA76" s="383"/>
      <c r="AB76" s="383"/>
      <c r="AC76" s="773"/>
      <c r="AD76" s="773"/>
      <c r="AE76" s="773"/>
      <c r="AF76" s="781">
        <f t="shared" si="0"/>
        <v>0</v>
      </c>
    </row>
    <row r="77" spans="1:32">
      <c r="A77" s="779">
        <f t="shared" si="2"/>
        <v>63</v>
      </c>
      <c r="B77" s="423" t="s">
        <v>1063</v>
      </c>
      <c r="C77" s="423" t="s">
        <v>424</v>
      </c>
      <c r="D77" s="423" t="s">
        <v>426</v>
      </c>
      <c r="E77" s="763" t="s">
        <v>427</v>
      </c>
      <c r="F77" s="778">
        <v>0</v>
      </c>
      <c r="G77" s="778">
        <v>0</v>
      </c>
      <c r="H77" s="778">
        <v>0</v>
      </c>
      <c r="I77" s="778">
        <v>0</v>
      </c>
      <c r="J77" s="778">
        <v>0</v>
      </c>
      <c r="K77" s="778">
        <v>0</v>
      </c>
      <c r="L77" s="778">
        <v>0</v>
      </c>
      <c r="M77" s="778">
        <v>0</v>
      </c>
      <c r="N77" s="778">
        <v>0</v>
      </c>
      <c r="O77" s="778">
        <v>0</v>
      </c>
      <c r="P77" s="778">
        <v>0</v>
      </c>
      <c r="Q77" s="778">
        <v>0</v>
      </c>
      <c r="R77" s="778">
        <v>0</v>
      </c>
      <c r="S77" s="618">
        <f t="shared" si="22"/>
        <v>0</v>
      </c>
      <c r="T77" s="773"/>
      <c r="U77" s="383">
        <f t="shared" si="23"/>
        <v>0</v>
      </c>
      <c r="V77" s="383"/>
      <c r="W77" s="383"/>
      <c r="X77" s="393"/>
      <c r="Y77" s="383"/>
      <c r="Z77" s="383"/>
      <c r="AA77" s="383"/>
      <c r="AB77" s="383"/>
      <c r="AC77" s="773"/>
      <c r="AD77" s="773"/>
      <c r="AE77" s="773"/>
      <c r="AF77" s="781">
        <f t="shared" si="0"/>
        <v>0</v>
      </c>
    </row>
    <row r="78" spans="1:32">
      <c r="A78" s="779">
        <f t="shared" si="2"/>
        <v>64</v>
      </c>
      <c r="B78" s="779"/>
      <c r="C78" s="779"/>
      <c r="D78" s="779"/>
      <c r="E78" s="763"/>
      <c r="F78" s="778"/>
      <c r="G78" s="407"/>
      <c r="H78" s="408"/>
      <c r="I78" s="408"/>
      <c r="J78" s="409"/>
      <c r="K78" s="410"/>
      <c r="L78" s="411"/>
      <c r="M78" s="412"/>
      <c r="N78" s="413"/>
      <c r="O78" s="764"/>
      <c r="P78" s="415"/>
      <c r="Q78" s="416"/>
      <c r="R78" s="778"/>
      <c r="S78" s="618">
        <f t="shared" si="22"/>
        <v>0</v>
      </c>
      <c r="T78" s="773"/>
      <c r="U78" s="383"/>
      <c r="V78" s="383"/>
      <c r="W78" s="383"/>
      <c r="X78" s="393">
        <f t="shared" ref="X78:X88" si="24">+S78</f>
        <v>0</v>
      </c>
      <c r="Y78" s="383"/>
      <c r="Z78" s="383"/>
      <c r="AA78" s="383"/>
      <c r="AB78" s="383"/>
      <c r="AC78" s="773"/>
      <c r="AD78" s="773"/>
      <c r="AE78" s="773"/>
      <c r="AF78" s="781">
        <f t="shared" si="0"/>
        <v>0</v>
      </c>
    </row>
    <row r="79" spans="1:32">
      <c r="A79" s="779">
        <f t="shared" si="2"/>
        <v>65</v>
      </c>
      <c r="B79" s="423" t="s">
        <v>1063</v>
      </c>
      <c r="C79" s="423" t="s">
        <v>428</v>
      </c>
      <c r="D79" s="423" t="s">
        <v>757</v>
      </c>
      <c r="E79" s="763" t="s">
        <v>429</v>
      </c>
      <c r="F79" s="778">
        <v>0</v>
      </c>
      <c r="G79" s="778">
        <v>0</v>
      </c>
      <c r="H79" s="778">
        <v>0</v>
      </c>
      <c r="I79" s="778">
        <v>0</v>
      </c>
      <c r="J79" s="778">
        <v>0</v>
      </c>
      <c r="K79" s="778">
        <v>0</v>
      </c>
      <c r="L79" s="778">
        <v>0</v>
      </c>
      <c r="M79" s="778">
        <v>0</v>
      </c>
      <c r="N79" s="778">
        <v>0</v>
      </c>
      <c r="O79" s="778">
        <v>0</v>
      </c>
      <c r="P79" s="778">
        <v>0</v>
      </c>
      <c r="Q79" s="778">
        <v>0</v>
      </c>
      <c r="R79" s="778">
        <v>109738.76</v>
      </c>
      <c r="S79" s="618">
        <f t="shared" si="22"/>
        <v>109738.76</v>
      </c>
      <c r="T79" s="773"/>
      <c r="U79" s="383"/>
      <c r="V79" s="383"/>
      <c r="W79" s="383"/>
      <c r="X79" s="393">
        <f t="shared" si="24"/>
        <v>109738.76</v>
      </c>
      <c r="Y79" s="383"/>
      <c r="Z79" s="383"/>
      <c r="AA79" s="383"/>
      <c r="AB79" s="383">
        <f t="shared" ref="AB79:AB88" si="25">+S79</f>
        <v>109738.76</v>
      </c>
      <c r="AC79" s="773"/>
      <c r="AD79" s="773"/>
      <c r="AE79" s="773"/>
      <c r="AF79" s="781">
        <f t="shared" ref="AF79:AF142" si="26">+U79+V79-AD79</f>
        <v>0</v>
      </c>
    </row>
    <row r="80" spans="1:32">
      <c r="A80" s="779">
        <f t="shared" si="2"/>
        <v>66</v>
      </c>
      <c r="B80" s="423" t="s">
        <v>1063</v>
      </c>
      <c r="C80" s="423" t="s">
        <v>428</v>
      </c>
      <c r="D80" s="423" t="s">
        <v>430</v>
      </c>
      <c r="E80" s="763" t="s">
        <v>1685</v>
      </c>
      <c r="F80" s="778">
        <v>0</v>
      </c>
      <c r="G80" s="778">
        <v>0</v>
      </c>
      <c r="H80" s="778">
        <v>0</v>
      </c>
      <c r="I80" s="778">
        <v>0</v>
      </c>
      <c r="J80" s="778">
        <v>0</v>
      </c>
      <c r="K80" s="778">
        <v>0</v>
      </c>
      <c r="L80" s="778">
        <v>0</v>
      </c>
      <c r="M80" s="778">
        <v>0</v>
      </c>
      <c r="N80" s="778">
        <v>0</v>
      </c>
      <c r="O80" s="778">
        <v>0</v>
      </c>
      <c r="P80" s="778">
        <v>0</v>
      </c>
      <c r="Q80" s="778">
        <v>0</v>
      </c>
      <c r="R80" s="778">
        <v>0</v>
      </c>
      <c r="S80" s="618">
        <f t="shared" si="22"/>
        <v>0</v>
      </c>
      <c r="T80" s="773"/>
      <c r="U80" s="383"/>
      <c r="V80" s="383"/>
      <c r="W80" s="383"/>
      <c r="X80" s="393">
        <f t="shared" si="24"/>
        <v>0</v>
      </c>
      <c r="Y80" s="383"/>
      <c r="Z80" s="383"/>
      <c r="AA80" s="383"/>
      <c r="AB80" s="383">
        <f t="shared" si="25"/>
        <v>0</v>
      </c>
      <c r="AC80" s="773"/>
      <c r="AD80" s="773"/>
      <c r="AE80" s="773"/>
      <c r="AF80" s="781">
        <f t="shared" si="26"/>
        <v>0</v>
      </c>
    </row>
    <row r="81" spans="1:32">
      <c r="A81" s="779">
        <f t="shared" ref="A81:A144" si="27">+A80+1</f>
        <v>67</v>
      </c>
      <c r="B81" s="423" t="s">
        <v>1063</v>
      </c>
      <c r="C81" s="423" t="s">
        <v>428</v>
      </c>
      <c r="D81" s="423" t="s">
        <v>431</v>
      </c>
      <c r="E81" s="763" t="s">
        <v>1686</v>
      </c>
      <c r="F81" s="778">
        <v>0</v>
      </c>
      <c r="G81" s="778">
        <v>0</v>
      </c>
      <c r="H81" s="778">
        <v>0</v>
      </c>
      <c r="I81" s="778">
        <v>0</v>
      </c>
      <c r="J81" s="778">
        <v>0</v>
      </c>
      <c r="K81" s="778">
        <v>0</v>
      </c>
      <c r="L81" s="778">
        <v>0</v>
      </c>
      <c r="M81" s="778">
        <v>0</v>
      </c>
      <c r="N81" s="778">
        <v>0</v>
      </c>
      <c r="O81" s="778">
        <v>0</v>
      </c>
      <c r="P81" s="778">
        <v>0</v>
      </c>
      <c r="Q81" s="778">
        <v>0</v>
      </c>
      <c r="R81" s="778">
        <v>19792.61</v>
      </c>
      <c r="S81" s="618">
        <f t="shared" si="22"/>
        <v>19792.61</v>
      </c>
      <c r="T81" s="773"/>
      <c r="U81" s="383"/>
      <c r="V81" s="383"/>
      <c r="W81" s="383"/>
      <c r="X81" s="393">
        <f t="shared" si="24"/>
        <v>19792.61</v>
      </c>
      <c r="Y81" s="383"/>
      <c r="Z81" s="383"/>
      <c r="AA81" s="383"/>
      <c r="AB81" s="383">
        <f t="shared" si="25"/>
        <v>19792.61</v>
      </c>
      <c r="AC81" s="773"/>
      <c r="AD81" s="773"/>
      <c r="AE81" s="773"/>
      <c r="AF81" s="781">
        <f t="shared" si="26"/>
        <v>0</v>
      </c>
    </row>
    <row r="82" spans="1:32">
      <c r="A82" s="779">
        <f t="shared" si="27"/>
        <v>68</v>
      </c>
      <c r="B82" s="423" t="s">
        <v>1063</v>
      </c>
      <c r="C82" s="423" t="s">
        <v>428</v>
      </c>
      <c r="D82" s="423" t="s">
        <v>432</v>
      </c>
      <c r="E82" s="763" t="s">
        <v>433</v>
      </c>
      <c r="F82" s="778">
        <v>0</v>
      </c>
      <c r="G82" s="778">
        <v>0</v>
      </c>
      <c r="H82" s="778">
        <v>0</v>
      </c>
      <c r="I82" s="778">
        <v>0</v>
      </c>
      <c r="J82" s="778">
        <v>0</v>
      </c>
      <c r="K82" s="778">
        <v>0</v>
      </c>
      <c r="L82" s="778">
        <v>3300</v>
      </c>
      <c r="M82" s="778">
        <v>0</v>
      </c>
      <c r="N82" s="778">
        <v>0</v>
      </c>
      <c r="O82" s="778">
        <v>0</v>
      </c>
      <c r="P82" s="778">
        <v>0</v>
      </c>
      <c r="Q82" s="778">
        <v>0</v>
      </c>
      <c r="R82" s="778">
        <v>0</v>
      </c>
      <c r="S82" s="618">
        <f t="shared" si="22"/>
        <v>0</v>
      </c>
      <c r="T82" s="773"/>
      <c r="U82" s="383"/>
      <c r="V82" s="383"/>
      <c r="W82" s="383"/>
      <c r="X82" s="393">
        <f t="shared" si="24"/>
        <v>0</v>
      </c>
      <c r="Y82" s="383"/>
      <c r="Z82" s="383"/>
      <c r="AA82" s="383"/>
      <c r="AB82" s="383">
        <f t="shared" si="25"/>
        <v>0</v>
      </c>
      <c r="AC82" s="773"/>
      <c r="AD82" s="773"/>
      <c r="AE82" s="773"/>
      <c r="AF82" s="781">
        <f t="shared" si="26"/>
        <v>0</v>
      </c>
    </row>
    <row r="83" spans="1:32">
      <c r="A83" s="779">
        <f t="shared" si="27"/>
        <v>69</v>
      </c>
      <c r="B83" s="423" t="s">
        <v>1063</v>
      </c>
      <c r="C83" s="423" t="s">
        <v>428</v>
      </c>
      <c r="D83" s="423" t="s">
        <v>434</v>
      </c>
      <c r="E83" s="763" t="s">
        <v>435</v>
      </c>
      <c r="F83" s="778">
        <v>0</v>
      </c>
      <c r="G83" s="778">
        <v>0</v>
      </c>
      <c r="H83" s="778">
        <v>0</v>
      </c>
      <c r="I83" s="778">
        <v>0</v>
      </c>
      <c r="J83" s="778">
        <v>0</v>
      </c>
      <c r="K83" s="778">
        <v>0</v>
      </c>
      <c r="L83" s="778">
        <v>0</v>
      </c>
      <c r="M83" s="778">
        <v>0</v>
      </c>
      <c r="N83" s="778">
        <v>0</v>
      </c>
      <c r="O83" s="778">
        <v>0</v>
      </c>
      <c r="P83" s="778">
        <v>0</v>
      </c>
      <c r="Q83" s="778">
        <v>0</v>
      </c>
      <c r="R83" s="778">
        <v>0</v>
      </c>
      <c r="S83" s="618">
        <f t="shared" si="22"/>
        <v>0</v>
      </c>
      <c r="T83" s="773"/>
      <c r="U83" s="383"/>
      <c r="V83" s="383"/>
      <c r="W83" s="383"/>
      <c r="X83" s="393">
        <f t="shared" si="24"/>
        <v>0</v>
      </c>
      <c r="Y83" s="383"/>
      <c r="Z83" s="383"/>
      <c r="AA83" s="383"/>
      <c r="AB83" s="383">
        <f t="shared" si="25"/>
        <v>0</v>
      </c>
      <c r="AC83" s="773"/>
      <c r="AD83" s="773"/>
      <c r="AE83" s="773"/>
      <c r="AF83" s="781">
        <f t="shared" si="26"/>
        <v>0</v>
      </c>
    </row>
    <row r="84" spans="1:32">
      <c r="A84" s="779">
        <f t="shared" si="27"/>
        <v>70</v>
      </c>
      <c r="B84" s="423" t="s">
        <v>1063</v>
      </c>
      <c r="C84" s="423" t="s">
        <v>428</v>
      </c>
      <c r="D84" s="423" t="s">
        <v>436</v>
      </c>
      <c r="E84" s="763" t="s">
        <v>437</v>
      </c>
      <c r="F84" s="778">
        <v>0</v>
      </c>
      <c r="G84" s="778">
        <v>0</v>
      </c>
      <c r="H84" s="778">
        <v>0</v>
      </c>
      <c r="I84" s="778">
        <v>0</v>
      </c>
      <c r="J84" s="778">
        <v>0</v>
      </c>
      <c r="K84" s="778">
        <v>0</v>
      </c>
      <c r="L84" s="778">
        <v>0</v>
      </c>
      <c r="M84" s="778">
        <v>0</v>
      </c>
      <c r="N84" s="778">
        <v>0</v>
      </c>
      <c r="O84" s="778">
        <v>0</v>
      </c>
      <c r="P84" s="778">
        <v>0</v>
      </c>
      <c r="Q84" s="778">
        <v>0</v>
      </c>
      <c r="R84" s="778">
        <v>0</v>
      </c>
      <c r="S84" s="618">
        <f t="shared" si="22"/>
        <v>0</v>
      </c>
      <c r="T84" s="773"/>
      <c r="U84" s="383"/>
      <c r="V84" s="383"/>
      <c r="W84" s="383"/>
      <c r="X84" s="393">
        <f t="shared" si="24"/>
        <v>0</v>
      </c>
      <c r="Y84" s="383"/>
      <c r="Z84" s="383"/>
      <c r="AA84" s="383"/>
      <c r="AB84" s="383">
        <f t="shared" si="25"/>
        <v>0</v>
      </c>
      <c r="AC84" s="773"/>
      <c r="AD84" s="773"/>
      <c r="AE84" s="773"/>
      <c r="AF84" s="781">
        <f t="shared" si="26"/>
        <v>0</v>
      </c>
    </row>
    <row r="85" spans="1:32">
      <c r="A85" s="779">
        <f t="shared" si="27"/>
        <v>71</v>
      </c>
      <c r="B85" s="423" t="s">
        <v>1063</v>
      </c>
      <c r="C85" s="423" t="s">
        <v>428</v>
      </c>
      <c r="D85" s="423" t="s">
        <v>438</v>
      </c>
      <c r="E85" s="763" t="s">
        <v>439</v>
      </c>
      <c r="F85" s="778">
        <v>0</v>
      </c>
      <c r="G85" s="778">
        <v>0</v>
      </c>
      <c r="H85" s="778">
        <v>0</v>
      </c>
      <c r="I85" s="778">
        <v>0</v>
      </c>
      <c r="J85" s="778">
        <v>0</v>
      </c>
      <c r="K85" s="778">
        <v>0</v>
      </c>
      <c r="L85" s="778">
        <v>0</v>
      </c>
      <c r="M85" s="778">
        <v>0</v>
      </c>
      <c r="N85" s="778">
        <v>0</v>
      </c>
      <c r="O85" s="778">
        <v>0</v>
      </c>
      <c r="P85" s="778">
        <v>0</v>
      </c>
      <c r="Q85" s="778">
        <v>0</v>
      </c>
      <c r="R85" s="778">
        <v>0</v>
      </c>
      <c r="S85" s="618">
        <f t="shared" si="22"/>
        <v>0</v>
      </c>
      <c r="T85" s="773"/>
      <c r="U85" s="383"/>
      <c r="V85" s="383"/>
      <c r="W85" s="383"/>
      <c r="X85" s="393">
        <f t="shared" si="24"/>
        <v>0</v>
      </c>
      <c r="Y85" s="383"/>
      <c r="Z85" s="383"/>
      <c r="AA85" s="383"/>
      <c r="AB85" s="383">
        <f t="shared" si="25"/>
        <v>0</v>
      </c>
      <c r="AC85" s="773"/>
      <c r="AD85" s="773"/>
      <c r="AE85" s="773"/>
      <c r="AF85" s="781">
        <f t="shared" si="26"/>
        <v>0</v>
      </c>
    </row>
    <row r="86" spans="1:32">
      <c r="A86" s="779">
        <f t="shared" si="27"/>
        <v>72</v>
      </c>
      <c r="B86" s="423" t="s">
        <v>1063</v>
      </c>
      <c r="C86" s="423" t="s">
        <v>428</v>
      </c>
      <c r="D86" s="423" t="s">
        <v>440</v>
      </c>
      <c r="E86" s="763" t="s">
        <v>441</v>
      </c>
      <c r="F86" s="778">
        <v>0</v>
      </c>
      <c r="G86" s="778">
        <v>0</v>
      </c>
      <c r="H86" s="778">
        <v>0</v>
      </c>
      <c r="I86" s="778">
        <v>0</v>
      </c>
      <c r="J86" s="778">
        <v>0</v>
      </c>
      <c r="K86" s="778">
        <v>0</v>
      </c>
      <c r="L86" s="778">
        <v>0</v>
      </c>
      <c r="M86" s="778">
        <v>0</v>
      </c>
      <c r="N86" s="778">
        <v>0</v>
      </c>
      <c r="O86" s="778">
        <v>0</v>
      </c>
      <c r="P86" s="778">
        <v>0</v>
      </c>
      <c r="Q86" s="778">
        <v>0</v>
      </c>
      <c r="R86" s="778">
        <v>0</v>
      </c>
      <c r="S86" s="618">
        <f t="shared" si="22"/>
        <v>0</v>
      </c>
      <c r="T86" s="773"/>
      <c r="U86" s="383"/>
      <c r="V86" s="383"/>
      <c r="W86" s="383"/>
      <c r="X86" s="393">
        <f t="shared" si="24"/>
        <v>0</v>
      </c>
      <c r="Y86" s="383"/>
      <c r="Z86" s="383"/>
      <c r="AA86" s="383"/>
      <c r="AB86" s="383">
        <f t="shared" si="25"/>
        <v>0</v>
      </c>
      <c r="AC86" s="773"/>
      <c r="AD86" s="773"/>
      <c r="AE86" s="773"/>
      <c r="AF86" s="781">
        <f t="shared" si="26"/>
        <v>0</v>
      </c>
    </row>
    <row r="87" spans="1:32">
      <c r="A87" s="779">
        <f t="shared" si="27"/>
        <v>73</v>
      </c>
      <c r="B87" s="423" t="s">
        <v>1063</v>
      </c>
      <c r="C87" s="423" t="s">
        <v>428</v>
      </c>
      <c r="D87" s="423" t="s">
        <v>442</v>
      </c>
      <c r="E87" s="763" t="s">
        <v>443</v>
      </c>
      <c r="F87" s="778">
        <v>0</v>
      </c>
      <c r="G87" s="778">
        <v>0</v>
      </c>
      <c r="H87" s="778">
        <v>0</v>
      </c>
      <c r="I87" s="778">
        <v>0</v>
      </c>
      <c r="J87" s="778">
        <v>0</v>
      </c>
      <c r="K87" s="778">
        <v>0</v>
      </c>
      <c r="L87" s="778">
        <v>0</v>
      </c>
      <c r="M87" s="778">
        <v>0</v>
      </c>
      <c r="N87" s="778">
        <v>0</v>
      </c>
      <c r="O87" s="778">
        <v>0</v>
      </c>
      <c r="P87" s="778">
        <v>0</v>
      </c>
      <c r="Q87" s="778">
        <v>0</v>
      </c>
      <c r="R87" s="778">
        <v>0</v>
      </c>
      <c r="S87" s="618">
        <f t="shared" si="22"/>
        <v>0</v>
      </c>
      <c r="T87" s="773"/>
      <c r="U87" s="383"/>
      <c r="V87" s="383"/>
      <c r="W87" s="383"/>
      <c r="X87" s="393">
        <f t="shared" si="24"/>
        <v>0</v>
      </c>
      <c r="Y87" s="383"/>
      <c r="Z87" s="383"/>
      <c r="AA87" s="383"/>
      <c r="AB87" s="383">
        <f t="shared" si="25"/>
        <v>0</v>
      </c>
      <c r="AC87" s="773"/>
      <c r="AD87" s="773"/>
      <c r="AE87" s="773"/>
      <c r="AF87" s="781">
        <f t="shared" si="26"/>
        <v>0</v>
      </c>
    </row>
    <row r="88" spans="1:32">
      <c r="A88" s="779">
        <f t="shared" si="27"/>
        <v>74</v>
      </c>
      <c r="B88" s="423" t="s">
        <v>1063</v>
      </c>
      <c r="C88" s="423" t="s">
        <v>428</v>
      </c>
      <c r="D88" s="423" t="s">
        <v>444</v>
      </c>
      <c r="E88" s="763" t="s">
        <v>445</v>
      </c>
      <c r="F88" s="405">
        <v>0</v>
      </c>
      <c r="G88" s="405">
        <v>0</v>
      </c>
      <c r="H88" s="405">
        <v>0</v>
      </c>
      <c r="I88" s="405">
        <v>0</v>
      </c>
      <c r="J88" s="405">
        <v>0</v>
      </c>
      <c r="K88" s="405">
        <v>171.65</v>
      </c>
      <c r="L88" s="405">
        <v>0</v>
      </c>
      <c r="M88" s="405">
        <v>0</v>
      </c>
      <c r="N88" s="405">
        <v>0</v>
      </c>
      <c r="O88" s="405">
        <v>0</v>
      </c>
      <c r="P88" s="405">
        <v>0</v>
      </c>
      <c r="Q88" s="405">
        <v>17559.13</v>
      </c>
      <c r="R88" s="405">
        <v>0</v>
      </c>
      <c r="S88" s="618">
        <f t="shared" si="22"/>
        <v>0</v>
      </c>
      <c r="T88" s="773"/>
      <c r="U88" s="383"/>
      <c r="V88" s="383"/>
      <c r="W88" s="383"/>
      <c r="X88" s="393">
        <f t="shared" si="24"/>
        <v>0</v>
      </c>
      <c r="Y88" s="383"/>
      <c r="Z88" s="383"/>
      <c r="AA88" s="383"/>
      <c r="AB88" s="383">
        <f t="shared" si="25"/>
        <v>0</v>
      </c>
      <c r="AC88" s="773"/>
      <c r="AD88" s="773"/>
      <c r="AE88" s="773"/>
      <c r="AF88" s="781">
        <f t="shared" si="26"/>
        <v>0</v>
      </c>
    </row>
    <row r="89" spans="1:32">
      <c r="A89" s="779">
        <f t="shared" si="27"/>
        <v>75</v>
      </c>
      <c r="B89" s="779"/>
      <c r="C89" s="779"/>
      <c r="D89" s="779"/>
      <c r="E89" s="763" t="s">
        <v>446</v>
      </c>
      <c r="F89" s="394">
        <f>SUM(F76:F88)</f>
        <v>0</v>
      </c>
      <c r="G89" s="394">
        <f t="shared" ref="G89:S89" si="28">SUM(G76:G88)</f>
        <v>0</v>
      </c>
      <c r="H89" s="394">
        <f t="shared" si="28"/>
        <v>0</v>
      </c>
      <c r="I89" s="394">
        <f t="shared" si="28"/>
        <v>0</v>
      </c>
      <c r="J89" s="394">
        <f t="shared" si="28"/>
        <v>0</v>
      </c>
      <c r="K89" s="394">
        <f t="shared" si="28"/>
        <v>171.65</v>
      </c>
      <c r="L89" s="394">
        <f t="shared" si="28"/>
        <v>3300</v>
      </c>
      <c r="M89" s="394">
        <f t="shared" si="28"/>
        <v>0</v>
      </c>
      <c r="N89" s="394">
        <f t="shared" si="28"/>
        <v>0</v>
      </c>
      <c r="O89" s="394">
        <f t="shared" si="28"/>
        <v>0</v>
      </c>
      <c r="P89" s="394">
        <f t="shared" si="28"/>
        <v>0</v>
      </c>
      <c r="Q89" s="394">
        <f t="shared" si="28"/>
        <v>17559.13</v>
      </c>
      <c r="R89" s="394">
        <f t="shared" si="28"/>
        <v>129531.37</v>
      </c>
      <c r="S89" s="620">
        <f t="shared" si="28"/>
        <v>129531.37</v>
      </c>
      <c r="T89" s="773"/>
      <c r="U89" s="383"/>
      <c r="V89" s="383"/>
      <c r="W89" s="383"/>
      <c r="X89" s="393"/>
      <c r="Y89" s="383"/>
      <c r="Z89" s="383"/>
      <c r="AA89" s="383"/>
      <c r="AB89" s="383"/>
      <c r="AC89" s="773"/>
      <c r="AD89" s="773"/>
      <c r="AE89" s="773"/>
      <c r="AF89" s="781">
        <f t="shared" si="26"/>
        <v>0</v>
      </c>
    </row>
    <row r="90" spans="1:32">
      <c r="A90" s="779">
        <f t="shared" si="27"/>
        <v>76</v>
      </c>
      <c r="B90" s="779"/>
      <c r="C90" s="779"/>
      <c r="D90" s="779"/>
      <c r="E90" s="763"/>
      <c r="F90" s="778"/>
      <c r="G90" s="407"/>
      <c r="H90" s="408"/>
      <c r="I90" s="408"/>
      <c r="J90" s="409"/>
      <c r="K90" s="410"/>
      <c r="L90" s="411"/>
      <c r="M90" s="412"/>
      <c r="N90" s="413"/>
      <c r="O90" s="418"/>
      <c r="P90" s="415"/>
      <c r="Q90" s="416"/>
      <c r="R90" s="778"/>
      <c r="S90" s="392"/>
      <c r="T90" s="773"/>
      <c r="U90" s="383"/>
      <c r="V90" s="383"/>
      <c r="W90" s="383"/>
      <c r="X90" s="393"/>
      <c r="Y90" s="383"/>
      <c r="Z90" s="383"/>
      <c r="AA90" s="383"/>
      <c r="AB90" s="383"/>
      <c r="AC90" s="773"/>
      <c r="AD90" s="773"/>
      <c r="AE90" s="773"/>
      <c r="AF90" s="781">
        <f t="shared" si="26"/>
        <v>0</v>
      </c>
    </row>
    <row r="91" spans="1:32">
      <c r="A91" s="779">
        <f t="shared" si="27"/>
        <v>77</v>
      </c>
      <c r="B91" s="423" t="s">
        <v>1063</v>
      </c>
      <c r="C91" s="423" t="s">
        <v>447</v>
      </c>
      <c r="D91" s="779"/>
      <c r="E91" s="763" t="s">
        <v>448</v>
      </c>
      <c r="F91" s="778">
        <v>0</v>
      </c>
      <c r="G91" s="778">
        <v>0</v>
      </c>
      <c r="H91" s="778">
        <v>0</v>
      </c>
      <c r="I91" s="778">
        <v>0</v>
      </c>
      <c r="J91" s="778">
        <v>0</v>
      </c>
      <c r="K91" s="778">
        <v>0</v>
      </c>
      <c r="L91" s="778">
        <v>0</v>
      </c>
      <c r="M91" s="778">
        <v>0</v>
      </c>
      <c r="N91" s="778">
        <v>0</v>
      </c>
      <c r="O91" s="778">
        <v>0</v>
      </c>
      <c r="P91" s="778">
        <v>0</v>
      </c>
      <c r="Q91" s="778">
        <v>0</v>
      </c>
      <c r="R91" s="778">
        <v>0</v>
      </c>
      <c r="S91" s="618">
        <f>+R91</f>
        <v>0</v>
      </c>
      <c r="T91" s="773"/>
      <c r="U91" s="383"/>
      <c r="V91" s="383"/>
      <c r="W91" s="383"/>
      <c r="X91" s="393"/>
      <c r="Y91" s="383"/>
      <c r="Z91" s="383"/>
      <c r="AA91" s="383"/>
      <c r="AB91" s="383"/>
      <c r="AC91" s="773"/>
      <c r="AD91" s="773"/>
      <c r="AE91" s="773"/>
      <c r="AF91" s="781">
        <f t="shared" si="26"/>
        <v>0</v>
      </c>
    </row>
    <row r="92" spans="1:32">
      <c r="A92" s="779">
        <f t="shared" si="27"/>
        <v>78</v>
      </c>
      <c r="B92" s="779"/>
      <c r="C92" s="779"/>
      <c r="D92" s="779"/>
      <c r="E92" s="763"/>
      <c r="F92" s="778"/>
      <c r="G92" s="407"/>
      <c r="H92" s="408"/>
      <c r="I92" s="408"/>
      <c r="J92" s="409"/>
      <c r="K92" s="410"/>
      <c r="L92" s="411"/>
      <c r="M92" s="412"/>
      <c r="N92" s="413"/>
      <c r="O92" s="764"/>
      <c r="P92" s="415"/>
      <c r="Q92" s="416"/>
      <c r="R92" s="778"/>
      <c r="S92" s="392"/>
      <c r="T92" s="773"/>
      <c r="U92" s="383"/>
      <c r="V92" s="383"/>
      <c r="W92" s="383"/>
      <c r="X92" s="393"/>
      <c r="Y92" s="383"/>
      <c r="Z92" s="383"/>
      <c r="AA92" s="383"/>
      <c r="AB92" s="383"/>
      <c r="AC92" s="773"/>
      <c r="AD92" s="773"/>
      <c r="AE92" s="773"/>
      <c r="AF92" s="781">
        <f t="shared" si="26"/>
        <v>0</v>
      </c>
    </row>
    <row r="93" spans="1:32">
      <c r="A93" s="779">
        <f t="shared" si="27"/>
        <v>79</v>
      </c>
      <c r="B93" s="779"/>
      <c r="C93" s="779"/>
      <c r="D93" s="779"/>
      <c r="E93" s="763" t="s">
        <v>449</v>
      </c>
      <c r="F93" s="778">
        <f>+F91+F89+F74</f>
        <v>20315795.579999998</v>
      </c>
      <c r="G93" s="778">
        <f t="shared" ref="G93:S93" si="29">+G91+G89+G74</f>
        <v>25985129.739999995</v>
      </c>
      <c r="H93" s="778">
        <f t="shared" si="29"/>
        <v>21489963.910000004</v>
      </c>
      <c r="I93" s="778">
        <f t="shared" si="29"/>
        <v>25031043.339999992</v>
      </c>
      <c r="J93" s="778">
        <f t="shared" si="29"/>
        <v>19391541.48</v>
      </c>
      <c r="K93" s="778">
        <f t="shared" si="29"/>
        <v>13337098.920000002</v>
      </c>
      <c r="L93" s="778">
        <f t="shared" si="29"/>
        <v>11210405.25</v>
      </c>
      <c r="M93" s="778">
        <f t="shared" si="29"/>
        <v>8929667.6899999995</v>
      </c>
      <c r="N93" s="778">
        <f t="shared" si="29"/>
        <v>9393154.6999999955</v>
      </c>
      <c r="O93" s="778">
        <f t="shared" si="29"/>
        <v>9290701.3399999961</v>
      </c>
      <c r="P93" s="778">
        <f t="shared" si="29"/>
        <v>12139848.779999996</v>
      </c>
      <c r="Q93" s="778">
        <f t="shared" si="29"/>
        <v>13631680.489999998</v>
      </c>
      <c r="R93" s="778">
        <f t="shared" si="29"/>
        <v>19915693.260000002</v>
      </c>
      <c r="S93" s="618">
        <f t="shared" si="29"/>
        <v>19915693.260000002</v>
      </c>
      <c r="T93" s="773"/>
      <c r="U93" s="383"/>
      <c r="V93" s="383"/>
      <c r="W93" s="383"/>
      <c r="X93" s="393"/>
      <c r="Y93" s="383"/>
      <c r="Z93" s="383"/>
      <c r="AA93" s="383"/>
      <c r="AB93" s="383"/>
      <c r="AC93" s="773"/>
      <c r="AD93" s="773"/>
      <c r="AE93" s="773"/>
      <c r="AF93" s="781">
        <f t="shared" si="26"/>
        <v>0</v>
      </c>
    </row>
    <row r="94" spans="1:32">
      <c r="A94" s="779">
        <f t="shared" si="27"/>
        <v>80</v>
      </c>
      <c r="B94" s="779"/>
      <c r="C94" s="779"/>
      <c r="D94" s="779"/>
      <c r="E94" s="763"/>
      <c r="F94" s="778"/>
      <c r="G94" s="407"/>
      <c r="H94" s="408"/>
      <c r="I94" s="408"/>
      <c r="J94" s="409"/>
      <c r="K94" s="410"/>
      <c r="L94" s="411"/>
      <c r="M94" s="412"/>
      <c r="N94" s="413"/>
      <c r="O94" s="764"/>
      <c r="P94" s="415"/>
      <c r="Q94" s="416"/>
      <c r="R94" s="778"/>
      <c r="S94" s="618">
        <f t="shared" ref="S94:S113" si="30">+R94</f>
        <v>0</v>
      </c>
      <c r="T94" s="773"/>
      <c r="U94" s="383"/>
      <c r="V94" s="383"/>
      <c r="W94" s="383"/>
      <c r="X94" s="393"/>
      <c r="Y94" s="383"/>
      <c r="Z94" s="383"/>
      <c r="AA94" s="383"/>
      <c r="AB94" s="383"/>
      <c r="AC94" s="773"/>
      <c r="AD94" s="773"/>
      <c r="AE94" s="773"/>
      <c r="AF94" s="781">
        <f t="shared" si="26"/>
        <v>0</v>
      </c>
    </row>
    <row r="95" spans="1:32">
      <c r="A95" s="779">
        <f t="shared" si="27"/>
        <v>81</v>
      </c>
      <c r="B95" s="423" t="s">
        <v>1094</v>
      </c>
      <c r="C95" s="423" t="s">
        <v>450</v>
      </c>
      <c r="D95" s="423" t="s">
        <v>757</v>
      </c>
      <c r="E95" s="777" t="s">
        <v>1802</v>
      </c>
      <c r="F95" s="778">
        <v>-94848.38</v>
      </c>
      <c r="G95" s="778">
        <v>-122637.92</v>
      </c>
      <c r="H95" s="778">
        <v>-122637.92</v>
      </c>
      <c r="I95" s="778">
        <v>-122637.92</v>
      </c>
      <c r="J95" s="778">
        <v>-122637.92</v>
      </c>
      <c r="K95" s="778">
        <v>-122637.92</v>
      </c>
      <c r="L95" s="778">
        <v>-122637.92</v>
      </c>
      <c r="M95" s="778">
        <v>-122637.92</v>
      </c>
      <c r="N95" s="778">
        <v>-122637.92</v>
      </c>
      <c r="O95" s="778">
        <v>-122637.92</v>
      </c>
      <c r="P95" s="778">
        <v>-122637.92</v>
      </c>
      <c r="Q95" s="778">
        <v>-122637.92</v>
      </c>
      <c r="R95" s="778">
        <v>-122637.92</v>
      </c>
      <c r="S95" s="618">
        <f t="shared" si="30"/>
        <v>-122637.92</v>
      </c>
      <c r="T95" s="773"/>
      <c r="U95" s="383">
        <f t="shared" ref="U95:U113" si="31">+S95</f>
        <v>-122637.92</v>
      </c>
      <c r="V95" s="383"/>
      <c r="W95" s="383"/>
      <c r="X95" s="393"/>
      <c r="Y95" s="383"/>
      <c r="Z95" s="383"/>
      <c r="AA95" s="383"/>
      <c r="AB95" s="383"/>
      <c r="AC95" s="773"/>
      <c r="AD95" s="417">
        <f t="shared" ref="AD95:AD113" si="32">+U95</f>
        <v>-122637.92</v>
      </c>
      <c r="AE95" s="773"/>
      <c r="AF95" s="781">
        <f t="shared" si="26"/>
        <v>0</v>
      </c>
    </row>
    <row r="96" spans="1:32">
      <c r="A96" s="779">
        <f t="shared" si="27"/>
        <v>82</v>
      </c>
      <c r="B96" s="423" t="s">
        <v>1066</v>
      </c>
      <c r="C96" s="423" t="s">
        <v>450</v>
      </c>
      <c r="D96" s="423" t="s">
        <v>757</v>
      </c>
      <c r="E96" s="777" t="s">
        <v>1802</v>
      </c>
      <c r="F96" s="778">
        <v>-317289.09999999998</v>
      </c>
      <c r="G96" s="778">
        <v>-288682.78000000003</v>
      </c>
      <c r="H96" s="778">
        <v>-288682.78000000003</v>
      </c>
      <c r="I96" s="778">
        <v>-288682.78000000003</v>
      </c>
      <c r="J96" s="778">
        <v>-288682.78000000003</v>
      </c>
      <c r="K96" s="778">
        <v>-288682.78000000003</v>
      </c>
      <c r="L96" s="778">
        <v>-288682.78000000003</v>
      </c>
      <c r="M96" s="778">
        <v>-288682.78000000003</v>
      </c>
      <c r="N96" s="778">
        <v>-288682.78000000003</v>
      </c>
      <c r="O96" s="778">
        <v>-288682.78000000003</v>
      </c>
      <c r="P96" s="778">
        <v>-288682.78000000003</v>
      </c>
      <c r="Q96" s="778">
        <v>-288682.78000000003</v>
      </c>
      <c r="R96" s="778">
        <v>-288682.78000000003</v>
      </c>
      <c r="S96" s="618">
        <f t="shared" si="30"/>
        <v>-288682.78000000003</v>
      </c>
      <c r="T96" s="773"/>
      <c r="U96" s="383">
        <f t="shared" si="31"/>
        <v>-288682.78000000003</v>
      </c>
      <c r="V96" s="383"/>
      <c r="W96" s="383"/>
      <c r="X96" s="393"/>
      <c r="Y96" s="383"/>
      <c r="Z96" s="383"/>
      <c r="AA96" s="383"/>
      <c r="AB96" s="383"/>
      <c r="AC96" s="773"/>
      <c r="AD96" s="417">
        <f t="shared" si="32"/>
        <v>-288682.78000000003</v>
      </c>
      <c r="AE96" s="773"/>
      <c r="AF96" s="781">
        <f t="shared" si="26"/>
        <v>0</v>
      </c>
    </row>
    <row r="97" spans="1:32">
      <c r="A97" s="779">
        <f t="shared" si="27"/>
        <v>83</v>
      </c>
      <c r="B97" s="423" t="s">
        <v>1094</v>
      </c>
      <c r="C97" s="423" t="s">
        <v>450</v>
      </c>
      <c r="D97" s="423" t="s">
        <v>1230</v>
      </c>
      <c r="E97" s="777" t="s">
        <v>1803</v>
      </c>
      <c r="F97" s="778">
        <v>345553.89</v>
      </c>
      <c r="G97" s="778">
        <v>15362.43</v>
      </c>
      <c r="H97" s="778">
        <v>33142.53</v>
      </c>
      <c r="I97" s="778">
        <v>46697.9</v>
      </c>
      <c r="J97" s="778">
        <v>61337.08</v>
      </c>
      <c r="K97" s="778">
        <v>85720.86</v>
      </c>
      <c r="L97" s="778">
        <v>112989.68</v>
      </c>
      <c r="M97" s="778">
        <v>164502.28</v>
      </c>
      <c r="N97" s="778">
        <v>198391.42</v>
      </c>
      <c r="O97" s="778">
        <v>221597.04</v>
      </c>
      <c r="P97" s="778">
        <v>240541.85</v>
      </c>
      <c r="Q97" s="778">
        <v>262407.96999999997</v>
      </c>
      <c r="R97" s="778">
        <v>282955.15999999997</v>
      </c>
      <c r="S97" s="618">
        <f t="shared" si="30"/>
        <v>282955.15999999997</v>
      </c>
      <c r="T97" s="773"/>
      <c r="U97" s="383">
        <f t="shared" si="31"/>
        <v>282955.15999999997</v>
      </c>
      <c r="V97" s="383"/>
      <c r="W97" s="383"/>
      <c r="X97" s="393"/>
      <c r="Y97" s="383"/>
      <c r="Z97" s="383"/>
      <c r="AA97" s="383"/>
      <c r="AB97" s="383"/>
      <c r="AC97" s="773"/>
      <c r="AD97" s="417">
        <f t="shared" si="32"/>
        <v>282955.15999999997</v>
      </c>
      <c r="AE97" s="773"/>
      <c r="AF97" s="781">
        <f t="shared" si="26"/>
        <v>0</v>
      </c>
    </row>
    <row r="98" spans="1:32">
      <c r="A98" s="779">
        <f t="shared" si="27"/>
        <v>84</v>
      </c>
      <c r="B98" s="423" t="s">
        <v>1066</v>
      </c>
      <c r="C98" s="423" t="s">
        <v>450</v>
      </c>
      <c r="D98" s="423" t="s">
        <v>1230</v>
      </c>
      <c r="E98" s="777" t="s">
        <v>1803</v>
      </c>
      <c r="F98" s="778">
        <v>1418482.93</v>
      </c>
      <c r="G98" s="778">
        <v>48231.389999999898</v>
      </c>
      <c r="H98" s="778">
        <v>107283.19</v>
      </c>
      <c r="I98" s="778">
        <v>161755.82</v>
      </c>
      <c r="J98" s="778">
        <v>216474.08</v>
      </c>
      <c r="K98" s="778">
        <v>349034.42</v>
      </c>
      <c r="L98" s="778">
        <v>468110.54</v>
      </c>
      <c r="M98" s="778">
        <v>651131.96</v>
      </c>
      <c r="N98" s="778">
        <v>790973.85</v>
      </c>
      <c r="O98" s="778">
        <v>867900.66</v>
      </c>
      <c r="P98" s="778">
        <v>978123.51</v>
      </c>
      <c r="Q98" s="778">
        <v>1038216.36</v>
      </c>
      <c r="R98" s="778">
        <v>1101392.3700000001</v>
      </c>
      <c r="S98" s="618">
        <f t="shared" si="30"/>
        <v>1101392.3700000001</v>
      </c>
      <c r="T98" s="773"/>
      <c r="U98" s="383">
        <f t="shared" si="31"/>
        <v>1101392.3700000001</v>
      </c>
      <c r="V98" s="383"/>
      <c r="W98" s="383"/>
      <c r="X98" s="393"/>
      <c r="Y98" s="383"/>
      <c r="Z98" s="383"/>
      <c r="AA98" s="383"/>
      <c r="AB98" s="383"/>
      <c r="AC98" s="773"/>
      <c r="AD98" s="417">
        <f t="shared" si="32"/>
        <v>1101392.3700000001</v>
      </c>
      <c r="AE98" s="773"/>
      <c r="AF98" s="781">
        <f t="shared" si="26"/>
        <v>0</v>
      </c>
    </row>
    <row r="99" spans="1:32">
      <c r="A99" s="779">
        <f t="shared" si="27"/>
        <v>85</v>
      </c>
      <c r="B99" s="423" t="s">
        <v>1094</v>
      </c>
      <c r="C99" s="423" t="s">
        <v>450</v>
      </c>
      <c r="D99" s="423" t="s">
        <v>1071</v>
      </c>
      <c r="E99" s="777" t="s">
        <v>1804</v>
      </c>
      <c r="F99" s="778">
        <v>-129027.36</v>
      </c>
      <c r="G99" s="778">
        <v>-9203.8799999999992</v>
      </c>
      <c r="H99" s="778">
        <v>-12406.59</v>
      </c>
      <c r="I99" s="778">
        <v>-14849.66</v>
      </c>
      <c r="J99" s="778">
        <v>-35891.57</v>
      </c>
      <c r="K99" s="778">
        <v>-43807.8</v>
      </c>
      <c r="L99" s="778">
        <v>-50628.68</v>
      </c>
      <c r="M99" s="778">
        <v>-56337.94</v>
      </c>
      <c r="N99" s="778">
        <v>-66415.97</v>
      </c>
      <c r="O99" s="778">
        <v>-77389.289999999994</v>
      </c>
      <c r="P99" s="778">
        <v>-88841.62</v>
      </c>
      <c r="Q99" s="778">
        <v>-100565.67</v>
      </c>
      <c r="R99" s="778">
        <v>-109625.87</v>
      </c>
      <c r="S99" s="618">
        <f t="shared" si="30"/>
        <v>-109625.87</v>
      </c>
      <c r="T99" s="773"/>
      <c r="U99" s="383">
        <f t="shared" si="31"/>
        <v>-109625.87</v>
      </c>
      <c r="V99" s="383"/>
      <c r="W99" s="383"/>
      <c r="X99" s="393"/>
      <c r="Y99" s="383"/>
      <c r="Z99" s="383"/>
      <c r="AA99" s="383"/>
      <c r="AB99" s="383"/>
      <c r="AC99" s="773"/>
      <c r="AD99" s="417">
        <f t="shared" si="32"/>
        <v>-109625.87</v>
      </c>
      <c r="AE99" s="773"/>
      <c r="AF99" s="781">
        <f t="shared" si="26"/>
        <v>0</v>
      </c>
    </row>
    <row r="100" spans="1:32">
      <c r="A100" s="779">
        <f t="shared" si="27"/>
        <v>86</v>
      </c>
      <c r="B100" s="423" t="s">
        <v>1066</v>
      </c>
      <c r="C100" s="423" t="s">
        <v>450</v>
      </c>
      <c r="D100" s="423" t="s">
        <v>1071</v>
      </c>
      <c r="E100" s="777" t="s">
        <v>1804</v>
      </c>
      <c r="F100" s="778">
        <v>-409179.2</v>
      </c>
      <c r="G100" s="778">
        <v>-38857.26</v>
      </c>
      <c r="H100" s="778">
        <v>-75548.570000000007</v>
      </c>
      <c r="I100" s="778">
        <v>-118364.87</v>
      </c>
      <c r="J100" s="778">
        <v>-155856.04</v>
      </c>
      <c r="K100" s="778">
        <v>-187677.54</v>
      </c>
      <c r="L100" s="778">
        <v>-218968.6</v>
      </c>
      <c r="M100" s="778">
        <v>-263414.53000000003</v>
      </c>
      <c r="N100" s="778">
        <v>-291171.01</v>
      </c>
      <c r="O100" s="778">
        <v>-319504.53000000003</v>
      </c>
      <c r="P100" s="778">
        <v>-362877.37</v>
      </c>
      <c r="Q100" s="778">
        <v>-389299.99</v>
      </c>
      <c r="R100" s="778">
        <v>-420596.92</v>
      </c>
      <c r="S100" s="618">
        <f t="shared" si="30"/>
        <v>-420596.92</v>
      </c>
      <c r="T100" s="773"/>
      <c r="U100" s="383">
        <f t="shared" si="31"/>
        <v>-420596.92</v>
      </c>
      <c r="V100" s="383"/>
      <c r="W100" s="383"/>
      <c r="X100" s="393"/>
      <c r="Y100" s="383"/>
      <c r="Z100" s="383"/>
      <c r="AA100" s="383"/>
      <c r="AB100" s="383"/>
      <c r="AC100" s="773"/>
      <c r="AD100" s="417">
        <f t="shared" si="32"/>
        <v>-420596.92</v>
      </c>
      <c r="AE100" s="773"/>
      <c r="AF100" s="781">
        <f t="shared" si="26"/>
        <v>0</v>
      </c>
    </row>
    <row r="101" spans="1:32">
      <c r="A101" s="779">
        <f t="shared" si="27"/>
        <v>87</v>
      </c>
      <c r="B101" s="423" t="s">
        <v>1094</v>
      </c>
      <c r="C101" s="423" t="s">
        <v>450</v>
      </c>
      <c r="D101" s="423" t="s">
        <v>1231</v>
      </c>
      <c r="E101" s="777" t="s">
        <v>1805</v>
      </c>
      <c r="F101" s="778">
        <v>-244316.07</v>
      </c>
      <c r="G101" s="778">
        <v>-20802.740000000002</v>
      </c>
      <c r="H101" s="778">
        <v>-45559.19</v>
      </c>
      <c r="I101" s="778">
        <v>-61251.71</v>
      </c>
      <c r="J101" s="778">
        <v>-52213.09</v>
      </c>
      <c r="K101" s="778">
        <v>-55951.17</v>
      </c>
      <c r="L101" s="778">
        <v>-75609.23</v>
      </c>
      <c r="M101" s="778">
        <v>-98255.679999999993</v>
      </c>
      <c r="N101" s="778">
        <v>-108596.5</v>
      </c>
      <c r="O101" s="778">
        <v>-111599</v>
      </c>
      <c r="P101" s="778">
        <v>-119201.21</v>
      </c>
      <c r="Q101" s="778">
        <v>-135475.43</v>
      </c>
      <c r="R101" s="778">
        <v>-175003.87</v>
      </c>
      <c r="S101" s="618">
        <f t="shared" si="30"/>
        <v>-175003.87</v>
      </c>
      <c r="T101" s="773"/>
      <c r="U101" s="383">
        <f t="shared" si="31"/>
        <v>-175003.87</v>
      </c>
      <c r="V101" s="383"/>
      <c r="W101" s="383"/>
      <c r="X101" s="393"/>
      <c r="Y101" s="383"/>
      <c r="Z101" s="383"/>
      <c r="AA101" s="383"/>
      <c r="AB101" s="383"/>
      <c r="AC101" s="773"/>
      <c r="AD101" s="417">
        <f t="shared" si="32"/>
        <v>-175003.87</v>
      </c>
      <c r="AE101" s="773"/>
      <c r="AF101" s="781">
        <f t="shared" si="26"/>
        <v>0</v>
      </c>
    </row>
    <row r="102" spans="1:32">
      <c r="A102" s="779">
        <f t="shared" si="27"/>
        <v>88</v>
      </c>
      <c r="B102" s="423" t="s">
        <v>1066</v>
      </c>
      <c r="C102" s="423" t="s">
        <v>450</v>
      </c>
      <c r="D102" s="423" t="s">
        <v>1231</v>
      </c>
      <c r="E102" s="777" t="s">
        <v>1805</v>
      </c>
      <c r="F102" s="778">
        <v>-980697.41</v>
      </c>
      <c r="G102" s="778">
        <v>-113721.83</v>
      </c>
      <c r="H102" s="778">
        <v>-104709.64</v>
      </c>
      <c r="I102" s="778">
        <v>-177212.69</v>
      </c>
      <c r="J102" s="778">
        <v>-180637.28</v>
      </c>
      <c r="K102" s="778">
        <v>-229152.02</v>
      </c>
      <c r="L102" s="778">
        <v>-246722.22</v>
      </c>
      <c r="M102" s="778">
        <v>-342059.09</v>
      </c>
      <c r="N102" s="778">
        <v>-395620.39</v>
      </c>
      <c r="O102" s="778">
        <v>-434698.23999999999</v>
      </c>
      <c r="P102" s="778">
        <v>-493305.3</v>
      </c>
      <c r="Q102" s="778">
        <v>-555221.80000000005</v>
      </c>
      <c r="R102" s="778">
        <v>-678722.01</v>
      </c>
      <c r="S102" s="618">
        <f t="shared" si="30"/>
        <v>-678722.01</v>
      </c>
      <c r="T102" s="773"/>
      <c r="U102" s="383">
        <f t="shared" si="31"/>
        <v>-678722.01</v>
      </c>
      <c r="V102" s="383"/>
      <c r="W102" s="383"/>
      <c r="X102" s="393"/>
      <c r="Y102" s="383"/>
      <c r="Z102" s="383"/>
      <c r="AA102" s="383"/>
      <c r="AB102" s="383"/>
      <c r="AC102" s="773"/>
      <c r="AD102" s="417">
        <f t="shared" si="32"/>
        <v>-678722.01</v>
      </c>
      <c r="AE102" s="773"/>
      <c r="AF102" s="781">
        <f t="shared" si="26"/>
        <v>0</v>
      </c>
    </row>
    <row r="103" spans="1:32">
      <c r="A103" s="779">
        <f t="shared" si="27"/>
        <v>89</v>
      </c>
      <c r="B103" s="423" t="s">
        <v>1094</v>
      </c>
      <c r="C103" s="423" t="s">
        <v>451</v>
      </c>
      <c r="D103" s="423" t="s">
        <v>757</v>
      </c>
      <c r="E103" s="777" t="s">
        <v>1806</v>
      </c>
      <c r="F103" s="778">
        <v>-9892</v>
      </c>
      <c r="G103" s="778">
        <v>-40000</v>
      </c>
      <c r="H103" s="778">
        <v>-40000</v>
      </c>
      <c r="I103" s="778">
        <v>-40000</v>
      </c>
      <c r="J103" s="778">
        <v>-40000</v>
      </c>
      <c r="K103" s="778">
        <v>-40000</v>
      </c>
      <c r="L103" s="778">
        <v>-9984</v>
      </c>
      <c r="M103" s="778">
        <v>-9984</v>
      </c>
      <c r="N103" s="778">
        <v>-9984</v>
      </c>
      <c r="O103" s="778">
        <v>-9984</v>
      </c>
      <c r="P103" s="778">
        <v>-9984</v>
      </c>
      <c r="Q103" s="778">
        <v>-9984</v>
      </c>
      <c r="R103" s="778">
        <v>-9984</v>
      </c>
      <c r="S103" s="618">
        <f t="shared" si="30"/>
        <v>-9984</v>
      </c>
      <c r="T103" s="773"/>
      <c r="U103" s="383">
        <f t="shared" si="31"/>
        <v>-9984</v>
      </c>
      <c r="V103" s="383"/>
      <c r="W103" s="383"/>
      <c r="X103" s="393"/>
      <c r="Y103" s="383"/>
      <c r="Z103" s="383"/>
      <c r="AA103" s="383"/>
      <c r="AB103" s="383"/>
      <c r="AC103" s="773"/>
      <c r="AD103" s="417">
        <f t="shared" si="32"/>
        <v>-9984</v>
      </c>
      <c r="AE103" s="773"/>
      <c r="AF103" s="781">
        <f t="shared" si="26"/>
        <v>0</v>
      </c>
    </row>
    <row r="104" spans="1:32">
      <c r="A104" s="779">
        <f t="shared" si="27"/>
        <v>90</v>
      </c>
      <c r="B104" s="423" t="s">
        <v>1066</v>
      </c>
      <c r="C104" s="423" t="s">
        <v>451</v>
      </c>
      <c r="D104" s="423" t="s">
        <v>757</v>
      </c>
      <c r="E104" s="777" t="s">
        <v>1806</v>
      </c>
      <c r="F104" s="778">
        <v>-30108</v>
      </c>
      <c r="G104" s="778">
        <v>0</v>
      </c>
      <c r="H104" s="778">
        <v>0</v>
      </c>
      <c r="I104" s="778">
        <v>0</v>
      </c>
      <c r="J104" s="778">
        <v>0</v>
      </c>
      <c r="K104" s="778">
        <v>0</v>
      </c>
      <c r="L104" s="778">
        <v>-30016</v>
      </c>
      <c r="M104" s="778">
        <v>-30016</v>
      </c>
      <c r="N104" s="778">
        <v>-30016</v>
      </c>
      <c r="O104" s="778">
        <v>-30016</v>
      </c>
      <c r="P104" s="778">
        <v>-30016</v>
      </c>
      <c r="Q104" s="778">
        <v>-30016</v>
      </c>
      <c r="R104" s="778">
        <v>-30016</v>
      </c>
      <c r="S104" s="618">
        <f t="shared" si="30"/>
        <v>-30016</v>
      </c>
      <c r="T104" s="773"/>
      <c r="U104" s="383">
        <f t="shared" si="31"/>
        <v>-30016</v>
      </c>
      <c r="V104" s="383"/>
      <c r="W104" s="383"/>
      <c r="X104" s="393"/>
      <c r="Y104" s="383"/>
      <c r="Z104" s="383"/>
      <c r="AA104" s="383"/>
      <c r="AB104" s="383"/>
      <c r="AC104" s="773"/>
      <c r="AD104" s="417">
        <f t="shared" si="32"/>
        <v>-30016</v>
      </c>
      <c r="AE104" s="773"/>
      <c r="AF104" s="781">
        <f t="shared" si="26"/>
        <v>0</v>
      </c>
    </row>
    <row r="105" spans="1:32">
      <c r="A105" s="779">
        <f t="shared" si="27"/>
        <v>91</v>
      </c>
      <c r="B105" s="423" t="s">
        <v>1094</v>
      </c>
      <c r="C105" s="423" t="s">
        <v>451</v>
      </c>
      <c r="D105" s="423" t="s">
        <v>1230</v>
      </c>
      <c r="E105" s="777" t="s">
        <v>1808</v>
      </c>
      <c r="F105" s="778">
        <v>0</v>
      </c>
      <c r="G105" s="778">
        <v>0</v>
      </c>
      <c r="H105" s="778">
        <v>0</v>
      </c>
      <c r="I105" s="778">
        <v>0</v>
      </c>
      <c r="J105" s="778">
        <v>0</v>
      </c>
      <c r="K105" s="778">
        <v>0</v>
      </c>
      <c r="L105" s="778">
        <v>0</v>
      </c>
      <c r="M105" s="778">
        <v>0</v>
      </c>
      <c r="N105" s="778">
        <v>0</v>
      </c>
      <c r="O105" s="778">
        <v>0</v>
      </c>
      <c r="P105" s="778">
        <v>0</v>
      </c>
      <c r="Q105" s="778">
        <v>0</v>
      </c>
      <c r="R105" s="778">
        <v>0</v>
      </c>
      <c r="S105" s="618">
        <f t="shared" si="30"/>
        <v>0</v>
      </c>
      <c r="T105" s="773"/>
      <c r="U105" s="383">
        <f t="shared" si="31"/>
        <v>0</v>
      </c>
      <c r="V105" s="383"/>
      <c r="W105" s="383"/>
      <c r="X105" s="393"/>
      <c r="Y105" s="383"/>
      <c r="Z105" s="383"/>
      <c r="AA105" s="383"/>
      <c r="AB105" s="383"/>
      <c r="AC105" s="773"/>
      <c r="AD105" s="417">
        <f t="shared" si="32"/>
        <v>0</v>
      </c>
      <c r="AE105" s="773"/>
      <c r="AF105" s="781">
        <f t="shared" si="26"/>
        <v>0</v>
      </c>
    </row>
    <row r="106" spans="1:32">
      <c r="A106" s="779">
        <f t="shared" si="27"/>
        <v>92</v>
      </c>
      <c r="B106" s="423" t="s">
        <v>1066</v>
      </c>
      <c r="C106" s="423" t="s">
        <v>451</v>
      </c>
      <c r="D106" s="423" t="s">
        <v>1230</v>
      </c>
      <c r="E106" s="777" t="s">
        <v>1808</v>
      </c>
      <c r="F106" s="778">
        <v>0.48</v>
      </c>
      <c r="G106" s="778">
        <v>0</v>
      </c>
      <c r="H106" s="778">
        <v>0</v>
      </c>
      <c r="I106" s="778">
        <v>0</v>
      </c>
      <c r="J106" s="778">
        <v>0</v>
      </c>
      <c r="K106" s="778">
        <v>0</v>
      </c>
      <c r="L106" s="778">
        <v>0</v>
      </c>
      <c r="M106" s="778">
        <v>0</v>
      </c>
      <c r="N106" s="778">
        <v>0</v>
      </c>
      <c r="O106" s="778">
        <v>0</v>
      </c>
      <c r="P106" s="778">
        <v>0</v>
      </c>
      <c r="Q106" s="778">
        <v>0</v>
      </c>
      <c r="R106" s="778">
        <v>0</v>
      </c>
      <c r="S106" s="618">
        <f t="shared" si="30"/>
        <v>0</v>
      </c>
      <c r="T106" s="773"/>
      <c r="U106" s="383">
        <f t="shared" si="31"/>
        <v>0</v>
      </c>
      <c r="V106" s="383"/>
      <c r="W106" s="383"/>
      <c r="X106" s="393"/>
      <c r="Y106" s="383"/>
      <c r="Z106" s="383"/>
      <c r="AA106" s="383"/>
      <c r="AB106" s="383"/>
      <c r="AC106" s="773"/>
      <c r="AD106" s="417">
        <f t="shared" si="32"/>
        <v>0</v>
      </c>
      <c r="AE106" s="773"/>
      <c r="AF106" s="781">
        <f t="shared" si="26"/>
        <v>0</v>
      </c>
    </row>
    <row r="107" spans="1:32">
      <c r="A107" s="779">
        <f t="shared" si="27"/>
        <v>93</v>
      </c>
      <c r="B107" s="423" t="s">
        <v>1066</v>
      </c>
      <c r="C107" s="423" t="s">
        <v>451</v>
      </c>
      <c r="D107" s="423" t="s">
        <v>1071</v>
      </c>
      <c r="E107" s="777" t="s">
        <v>1809</v>
      </c>
      <c r="F107" s="778">
        <v>0</v>
      </c>
      <c r="G107" s="778">
        <v>0</v>
      </c>
      <c r="H107" s="778">
        <v>0</v>
      </c>
      <c r="I107" s="778">
        <v>0</v>
      </c>
      <c r="J107" s="778">
        <v>0</v>
      </c>
      <c r="K107" s="778">
        <v>0</v>
      </c>
      <c r="L107" s="778">
        <v>0</v>
      </c>
      <c r="M107" s="778">
        <v>0</v>
      </c>
      <c r="N107" s="778">
        <v>0</v>
      </c>
      <c r="O107" s="778">
        <v>0</v>
      </c>
      <c r="P107" s="778">
        <v>0</v>
      </c>
      <c r="Q107" s="778">
        <v>0</v>
      </c>
      <c r="R107" s="778">
        <v>0</v>
      </c>
      <c r="S107" s="618">
        <f t="shared" si="30"/>
        <v>0</v>
      </c>
      <c r="T107" s="773"/>
      <c r="U107" s="383">
        <f t="shared" si="31"/>
        <v>0</v>
      </c>
      <c r="V107" s="383"/>
      <c r="W107" s="383"/>
      <c r="X107" s="393"/>
      <c r="Y107" s="383"/>
      <c r="Z107" s="383"/>
      <c r="AA107" s="383"/>
      <c r="AB107" s="383"/>
      <c r="AC107" s="773"/>
      <c r="AD107" s="417">
        <f t="shared" si="32"/>
        <v>0</v>
      </c>
      <c r="AE107" s="773"/>
      <c r="AF107" s="781">
        <f t="shared" si="26"/>
        <v>0</v>
      </c>
    </row>
    <row r="108" spans="1:32">
      <c r="A108" s="779">
        <f t="shared" si="27"/>
        <v>94</v>
      </c>
      <c r="B108" s="423" t="s">
        <v>1094</v>
      </c>
      <c r="C108" s="423" t="s">
        <v>451</v>
      </c>
      <c r="D108" s="423" t="s">
        <v>1231</v>
      </c>
      <c r="E108" s="777" t="s">
        <v>1807</v>
      </c>
      <c r="F108" s="778">
        <v>-92</v>
      </c>
      <c r="G108" s="778">
        <v>0</v>
      </c>
      <c r="H108" s="778">
        <v>0</v>
      </c>
      <c r="I108" s="778">
        <v>0</v>
      </c>
      <c r="J108" s="778">
        <v>0</v>
      </c>
      <c r="K108" s="778">
        <v>0</v>
      </c>
      <c r="L108" s="778">
        <v>0</v>
      </c>
      <c r="M108" s="778">
        <v>0</v>
      </c>
      <c r="N108" s="778">
        <v>0</v>
      </c>
      <c r="O108" s="778">
        <v>0</v>
      </c>
      <c r="P108" s="778">
        <v>0</v>
      </c>
      <c r="Q108" s="778">
        <v>0</v>
      </c>
      <c r="R108" s="778">
        <v>-76</v>
      </c>
      <c r="S108" s="618">
        <f t="shared" si="30"/>
        <v>-76</v>
      </c>
      <c r="T108" s="773"/>
      <c r="U108" s="383">
        <f t="shared" si="31"/>
        <v>-76</v>
      </c>
      <c r="V108" s="383"/>
      <c r="W108" s="383"/>
      <c r="X108" s="393"/>
      <c r="Y108" s="383"/>
      <c r="Z108" s="383"/>
      <c r="AA108" s="383"/>
      <c r="AB108" s="383"/>
      <c r="AC108" s="773"/>
      <c r="AD108" s="417">
        <f t="shared" si="32"/>
        <v>-76</v>
      </c>
      <c r="AE108" s="773"/>
      <c r="AF108" s="781">
        <f t="shared" si="26"/>
        <v>0</v>
      </c>
    </row>
    <row r="109" spans="1:32">
      <c r="A109" s="779">
        <f t="shared" si="27"/>
        <v>95</v>
      </c>
      <c r="B109" s="423" t="s">
        <v>1066</v>
      </c>
      <c r="C109" s="423" t="s">
        <v>451</v>
      </c>
      <c r="D109" s="423" t="s">
        <v>1231</v>
      </c>
      <c r="E109" s="777" t="s">
        <v>1807</v>
      </c>
      <c r="F109" s="778">
        <v>91.52</v>
      </c>
      <c r="G109" s="778">
        <v>0</v>
      </c>
      <c r="H109" s="778">
        <v>0</v>
      </c>
      <c r="I109" s="778">
        <v>0</v>
      </c>
      <c r="J109" s="778">
        <v>0</v>
      </c>
      <c r="K109" s="778">
        <v>0</v>
      </c>
      <c r="L109" s="778">
        <v>0</v>
      </c>
      <c r="M109" s="778">
        <v>0</v>
      </c>
      <c r="N109" s="778">
        <v>0</v>
      </c>
      <c r="O109" s="778">
        <v>0</v>
      </c>
      <c r="P109" s="778">
        <v>0</v>
      </c>
      <c r="Q109" s="778">
        <v>0</v>
      </c>
      <c r="R109" s="778">
        <v>76</v>
      </c>
      <c r="S109" s="618">
        <f t="shared" si="30"/>
        <v>76</v>
      </c>
      <c r="T109" s="773"/>
      <c r="U109" s="383">
        <f t="shared" si="31"/>
        <v>76</v>
      </c>
      <c r="V109" s="383"/>
      <c r="W109" s="383"/>
      <c r="X109" s="393"/>
      <c r="Y109" s="383"/>
      <c r="Z109" s="383"/>
      <c r="AA109" s="383"/>
      <c r="AB109" s="383"/>
      <c r="AC109" s="773"/>
      <c r="AD109" s="417">
        <f t="shared" si="32"/>
        <v>76</v>
      </c>
      <c r="AE109" s="773"/>
      <c r="AF109" s="781">
        <f t="shared" si="26"/>
        <v>0</v>
      </c>
    </row>
    <row r="110" spans="1:32">
      <c r="A110" s="779">
        <f t="shared" si="27"/>
        <v>96</v>
      </c>
      <c r="B110" s="423" t="s">
        <v>1063</v>
      </c>
      <c r="C110" s="423" t="s">
        <v>452</v>
      </c>
      <c r="D110" s="423" t="s">
        <v>757</v>
      </c>
      <c r="E110" s="777" t="s">
        <v>1798</v>
      </c>
      <c r="F110" s="778">
        <v>-19013.580000000002</v>
      </c>
      <c r="G110" s="778">
        <v>-20000</v>
      </c>
      <c r="H110" s="778">
        <v>-20000</v>
      </c>
      <c r="I110" s="778">
        <v>-20000</v>
      </c>
      <c r="J110" s="778">
        <v>-20000</v>
      </c>
      <c r="K110" s="778">
        <v>-20000</v>
      </c>
      <c r="L110" s="778">
        <v>-20000</v>
      </c>
      <c r="M110" s="778">
        <v>-20000</v>
      </c>
      <c r="N110" s="778">
        <v>-20000</v>
      </c>
      <c r="O110" s="778">
        <v>-20000</v>
      </c>
      <c r="P110" s="778">
        <v>-20000</v>
      </c>
      <c r="Q110" s="778">
        <v>-20000</v>
      </c>
      <c r="R110" s="778">
        <v>-20000</v>
      </c>
      <c r="S110" s="618">
        <f t="shared" si="30"/>
        <v>-20000</v>
      </c>
      <c r="T110" s="773"/>
      <c r="U110" s="383">
        <f t="shared" si="31"/>
        <v>-20000</v>
      </c>
      <c r="V110" s="383"/>
      <c r="W110" s="383"/>
      <c r="X110" s="393"/>
      <c r="Y110" s="383"/>
      <c r="Z110" s="383"/>
      <c r="AA110" s="383"/>
      <c r="AB110" s="383"/>
      <c r="AC110" s="773"/>
      <c r="AD110" s="417">
        <f t="shared" si="32"/>
        <v>-20000</v>
      </c>
      <c r="AE110" s="773"/>
      <c r="AF110" s="781">
        <f t="shared" si="26"/>
        <v>0</v>
      </c>
    </row>
    <row r="111" spans="1:32">
      <c r="A111" s="779">
        <f t="shared" si="27"/>
        <v>97</v>
      </c>
      <c r="B111" s="423" t="s">
        <v>1063</v>
      </c>
      <c r="C111" s="423" t="s">
        <v>452</v>
      </c>
      <c r="D111" s="423" t="s">
        <v>1230</v>
      </c>
      <c r="E111" s="777" t="s">
        <v>1799</v>
      </c>
      <c r="F111" s="778">
        <v>14497.01</v>
      </c>
      <c r="G111" s="778">
        <v>0</v>
      </c>
      <c r="H111" s="778">
        <v>1183.81</v>
      </c>
      <c r="I111" s="778">
        <v>16269.23</v>
      </c>
      <c r="J111" s="778">
        <v>16269.23</v>
      </c>
      <c r="K111" s="778">
        <v>16269.24</v>
      </c>
      <c r="L111" s="778">
        <v>16373.34</v>
      </c>
      <c r="M111" s="778">
        <v>16373.34</v>
      </c>
      <c r="N111" s="778">
        <v>25437.4</v>
      </c>
      <c r="O111" s="778">
        <v>25437.4</v>
      </c>
      <c r="P111" s="778">
        <v>25942.12</v>
      </c>
      <c r="Q111" s="778">
        <v>32877.919999999998</v>
      </c>
      <c r="R111" s="778">
        <v>32877.919999999998</v>
      </c>
      <c r="S111" s="618">
        <f t="shared" si="30"/>
        <v>32877.919999999998</v>
      </c>
      <c r="T111" s="773"/>
      <c r="U111" s="383">
        <f t="shared" si="31"/>
        <v>32877.919999999998</v>
      </c>
      <c r="V111" s="383"/>
      <c r="W111" s="383"/>
      <c r="X111" s="393"/>
      <c r="Y111" s="383"/>
      <c r="Z111" s="383"/>
      <c r="AA111" s="383"/>
      <c r="AB111" s="383"/>
      <c r="AC111" s="773"/>
      <c r="AD111" s="417">
        <f t="shared" si="32"/>
        <v>32877.919999999998</v>
      </c>
      <c r="AE111" s="773"/>
      <c r="AF111" s="781">
        <f t="shared" si="26"/>
        <v>0</v>
      </c>
    </row>
    <row r="112" spans="1:32">
      <c r="A112" s="779">
        <f t="shared" si="27"/>
        <v>98</v>
      </c>
      <c r="B112" s="423" t="s">
        <v>1063</v>
      </c>
      <c r="C112" s="423" t="s">
        <v>452</v>
      </c>
      <c r="D112" s="423" t="s">
        <v>1071</v>
      </c>
      <c r="E112" s="777" t="s">
        <v>1800</v>
      </c>
      <c r="F112" s="778">
        <v>-2213.4</v>
      </c>
      <c r="G112" s="778">
        <v>0</v>
      </c>
      <c r="H112" s="778">
        <v>0</v>
      </c>
      <c r="I112" s="778">
        <v>-100</v>
      </c>
      <c r="J112" s="778">
        <v>-100</v>
      </c>
      <c r="K112" s="778">
        <v>-646.26</v>
      </c>
      <c r="L112" s="778">
        <v>-646.26</v>
      </c>
      <c r="M112" s="778">
        <v>-646.26</v>
      </c>
      <c r="N112" s="778">
        <v>-646.26</v>
      </c>
      <c r="O112" s="778">
        <v>-916.75</v>
      </c>
      <c r="P112" s="778">
        <v>-916.75</v>
      </c>
      <c r="Q112" s="778">
        <v>-916.75</v>
      </c>
      <c r="R112" s="778">
        <v>-916.75</v>
      </c>
      <c r="S112" s="618">
        <f t="shared" si="30"/>
        <v>-916.75</v>
      </c>
      <c r="T112" s="773"/>
      <c r="U112" s="383">
        <f t="shared" si="31"/>
        <v>-916.75</v>
      </c>
      <c r="V112" s="383"/>
      <c r="W112" s="383"/>
      <c r="X112" s="393"/>
      <c r="Y112" s="383"/>
      <c r="Z112" s="383"/>
      <c r="AA112" s="383"/>
      <c r="AB112" s="383"/>
      <c r="AC112" s="773"/>
      <c r="AD112" s="417">
        <f t="shared" si="32"/>
        <v>-916.75</v>
      </c>
      <c r="AE112" s="773"/>
      <c r="AF112" s="781">
        <f t="shared" si="26"/>
        <v>0</v>
      </c>
    </row>
    <row r="113" spans="1:32">
      <c r="A113" s="779">
        <f t="shared" si="27"/>
        <v>99</v>
      </c>
      <c r="B113" s="423" t="s">
        <v>1063</v>
      </c>
      <c r="C113" s="423" t="s">
        <v>452</v>
      </c>
      <c r="D113" s="423" t="s">
        <v>1231</v>
      </c>
      <c r="E113" s="777" t="s">
        <v>1801</v>
      </c>
      <c r="F113" s="405">
        <v>-13270.03</v>
      </c>
      <c r="G113" s="405">
        <v>0</v>
      </c>
      <c r="H113" s="405">
        <v>0</v>
      </c>
      <c r="I113" s="405">
        <v>0</v>
      </c>
      <c r="J113" s="405">
        <v>0</v>
      </c>
      <c r="K113" s="405">
        <v>0</v>
      </c>
      <c r="L113" s="405">
        <v>0</v>
      </c>
      <c r="M113" s="405">
        <v>0</v>
      </c>
      <c r="N113" s="405">
        <v>0</v>
      </c>
      <c r="O113" s="405">
        <v>0</v>
      </c>
      <c r="P113" s="405">
        <v>-15025</v>
      </c>
      <c r="Q113" s="405">
        <v>-15025</v>
      </c>
      <c r="R113" s="405">
        <v>-21961.17</v>
      </c>
      <c r="S113" s="618">
        <f t="shared" si="30"/>
        <v>-21961.17</v>
      </c>
      <c r="T113" s="773"/>
      <c r="U113" s="383">
        <f t="shared" si="31"/>
        <v>-21961.17</v>
      </c>
      <c r="V113" s="383"/>
      <c r="W113" s="383"/>
      <c r="X113" s="393"/>
      <c r="Y113" s="383"/>
      <c r="Z113" s="383"/>
      <c r="AA113" s="383"/>
      <c r="AB113" s="383"/>
      <c r="AC113" s="773"/>
      <c r="AD113" s="417">
        <f t="shared" si="32"/>
        <v>-21961.17</v>
      </c>
      <c r="AE113" s="773"/>
      <c r="AF113" s="781">
        <f t="shared" si="26"/>
        <v>0</v>
      </c>
    </row>
    <row r="114" spans="1:32">
      <c r="A114" s="779">
        <f t="shared" si="27"/>
        <v>100</v>
      </c>
      <c r="B114" s="779"/>
      <c r="C114" s="779"/>
      <c r="D114" s="779"/>
      <c r="E114" s="763" t="s">
        <v>453</v>
      </c>
      <c r="F114" s="776">
        <f t="shared" ref="F114:S114" si="33">SUM(F95:F113)</f>
        <v>-471320.70000000036</v>
      </c>
      <c r="G114" s="776">
        <f t="shared" si="33"/>
        <v>-590312.59000000008</v>
      </c>
      <c r="H114" s="776">
        <f t="shared" si="33"/>
        <v>-567935.16</v>
      </c>
      <c r="I114" s="776">
        <f t="shared" si="33"/>
        <v>-618376.68000000005</v>
      </c>
      <c r="J114" s="776">
        <f t="shared" si="33"/>
        <v>-601938.29</v>
      </c>
      <c r="K114" s="776">
        <f t="shared" si="33"/>
        <v>-537530.97000000009</v>
      </c>
      <c r="L114" s="776">
        <f t="shared" si="33"/>
        <v>-466422.13000000006</v>
      </c>
      <c r="M114" s="776">
        <f t="shared" si="33"/>
        <v>-400026.62000000011</v>
      </c>
      <c r="N114" s="776">
        <f t="shared" si="33"/>
        <v>-318968.16000000003</v>
      </c>
      <c r="O114" s="776">
        <f t="shared" si="33"/>
        <v>-300493.41000000003</v>
      </c>
      <c r="P114" s="776">
        <f t="shared" si="33"/>
        <v>-306880.46999999997</v>
      </c>
      <c r="Q114" s="776">
        <f t="shared" si="33"/>
        <v>-334323.0900000002</v>
      </c>
      <c r="R114" s="776">
        <f t="shared" si="33"/>
        <v>-460921.83999999991</v>
      </c>
      <c r="S114" s="621">
        <f t="shared" si="33"/>
        <v>-460921.83999999991</v>
      </c>
      <c r="T114" s="773"/>
      <c r="U114" s="383"/>
      <c r="V114" s="383"/>
      <c r="W114" s="383"/>
      <c r="X114" s="393"/>
      <c r="Y114" s="383"/>
      <c r="Z114" s="383"/>
      <c r="AA114" s="383"/>
      <c r="AB114" s="383"/>
      <c r="AC114" s="773"/>
      <c r="AD114" s="773"/>
      <c r="AE114" s="773"/>
      <c r="AF114" s="781">
        <f t="shared" si="26"/>
        <v>0</v>
      </c>
    </row>
    <row r="115" spans="1:32">
      <c r="A115" s="779">
        <f t="shared" si="27"/>
        <v>101</v>
      </c>
      <c r="B115" s="779"/>
      <c r="C115" s="779"/>
      <c r="D115" s="779"/>
      <c r="E115" s="763"/>
      <c r="F115" s="396"/>
      <c r="G115" s="396"/>
      <c r="H115" s="396"/>
      <c r="I115" s="396"/>
      <c r="J115" s="396"/>
      <c r="K115" s="396"/>
      <c r="L115" s="396"/>
      <c r="M115" s="396"/>
      <c r="N115" s="396"/>
      <c r="O115" s="396"/>
      <c r="P115" s="396"/>
      <c r="Q115" s="396"/>
      <c r="R115" s="396"/>
      <c r="S115" s="392"/>
      <c r="T115" s="773"/>
      <c r="U115" s="383"/>
      <c r="V115" s="383"/>
      <c r="W115" s="383"/>
      <c r="X115" s="393"/>
      <c r="Y115" s="383"/>
      <c r="Z115" s="383"/>
      <c r="AA115" s="383"/>
      <c r="AB115" s="383"/>
      <c r="AC115" s="773"/>
      <c r="AD115" s="773"/>
      <c r="AE115" s="773"/>
      <c r="AF115" s="781">
        <f t="shared" si="26"/>
        <v>0</v>
      </c>
    </row>
    <row r="116" spans="1:32">
      <c r="A116" s="779">
        <f t="shared" si="27"/>
        <v>102</v>
      </c>
      <c r="B116" s="779"/>
      <c r="C116" s="779"/>
      <c r="D116" s="779"/>
      <c r="E116" s="763" t="s">
        <v>454</v>
      </c>
      <c r="F116" s="394">
        <f t="shared" ref="F116:S116" si="34">+F93+F114</f>
        <v>19844474.879999999</v>
      </c>
      <c r="G116" s="394">
        <f t="shared" si="34"/>
        <v>25394817.149999995</v>
      </c>
      <c r="H116" s="394">
        <f t="shared" si="34"/>
        <v>20922028.750000004</v>
      </c>
      <c r="I116" s="394">
        <f t="shared" si="34"/>
        <v>24412666.659999993</v>
      </c>
      <c r="J116" s="394">
        <f t="shared" si="34"/>
        <v>18789603.190000001</v>
      </c>
      <c r="K116" s="394">
        <f t="shared" si="34"/>
        <v>12799567.950000001</v>
      </c>
      <c r="L116" s="394">
        <f t="shared" si="34"/>
        <v>10743983.119999999</v>
      </c>
      <c r="M116" s="394">
        <f t="shared" si="34"/>
        <v>8529641.0700000003</v>
      </c>
      <c r="N116" s="394">
        <f t="shared" si="34"/>
        <v>9074186.5399999954</v>
      </c>
      <c r="O116" s="394">
        <f t="shared" si="34"/>
        <v>8990207.929999996</v>
      </c>
      <c r="P116" s="394">
        <f t="shared" si="34"/>
        <v>11832968.309999995</v>
      </c>
      <c r="Q116" s="394">
        <f t="shared" si="34"/>
        <v>13297357.399999999</v>
      </c>
      <c r="R116" s="394">
        <f t="shared" si="34"/>
        <v>19454771.420000002</v>
      </c>
      <c r="S116" s="620">
        <f t="shared" si="34"/>
        <v>19454771.420000002</v>
      </c>
      <c r="T116" s="773"/>
      <c r="U116" s="383"/>
      <c r="V116" s="383"/>
      <c r="W116" s="383"/>
      <c r="X116" s="393"/>
      <c r="Y116" s="383"/>
      <c r="Z116" s="383"/>
      <c r="AA116" s="383"/>
      <c r="AB116" s="383"/>
      <c r="AC116" s="773"/>
      <c r="AD116" s="773"/>
      <c r="AE116" s="773"/>
      <c r="AF116" s="781">
        <f t="shared" si="26"/>
        <v>0</v>
      </c>
    </row>
    <row r="117" spans="1:32">
      <c r="A117" s="779">
        <f t="shared" si="27"/>
        <v>103</v>
      </c>
      <c r="B117" s="779"/>
      <c r="C117" s="779"/>
      <c r="D117" s="779"/>
      <c r="E117" s="763"/>
      <c r="F117" s="778"/>
      <c r="G117" s="407"/>
      <c r="H117" s="408"/>
      <c r="I117" s="408"/>
      <c r="J117" s="409"/>
      <c r="K117" s="410"/>
      <c r="L117" s="411"/>
      <c r="M117" s="412"/>
      <c r="N117" s="413"/>
      <c r="O117" s="764"/>
      <c r="P117" s="415"/>
      <c r="Q117" s="416"/>
      <c r="R117" s="778"/>
      <c r="S117" s="392"/>
      <c r="T117" s="773"/>
      <c r="U117" s="383"/>
      <c r="V117" s="383"/>
      <c r="W117" s="383"/>
      <c r="X117" s="393"/>
      <c r="Y117" s="383"/>
      <c r="Z117" s="383"/>
      <c r="AA117" s="383"/>
      <c r="AB117" s="383"/>
      <c r="AC117" s="773"/>
      <c r="AD117" s="773"/>
      <c r="AE117" s="773"/>
      <c r="AF117" s="781">
        <f t="shared" si="26"/>
        <v>0</v>
      </c>
    </row>
    <row r="118" spans="1:32">
      <c r="A118" s="779">
        <f t="shared" si="27"/>
        <v>104</v>
      </c>
      <c r="B118" s="423" t="s">
        <v>1063</v>
      </c>
      <c r="C118" s="423" t="s">
        <v>455</v>
      </c>
      <c r="D118" s="423" t="s">
        <v>649</v>
      </c>
      <c r="E118" s="777" t="s">
        <v>1810</v>
      </c>
      <c r="F118" s="778">
        <v>3473198.58</v>
      </c>
      <c r="G118" s="778">
        <v>3210319.47</v>
      </c>
      <c r="H118" s="778">
        <v>3374186.25</v>
      </c>
      <c r="I118" s="778">
        <v>3259038.79</v>
      </c>
      <c r="J118" s="778">
        <v>3145382.33</v>
      </c>
      <c r="K118" s="778">
        <v>3238196.5</v>
      </c>
      <c r="L118" s="778">
        <v>1380363.71</v>
      </c>
      <c r="M118" s="778">
        <v>1404064.13</v>
      </c>
      <c r="N118" s="778">
        <v>1319282.52</v>
      </c>
      <c r="O118" s="778">
        <v>1364670.94</v>
      </c>
      <c r="P118" s="778">
        <v>1386556.59</v>
      </c>
      <c r="Q118" s="778">
        <v>1400426.14</v>
      </c>
      <c r="R118" s="778">
        <v>1148188.3600000001</v>
      </c>
      <c r="S118" s="618">
        <f t="shared" ref="S118:S141" si="35">+R118</f>
        <v>1148188.3600000001</v>
      </c>
      <c r="T118" s="773"/>
      <c r="U118" s="383">
        <f t="shared" ref="U118:U141" si="36">+S118</f>
        <v>1148188.3600000001</v>
      </c>
      <c r="V118" s="383"/>
      <c r="W118" s="383"/>
      <c r="X118" s="393"/>
      <c r="Y118" s="383"/>
      <c r="Z118" s="383"/>
      <c r="AA118" s="383"/>
      <c r="AB118" s="383"/>
      <c r="AC118" s="773"/>
      <c r="AD118" s="417">
        <f t="shared" ref="AD118:AD141" si="37">+U118</f>
        <v>1148188.3600000001</v>
      </c>
      <c r="AE118" s="773"/>
      <c r="AF118" s="781">
        <f t="shared" si="26"/>
        <v>0</v>
      </c>
    </row>
    <row r="119" spans="1:32">
      <c r="A119" s="779">
        <f t="shared" si="27"/>
        <v>105</v>
      </c>
      <c r="B119" s="423" t="s">
        <v>1232</v>
      </c>
      <c r="C119" s="423" t="s">
        <v>455</v>
      </c>
      <c r="D119" s="423" t="s">
        <v>649</v>
      </c>
      <c r="E119" s="777" t="s">
        <v>1811</v>
      </c>
      <c r="F119" s="778">
        <v>252366.78</v>
      </c>
      <c r="G119" s="778">
        <v>247004.7</v>
      </c>
      <c r="H119" s="778">
        <v>241029.93</v>
      </c>
      <c r="I119" s="778">
        <v>228793.99</v>
      </c>
      <c r="J119" s="778">
        <v>280594.05</v>
      </c>
      <c r="K119" s="778">
        <v>279621.8</v>
      </c>
      <c r="L119" s="778">
        <v>304856.15000000002</v>
      </c>
      <c r="M119" s="778">
        <v>418983.04</v>
      </c>
      <c r="N119" s="778">
        <v>429373.2</v>
      </c>
      <c r="O119" s="778">
        <v>402422.78</v>
      </c>
      <c r="P119" s="778">
        <v>398855.72</v>
      </c>
      <c r="Q119" s="778">
        <v>398580.93</v>
      </c>
      <c r="R119" s="778">
        <v>286270.45</v>
      </c>
      <c r="S119" s="618">
        <f t="shared" si="35"/>
        <v>286270.45</v>
      </c>
      <c r="T119" s="773"/>
      <c r="U119" s="383">
        <f t="shared" si="36"/>
        <v>286270.45</v>
      </c>
      <c r="V119" s="383"/>
      <c r="W119" s="383"/>
      <c r="X119" s="393"/>
      <c r="Y119" s="383"/>
      <c r="Z119" s="383"/>
      <c r="AA119" s="383"/>
      <c r="AB119" s="383"/>
      <c r="AC119" s="773"/>
      <c r="AD119" s="417">
        <f t="shared" si="37"/>
        <v>286270.45</v>
      </c>
      <c r="AE119" s="773"/>
      <c r="AF119" s="781">
        <f t="shared" si="26"/>
        <v>0</v>
      </c>
    </row>
    <row r="120" spans="1:32">
      <c r="A120" s="779">
        <f t="shared" si="27"/>
        <v>106</v>
      </c>
      <c r="B120" s="423" t="s">
        <v>1233</v>
      </c>
      <c r="C120" s="423" t="s">
        <v>455</v>
      </c>
      <c r="D120" s="423" t="s">
        <v>649</v>
      </c>
      <c r="E120" s="777" t="s">
        <v>1812</v>
      </c>
      <c r="F120" s="778">
        <v>362383.7</v>
      </c>
      <c r="G120" s="778">
        <v>404250.48</v>
      </c>
      <c r="H120" s="778">
        <v>396975.01</v>
      </c>
      <c r="I120" s="778">
        <v>399217.88</v>
      </c>
      <c r="J120" s="778">
        <v>399398.45</v>
      </c>
      <c r="K120" s="778">
        <v>408687.18</v>
      </c>
      <c r="L120" s="778">
        <v>418029.17</v>
      </c>
      <c r="M120" s="778">
        <v>447093.77</v>
      </c>
      <c r="N120" s="778">
        <v>488896.92</v>
      </c>
      <c r="O120" s="778">
        <v>528773.81000000006</v>
      </c>
      <c r="P120" s="778">
        <v>501152.11</v>
      </c>
      <c r="Q120" s="778">
        <v>563864.93000000005</v>
      </c>
      <c r="R120" s="778">
        <v>565509.80000000005</v>
      </c>
      <c r="S120" s="618">
        <f t="shared" si="35"/>
        <v>565509.80000000005</v>
      </c>
      <c r="T120" s="773"/>
      <c r="U120" s="383">
        <f t="shared" si="36"/>
        <v>565509.80000000005</v>
      </c>
      <c r="V120" s="383"/>
      <c r="W120" s="383"/>
      <c r="X120" s="393"/>
      <c r="Y120" s="383"/>
      <c r="Z120" s="383"/>
      <c r="AA120" s="383"/>
      <c r="AB120" s="383"/>
      <c r="AC120" s="773"/>
      <c r="AD120" s="417">
        <f t="shared" si="37"/>
        <v>565509.80000000005</v>
      </c>
      <c r="AE120" s="773"/>
      <c r="AF120" s="781">
        <f t="shared" si="26"/>
        <v>0</v>
      </c>
    </row>
    <row r="121" spans="1:32">
      <c r="A121" s="779">
        <f t="shared" si="27"/>
        <v>107</v>
      </c>
      <c r="B121" s="423" t="s">
        <v>1234</v>
      </c>
      <c r="C121" s="423" t="s">
        <v>455</v>
      </c>
      <c r="D121" s="423" t="s">
        <v>649</v>
      </c>
      <c r="E121" s="777" t="s">
        <v>1813</v>
      </c>
      <c r="F121" s="778">
        <v>939016.6</v>
      </c>
      <c r="G121" s="778">
        <v>977112.36</v>
      </c>
      <c r="H121" s="778">
        <v>982579.67</v>
      </c>
      <c r="I121" s="778">
        <v>1010570.95</v>
      </c>
      <c r="J121" s="778">
        <v>952927.99</v>
      </c>
      <c r="K121" s="778">
        <v>952524.73</v>
      </c>
      <c r="L121" s="778">
        <v>934968.62</v>
      </c>
      <c r="M121" s="778">
        <v>1277673.82</v>
      </c>
      <c r="N121" s="778">
        <v>1466708.96</v>
      </c>
      <c r="O121" s="778">
        <v>1537238.83</v>
      </c>
      <c r="P121" s="778">
        <v>1605513.41</v>
      </c>
      <c r="Q121" s="778">
        <v>1654212.31</v>
      </c>
      <c r="R121" s="778">
        <v>487398.36</v>
      </c>
      <c r="S121" s="618">
        <f t="shared" si="35"/>
        <v>487398.36</v>
      </c>
      <c r="T121" s="773"/>
      <c r="U121" s="383">
        <f t="shared" si="36"/>
        <v>487398.36</v>
      </c>
      <c r="V121" s="383"/>
      <c r="W121" s="383"/>
      <c r="X121" s="393"/>
      <c r="Y121" s="383"/>
      <c r="Z121" s="383"/>
      <c r="AA121" s="383"/>
      <c r="AB121" s="383"/>
      <c r="AC121" s="773"/>
      <c r="AD121" s="417">
        <f t="shared" si="37"/>
        <v>487398.36</v>
      </c>
      <c r="AE121" s="773"/>
      <c r="AF121" s="781">
        <f t="shared" si="26"/>
        <v>0</v>
      </c>
    </row>
    <row r="122" spans="1:32">
      <c r="A122" s="779">
        <f t="shared" si="27"/>
        <v>108</v>
      </c>
      <c r="B122" s="423" t="s">
        <v>1235</v>
      </c>
      <c r="C122" s="423" t="s">
        <v>455</v>
      </c>
      <c r="D122" s="423" t="s">
        <v>649</v>
      </c>
      <c r="E122" s="777" t="s">
        <v>1814</v>
      </c>
      <c r="F122" s="778">
        <v>354519.33</v>
      </c>
      <c r="G122" s="778">
        <v>382321.05</v>
      </c>
      <c r="H122" s="778">
        <v>365645.62</v>
      </c>
      <c r="I122" s="778">
        <v>397713</v>
      </c>
      <c r="J122" s="778">
        <v>382999</v>
      </c>
      <c r="K122" s="778">
        <v>356449.44</v>
      </c>
      <c r="L122" s="778">
        <v>390456.57</v>
      </c>
      <c r="M122" s="778">
        <v>397955.95</v>
      </c>
      <c r="N122" s="778">
        <v>442767.97</v>
      </c>
      <c r="O122" s="778">
        <v>445007.9</v>
      </c>
      <c r="P122" s="778">
        <v>441134.93</v>
      </c>
      <c r="Q122" s="778">
        <v>390781.38</v>
      </c>
      <c r="R122" s="778">
        <v>407258.54</v>
      </c>
      <c r="S122" s="618">
        <f t="shared" si="35"/>
        <v>407258.54</v>
      </c>
      <c r="T122" s="773"/>
      <c r="U122" s="383">
        <f t="shared" si="36"/>
        <v>407258.54</v>
      </c>
      <c r="V122" s="383"/>
      <c r="W122" s="383"/>
      <c r="X122" s="393"/>
      <c r="Y122" s="383"/>
      <c r="Z122" s="383"/>
      <c r="AA122" s="383"/>
      <c r="AB122" s="383"/>
      <c r="AC122" s="773"/>
      <c r="AD122" s="417">
        <f t="shared" si="37"/>
        <v>407258.54</v>
      </c>
      <c r="AE122" s="773"/>
      <c r="AF122" s="781">
        <f t="shared" si="26"/>
        <v>0</v>
      </c>
    </row>
    <row r="123" spans="1:32">
      <c r="A123" s="779">
        <f t="shared" si="27"/>
        <v>109</v>
      </c>
      <c r="B123" s="423" t="s">
        <v>1236</v>
      </c>
      <c r="C123" s="423" t="s">
        <v>455</v>
      </c>
      <c r="D123" s="423" t="s">
        <v>649</v>
      </c>
      <c r="E123" s="777" t="s">
        <v>1815</v>
      </c>
      <c r="F123" s="778">
        <v>122283.69</v>
      </c>
      <c r="G123" s="778">
        <v>127931.93</v>
      </c>
      <c r="H123" s="778">
        <v>127821.28</v>
      </c>
      <c r="I123" s="778">
        <v>122349.8</v>
      </c>
      <c r="J123" s="778">
        <v>121868.3</v>
      </c>
      <c r="K123" s="778">
        <v>122154.07</v>
      </c>
      <c r="L123" s="778">
        <v>118798.31</v>
      </c>
      <c r="M123" s="778">
        <v>119996.89</v>
      </c>
      <c r="N123" s="778">
        <v>128332.5</v>
      </c>
      <c r="O123" s="778">
        <v>125008.2</v>
      </c>
      <c r="P123" s="778">
        <v>141767.95000000001</v>
      </c>
      <c r="Q123" s="778">
        <v>136810.29</v>
      </c>
      <c r="R123" s="778">
        <v>135918.65</v>
      </c>
      <c r="S123" s="618">
        <f t="shared" si="35"/>
        <v>135918.65</v>
      </c>
      <c r="T123" s="773"/>
      <c r="U123" s="383">
        <f t="shared" si="36"/>
        <v>135918.65</v>
      </c>
      <c r="V123" s="383"/>
      <c r="W123" s="383"/>
      <c r="X123" s="393"/>
      <c r="Y123" s="383"/>
      <c r="Z123" s="383"/>
      <c r="AA123" s="383"/>
      <c r="AB123" s="383"/>
      <c r="AC123" s="773"/>
      <c r="AD123" s="417">
        <f t="shared" si="37"/>
        <v>135918.65</v>
      </c>
      <c r="AE123" s="773"/>
      <c r="AF123" s="781">
        <f t="shared" si="26"/>
        <v>0</v>
      </c>
    </row>
    <row r="124" spans="1:32">
      <c r="A124" s="779">
        <f t="shared" si="27"/>
        <v>110</v>
      </c>
      <c r="B124" s="423" t="s">
        <v>1237</v>
      </c>
      <c r="C124" s="423" t="s">
        <v>455</v>
      </c>
      <c r="D124" s="423" t="s">
        <v>649</v>
      </c>
      <c r="E124" s="777" t="s">
        <v>1816</v>
      </c>
      <c r="F124" s="778">
        <v>276519.57</v>
      </c>
      <c r="G124" s="778">
        <v>353580.11</v>
      </c>
      <c r="H124" s="778">
        <v>356884.81</v>
      </c>
      <c r="I124" s="778">
        <v>300749.46000000002</v>
      </c>
      <c r="J124" s="778">
        <v>305478.3</v>
      </c>
      <c r="K124" s="778">
        <v>289910.8</v>
      </c>
      <c r="L124" s="778">
        <v>324038.75</v>
      </c>
      <c r="M124" s="778">
        <v>323795.17</v>
      </c>
      <c r="N124" s="778">
        <v>332856.62</v>
      </c>
      <c r="O124" s="778">
        <v>316824.92</v>
      </c>
      <c r="P124" s="778">
        <v>297682.26</v>
      </c>
      <c r="Q124" s="778">
        <v>303434.05</v>
      </c>
      <c r="R124" s="778">
        <v>291155.42</v>
      </c>
      <c r="S124" s="618">
        <f t="shared" si="35"/>
        <v>291155.42</v>
      </c>
      <c r="T124" s="773"/>
      <c r="U124" s="383">
        <f t="shared" si="36"/>
        <v>291155.42</v>
      </c>
      <c r="V124" s="383"/>
      <c r="W124" s="383"/>
      <c r="X124" s="393"/>
      <c r="Y124" s="383"/>
      <c r="Z124" s="383"/>
      <c r="AA124" s="383"/>
      <c r="AB124" s="383"/>
      <c r="AC124" s="773"/>
      <c r="AD124" s="417">
        <f t="shared" si="37"/>
        <v>291155.42</v>
      </c>
      <c r="AE124" s="773"/>
      <c r="AF124" s="781">
        <f t="shared" si="26"/>
        <v>0</v>
      </c>
    </row>
    <row r="125" spans="1:32">
      <c r="A125" s="779">
        <f t="shared" si="27"/>
        <v>111</v>
      </c>
      <c r="B125" s="423" t="s">
        <v>1238</v>
      </c>
      <c r="C125" s="423" t="s">
        <v>455</v>
      </c>
      <c r="D125" s="423" t="s">
        <v>649</v>
      </c>
      <c r="E125" s="777" t="s">
        <v>1817</v>
      </c>
      <c r="F125" s="778">
        <v>600329.80000000005</v>
      </c>
      <c r="G125" s="778">
        <v>298306.21999999997</v>
      </c>
      <c r="H125" s="778">
        <v>279450.96000000002</v>
      </c>
      <c r="I125" s="778">
        <v>285472.36</v>
      </c>
      <c r="J125" s="778">
        <v>282045.49</v>
      </c>
      <c r="K125" s="778">
        <v>372115.19</v>
      </c>
      <c r="L125" s="778">
        <v>639607.56000000006</v>
      </c>
      <c r="M125" s="778">
        <v>853365.79</v>
      </c>
      <c r="N125" s="778">
        <v>920988.37</v>
      </c>
      <c r="O125" s="778">
        <v>903138.88</v>
      </c>
      <c r="P125" s="778">
        <v>439229.59</v>
      </c>
      <c r="Q125" s="778">
        <v>360839.12</v>
      </c>
      <c r="R125" s="778">
        <v>363923.37</v>
      </c>
      <c r="S125" s="618">
        <f t="shared" si="35"/>
        <v>363923.37</v>
      </c>
      <c r="T125" s="773"/>
      <c r="U125" s="383">
        <f t="shared" si="36"/>
        <v>363923.37</v>
      </c>
      <c r="V125" s="383"/>
      <c r="W125" s="383"/>
      <c r="X125" s="393"/>
      <c r="Y125" s="383"/>
      <c r="Z125" s="383"/>
      <c r="AA125" s="383"/>
      <c r="AB125" s="383"/>
      <c r="AC125" s="773"/>
      <c r="AD125" s="417">
        <f t="shared" si="37"/>
        <v>363923.37</v>
      </c>
      <c r="AE125" s="773"/>
      <c r="AF125" s="781">
        <f t="shared" si="26"/>
        <v>0</v>
      </c>
    </row>
    <row r="126" spans="1:32">
      <c r="A126" s="779">
        <f t="shared" si="27"/>
        <v>112</v>
      </c>
      <c r="B126" s="423" t="s">
        <v>1239</v>
      </c>
      <c r="C126" s="423" t="s">
        <v>455</v>
      </c>
      <c r="D126" s="423" t="s">
        <v>649</v>
      </c>
      <c r="E126" s="777" t="s">
        <v>1818</v>
      </c>
      <c r="F126" s="778">
        <v>73075.679999999993</v>
      </c>
      <c r="G126" s="778">
        <v>83102.490000000005</v>
      </c>
      <c r="H126" s="778">
        <v>81541.89</v>
      </c>
      <c r="I126" s="778">
        <v>81531.960000000006</v>
      </c>
      <c r="J126" s="778">
        <v>77017.37</v>
      </c>
      <c r="K126" s="778">
        <v>91129.29</v>
      </c>
      <c r="L126" s="778">
        <v>105350.95</v>
      </c>
      <c r="M126" s="778">
        <v>84949.06</v>
      </c>
      <c r="N126" s="778">
        <v>333621.46999999997</v>
      </c>
      <c r="O126" s="778">
        <v>630525.85</v>
      </c>
      <c r="P126" s="778">
        <v>71089.59</v>
      </c>
      <c r="Q126" s="778">
        <v>75960.42</v>
      </c>
      <c r="R126" s="778">
        <v>75781.679999999993</v>
      </c>
      <c r="S126" s="618">
        <f t="shared" si="35"/>
        <v>75781.679999999993</v>
      </c>
      <c r="T126" s="773"/>
      <c r="U126" s="383">
        <f t="shared" si="36"/>
        <v>75781.679999999993</v>
      </c>
      <c r="V126" s="383"/>
      <c r="W126" s="383"/>
      <c r="X126" s="393"/>
      <c r="Y126" s="383"/>
      <c r="Z126" s="383"/>
      <c r="AA126" s="383"/>
      <c r="AB126" s="383"/>
      <c r="AC126" s="773"/>
      <c r="AD126" s="417">
        <f t="shared" si="37"/>
        <v>75781.679999999993</v>
      </c>
      <c r="AE126" s="773"/>
      <c r="AF126" s="781">
        <f t="shared" si="26"/>
        <v>0</v>
      </c>
    </row>
    <row r="127" spans="1:32">
      <c r="A127" s="779">
        <f t="shared" si="27"/>
        <v>113</v>
      </c>
      <c r="B127" s="423" t="s">
        <v>1240</v>
      </c>
      <c r="C127" s="423" t="s">
        <v>455</v>
      </c>
      <c r="D127" s="423" t="s">
        <v>649</v>
      </c>
      <c r="E127" s="777" t="s">
        <v>1819</v>
      </c>
      <c r="F127" s="778">
        <v>352232.57</v>
      </c>
      <c r="G127" s="778">
        <v>339058.76</v>
      </c>
      <c r="H127" s="778">
        <v>440588.5</v>
      </c>
      <c r="I127" s="778">
        <v>409712.54</v>
      </c>
      <c r="J127" s="778">
        <v>408026.33</v>
      </c>
      <c r="K127" s="778">
        <v>447504.68</v>
      </c>
      <c r="L127" s="778">
        <v>371134.11</v>
      </c>
      <c r="M127" s="778">
        <v>390789.3</v>
      </c>
      <c r="N127" s="778">
        <v>406154.61</v>
      </c>
      <c r="O127" s="778">
        <v>405331.83</v>
      </c>
      <c r="P127" s="778">
        <v>448514.58</v>
      </c>
      <c r="Q127" s="778">
        <v>451748.39</v>
      </c>
      <c r="R127" s="778">
        <v>476417.96</v>
      </c>
      <c r="S127" s="618">
        <f t="shared" si="35"/>
        <v>476417.96</v>
      </c>
      <c r="T127" s="773"/>
      <c r="U127" s="383">
        <f t="shared" si="36"/>
        <v>476417.96</v>
      </c>
      <c r="V127" s="383"/>
      <c r="W127" s="383"/>
      <c r="X127" s="393"/>
      <c r="Y127" s="383"/>
      <c r="Z127" s="383"/>
      <c r="AA127" s="383"/>
      <c r="AB127" s="383"/>
      <c r="AC127" s="773"/>
      <c r="AD127" s="417">
        <f t="shared" si="37"/>
        <v>476417.96</v>
      </c>
      <c r="AE127" s="773"/>
      <c r="AF127" s="781">
        <f t="shared" si="26"/>
        <v>0</v>
      </c>
    </row>
    <row r="128" spans="1:32">
      <c r="A128" s="779">
        <f t="shared" si="27"/>
        <v>114</v>
      </c>
      <c r="B128" s="423" t="s">
        <v>1687</v>
      </c>
      <c r="C128" s="423" t="s">
        <v>455</v>
      </c>
      <c r="D128" s="423" t="s">
        <v>649</v>
      </c>
      <c r="E128" s="777" t="s">
        <v>1820</v>
      </c>
      <c r="F128" s="778">
        <v>0</v>
      </c>
      <c r="G128" s="778">
        <v>0</v>
      </c>
      <c r="H128" s="778">
        <v>0</v>
      </c>
      <c r="I128" s="778">
        <v>0</v>
      </c>
      <c r="J128" s="778">
        <v>0</v>
      </c>
      <c r="K128" s="778">
        <v>0</v>
      </c>
      <c r="L128" s="778">
        <v>0</v>
      </c>
      <c r="M128" s="778">
        <v>0</v>
      </c>
      <c r="N128" s="778">
        <v>2668.92</v>
      </c>
      <c r="O128" s="778">
        <v>134.05000000000001</v>
      </c>
      <c r="P128" s="778">
        <v>-9.9999999998203696E-3</v>
      </c>
      <c r="Q128" s="778">
        <v>450.53</v>
      </c>
      <c r="R128" s="778">
        <v>536.36</v>
      </c>
      <c r="S128" s="618">
        <f t="shared" si="35"/>
        <v>536.36</v>
      </c>
      <c r="T128" s="773"/>
      <c r="U128" s="383">
        <f t="shared" si="36"/>
        <v>536.36</v>
      </c>
      <c r="V128" s="383"/>
      <c r="W128" s="383"/>
      <c r="X128" s="393"/>
      <c r="Y128" s="383"/>
      <c r="Z128" s="383"/>
      <c r="AA128" s="383"/>
      <c r="AB128" s="383"/>
      <c r="AC128" s="773"/>
      <c r="AD128" s="417">
        <f t="shared" si="37"/>
        <v>536.36</v>
      </c>
      <c r="AE128" s="773"/>
      <c r="AF128" s="781">
        <f t="shared" si="26"/>
        <v>0</v>
      </c>
    </row>
    <row r="129" spans="1:32">
      <c r="A129" s="779">
        <f t="shared" si="27"/>
        <v>115</v>
      </c>
      <c r="B129" s="423" t="s">
        <v>1241</v>
      </c>
      <c r="C129" s="423" t="s">
        <v>455</v>
      </c>
      <c r="D129" s="423" t="s">
        <v>649</v>
      </c>
      <c r="E129" s="777" t="s">
        <v>1821</v>
      </c>
      <c r="F129" s="778">
        <v>271710.74</v>
      </c>
      <c r="G129" s="778">
        <v>295389.45</v>
      </c>
      <c r="H129" s="778">
        <v>292044.76</v>
      </c>
      <c r="I129" s="778">
        <v>303858.11</v>
      </c>
      <c r="J129" s="778">
        <v>291143.33</v>
      </c>
      <c r="K129" s="778">
        <v>316800.38</v>
      </c>
      <c r="L129" s="778">
        <v>319072.57</v>
      </c>
      <c r="M129" s="778">
        <v>314886.2</v>
      </c>
      <c r="N129" s="778">
        <v>305596.7</v>
      </c>
      <c r="O129" s="778">
        <v>314139.73</v>
      </c>
      <c r="P129" s="778">
        <v>316022</v>
      </c>
      <c r="Q129" s="778">
        <v>321616.5</v>
      </c>
      <c r="R129" s="778">
        <v>307766.09000000003</v>
      </c>
      <c r="S129" s="618">
        <f t="shared" si="35"/>
        <v>307766.09000000003</v>
      </c>
      <c r="T129" s="773"/>
      <c r="U129" s="383">
        <f t="shared" si="36"/>
        <v>307766.09000000003</v>
      </c>
      <c r="V129" s="383"/>
      <c r="W129" s="383"/>
      <c r="X129" s="393"/>
      <c r="Y129" s="383"/>
      <c r="Z129" s="383"/>
      <c r="AA129" s="383"/>
      <c r="AB129" s="383"/>
      <c r="AC129" s="773"/>
      <c r="AD129" s="417">
        <f t="shared" si="37"/>
        <v>307766.09000000003</v>
      </c>
      <c r="AE129" s="773"/>
      <c r="AF129" s="781">
        <f t="shared" si="26"/>
        <v>0</v>
      </c>
    </row>
    <row r="130" spans="1:32">
      <c r="A130" s="779">
        <f t="shared" si="27"/>
        <v>116</v>
      </c>
      <c r="B130" s="423" t="s">
        <v>1242</v>
      </c>
      <c r="C130" s="423" t="s">
        <v>455</v>
      </c>
      <c r="D130" s="423" t="s">
        <v>649</v>
      </c>
      <c r="E130" s="777" t="s">
        <v>1822</v>
      </c>
      <c r="F130" s="778">
        <v>273162.12</v>
      </c>
      <c r="G130" s="778">
        <v>268217.84999999998</v>
      </c>
      <c r="H130" s="778">
        <v>265948.15000000002</v>
      </c>
      <c r="I130" s="778">
        <v>261451.99</v>
      </c>
      <c r="J130" s="778">
        <v>266922.15999999997</v>
      </c>
      <c r="K130" s="778">
        <v>260898.61</v>
      </c>
      <c r="L130" s="778">
        <v>226023.92</v>
      </c>
      <c r="M130" s="778">
        <v>239959.6</v>
      </c>
      <c r="N130" s="778">
        <v>244013.76</v>
      </c>
      <c r="O130" s="778">
        <v>246417.76</v>
      </c>
      <c r="P130" s="778">
        <v>318330.71999999997</v>
      </c>
      <c r="Q130" s="778">
        <v>343817.71</v>
      </c>
      <c r="R130" s="778">
        <v>348930.45</v>
      </c>
      <c r="S130" s="618">
        <f t="shared" si="35"/>
        <v>348930.45</v>
      </c>
      <c r="T130" s="773"/>
      <c r="U130" s="383">
        <f t="shared" si="36"/>
        <v>348930.45</v>
      </c>
      <c r="V130" s="383"/>
      <c r="W130" s="383"/>
      <c r="X130" s="393"/>
      <c r="Y130" s="383"/>
      <c r="Z130" s="383"/>
      <c r="AA130" s="383"/>
      <c r="AB130" s="383"/>
      <c r="AC130" s="773"/>
      <c r="AD130" s="417">
        <f t="shared" si="37"/>
        <v>348930.45</v>
      </c>
      <c r="AE130" s="773"/>
      <c r="AF130" s="781">
        <f t="shared" si="26"/>
        <v>0</v>
      </c>
    </row>
    <row r="131" spans="1:32">
      <c r="A131" s="779">
        <f t="shared" si="27"/>
        <v>117</v>
      </c>
      <c r="B131" s="423" t="s">
        <v>1243</v>
      </c>
      <c r="C131" s="423" t="s">
        <v>455</v>
      </c>
      <c r="D131" s="423" t="s">
        <v>649</v>
      </c>
      <c r="E131" s="777" t="s">
        <v>1823</v>
      </c>
      <c r="F131" s="778">
        <v>110546.26</v>
      </c>
      <c r="G131" s="778">
        <v>117445.28</v>
      </c>
      <c r="H131" s="778">
        <v>112615.92</v>
      </c>
      <c r="I131" s="778">
        <v>131843.76999999999</v>
      </c>
      <c r="J131" s="778">
        <v>126076.99</v>
      </c>
      <c r="K131" s="778">
        <v>129632.57</v>
      </c>
      <c r="L131" s="778">
        <v>126112.49</v>
      </c>
      <c r="M131" s="778">
        <v>140946.16</v>
      </c>
      <c r="N131" s="778">
        <v>145445.68</v>
      </c>
      <c r="O131" s="778">
        <v>145413.57</v>
      </c>
      <c r="P131" s="778">
        <v>156039.95000000001</v>
      </c>
      <c r="Q131" s="778">
        <v>154707.26</v>
      </c>
      <c r="R131" s="778">
        <v>144477.1</v>
      </c>
      <c r="S131" s="618">
        <f t="shared" si="35"/>
        <v>144477.1</v>
      </c>
      <c r="T131" s="773"/>
      <c r="U131" s="383">
        <f t="shared" si="36"/>
        <v>144477.1</v>
      </c>
      <c r="V131" s="383"/>
      <c r="W131" s="383"/>
      <c r="X131" s="393"/>
      <c r="Y131" s="383"/>
      <c r="Z131" s="383"/>
      <c r="AA131" s="383"/>
      <c r="AB131" s="383"/>
      <c r="AC131" s="773"/>
      <c r="AD131" s="417">
        <f t="shared" si="37"/>
        <v>144477.1</v>
      </c>
      <c r="AE131" s="773"/>
      <c r="AF131" s="781">
        <f t="shared" si="26"/>
        <v>0</v>
      </c>
    </row>
    <row r="132" spans="1:32">
      <c r="A132" s="779">
        <f t="shared" si="27"/>
        <v>118</v>
      </c>
      <c r="B132" s="423" t="s">
        <v>1244</v>
      </c>
      <c r="C132" s="423" t="s">
        <v>455</v>
      </c>
      <c r="D132" s="423" t="s">
        <v>649</v>
      </c>
      <c r="E132" s="777" t="s">
        <v>1824</v>
      </c>
      <c r="F132" s="778">
        <v>59820.46</v>
      </c>
      <c r="G132" s="778">
        <v>72000.45</v>
      </c>
      <c r="H132" s="778">
        <v>68805.41</v>
      </c>
      <c r="I132" s="778">
        <v>65465.39</v>
      </c>
      <c r="J132" s="778">
        <v>63651.12</v>
      </c>
      <c r="K132" s="778">
        <v>61316.67</v>
      </c>
      <c r="L132" s="778">
        <v>66738.67</v>
      </c>
      <c r="M132" s="778">
        <v>78090.89</v>
      </c>
      <c r="N132" s="778">
        <v>76847.039999999994</v>
      </c>
      <c r="O132" s="778">
        <v>71256.88</v>
      </c>
      <c r="P132" s="778">
        <v>61211.199999999997</v>
      </c>
      <c r="Q132" s="778">
        <v>59806.65</v>
      </c>
      <c r="R132" s="778">
        <v>58203.88</v>
      </c>
      <c r="S132" s="618">
        <f t="shared" si="35"/>
        <v>58203.88</v>
      </c>
      <c r="T132" s="773"/>
      <c r="U132" s="383">
        <f t="shared" si="36"/>
        <v>58203.88</v>
      </c>
      <c r="V132" s="383"/>
      <c r="W132" s="383"/>
      <c r="X132" s="393"/>
      <c r="Y132" s="383"/>
      <c r="Z132" s="383"/>
      <c r="AA132" s="383"/>
      <c r="AB132" s="383"/>
      <c r="AC132" s="773"/>
      <c r="AD132" s="417">
        <f t="shared" si="37"/>
        <v>58203.88</v>
      </c>
      <c r="AE132" s="773"/>
      <c r="AF132" s="781">
        <f t="shared" si="26"/>
        <v>0</v>
      </c>
    </row>
    <row r="133" spans="1:32">
      <c r="A133" s="779">
        <f t="shared" si="27"/>
        <v>119</v>
      </c>
      <c r="B133" s="423" t="s">
        <v>1245</v>
      </c>
      <c r="C133" s="423" t="s">
        <v>455</v>
      </c>
      <c r="D133" s="423" t="s">
        <v>649</v>
      </c>
      <c r="E133" s="777" t="s">
        <v>1825</v>
      </c>
      <c r="F133" s="778">
        <v>167455.42000000001</v>
      </c>
      <c r="G133" s="778">
        <v>173736.81</v>
      </c>
      <c r="H133" s="778">
        <v>178490.54</v>
      </c>
      <c r="I133" s="778">
        <v>137608.20000000001</v>
      </c>
      <c r="J133" s="778">
        <v>163000.07</v>
      </c>
      <c r="K133" s="778">
        <v>156634.38</v>
      </c>
      <c r="L133" s="778">
        <v>200353.41</v>
      </c>
      <c r="M133" s="778">
        <v>197281.96</v>
      </c>
      <c r="N133" s="778">
        <v>205986.73</v>
      </c>
      <c r="O133" s="778">
        <v>196836.96</v>
      </c>
      <c r="P133" s="778">
        <v>320493.99</v>
      </c>
      <c r="Q133" s="778">
        <v>289163.17</v>
      </c>
      <c r="R133" s="778">
        <v>255478.3</v>
      </c>
      <c r="S133" s="618">
        <f t="shared" si="35"/>
        <v>255478.3</v>
      </c>
      <c r="T133" s="773"/>
      <c r="U133" s="383">
        <f t="shared" si="36"/>
        <v>255478.3</v>
      </c>
      <c r="V133" s="383"/>
      <c r="W133" s="383"/>
      <c r="X133" s="393"/>
      <c r="Y133" s="383"/>
      <c r="Z133" s="383"/>
      <c r="AA133" s="383"/>
      <c r="AB133" s="383"/>
      <c r="AC133" s="773"/>
      <c r="AD133" s="417">
        <f t="shared" si="37"/>
        <v>255478.3</v>
      </c>
      <c r="AE133" s="773"/>
      <c r="AF133" s="781">
        <f t="shared" si="26"/>
        <v>0</v>
      </c>
    </row>
    <row r="134" spans="1:32">
      <c r="A134" s="779">
        <f t="shared" si="27"/>
        <v>120</v>
      </c>
      <c r="B134" s="423" t="s">
        <v>1688</v>
      </c>
      <c r="C134" s="423" t="s">
        <v>455</v>
      </c>
      <c r="D134" s="423" t="s">
        <v>649</v>
      </c>
      <c r="E134" s="777" t="s">
        <v>1826</v>
      </c>
      <c r="F134" s="778">
        <v>0</v>
      </c>
      <c r="G134" s="778">
        <v>0</v>
      </c>
      <c r="H134" s="778">
        <v>0</v>
      </c>
      <c r="I134" s="778">
        <v>0</v>
      </c>
      <c r="J134" s="778">
        <v>0.01</v>
      </c>
      <c r="K134" s="778">
        <v>0.01</v>
      </c>
      <c r="L134" s="778">
        <v>26.31</v>
      </c>
      <c r="M134" s="778">
        <v>3.5527136788005001E-15</v>
      </c>
      <c r="N134" s="778">
        <v>57.5</v>
      </c>
      <c r="O134" s="778">
        <v>0</v>
      </c>
      <c r="P134" s="778">
        <v>0</v>
      </c>
      <c r="Q134" s="778">
        <v>-0.01</v>
      </c>
      <c r="R134" s="778">
        <v>-1541.61</v>
      </c>
      <c r="S134" s="618">
        <f t="shared" si="35"/>
        <v>-1541.61</v>
      </c>
      <c r="T134" s="773"/>
      <c r="U134" s="383">
        <f t="shared" si="36"/>
        <v>-1541.61</v>
      </c>
      <c r="V134" s="383"/>
      <c r="W134" s="383"/>
      <c r="X134" s="393"/>
      <c r="Y134" s="383"/>
      <c r="Z134" s="383"/>
      <c r="AA134" s="383"/>
      <c r="AB134" s="383"/>
      <c r="AC134" s="773"/>
      <c r="AD134" s="417">
        <f t="shared" si="37"/>
        <v>-1541.61</v>
      </c>
      <c r="AE134" s="773"/>
      <c r="AF134" s="781">
        <f t="shared" si="26"/>
        <v>0</v>
      </c>
    </row>
    <row r="135" spans="1:32">
      <c r="A135" s="779">
        <f t="shared" si="27"/>
        <v>121</v>
      </c>
      <c r="B135" s="423" t="s">
        <v>1063</v>
      </c>
      <c r="C135" s="423" t="s">
        <v>455</v>
      </c>
      <c r="D135" s="423" t="s">
        <v>1246</v>
      </c>
      <c r="E135" s="777" t="s">
        <v>1827</v>
      </c>
      <c r="F135" s="778">
        <v>337913.42</v>
      </c>
      <c r="G135" s="778">
        <v>276976.78999999998</v>
      </c>
      <c r="H135" s="778">
        <v>276976.78999999998</v>
      </c>
      <c r="I135" s="778">
        <v>276976.78999999998</v>
      </c>
      <c r="J135" s="778">
        <v>338550.75</v>
      </c>
      <c r="K135" s="778">
        <v>338550.75</v>
      </c>
      <c r="L135" s="778">
        <v>339075.46</v>
      </c>
      <c r="M135" s="778">
        <v>339075.46</v>
      </c>
      <c r="N135" s="778">
        <v>293322.5</v>
      </c>
      <c r="O135" s="778">
        <v>293322.5</v>
      </c>
      <c r="P135" s="778">
        <v>406216.49</v>
      </c>
      <c r="Q135" s="778">
        <v>342609.97</v>
      </c>
      <c r="R135" s="778">
        <v>342609.97</v>
      </c>
      <c r="S135" s="618">
        <f t="shared" si="35"/>
        <v>342609.97</v>
      </c>
      <c r="T135" s="773"/>
      <c r="U135" s="383">
        <f t="shared" si="36"/>
        <v>342609.97</v>
      </c>
      <c r="V135" s="383"/>
      <c r="W135" s="383"/>
      <c r="X135" s="393"/>
      <c r="Y135" s="383"/>
      <c r="Z135" s="383"/>
      <c r="AA135" s="383"/>
      <c r="AB135" s="383"/>
      <c r="AC135" s="773"/>
      <c r="AD135" s="417">
        <f t="shared" si="37"/>
        <v>342609.97</v>
      </c>
      <c r="AE135" s="773"/>
      <c r="AF135" s="781">
        <f t="shared" si="26"/>
        <v>0</v>
      </c>
    </row>
    <row r="136" spans="1:32">
      <c r="A136" s="779">
        <f t="shared" si="27"/>
        <v>122</v>
      </c>
      <c r="B136" s="423" t="s">
        <v>1063</v>
      </c>
      <c r="C136" s="423" t="s">
        <v>456</v>
      </c>
      <c r="D136" s="423" t="s">
        <v>1248</v>
      </c>
      <c r="E136" s="777" t="s">
        <v>1828</v>
      </c>
      <c r="F136" s="778">
        <v>0</v>
      </c>
      <c r="G136" s="778">
        <v>14115.84</v>
      </c>
      <c r="H136" s="778">
        <v>27723.01</v>
      </c>
      <c r="I136" s="778">
        <v>38382.980000000003</v>
      </c>
      <c r="J136" s="778">
        <v>41380.26</v>
      </c>
      <c r="K136" s="778">
        <v>45441.46</v>
      </c>
      <c r="L136" s="778">
        <v>46421.39</v>
      </c>
      <c r="M136" s="778">
        <v>50172.69</v>
      </c>
      <c r="N136" s="778">
        <v>56540.59</v>
      </c>
      <c r="O136" s="778">
        <v>57145.05</v>
      </c>
      <c r="P136" s="778">
        <v>63328.51</v>
      </c>
      <c r="Q136" s="778">
        <v>64410.47</v>
      </c>
      <c r="R136" s="778">
        <v>0</v>
      </c>
      <c r="S136" s="618">
        <f t="shared" si="35"/>
        <v>0</v>
      </c>
      <c r="T136" s="773"/>
      <c r="U136" s="383">
        <f t="shared" si="36"/>
        <v>0</v>
      </c>
      <c r="V136" s="383"/>
      <c r="W136" s="383"/>
      <c r="X136" s="393"/>
      <c r="Y136" s="383"/>
      <c r="Z136" s="383"/>
      <c r="AA136" s="383"/>
      <c r="AB136" s="383"/>
      <c r="AC136" s="773"/>
      <c r="AD136" s="417">
        <f t="shared" si="37"/>
        <v>0</v>
      </c>
      <c r="AE136" s="773"/>
      <c r="AF136" s="781">
        <f t="shared" si="26"/>
        <v>0</v>
      </c>
    </row>
    <row r="137" spans="1:32">
      <c r="A137" s="779">
        <f t="shared" si="27"/>
        <v>123</v>
      </c>
      <c r="B137" s="423" t="s">
        <v>1063</v>
      </c>
      <c r="C137" s="423" t="s">
        <v>456</v>
      </c>
      <c r="D137" s="423" t="s">
        <v>1249</v>
      </c>
      <c r="E137" s="777" t="s">
        <v>457</v>
      </c>
      <c r="F137" s="778">
        <v>0</v>
      </c>
      <c r="G137" s="778">
        <v>0</v>
      </c>
      <c r="H137" s="778">
        <v>0</v>
      </c>
      <c r="I137" s="778">
        <v>0</v>
      </c>
      <c r="J137" s="778">
        <v>0</v>
      </c>
      <c r="K137" s="778">
        <v>0</v>
      </c>
      <c r="L137" s="778">
        <v>0</v>
      </c>
      <c r="M137" s="778">
        <v>74.27</v>
      </c>
      <c r="N137" s="778">
        <v>74.27</v>
      </c>
      <c r="O137" s="778">
        <v>0</v>
      </c>
      <c r="P137" s="778">
        <v>0</v>
      </c>
      <c r="Q137" s="778">
        <v>0</v>
      </c>
      <c r="R137" s="778">
        <v>0</v>
      </c>
      <c r="S137" s="618">
        <f t="shared" si="35"/>
        <v>0</v>
      </c>
      <c r="T137" s="773"/>
      <c r="U137" s="383">
        <f t="shared" si="36"/>
        <v>0</v>
      </c>
      <c r="V137" s="383"/>
      <c r="W137" s="383"/>
      <c r="X137" s="393"/>
      <c r="Y137" s="383"/>
      <c r="Z137" s="383"/>
      <c r="AA137" s="383"/>
      <c r="AB137" s="383"/>
      <c r="AC137" s="773"/>
      <c r="AD137" s="417">
        <f t="shared" si="37"/>
        <v>0</v>
      </c>
      <c r="AE137" s="773"/>
      <c r="AF137" s="781">
        <f t="shared" si="26"/>
        <v>0</v>
      </c>
    </row>
    <row r="138" spans="1:32">
      <c r="A138" s="779">
        <f t="shared" si="27"/>
        <v>124</v>
      </c>
      <c r="B138" s="423" t="s">
        <v>1063</v>
      </c>
      <c r="C138" s="423" t="s">
        <v>456</v>
      </c>
      <c r="D138" s="423" t="s">
        <v>1250</v>
      </c>
      <c r="E138" s="777" t="s">
        <v>1829</v>
      </c>
      <c r="F138" s="778">
        <v>0</v>
      </c>
      <c r="G138" s="778">
        <v>-817.17</v>
      </c>
      <c r="H138" s="778">
        <v>-764.65</v>
      </c>
      <c r="I138" s="778">
        <v>-1705.06</v>
      </c>
      <c r="J138" s="778">
        <v>-1790.76</v>
      </c>
      <c r="K138" s="778">
        <v>-4802.1000000000004</v>
      </c>
      <c r="L138" s="778">
        <v>16267.13</v>
      </c>
      <c r="M138" s="778">
        <v>17429.32</v>
      </c>
      <c r="N138" s="778">
        <v>16527.71</v>
      </c>
      <c r="O138" s="778">
        <v>16512</v>
      </c>
      <c r="P138" s="778">
        <v>36876.36</v>
      </c>
      <c r="Q138" s="778">
        <v>71496.98</v>
      </c>
      <c r="R138" s="778">
        <v>1.45519152283669E-11</v>
      </c>
      <c r="S138" s="618">
        <f t="shared" si="35"/>
        <v>1.45519152283669E-11</v>
      </c>
      <c r="T138" s="773"/>
      <c r="U138" s="383">
        <f t="shared" si="36"/>
        <v>1.45519152283669E-11</v>
      </c>
      <c r="V138" s="383"/>
      <c r="W138" s="383"/>
      <c r="X138" s="393"/>
      <c r="Y138" s="383"/>
      <c r="Z138" s="383"/>
      <c r="AA138" s="383"/>
      <c r="AB138" s="383"/>
      <c r="AC138" s="773"/>
      <c r="AD138" s="417">
        <f t="shared" si="37"/>
        <v>1.45519152283669E-11</v>
      </c>
      <c r="AE138" s="773"/>
      <c r="AF138" s="781">
        <f t="shared" si="26"/>
        <v>0</v>
      </c>
    </row>
    <row r="139" spans="1:32">
      <c r="A139" s="779">
        <f t="shared" si="27"/>
        <v>125</v>
      </c>
      <c r="B139" s="423" t="s">
        <v>1063</v>
      </c>
      <c r="C139" s="423" t="s">
        <v>458</v>
      </c>
      <c r="D139" s="423" t="s">
        <v>459</v>
      </c>
      <c r="E139" s="777" t="s">
        <v>460</v>
      </c>
      <c r="F139" s="778">
        <v>522921.19</v>
      </c>
      <c r="G139" s="778">
        <v>644089.07999999996</v>
      </c>
      <c r="H139" s="778">
        <v>288856.43</v>
      </c>
      <c r="I139" s="778">
        <v>368439.49</v>
      </c>
      <c r="J139" s="778">
        <v>257947.12</v>
      </c>
      <c r="K139" s="778">
        <v>492801.14</v>
      </c>
      <c r="L139" s="778">
        <v>233564.83</v>
      </c>
      <c r="M139" s="778">
        <v>432600.05</v>
      </c>
      <c r="N139" s="778">
        <v>414354.45</v>
      </c>
      <c r="O139" s="778">
        <v>831230.57</v>
      </c>
      <c r="P139" s="778">
        <v>351251.11</v>
      </c>
      <c r="Q139" s="778">
        <v>641888.24</v>
      </c>
      <c r="R139" s="778">
        <v>299383.02</v>
      </c>
      <c r="S139" s="618">
        <f t="shared" si="35"/>
        <v>299383.02</v>
      </c>
      <c r="T139" s="773"/>
      <c r="U139" s="383">
        <f t="shared" si="36"/>
        <v>299383.02</v>
      </c>
      <c r="V139" s="383"/>
      <c r="W139" s="383"/>
      <c r="X139" s="393"/>
      <c r="Y139" s="383"/>
      <c r="Z139" s="383"/>
      <c r="AA139" s="383"/>
      <c r="AB139" s="383"/>
      <c r="AC139" s="773"/>
      <c r="AD139" s="417">
        <f t="shared" si="37"/>
        <v>299383.02</v>
      </c>
      <c r="AE139" s="773"/>
      <c r="AF139" s="781">
        <f t="shared" si="26"/>
        <v>0</v>
      </c>
    </row>
    <row r="140" spans="1:32">
      <c r="A140" s="779">
        <f t="shared" si="27"/>
        <v>126</v>
      </c>
      <c r="B140" s="423" t="s">
        <v>1063</v>
      </c>
      <c r="C140" s="423" t="s">
        <v>458</v>
      </c>
      <c r="D140" s="423" t="s">
        <v>506</v>
      </c>
      <c r="E140" s="777" t="s">
        <v>753</v>
      </c>
      <c r="F140" s="778">
        <v>64607.37</v>
      </c>
      <c r="G140" s="778">
        <v>91551.43</v>
      </c>
      <c r="H140" s="778">
        <v>78291.8</v>
      </c>
      <c r="I140" s="778">
        <v>107285.46</v>
      </c>
      <c r="J140" s="778">
        <v>71546.37</v>
      </c>
      <c r="K140" s="778">
        <v>102732.94</v>
      </c>
      <c r="L140" s="778">
        <v>99423.78</v>
      </c>
      <c r="M140" s="778">
        <v>131121.12</v>
      </c>
      <c r="N140" s="778">
        <v>174000.83</v>
      </c>
      <c r="O140" s="778">
        <v>10428.200000000001</v>
      </c>
      <c r="P140" s="778">
        <v>47318.239999999998</v>
      </c>
      <c r="Q140" s="778">
        <v>77846.460000000006</v>
      </c>
      <c r="R140" s="778">
        <v>97275.8</v>
      </c>
      <c r="S140" s="618">
        <f t="shared" si="35"/>
        <v>97275.8</v>
      </c>
      <c r="T140" s="773"/>
      <c r="U140" s="383">
        <f t="shared" si="36"/>
        <v>97275.8</v>
      </c>
      <c r="V140" s="383"/>
      <c r="W140" s="383"/>
      <c r="X140" s="393"/>
      <c r="Y140" s="383"/>
      <c r="Z140" s="383"/>
      <c r="AA140" s="383"/>
      <c r="AB140" s="383"/>
      <c r="AC140" s="773"/>
      <c r="AD140" s="417">
        <f t="shared" si="37"/>
        <v>97275.8</v>
      </c>
      <c r="AE140" s="773"/>
      <c r="AF140" s="781">
        <f t="shared" si="26"/>
        <v>0</v>
      </c>
    </row>
    <row r="141" spans="1:32">
      <c r="A141" s="779">
        <f t="shared" si="27"/>
        <v>127</v>
      </c>
      <c r="B141" s="423" t="s">
        <v>1063</v>
      </c>
      <c r="C141" s="423" t="s">
        <v>461</v>
      </c>
      <c r="D141" s="423" t="s">
        <v>472</v>
      </c>
      <c r="E141" s="777" t="s">
        <v>462</v>
      </c>
      <c r="F141" s="778">
        <v>2230775.2400000002</v>
      </c>
      <c r="G141" s="778">
        <v>2203831.1800000002</v>
      </c>
      <c r="H141" s="778">
        <v>1826120.92</v>
      </c>
      <c r="I141" s="778">
        <v>1797127.26</v>
      </c>
      <c r="J141" s="778">
        <v>1849029.45</v>
      </c>
      <c r="K141" s="778">
        <v>1817842.88</v>
      </c>
      <c r="L141" s="778">
        <v>1989314.22</v>
      </c>
      <c r="M141" s="778">
        <v>2137293.75</v>
      </c>
      <c r="N141" s="778">
        <v>2094414.04</v>
      </c>
      <c r="O141" s="778">
        <v>2299995.2999999998</v>
      </c>
      <c r="P141" s="778">
        <v>1990506.19</v>
      </c>
      <c r="Q141" s="778">
        <v>1959977.97</v>
      </c>
      <c r="R141" s="778">
        <v>1940548.63</v>
      </c>
      <c r="S141" s="618">
        <f t="shared" si="35"/>
        <v>1940548.63</v>
      </c>
      <c r="T141" s="773"/>
      <c r="U141" s="383">
        <f t="shared" si="36"/>
        <v>1940548.63</v>
      </c>
      <c r="V141" s="383"/>
      <c r="W141" s="383"/>
      <c r="X141" s="393"/>
      <c r="Y141" s="383"/>
      <c r="Z141" s="383"/>
      <c r="AA141" s="383"/>
      <c r="AB141" s="383"/>
      <c r="AC141" s="773"/>
      <c r="AD141" s="417">
        <f t="shared" si="37"/>
        <v>1940548.63</v>
      </c>
      <c r="AE141" s="773"/>
      <c r="AF141" s="781">
        <f t="shared" si="26"/>
        <v>0</v>
      </c>
    </row>
    <row r="142" spans="1:32">
      <c r="A142" s="779">
        <f t="shared" si="27"/>
        <v>128</v>
      </c>
      <c r="B142" s="779"/>
      <c r="C142" s="779"/>
      <c r="D142" s="779"/>
      <c r="E142" s="777" t="s">
        <v>463</v>
      </c>
      <c r="F142" s="394">
        <f t="shared" ref="F142:S142" si="38">SUM(F118:F141)</f>
        <v>10844838.52</v>
      </c>
      <c r="G142" s="394">
        <f t="shared" si="38"/>
        <v>10579524.560000001</v>
      </c>
      <c r="H142" s="394">
        <f t="shared" si="38"/>
        <v>10061813</v>
      </c>
      <c r="I142" s="394">
        <f t="shared" si="38"/>
        <v>9981885.1100000013</v>
      </c>
      <c r="J142" s="394">
        <f t="shared" si="38"/>
        <v>9823194.4800000004</v>
      </c>
      <c r="K142" s="394">
        <f t="shared" si="38"/>
        <v>10276143.370000001</v>
      </c>
      <c r="L142" s="394">
        <f t="shared" si="38"/>
        <v>8649998.0800000001</v>
      </c>
      <c r="M142" s="394">
        <f t="shared" si="38"/>
        <v>9797598.3900000006</v>
      </c>
      <c r="N142" s="394">
        <f t="shared" si="38"/>
        <v>10298833.859999999</v>
      </c>
      <c r="O142" s="394">
        <f t="shared" si="38"/>
        <v>11141776.509999998</v>
      </c>
      <c r="P142" s="394">
        <f t="shared" si="38"/>
        <v>9799091.4800000004</v>
      </c>
      <c r="Q142" s="394">
        <f t="shared" si="38"/>
        <v>10064449.860000001</v>
      </c>
      <c r="R142" s="394">
        <f t="shared" si="38"/>
        <v>8031490.5800000001</v>
      </c>
      <c r="S142" s="620">
        <f t="shared" si="38"/>
        <v>8031490.5800000001</v>
      </c>
      <c r="T142" s="773"/>
      <c r="U142" s="383"/>
      <c r="V142" s="383"/>
      <c r="W142" s="383"/>
      <c r="X142" s="393"/>
      <c r="Y142" s="383"/>
      <c r="Z142" s="383"/>
      <c r="AA142" s="383"/>
      <c r="AB142" s="383"/>
      <c r="AC142" s="773"/>
      <c r="AD142" s="773"/>
      <c r="AE142" s="773"/>
      <c r="AF142" s="781">
        <f t="shared" si="26"/>
        <v>0</v>
      </c>
    </row>
    <row r="143" spans="1:32">
      <c r="A143" s="779">
        <f t="shared" si="27"/>
        <v>129</v>
      </c>
      <c r="B143" s="779"/>
      <c r="C143" s="779"/>
      <c r="D143" s="779"/>
      <c r="E143" s="763"/>
      <c r="F143" s="778"/>
      <c r="G143" s="407"/>
      <c r="H143" s="408"/>
      <c r="I143" s="408"/>
      <c r="J143" s="409"/>
      <c r="K143" s="410"/>
      <c r="L143" s="411"/>
      <c r="M143" s="412"/>
      <c r="N143" s="413"/>
      <c r="O143" s="764"/>
      <c r="P143" s="415"/>
      <c r="Q143" s="416"/>
      <c r="R143" s="778"/>
      <c r="S143" s="392"/>
      <c r="T143" s="773"/>
      <c r="U143" s="383"/>
      <c r="V143" s="383"/>
      <c r="W143" s="383"/>
      <c r="X143" s="393"/>
      <c r="Y143" s="383"/>
      <c r="Z143" s="383"/>
      <c r="AA143" s="383"/>
      <c r="AB143" s="383"/>
      <c r="AC143" s="773"/>
      <c r="AD143" s="773"/>
      <c r="AE143" s="773"/>
      <c r="AF143" s="781">
        <f t="shared" ref="AF143:AF206" si="39">+U143+V143-AD143</f>
        <v>0</v>
      </c>
    </row>
    <row r="144" spans="1:32">
      <c r="A144" s="779">
        <f t="shared" si="27"/>
        <v>130</v>
      </c>
      <c r="B144" s="423" t="s">
        <v>1063</v>
      </c>
      <c r="C144" s="423" t="s">
        <v>464</v>
      </c>
      <c r="D144" s="423" t="s">
        <v>1056</v>
      </c>
      <c r="E144" s="777" t="s">
        <v>1830</v>
      </c>
      <c r="F144" s="778">
        <v>128413.63</v>
      </c>
      <c r="G144" s="778">
        <v>1052456.98</v>
      </c>
      <c r="H144" s="778">
        <v>1031822.14</v>
      </c>
      <c r="I144" s="778">
        <v>935485.93</v>
      </c>
      <c r="J144" s="778">
        <v>820828.49</v>
      </c>
      <c r="K144" s="778">
        <v>707803.42</v>
      </c>
      <c r="L144" s="778">
        <v>636224.74</v>
      </c>
      <c r="M144" s="778">
        <v>521520.67</v>
      </c>
      <c r="N144" s="778">
        <v>406816.57</v>
      </c>
      <c r="O144" s="778">
        <v>335237.84999999998</v>
      </c>
      <c r="P144" s="778">
        <v>215587.38</v>
      </c>
      <c r="Q144" s="778">
        <v>250565.11</v>
      </c>
      <c r="R144" s="778">
        <v>130504.06</v>
      </c>
      <c r="S144" s="618">
        <f t="shared" ref="S144:S159" si="40">+R144</f>
        <v>130504.06</v>
      </c>
      <c r="T144" s="773"/>
      <c r="U144" s="383">
        <f t="shared" ref="U144:U159" si="41">+S144</f>
        <v>130504.06</v>
      </c>
      <c r="V144" s="383"/>
      <c r="W144" s="383"/>
      <c r="X144" s="393"/>
      <c r="Y144" s="383"/>
      <c r="Z144" s="383"/>
      <c r="AA144" s="383"/>
      <c r="AB144" s="383"/>
      <c r="AC144" s="773"/>
      <c r="AD144" s="417">
        <f t="shared" ref="AD144:AD159" si="42">+U144</f>
        <v>130504.06</v>
      </c>
      <c r="AE144" s="773"/>
      <c r="AF144" s="781">
        <f t="shared" si="39"/>
        <v>0</v>
      </c>
    </row>
    <row r="145" spans="1:32">
      <c r="A145" s="779">
        <f t="shared" ref="A145:A208" si="43">+A144+1</f>
        <v>131</v>
      </c>
      <c r="B145" s="423" t="s">
        <v>1063</v>
      </c>
      <c r="C145" s="423" t="s">
        <v>465</v>
      </c>
      <c r="D145" s="423" t="s">
        <v>488</v>
      </c>
      <c r="E145" s="766" t="s">
        <v>1833</v>
      </c>
      <c r="F145" s="778">
        <v>0</v>
      </c>
      <c r="G145" s="778">
        <v>0</v>
      </c>
      <c r="H145" s="778">
        <v>0</v>
      </c>
      <c r="I145" s="778">
        <v>0</v>
      </c>
      <c r="J145" s="778">
        <v>0</v>
      </c>
      <c r="K145" s="778">
        <v>0</v>
      </c>
      <c r="L145" s="778">
        <v>0</v>
      </c>
      <c r="M145" s="778">
        <v>0</v>
      </c>
      <c r="N145" s="778">
        <v>0</v>
      </c>
      <c r="O145" s="778">
        <v>310453.84000000003</v>
      </c>
      <c r="P145" s="778">
        <v>141534.04</v>
      </c>
      <c r="Q145" s="778">
        <v>854368.04</v>
      </c>
      <c r="R145" s="778">
        <v>10266422.640000001</v>
      </c>
      <c r="S145" s="618">
        <f t="shared" si="40"/>
        <v>10266422.640000001</v>
      </c>
      <c r="T145" s="773"/>
      <c r="U145" s="383">
        <f t="shared" si="41"/>
        <v>10266422.640000001</v>
      </c>
      <c r="V145" s="383"/>
      <c r="W145" s="383"/>
      <c r="X145" s="393"/>
      <c r="Y145" s="383"/>
      <c r="Z145" s="383"/>
      <c r="AA145" s="383"/>
      <c r="AB145" s="383"/>
      <c r="AC145" s="773"/>
      <c r="AD145" s="417">
        <f t="shared" si="42"/>
        <v>10266422.640000001</v>
      </c>
      <c r="AE145" s="773"/>
      <c r="AF145" s="781">
        <f t="shared" si="39"/>
        <v>0</v>
      </c>
    </row>
    <row r="146" spans="1:32">
      <c r="A146" s="779">
        <f t="shared" si="43"/>
        <v>132</v>
      </c>
      <c r="B146" s="423" t="s">
        <v>1094</v>
      </c>
      <c r="C146" s="423" t="s">
        <v>465</v>
      </c>
      <c r="D146" s="423" t="s">
        <v>490</v>
      </c>
      <c r="E146" s="766" t="s">
        <v>1838</v>
      </c>
      <c r="F146" s="778">
        <v>83220.22</v>
      </c>
      <c r="G146" s="778">
        <v>0</v>
      </c>
      <c r="H146" s="778">
        <v>0</v>
      </c>
      <c r="I146" s="778">
        <v>0</v>
      </c>
      <c r="J146" s="778">
        <v>0</v>
      </c>
      <c r="K146" s="778">
        <v>0</v>
      </c>
      <c r="L146" s="778">
        <v>0</v>
      </c>
      <c r="M146" s="778">
        <v>0</v>
      </c>
      <c r="N146" s="778">
        <v>0</v>
      </c>
      <c r="O146" s="778">
        <v>413690.29</v>
      </c>
      <c r="P146" s="778">
        <v>399581.88</v>
      </c>
      <c r="Q146" s="778">
        <v>476882.1</v>
      </c>
      <c r="R146" s="778">
        <v>810941.04</v>
      </c>
      <c r="S146" s="618">
        <f t="shared" si="40"/>
        <v>810941.04</v>
      </c>
      <c r="T146" s="773"/>
      <c r="U146" s="383">
        <f t="shared" si="41"/>
        <v>810941.04</v>
      </c>
      <c r="V146" s="383"/>
      <c r="W146" s="383"/>
      <c r="X146" s="393"/>
      <c r="Y146" s="383"/>
      <c r="Z146" s="383"/>
      <c r="AA146" s="383"/>
      <c r="AB146" s="383"/>
      <c r="AC146" s="773"/>
      <c r="AD146" s="417">
        <f t="shared" si="42"/>
        <v>810941.04</v>
      </c>
      <c r="AE146" s="773"/>
      <c r="AF146" s="781">
        <f t="shared" si="39"/>
        <v>0</v>
      </c>
    </row>
    <row r="147" spans="1:32">
      <c r="A147" s="779">
        <f t="shared" si="43"/>
        <v>133</v>
      </c>
      <c r="B147" s="423" t="s">
        <v>1063</v>
      </c>
      <c r="C147" s="423" t="s">
        <v>465</v>
      </c>
      <c r="D147" s="423" t="s">
        <v>492</v>
      </c>
      <c r="E147" s="766" t="s">
        <v>1834</v>
      </c>
      <c r="F147" s="778">
        <v>0</v>
      </c>
      <c r="G147" s="778">
        <v>0</v>
      </c>
      <c r="H147" s="778">
        <v>0</v>
      </c>
      <c r="I147" s="778">
        <v>0</v>
      </c>
      <c r="J147" s="778">
        <v>0</v>
      </c>
      <c r="K147" s="778">
        <v>0</v>
      </c>
      <c r="L147" s="778">
        <v>0</v>
      </c>
      <c r="M147" s="778">
        <v>0</v>
      </c>
      <c r="N147" s="778">
        <v>0</v>
      </c>
      <c r="O147" s="778">
        <v>-71714</v>
      </c>
      <c r="P147" s="778">
        <v>-71714</v>
      </c>
      <c r="Q147" s="778">
        <v>-71714</v>
      </c>
      <c r="R147" s="778">
        <v>-71714</v>
      </c>
      <c r="S147" s="618">
        <f t="shared" si="40"/>
        <v>-71714</v>
      </c>
      <c r="T147" s="773"/>
      <c r="U147" s="383">
        <f t="shared" si="41"/>
        <v>-71714</v>
      </c>
      <c r="V147" s="383"/>
      <c r="W147" s="383"/>
      <c r="X147" s="393"/>
      <c r="Y147" s="383"/>
      <c r="Z147" s="383"/>
      <c r="AA147" s="383"/>
      <c r="AB147" s="383"/>
      <c r="AC147" s="773"/>
      <c r="AD147" s="417">
        <f t="shared" si="42"/>
        <v>-71714</v>
      </c>
      <c r="AE147" s="773"/>
      <c r="AF147" s="781">
        <f t="shared" si="39"/>
        <v>0</v>
      </c>
    </row>
    <row r="148" spans="1:32">
      <c r="A148" s="779">
        <f t="shared" si="43"/>
        <v>134</v>
      </c>
      <c r="B148" s="423" t="s">
        <v>1063</v>
      </c>
      <c r="C148" s="423" t="s">
        <v>465</v>
      </c>
      <c r="D148" s="423" t="s">
        <v>466</v>
      </c>
      <c r="E148" s="766" t="s">
        <v>467</v>
      </c>
      <c r="F148" s="778">
        <v>1971399.05</v>
      </c>
      <c r="G148" s="778">
        <v>2962710.32</v>
      </c>
      <c r="H148" s="778">
        <v>647202.37</v>
      </c>
      <c r="I148" s="778">
        <v>188714.35</v>
      </c>
      <c r="J148" s="778">
        <v>470491.34</v>
      </c>
      <c r="K148" s="778">
        <v>879768.72</v>
      </c>
      <c r="L148" s="778">
        <v>1223820.28</v>
      </c>
      <c r="M148" s="778">
        <v>1629060.58</v>
      </c>
      <c r="N148" s="778">
        <v>2308285.12</v>
      </c>
      <c r="O148" s="778">
        <v>2511603.88</v>
      </c>
      <c r="P148" s="778">
        <v>2397214.88</v>
      </c>
      <c r="Q148" s="778">
        <v>2454257.0299999998</v>
      </c>
      <c r="R148" s="778">
        <v>3059262.74</v>
      </c>
      <c r="S148" s="618">
        <f t="shared" si="40"/>
        <v>3059262.74</v>
      </c>
      <c r="T148" s="773"/>
      <c r="U148" s="383">
        <f t="shared" si="41"/>
        <v>3059262.74</v>
      </c>
      <c r="V148" s="383"/>
      <c r="W148" s="383"/>
      <c r="X148" s="393"/>
      <c r="Y148" s="383"/>
      <c r="Z148" s="383"/>
      <c r="AA148" s="383"/>
      <c r="AB148" s="383"/>
      <c r="AC148" s="773"/>
      <c r="AD148" s="417">
        <f t="shared" si="42"/>
        <v>3059262.74</v>
      </c>
      <c r="AE148" s="773"/>
      <c r="AF148" s="781">
        <f t="shared" si="39"/>
        <v>0</v>
      </c>
    </row>
    <row r="149" spans="1:32">
      <c r="A149" s="779">
        <f t="shared" si="43"/>
        <v>135</v>
      </c>
      <c r="B149" s="423" t="s">
        <v>1063</v>
      </c>
      <c r="C149" s="423" t="s">
        <v>465</v>
      </c>
      <c r="D149" s="423" t="s">
        <v>497</v>
      </c>
      <c r="E149" s="766" t="s">
        <v>1690</v>
      </c>
      <c r="F149" s="778">
        <v>159100</v>
      </c>
      <c r="G149" s="778">
        <v>159100</v>
      </c>
      <c r="H149" s="778">
        <v>159100</v>
      </c>
      <c r="I149" s="778">
        <v>159100</v>
      </c>
      <c r="J149" s="778">
        <v>0</v>
      </c>
      <c r="K149" s="778">
        <v>0</v>
      </c>
      <c r="L149" s="778">
        <v>0</v>
      </c>
      <c r="M149" s="778">
        <v>0</v>
      </c>
      <c r="N149" s="778">
        <v>0</v>
      </c>
      <c r="O149" s="778">
        <v>0</v>
      </c>
      <c r="P149" s="778">
        <v>44569.33</v>
      </c>
      <c r="Q149" s="778">
        <v>44569.33</v>
      </c>
      <c r="R149" s="778">
        <v>218269.33</v>
      </c>
      <c r="S149" s="618">
        <f t="shared" si="40"/>
        <v>218269.33</v>
      </c>
      <c r="T149" s="773"/>
      <c r="U149" s="383">
        <f t="shared" si="41"/>
        <v>218269.33</v>
      </c>
      <c r="V149" s="383"/>
      <c r="W149" s="383"/>
      <c r="X149" s="393"/>
      <c r="Y149" s="383"/>
      <c r="Z149" s="383"/>
      <c r="AA149" s="383"/>
      <c r="AB149" s="383"/>
      <c r="AC149" s="773"/>
      <c r="AD149" s="417">
        <f t="shared" si="42"/>
        <v>218269.33</v>
      </c>
      <c r="AE149" s="773"/>
      <c r="AF149" s="781">
        <f t="shared" si="39"/>
        <v>0</v>
      </c>
    </row>
    <row r="150" spans="1:32">
      <c r="A150" s="779">
        <f t="shared" si="43"/>
        <v>136</v>
      </c>
      <c r="B150" s="423" t="s">
        <v>1063</v>
      </c>
      <c r="C150" s="423" t="s">
        <v>465</v>
      </c>
      <c r="D150" s="423" t="s">
        <v>1251</v>
      </c>
      <c r="E150" s="777" t="s">
        <v>1691</v>
      </c>
      <c r="F150" s="778">
        <v>152494.82999999999</v>
      </c>
      <c r="G150" s="778">
        <v>21391.5</v>
      </c>
      <c r="H150" s="778">
        <v>0</v>
      </c>
      <c r="I150" s="778">
        <v>0</v>
      </c>
      <c r="J150" s="778">
        <v>0</v>
      </c>
      <c r="K150" s="778">
        <v>0</v>
      </c>
      <c r="L150" s="778">
        <v>0</v>
      </c>
      <c r="M150" s="778">
        <v>0</v>
      </c>
      <c r="N150" s="778">
        <v>0</v>
      </c>
      <c r="O150" s="778">
        <v>0</v>
      </c>
      <c r="P150" s="778">
        <v>0</v>
      </c>
      <c r="Q150" s="778">
        <v>123904.67</v>
      </c>
      <c r="R150" s="778">
        <v>157660.22</v>
      </c>
      <c r="S150" s="618">
        <f t="shared" si="40"/>
        <v>157660.22</v>
      </c>
      <c r="T150" s="773"/>
      <c r="U150" s="383">
        <f t="shared" si="41"/>
        <v>157660.22</v>
      </c>
      <c r="V150" s="383"/>
      <c r="W150" s="383"/>
      <c r="X150" s="393"/>
      <c r="Y150" s="383"/>
      <c r="Z150" s="383"/>
      <c r="AA150" s="383"/>
      <c r="AB150" s="383"/>
      <c r="AC150" s="773"/>
      <c r="AD150" s="417">
        <f t="shared" si="42"/>
        <v>157660.22</v>
      </c>
      <c r="AE150" s="773"/>
      <c r="AF150" s="781">
        <f t="shared" si="39"/>
        <v>0</v>
      </c>
    </row>
    <row r="151" spans="1:32">
      <c r="A151" s="779">
        <f t="shared" si="43"/>
        <v>137</v>
      </c>
      <c r="B151" s="423" t="s">
        <v>1063</v>
      </c>
      <c r="C151" s="423" t="s">
        <v>465</v>
      </c>
      <c r="D151" s="423" t="s">
        <v>1689</v>
      </c>
      <c r="E151" s="777" t="s">
        <v>1832</v>
      </c>
      <c r="F151" s="778">
        <v>0</v>
      </c>
      <c r="G151" s="778">
        <v>0</v>
      </c>
      <c r="H151" s="778">
        <v>0</v>
      </c>
      <c r="I151" s="778">
        <v>0</v>
      </c>
      <c r="J151" s="778">
        <v>0</v>
      </c>
      <c r="K151" s="778">
        <v>0</v>
      </c>
      <c r="L151" s="778">
        <v>0</v>
      </c>
      <c r="M151" s="778">
        <v>0</v>
      </c>
      <c r="N151" s="778">
        <v>0</v>
      </c>
      <c r="O151" s="778">
        <v>0</v>
      </c>
      <c r="P151" s="778">
        <v>0</v>
      </c>
      <c r="Q151" s="778">
        <v>6000000</v>
      </c>
      <c r="R151" s="778">
        <v>0</v>
      </c>
      <c r="S151" s="618">
        <f t="shared" si="40"/>
        <v>0</v>
      </c>
      <c r="T151" s="773"/>
      <c r="U151" s="383">
        <f t="shared" si="41"/>
        <v>0</v>
      </c>
      <c r="V151" s="383"/>
      <c r="W151" s="383"/>
      <c r="X151" s="393"/>
      <c r="Y151" s="383"/>
      <c r="Z151" s="383"/>
      <c r="AA151" s="383"/>
      <c r="AB151" s="383"/>
      <c r="AC151" s="773"/>
      <c r="AD151" s="417">
        <f t="shared" si="42"/>
        <v>0</v>
      </c>
      <c r="AE151" s="773"/>
      <c r="AF151" s="781">
        <f t="shared" si="39"/>
        <v>0</v>
      </c>
    </row>
    <row r="152" spans="1:32">
      <c r="A152" s="779">
        <f t="shared" si="43"/>
        <v>138</v>
      </c>
      <c r="B152" s="423" t="s">
        <v>1094</v>
      </c>
      <c r="C152" s="423" t="s">
        <v>465</v>
      </c>
      <c r="D152" s="423" t="s">
        <v>472</v>
      </c>
      <c r="E152" s="777" t="s">
        <v>1835</v>
      </c>
      <c r="F152" s="778">
        <v>2.5465851649642E-11</v>
      </c>
      <c r="G152" s="778">
        <v>-16034.56</v>
      </c>
      <c r="H152" s="778">
        <v>-32069.119999999999</v>
      </c>
      <c r="I152" s="778">
        <v>144679.67999999999</v>
      </c>
      <c r="J152" s="778">
        <v>128604.16</v>
      </c>
      <c r="K152" s="778">
        <v>112528.64</v>
      </c>
      <c r="L152" s="778">
        <v>96453.119999999995</v>
      </c>
      <c r="M152" s="778">
        <v>80377.600000000006</v>
      </c>
      <c r="N152" s="778">
        <v>64302.080000000002</v>
      </c>
      <c r="O152" s="778">
        <v>48226.559999999998</v>
      </c>
      <c r="P152" s="778">
        <v>32151.040000000001</v>
      </c>
      <c r="Q152" s="778">
        <v>16075.52</v>
      </c>
      <c r="R152" s="778">
        <v>-3.2741809263825397E-11</v>
      </c>
      <c r="S152" s="618">
        <f t="shared" si="40"/>
        <v>-3.2741809263825397E-11</v>
      </c>
      <c r="T152" s="773"/>
      <c r="U152" s="383">
        <f t="shared" si="41"/>
        <v>-3.2741809263825397E-11</v>
      </c>
      <c r="V152" s="383"/>
      <c r="W152" s="383"/>
      <c r="X152" s="393"/>
      <c r="Y152" s="383"/>
      <c r="Z152" s="383"/>
      <c r="AA152" s="383"/>
      <c r="AB152" s="383"/>
      <c r="AC152" s="773"/>
      <c r="AD152" s="417">
        <f t="shared" si="42"/>
        <v>-3.2741809263825397E-11</v>
      </c>
      <c r="AE152" s="773"/>
      <c r="AF152" s="781">
        <f t="shared" si="39"/>
        <v>0</v>
      </c>
    </row>
    <row r="153" spans="1:32">
      <c r="A153" s="779">
        <f t="shared" si="43"/>
        <v>139</v>
      </c>
      <c r="B153" s="423" t="s">
        <v>1094</v>
      </c>
      <c r="C153" s="423" t="s">
        <v>465</v>
      </c>
      <c r="D153" s="423" t="s">
        <v>459</v>
      </c>
      <c r="E153" s="777" t="s">
        <v>1836</v>
      </c>
      <c r="F153" s="778">
        <v>36718.199999999997</v>
      </c>
      <c r="G153" s="778">
        <v>29374.560000000001</v>
      </c>
      <c r="H153" s="778">
        <v>22030.92</v>
      </c>
      <c r="I153" s="778">
        <v>14687.28</v>
      </c>
      <c r="J153" s="778">
        <v>7343.64</v>
      </c>
      <c r="K153" s="778">
        <v>82771</v>
      </c>
      <c r="L153" s="778">
        <v>75873.38</v>
      </c>
      <c r="M153" s="778">
        <v>68975.8</v>
      </c>
      <c r="N153" s="778">
        <v>62078.22</v>
      </c>
      <c r="O153" s="778">
        <v>55180.639999999999</v>
      </c>
      <c r="P153" s="778">
        <v>48283.06</v>
      </c>
      <c r="Q153" s="778">
        <v>41385.480000000003</v>
      </c>
      <c r="R153" s="778">
        <v>34487.9</v>
      </c>
      <c r="S153" s="618">
        <f t="shared" si="40"/>
        <v>34487.9</v>
      </c>
      <c r="T153" s="773"/>
      <c r="U153" s="383">
        <f t="shared" si="41"/>
        <v>34487.9</v>
      </c>
      <c r="V153" s="383"/>
      <c r="W153" s="383"/>
      <c r="X153" s="393"/>
      <c r="Y153" s="383"/>
      <c r="Z153" s="383"/>
      <c r="AA153" s="383"/>
      <c r="AB153" s="383"/>
      <c r="AC153" s="773"/>
      <c r="AD153" s="417">
        <f t="shared" si="42"/>
        <v>34487.9</v>
      </c>
      <c r="AE153" s="773"/>
      <c r="AF153" s="781">
        <f t="shared" si="39"/>
        <v>0</v>
      </c>
    </row>
    <row r="154" spans="1:32">
      <c r="A154" s="779">
        <f t="shared" si="43"/>
        <v>140</v>
      </c>
      <c r="B154" s="423" t="s">
        <v>1094</v>
      </c>
      <c r="C154" s="423" t="s">
        <v>465</v>
      </c>
      <c r="D154" s="423" t="s">
        <v>505</v>
      </c>
      <c r="E154" s="777" t="s">
        <v>1837</v>
      </c>
      <c r="F154" s="778">
        <v>774342</v>
      </c>
      <c r="G154" s="778">
        <v>645285</v>
      </c>
      <c r="H154" s="778">
        <v>516228</v>
      </c>
      <c r="I154" s="778">
        <v>387171</v>
      </c>
      <c r="J154" s="778">
        <v>258114</v>
      </c>
      <c r="K154" s="778">
        <v>129057</v>
      </c>
      <c r="L154" s="778">
        <v>0</v>
      </c>
      <c r="M154" s="778">
        <v>0</v>
      </c>
      <c r="N154" s="778">
        <v>0</v>
      </c>
      <c r="O154" s="778">
        <v>0</v>
      </c>
      <c r="P154" s="778">
        <v>0</v>
      </c>
      <c r="Q154" s="778">
        <v>983619</v>
      </c>
      <c r="R154" s="778">
        <v>843102</v>
      </c>
      <c r="S154" s="618">
        <f t="shared" si="40"/>
        <v>843102</v>
      </c>
      <c r="T154" s="773"/>
      <c r="U154" s="383">
        <f t="shared" si="41"/>
        <v>843102</v>
      </c>
      <c r="V154" s="383"/>
      <c r="W154" s="383"/>
      <c r="X154" s="393"/>
      <c r="Y154" s="383"/>
      <c r="Z154" s="383"/>
      <c r="AA154" s="383"/>
      <c r="AB154" s="383"/>
      <c r="AC154" s="773"/>
      <c r="AD154" s="417">
        <f t="shared" si="42"/>
        <v>843102</v>
      </c>
      <c r="AE154" s="773"/>
      <c r="AF154" s="781">
        <f t="shared" si="39"/>
        <v>0</v>
      </c>
    </row>
    <row r="155" spans="1:32">
      <c r="A155" s="779">
        <f t="shared" si="43"/>
        <v>141</v>
      </c>
      <c r="B155" s="423" t="s">
        <v>1063</v>
      </c>
      <c r="C155" s="423" t="s">
        <v>465</v>
      </c>
      <c r="D155" s="423" t="s">
        <v>506</v>
      </c>
      <c r="E155" s="777" t="s">
        <v>1831</v>
      </c>
      <c r="F155" s="778">
        <v>0</v>
      </c>
      <c r="G155" s="778">
        <v>0</v>
      </c>
      <c r="H155" s="778">
        <v>0</v>
      </c>
      <c r="I155" s="778">
        <v>0</v>
      </c>
      <c r="J155" s="778">
        <v>0</v>
      </c>
      <c r="K155" s="778">
        <v>0</v>
      </c>
      <c r="L155" s="778">
        <v>0</v>
      </c>
      <c r="M155" s="778">
        <v>0</v>
      </c>
      <c r="N155" s="778">
        <v>0</v>
      </c>
      <c r="O155" s="778">
        <v>0</v>
      </c>
      <c r="P155" s="778">
        <v>0</v>
      </c>
      <c r="Q155" s="778">
        <v>54001.75</v>
      </c>
      <c r="R155" s="778">
        <v>54001.75</v>
      </c>
      <c r="S155" s="618">
        <f t="shared" si="40"/>
        <v>54001.75</v>
      </c>
      <c r="T155" s="773"/>
      <c r="U155" s="383">
        <f t="shared" si="41"/>
        <v>54001.75</v>
      </c>
      <c r="V155" s="383"/>
      <c r="W155" s="383"/>
      <c r="X155" s="393"/>
      <c r="Y155" s="383"/>
      <c r="Z155" s="383"/>
      <c r="AA155" s="383"/>
      <c r="AB155" s="383"/>
      <c r="AC155" s="773"/>
      <c r="AD155" s="417">
        <f t="shared" si="42"/>
        <v>54001.75</v>
      </c>
      <c r="AE155" s="773"/>
      <c r="AF155" s="781">
        <f t="shared" si="39"/>
        <v>0</v>
      </c>
    </row>
    <row r="156" spans="1:32">
      <c r="A156" s="779">
        <f t="shared" si="43"/>
        <v>142</v>
      </c>
      <c r="B156" s="423" t="s">
        <v>1094</v>
      </c>
      <c r="C156" s="423" t="s">
        <v>468</v>
      </c>
      <c r="D156" s="423" t="s">
        <v>1252</v>
      </c>
      <c r="E156" s="777" t="s">
        <v>1839</v>
      </c>
      <c r="F156" s="778">
        <v>0</v>
      </c>
      <c r="G156" s="778">
        <v>0</v>
      </c>
      <c r="H156" s="778">
        <v>0</v>
      </c>
      <c r="I156" s="778">
        <v>0</v>
      </c>
      <c r="J156" s="778">
        <v>0</v>
      </c>
      <c r="K156" s="778">
        <v>0</v>
      </c>
      <c r="L156" s="778">
        <v>0</v>
      </c>
      <c r="M156" s="778">
        <v>0</v>
      </c>
      <c r="N156" s="778">
        <v>0</v>
      </c>
      <c r="O156" s="778">
        <v>0</v>
      </c>
      <c r="P156" s="778">
        <v>0</v>
      </c>
      <c r="Q156" s="778">
        <v>0</v>
      </c>
      <c r="R156" s="778">
        <v>0</v>
      </c>
      <c r="S156" s="618">
        <f t="shared" si="40"/>
        <v>0</v>
      </c>
      <c r="T156" s="773"/>
      <c r="U156" s="383">
        <f t="shared" si="41"/>
        <v>0</v>
      </c>
      <c r="V156" s="383"/>
      <c r="W156" s="383"/>
      <c r="X156" s="393"/>
      <c r="Y156" s="383"/>
      <c r="Z156" s="383"/>
      <c r="AA156" s="383"/>
      <c r="AB156" s="383"/>
      <c r="AC156" s="773"/>
      <c r="AD156" s="417">
        <f t="shared" si="42"/>
        <v>0</v>
      </c>
      <c r="AE156" s="773"/>
      <c r="AF156" s="781">
        <f t="shared" si="39"/>
        <v>0</v>
      </c>
    </row>
    <row r="157" spans="1:32">
      <c r="A157" s="779">
        <f t="shared" si="43"/>
        <v>143</v>
      </c>
      <c r="B157" s="423" t="s">
        <v>1066</v>
      </c>
      <c r="C157" s="423" t="s">
        <v>468</v>
      </c>
      <c r="D157" s="423" t="s">
        <v>1253</v>
      </c>
      <c r="E157" s="777" t="s">
        <v>1839</v>
      </c>
      <c r="F157" s="778">
        <v>0</v>
      </c>
      <c r="G157" s="778">
        <v>0</v>
      </c>
      <c r="H157" s="778">
        <v>0</v>
      </c>
      <c r="I157" s="778">
        <v>0</v>
      </c>
      <c r="J157" s="778">
        <v>0</v>
      </c>
      <c r="K157" s="778">
        <v>0</v>
      </c>
      <c r="L157" s="778">
        <v>0</v>
      </c>
      <c r="M157" s="778">
        <v>0</v>
      </c>
      <c r="N157" s="778">
        <v>0</v>
      </c>
      <c r="O157" s="778">
        <v>0</v>
      </c>
      <c r="P157" s="778">
        <v>0</v>
      </c>
      <c r="Q157" s="778">
        <v>0</v>
      </c>
      <c r="R157" s="778">
        <v>0</v>
      </c>
      <c r="S157" s="618">
        <f t="shared" si="40"/>
        <v>0</v>
      </c>
      <c r="T157" s="773"/>
      <c r="U157" s="383">
        <f t="shared" si="41"/>
        <v>0</v>
      </c>
      <c r="V157" s="383"/>
      <c r="W157" s="383"/>
      <c r="X157" s="393"/>
      <c r="Y157" s="383"/>
      <c r="Z157" s="383"/>
      <c r="AA157" s="383"/>
      <c r="AB157" s="383"/>
      <c r="AC157" s="773"/>
      <c r="AD157" s="417">
        <f t="shared" si="42"/>
        <v>0</v>
      </c>
      <c r="AE157" s="773"/>
      <c r="AF157" s="781">
        <f t="shared" si="39"/>
        <v>0</v>
      </c>
    </row>
    <row r="158" spans="1:32">
      <c r="A158" s="779">
        <f t="shared" si="43"/>
        <v>144</v>
      </c>
      <c r="B158" s="423" t="s">
        <v>1063</v>
      </c>
      <c r="C158" s="423" t="s">
        <v>469</v>
      </c>
      <c r="D158" s="423" t="s">
        <v>472</v>
      </c>
      <c r="E158" s="777" t="s">
        <v>470</v>
      </c>
      <c r="F158" s="778">
        <v>0</v>
      </c>
      <c r="G158" s="778">
        <v>0</v>
      </c>
      <c r="H158" s="778">
        <v>0</v>
      </c>
      <c r="I158" s="778">
        <v>0</v>
      </c>
      <c r="J158" s="778">
        <v>0</v>
      </c>
      <c r="K158" s="778">
        <v>0</v>
      </c>
      <c r="L158" s="778">
        <v>0</v>
      </c>
      <c r="M158" s="778">
        <v>0</v>
      </c>
      <c r="N158" s="778">
        <v>0</v>
      </c>
      <c r="O158" s="778">
        <v>0</v>
      </c>
      <c r="P158" s="778">
        <v>0</v>
      </c>
      <c r="Q158" s="778">
        <v>0</v>
      </c>
      <c r="R158" s="778">
        <v>0</v>
      </c>
      <c r="S158" s="618">
        <f t="shared" si="40"/>
        <v>0</v>
      </c>
      <c r="T158" s="773"/>
      <c r="U158" s="383">
        <f t="shared" si="41"/>
        <v>0</v>
      </c>
      <c r="V158" s="383"/>
      <c r="W158" s="383"/>
      <c r="X158" s="393"/>
      <c r="Y158" s="383"/>
      <c r="Z158" s="383"/>
      <c r="AA158" s="383"/>
      <c r="AB158" s="383"/>
      <c r="AC158" s="773"/>
      <c r="AD158" s="417">
        <f t="shared" si="42"/>
        <v>0</v>
      </c>
      <c r="AE158" s="773"/>
      <c r="AF158" s="781">
        <f t="shared" si="39"/>
        <v>0</v>
      </c>
    </row>
    <row r="159" spans="1:32">
      <c r="A159" s="779">
        <f t="shared" si="43"/>
        <v>145</v>
      </c>
      <c r="B159" s="423" t="s">
        <v>1063</v>
      </c>
      <c r="C159" s="423" t="s">
        <v>471</v>
      </c>
      <c r="D159" s="423" t="s">
        <v>472</v>
      </c>
      <c r="E159" s="777" t="s">
        <v>473</v>
      </c>
      <c r="F159" s="778">
        <v>0</v>
      </c>
      <c r="G159" s="778">
        <v>0</v>
      </c>
      <c r="H159" s="778">
        <v>0</v>
      </c>
      <c r="I159" s="778">
        <v>0</v>
      </c>
      <c r="J159" s="778">
        <v>0</v>
      </c>
      <c r="K159" s="778">
        <v>0</v>
      </c>
      <c r="L159" s="778">
        <v>0</v>
      </c>
      <c r="M159" s="778">
        <v>0</v>
      </c>
      <c r="N159" s="778">
        <v>0</v>
      </c>
      <c r="O159" s="778">
        <v>0</v>
      </c>
      <c r="P159" s="778">
        <v>0</v>
      </c>
      <c r="Q159" s="778">
        <v>0</v>
      </c>
      <c r="R159" s="778">
        <v>0</v>
      </c>
      <c r="S159" s="618">
        <f t="shared" si="40"/>
        <v>0</v>
      </c>
      <c r="T159" s="773"/>
      <c r="U159" s="383">
        <f t="shared" si="41"/>
        <v>0</v>
      </c>
      <c r="V159" s="383"/>
      <c r="W159" s="383"/>
      <c r="X159" s="393"/>
      <c r="Y159" s="383"/>
      <c r="Z159" s="383"/>
      <c r="AA159" s="383"/>
      <c r="AB159" s="383"/>
      <c r="AC159" s="773"/>
      <c r="AD159" s="417">
        <f t="shared" si="42"/>
        <v>0</v>
      </c>
      <c r="AE159" s="773"/>
      <c r="AF159" s="781">
        <f t="shared" si="39"/>
        <v>0</v>
      </c>
    </row>
    <row r="160" spans="1:32">
      <c r="A160" s="779">
        <f t="shared" si="43"/>
        <v>146</v>
      </c>
      <c r="B160" s="779"/>
      <c r="C160" s="779"/>
      <c r="D160" s="779"/>
      <c r="E160" s="777" t="s">
        <v>474</v>
      </c>
      <c r="F160" s="394">
        <f t="shared" ref="F160:S160" si="44">SUM(F144:F159)</f>
        <v>3305687.93</v>
      </c>
      <c r="G160" s="394">
        <f t="shared" si="44"/>
        <v>4854283.8</v>
      </c>
      <c r="H160" s="394">
        <f t="shared" si="44"/>
        <v>2344314.3099999996</v>
      </c>
      <c r="I160" s="394">
        <f t="shared" si="44"/>
        <v>1829838.24</v>
      </c>
      <c r="J160" s="394">
        <f t="shared" si="44"/>
        <v>1685381.63</v>
      </c>
      <c r="K160" s="394">
        <f t="shared" si="44"/>
        <v>1911928.78</v>
      </c>
      <c r="L160" s="394">
        <f t="shared" si="44"/>
        <v>2032371.52</v>
      </c>
      <c r="M160" s="394">
        <f t="shared" si="44"/>
        <v>2299934.65</v>
      </c>
      <c r="N160" s="394">
        <f t="shared" si="44"/>
        <v>2841481.99</v>
      </c>
      <c r="O160" s="394">
        <f t="shared" si="44"/>
        <v>3602679.06</v>
      </c>
      <c r="P160" s="394">
        <f t="shared" si="44"/>
        <v>3207207.61</v>
      </c>
      <c r="Q160" s="394">
        <f t="shared" si="44"/>
        <v>11227914.029999999</v>
      </c>
      <c r="R160" s="394">
        <f t="shared" si="44"/>
        <v>15502937.680000003</v>
      </c>
      <c r="S160" s="620">
        <f t="shared" si="44"/>
        <v>15502937.680000003</v>
      </c>
      <c r="T160" s="773"/>
      <c r="U160" s="383"/>
      <c r="V160" s="383"/>
      <c r="W160" s="383"/>
      <c r="X160" s="393"/>
      <c r="Y160" s="383"/>
      <c r="Z160" s="383"/>
      <c r="AA160" s="383"/>
      <c r="AB160" s="383"/>
      <c r="AC160" s="773"/>
      <c r="AD160" s="773"/>
      <c r="AE160" s="773"/>
      <c r="AF160" s="781">
        <f t="shared" si="39"/>
        <v>0</v>
      </c>
    </row>
    <row r="161" spans="1:32">
      <c r="A161" s="779">
        <f t="shared" si="43"/>
        <v>147</v>
      </c>
      <c r="B161" s="779"/>
      <c r="C161" s="779"/>
      <c r="D161" s="779"/>
      <c r="E161" s="763"/>
      <c r="F161" s="778"/>
      <c r="G161" s="420"/>
      <c r="H161" s="408"/>
      <c r="I161" s="408"/>
      <c r="J161" s="409"/>
      <c r="K161" s="410"/>
      <c r="L161" s="411"/>
      <c r="M161" s="412"/>
      <c r="N161" s="413"/>
      <c r="O161" s="764"/>
      <c r="P161" s="415"/>
      <c r="Q161" s="421"/>
      <c r="R161" s="778"/>
      <c r="S161" s="392"/>
      <c r="T161" s="773"/>
      <c r="U161" s="383"/>
      <c r="V161" s="383"/>
      <c r="W161" s="383"/>
      <c r="X161" s="393"/>
      <c r="Y161" s="383"/>
      <c r="Z161" s="383"/>
      <c r="AA161" s="383"/>
      <c r="AB161" s="383"/>
      <c r="AC161" s="773"/>
      <c r="AD161" s="773"/>
      <c r="AE161" s="773"/>
      <c r="AF161" s="781">
        <f t="shared" si="39"/>
        <v>0</v>
      </c>
    </row>
    <row r="162" spans="1:32">
      <c r="A162" s="779">
        <f t="shared" si="43"/>
        <v>148</v>
      </c>
      <c r="B162" s="423" t="s">
        <v>1094</v>
      </c>
      <c r="C162" s="423" t="s">
        <v>475</v>
      </c>
      <c r="D162" s="423" t="s">
        <v>472</v>
      </c>
      <c r="E162" s="777" t="s">
        <v>1840</v>
      </c>
      <c r="F162" s="778">
        <v>4401632.0599999996</v>
      </c>
      <c r="G162" s="778">
        <v>3104501.12</v>
      </c>
      <c r="H162" s="778">
        <v>3857826.72</v>
      </c>
      <c r="I162" s="778">
        <v>2689509.74</v>
      </c>
      <c r="J162" s="778">
        <v>1823247.53</v>
      </c>
      <c r="K162" s="778">
        <v>886772.31</v>
      </c>
      <c r="L162" s="778">
        <v>738260.57</v>
      </c>
      <c r="M162" s="778">
        <v>652416.31000000006</v>
      </c>
      <c r="N162" s="778">
        <v>295167.88</v>
      </c>
      <c r="O162" s="778">
        <v>568386.06000000006</v>
      </c>
      <c r="P162" s="778">
        <v>1527498.31</v>
      </c>
      <c r="Q162" s="778">
        <v>3399844.74</v>
      </c>
      <c r="R162" s="778">
        <v>3996207.51</v>
      </c>
      <c r="S162" s="618">
        <f t="shared" ref="S162:S171" si="45">+R162</f>
        <v>3996207.51</v>
      </c>
      <c r="T162" s="773"/>
      <c r="U162" s="383">
        <f t="shared" ref="U162:U171" si="46">+S162</f>
        <v>3996207.51</v>
      </c>
      <c r="V162" s="383"/>
      <c r="W162" s="383"/>
      <c r="X162" s="393"/>
      <c r="Y162" s="383"/>
      <c r="Z162" s="383"/>
      <c r="AA162" s="383"/>
      <c r="AB162" s="383"/>
      <c r="AC162" s="773"/>
      <c r="AD162" s="417">
        <f t="shared" ref="AD162:AD171" si="47">+U162</f>
        <v>3996207.51</v>
      </c>
      <c r="AE162" s="773"/>
      <c r="AF162" s="781">
        <f t="shared" si="39"/>
        <v>0</v>
      </c>
    </row>
    <row r="163" spans="1:32">
      <c r="A163" s="779">
        <f t="shared" si="43"/>
        <v>149</v>
      </c>
      <c r="B163" s="423" t="s">
        <v>1066</v>
      </c>
      <c r="C163" s="423" t="s">
        <v>475</v>
      </c>
      <c r="D163" s="423" t="s">
        <v>472</v>
      </c>
      <c r="E163" s="777" t="s">
        <v>1840</v>
      </c>
      <c r="F163" s="778">
        <v>13598415.529999999</v>
      </c>
      <c r="G163" s="778">
        <v>10397422.24</v>
      </c>
      <c r="H163" s="778">
        <v>11904607.039999999</v>
      </c>
      <c r="I163" s="778">
        <v>8197233.3899999997</v>
      </c>
      <c r="J163" s="778">
        <v>5388538.0099999998</v>
      </c>
      <c r="K163" s="778">
        <v>2567903.9700000002</v>
      </c>
      <c r="L163" s="778">
        <v>2204908.29</v>
      </c>
      <c r="M163" s="778">
        <v>1993803.28</v>
      </c>
      <c r="N163" s="778">
        <v>849822.63999999897</v>
      </c>
      <c r="O163" s="778">
        <v>1584716.52</v>
      </c>
      <c r="P163" s="778">
        <v>3781695.35</v>
      </c>
      <c r="Q163" s="778">
        <v>8107576.8200000003</v>
      </c>
      <c r="R163" s="778">
        <v>9812907.4100000001</v>
      </c>
      <c r="S163" s="618">
        <f t="shared" si="45"/>
        <v>9812907.4100000001</v>
      </c>
      <c r="T163" s="773"/>
      <c r="U163" s="383">
        <f t="shared" si="46"/>
        <v>9812907.4100000001</v>
      </c>
      <c r="V163" s="383"/>
      <c r="W163" s="383"/>
      <c r="X163" s="393"/>
      <c r="Y163" s="383"/>
      <c r="Z163" s="383"/>
      <c r="AA163" s="383"/>
      <c r="AB163" s="383"/>
      <c r="AC163" s="773"/>
      <c r="AD163" s="417">
        <f t="shared" si="47"/>
        <v>9812907.4100000001</v>
      </c>
      <c r="AE163" s="773"/>
      <c r="AF163" s="781">
        <f t="shared" si="39"/>
        <v>0</v>
      </c>
    </row>
    <row r="164" spans="1:32">
      <c r="A164" s="779">
        <f t="shared" si="43"/>
        <v>150</v>
      </c>
      <c r="B164" s="423" t="s">
        <v>1094</v>
      </c>
      <c r="C164" s="423" t="s">
        <v>475</v>
      </c>
      <c r="D164" s="423" t="s">
        <v>459</v>
      </c>
      <c r="E164" s="777" t="s">
        <v>1841</v>
      </c>
      <c r="F164" s="778">
        <v>2424546.58</v>
      </c>
      <c r="G164" s="778">
        <v>1824715.45</v>
      </c>
      <c r="H164" s="778">
        <v>1993243.19</v>
      </c>
      <c r="I164" s="778">
        <v>1432195</v>
      </c>
      <c r="J164" s="778">
        <v>932777.02</v>
      </c>
      <c r="K164" s="778">
        <v>487110.29</v>
      </c>
      <c r="L164" s="778">
        <v>473421.44</v>
      </c>
      <c r="M164" s="778">
        <v>467229.31</v>
      </c>
      <c r="N164" s="778">
        <v>225728.08</v>
      </c>
      <c r="O164" s="778">
        <v>425466.04</v>
      </c>
      <c r="P164" s="778">
        <v>853827.67</v>
      </c>
      <c r="Q164" s="778">
        <v>1668358.96</v>
      </c>
      <c r="R164" s="778">
        <v>2076923.47</v>
      </c>
      <c r="S164" s="618">
        <f t="shared" si="45"/>
        <v>2076923.47</v>
      </c>
      <c r="T164" s="773"/>
      <c r="U164" s="383">
        <f t="shared" si="46"/>
        <v>2076923.47</v>
      </c>
      <c r="V164" s="383"/>
      <c r="W164" s="383"/>
      <c r="X164" s="393"/>
      <c r="Y164" s="383"/>
      <c r="Z164" s="383"/>
      <c r="AA164" s="383"/>
      <c r="AB164" s="383"/>
      <c r="AC164" s="773"/>
      <c r="AD164" s="417">
        <f t="shared" si="47"/>
        <v>2076923.47</v>
      </c>
      <c r="AE164" s="773"/>
      <c r="AF164" s="781">
        <f t="shared" si="39"/>
        <v>0</v>
      </c>
    </row>
    <row r="165" spans="1:32">
      <c r="A165" s="779">
        <f t="shared" si="43"/>
        <v>151</v>
      </c>
      <c r="B165" s="423" t="s">
        <v>1066</v>
      </c>
      <c r="C165" s="423" t="s">
        <v>475</v>
      </c>
      <c r="D165" s="423" t="s">
        <v>459</v>
      </c>
      <c r="E165" s="777" t="s">
        <v>1841</v>
      </c>
      <c r="F165" s="778">
        <v>9109751.1199999992</v>
      </c>
      <c r="G165" s="778">
        <v>7043710.7000000002</v>
      </c>
      <c r="H165" s="778">
        <v>8226382.8300000001</v>
      </c>
      <c r="I165" s="778">
        <v>5525729.21</v>
      </c>
      <c r="J165" s="778">
        <v>3820235.27</v>
      </c>
      <c r="K165" s="778">
        <v>1955324.15</v>
      </c>
      <c r="L165" s="778">
        <v>1934275.19</v>
      </c>
      <c r="M165" s="778">
        <v>1889968.93</v>
      </c>
      <c r="N165" s="778">
        <v>916788.11999999895</v>
      </c>
      <c r="O165" s="778">
        <v>1642628.83</v>
      </c>
      <c r="P165" s="778">
        <v>3243168.02</v>
      </c>
      <c r="Q165" s="778">
        <v>5604087.7400000002</v>
      </c>
      <c r="R165" s="778">
        <v>6666508.6600000001</v>
      </c>
      <c r="S165" s="618">
        <f t="shared" si="45"/>
        <v>6666508.6600000001</v>
      </c>
      <c r="T165" s="773"/>
      <c r="U165" s="383">
        <f t="shared" si="46"/>
        <v>6666508.6600000001</v>
      </c>
      <c r="V165" s="383"/>
      <c r="W165" s="383"/>
      <c r="X165" s="393"/>
      <c r="Y165" s="383"/>
      <c r="Z165" s="383"/>
      <c r="AA165" s="383"/>
      <c r="AB165" s="383"/>
      <c r="AC165" s="773"/>
      <c r="AD165" s="417">
        <f t="shared" si="47"/>
        <v>6666508.6600000001</v>
      </c>
      <c r="AE165" s="773"/>
      <c r="AF165" s="781">
        <f t="shared" si="39"/>
        <v>0</v>
      </c>
    </row>
    <row r="166" spans="1:32">
      <c r="A166" s="779">
        <f t="shared" si="43"/>
        <v>152</v>
      </c>
      <c r="B166" s="423" t="s">
        <v>1094</v>
      </c>
      <c r="C166" s="423" t="s">
        <v>475</v>
      </c>
      <c r="D166" s="423" t="s">
        <v>505</v>
      </c>
      <c r="E166" s="777" t="s">
        <v>1842</v>
      </c>
      <c r="F166" s="778">
        <v>200362.5</v>
      </c>
      <c r="G166" s="778">
        <v>172112.63</v>
      </c>
      <c r="H166" s="778">
        <v>150662.35999999999</v>
      </c>
      <c r="I166" s="778">
        <v>146668.04999999999</v>
      </c>
      <c r="J166" s="778">
        <v>104848.91</v>
      </c>
      <c r="K166" s="778">
        <v>71829.33</v>
      </c>
      <c r="L166" s="778">
        <v>64329.89</v>
      </c>
      <c r="M166" s="778">
        <v>61020.97</v>
      </c>
      <c r="N166" s="778">
        <v>60851.040000000001</v>
      </c>
      <c r="O166" s="778">
        <v>65777.23</v>
      </c>
      <c r="P166" s="778">
        <v>98711.75</v>
      </c>
      <c r="Q166" s="778">
        <v>133943.29</v>
      </c>
      <c r="R166" s="778">
        <v>160375.5</v>
      </c>
      <c r="S166" s="618">
        <f t="shared" si="45"/>
        <v>160375.5</v>
      </c>
      <c r="T166" s="773"/>
      <c r="U166" s="383">
        <f t="shared" si="46"/>
        <v>160375.5</v>
      </c>
      <c r="V166" s="383"/>
      <c r="W166" s="383"/>
      <c r="X166" s="393"/>
      <c r="Y166" s="383"/>
      <c r="Z166" s="383"/>
      <c r="AA166" s="383"/>
      <c r="AB166" s="383"/>
      <c r="AC166" s="773"/>
      <c r="AD166" s="417">
        <f t="shared" si="47"/>
        <v>160375.5</v>
      </c>
      <c r="AE166" s="773"/>
      <c r="AF166" s="781">
        <f t="shared" si="39"/>
        <v>0</v>
      </c>
    </row>
    <row r="167" spans="1:32">
      <c r="A167" s="779">
        <f t="shared" si="43"/>
        <v>153</v>
      </c>
      <c r="B167" s="423" t="s">
        <v>1066</v>
      </c>
      <c r="C167" s="423" t="s">
        <v>475</v>
      </c>
      <c r="D167" s="423" t="s">
        <v>505</v>
      </c>
      <c r="E167" s="777" t="s">
        <v>1842</v>
      </c>
      <c r="F167" s="778">
        <v>148832.14000000001</v>
      </c>
      <c r="G167" s="778">
        <v>144737.93</v>
      </c>
      <c r="H167" s="778">
        <v>141837.28</v>
      </c>
      <c r="I167" s="778">
        <v>139757.45000000001</v>
      </c>
      <c r="J167" s="778">
        <v>116519.88</v>
      </c>
      <c r="K167" s="778">
        <v>84025.44</v>
      </c>
      <c r="L167" s="778">
        <v>68236</v>
      </c>
      <c r="M167" s="778">
        <v>68133.440000000002</v>
      </c>
      <c r="N167" s="778">
        <v>54560.23</v>
      </c>
      <c r="O167" s="778">
        <v>68674.52</v>
      </c>
      <c r="P167" s="778">
        <v>114021.23</v>
      </c>
      <c r="Q167" s="778">
        <v>114717.81</v>
      </c>
      <c r="R167" s="778">
        <v>136949.03</v>
      </c>
      <c r="S167" s="618">
        <f t="shared" si="45"/>
        <v>136949.03</v>
      </c>
      <c r="T167" s="773"/>
      <c r="U167" s="383">
        <f t="shared" si="46"/>
        <v>136949.03</v>
      </c>
      <c r="V167" s="383"/>
      <c r="W167" s="383"/>
      <c r="X167" s="393"/>
      <c r="Y167" s="383"/>
      <c r="Z167" s="383"/>
      <c r="AA167" s="383"/>
      <c r="AB167" s="383"/>
      <c r="AC167" s="773"/>
      <c r="AD167" s="417">
        <f t="shared" si="47"/>
        <v>136949.03</v>
      </c>
      <c r="AE167" s="773"/>
      <c r="AF167" s="781">
        <f t="shared" si="39"/>
        <v>0</v>
      </c>
    </row>
    <row r="168" spans="1:32">
      <c r="A168" s="779">
        <f t="shared" si="43"/>
        <v>154</v>
      </c>
      <c r="B168" s="423" t="s">
        <v>1094</v>
      </c>
      <c r="C168" s="423" t="s">
        <v>476</v>
      </c>
      <c r="D168" s="423" t="s">
        <v>505</v>
      </c>
      <c r="E168" s="777" t="s">
        <v>1843</v>
      </c>
      <c r="F168" s="778">
        <v>231987</v>
      </c>
      <c r="G168" s="778">
        <v>240372.53</v>
      </c>
      <c r="H168" s="778">
        <v>217823.55</v>
      </c>
      <c r="I168" s="778">
        <v>247404.18</v>
      </c>
      <c r="J168" s="778">
        <v>223525.17</v>
      </c>
      <c r="K168" s="778">
        <v>211946.4</v>
      </c>
      <c r="L168" s="778">
        <v>229911.47</v>
      </c>
      <c r="M168" s="778">
        <v>217608.49</v>
      </c>
      <c r="N168" s="778">
        <v>214807.84</v>
      </c>
      <c r="O168" s="778">
        <v>231118.6</v>
      </c>
      <c r="P168" s="778">
        <v>246144.58</v>
      </c>
      <c r="Q168" s="778">
        <v>226944.61</v>
      </c>
      <c r="R168" s="778">
        <v>217372.61</v>
      </c>
      <c r="S168" s="618">
        <f t="shared" si="45"/>
        <v>217372.61</v>
      </c>
      <c r="T168" s="773"/>
      <c r="U168" s="383">
        <f t="shared" si="46"/>
        <v>217372.61</v>
      </c>
      <c r="V168" s="383"/>
      <c r="W168" s="383"/>
      <c r="X168" s="393"/>
      <c r="Y168" s="383"/>
      <c r="Z168" s="383"/>
      <c r="AA168" s="383"/>
      <c r="AB168" s="383"/>
      <c r="AC168" s="773"/>
      <c r="AD168" s="417">
        <f t="shared" si="47"/>
        <v>217372.61</v>
      </c>
      <c r="AE168" s="773"/>
      <c r="AF168" s="781">
        <f t="shared" si="39"/>
        <v>0</v>
      </c>
    </row>
    <row r="169" spans="1:32">
      <c r="A169" s="779">
        <f t="shared" si="43"/>
        <v>155</v>
      </c>
      <c r="B169" s="423" t="s">
        <v>1066</v>
      </c>
      <c r="C169" s="423" t="s">
        <v>476</v>
      </c>
      <c r="D169" s="657" t="s">
        <v>505</v>
      </c>
      <c r="E169" s="777" t="s">
        <v>1843</v>
      </c>
      <c r="F169" s="778">
        <v>1398404.85</v>
      </c>
      <c r="G169" s="778">
        <v>1400543.83</v>
      </c>
      <c r="H169" s="778">
        <v>1334781.53</v>
      </c>
      <c r="I169" s="778">
        <v>1353081.2</v>
      </c>
      <c r="J169" s="778">
        <v>1270634.6399999999</v>
      </c>
      <c r="K169" s="778">
        <v>1233259.5</v>
      </c>
      <c r="L169" s="778">
        <v>1214311.67</v>
      </c>
      <c r="M169" s="778">
        <v>1198223.68</v>
      </c>
      <c r="N169" s="778">
        <v>1162851.3700000001</v>
      </c>
      <c r="O169" s="778">
        <v>1292835.99</v>
      </c>
      <c r="P169" s="778">
        <v>1349922.41</v>
      </c>
      <c r="Q169" s="778">
        <v>1255888.28</v>
      </c>
      <c r="R169" s="778">
        <v>1287630.96</v>
      </c>
      <c r="S169" s="618">
        <f t="shared" si="45"/>
        <v>1287630.96</v>
      </c>
      <c r="T169" s="773"/>
      <c r="U169" s="383">
        <f t="shared" si="46"/>
        <v>1287630.96</v>
      </c>
      <c r="V169" s="383"/>
      <c r="W169" s="383"/>
      <c r="X169" s="393"/>
      <c r="Y169" s="383"/>
      <c r="Z169" s="383"/>
      <c r="AA169" s="383"/>
      <c r="AB169" s="383"/>
      <c r="AC169" s="773"/>
      <c r="AD169" s="417">
        <f t="shared" si="47"/>
        <v>1287630.96</v>
      </c>
      <c r="AE169" s="773"/>
      <c r="AF169" s="781">
        <f t="shared" si="39"/>
        <v>0</v>
      </c>
    </row>
    <row r="170" spans="1:32">
      <c r="A170" s="779">
        <f t="shared" si="43"/>
        <v>156</v>
      </c>
      <c r="B170" s="423" t="s">
        <v>1094</v>
      </c>
      <c r="C170" s="423" t="s">
        <v>476</v>
      </c>
      <c r="D170" s="423" t="s">
        <v>506</v>
      </c>
      <c r="E170" s="777" t="s">
        <v>1844</v>
      </c>
      <c r="F170" s="778">
        <v>125987.21</v>
      </c>
      <c r="G170" s="778">
        <v>112053.59</v>
      </c>
      <c r="H170" s="778">
        <v>111900.71</v>
      </c>
      <c r="I170" s="778">
        <v>111718.95</v>
      </c>
      <c r="J170" s="778">
        <v>114559.89</v>
      </c>
      <c r="K170" s="778">
        <v>104016.08</v>
      </c>
      <c r="L170" s="778">
        <v>102566.75</v>
      </c>
      <c r="M170" s="778">
        <v>127776.94</v>
      </c>
      <c r="N170" s="778">
        <v>130661.24</v>
      </c>
      <c r="O170" s="778">
        <v>130849.44</v>
      </c>
      <c r="P170" s="778">
        <v>124977.43</v>
      </c>
      <c r="Q170" s="778">
        <v>126594.12</v>
      </c>
      <c r="R170" s="778">
        <v>131375.94</v>
      </c>
      <c r="S170" s="618">
        <f t="shared" si="45"/>
        <v>131375.94</v>
      </c>
      <c r="T170" s="773"/>
      <c r="U170" s="383">
        <f t="shared" si="46"/>
        <v>131375.94</v>
      </c>
      <c r="V170" s="383"/>
      <c r="W170" s="383"/>
      <c r="X170" s="393"/>
      <c r="Y170" s="383"/>
      <c r="Z170" s="383"/>
      <c r="AA170" s="383"/>
      <c r="AB170" s="383"/>
      <c r="AC170" s="773"/>
      <c r="AD170" s="417">
        <f t="shared" si="47"/>
        <v>131375.94</v>
      </c>
      <c r="AE170" s="773"/>
      <c r="AF170" s="781">
        <f t="shared" si="39"/>
        <v>0</v>
      </c>
    </row>
    <row r="171" spans="1:32">
      <c r="A171" s="779">
        <f t="shared" si="43"/>
        <v>157</v>
      </c>
      <c r="B171" s="423" t="s">
        <v>1066</v>
      </c>
      <c r="C171" s="423" t="s">
        <v>476</v>
      </c>
      <c r="D171" s="423" t="s">
        <v>506</v>
      </c>
      <c r="E171" s="777" t="s">
        <v>1844</v>
      </c>
      <c r="F171" s="405">
        <v>720287.54</v>
      </c>
      <c r="G171" s="405">
        <v>577758.93999999994</v>
      </c>
      <c r="H171" s="405">
        <v>631133.32999999996</v>
      </c>
      <c r="I171" s="405">
        <v>650208.65</v>
      </c>
      <c r="J171" s="405">
        <v>583537.52</v>
      </c>
      <c r="K171" s="405">
        <v>618769.71</v>
      </c>
      <c r="L171" s="405">
        <v>584942.21</v>
      </c>
      <c r="M171" s="405">
        <v>875059.05</v>
      </c>
      <c r="N171" s="405">
        <v>737193.48</v>
      </c>
      <c r="O171" s="405">
        <v>646555.30000000005</v>
      </c>
      <c r="P171" s="405">
        <v>595701.15</v>
      </c>
      <c r="Q171" s="405">
        <v>531917.47</v>
      </c>
      <c r="R171" s="405">
        <v>678698.73</v>
      </c>
      <c r="S171" s="618">
        <f t="shared" si="45"/>
        <v>678698.73</v>
      </c>
      <c r="T171" s="773"/>
      <c r="U171" s="383">
        <f t="shared" si="46"/>
        <v>678698.73</v>
      </c>
      <c r="V171" s="383"/>
      <c r="W171" s="383"/>
      <c r="X171" s="393"/>
      <c r="Y171" s="383"/>
      <c r="Z171" s="383"/>
      <c r="AA171" s="383"/>
      <c r="AB171" s="383"/>
      <c r="AC171" s="773"/>
      <c r="AD171" s="417">
        <f t="shared" si="47"/>
        <v>678698.73</v>
      </c>
      <c r="AE171" s="773"/>
      <c r="AF171" s="781">
        <f t="shared" si="39"/>
        <v>0</v>
      </c>
    </row>
    <row r="172" spans="1:32">
      <c r="A172" s="779">
        <f t="shared" si="43"/>
        <v>158</v>
      </c>
      <c r="B172" s="779"/>
      <c r="C172" s="779"/>
      <c r="D172" s="779"/>
      <c r="E172" s="777" t="s">
        <v>477</v>
      </c>
      <c r="F172" s="394">
        <f>SUM(F162:F171)</f>
        <v>32360206.530000001</v>
      </c>
      <c r="G172" s="394">
        <f t="shared" ref="G172:R172" si="48">SUM(G162:G171)</f>
        <v>25017928.960000001</v>
      </c>
      <c r="H172" s="394">
        <f t="shared" si="48"/>
        <v>28570198.540000003</v>
      </c>
      <c r="I172" s="394">
        <f t="shared" si="48"/>
        <v>20493505.819999997</v>
      </c>
      <c r="J172" s="394">
        <f t="shared" si="48"/>
        <v>14378423.840000002</v>
      </c>
      <c r="K172" s="394">
        <f t="shared" si="48"/>
        <v>8220957.1800000016</v>
      </c>
      <c r="L172" s="394">
        <f t="shared" si="48"/>
        <v>7615163.4799999995</v>
      </c>
      <c r="M172" s="394">
        <f t="shared" si="48"/>
        <v>7551240.4000000004</v>
      </c>
      <c r="N172" s="394">
        <f t="shared" si="48"/>
        <v>4648431.9199999981</v>
      </c>
      <c r="O172" s="394">
        <f t="shared" si="48"/>
        <v>6657008.5300000003</v>
      </c>
      <c r="P172" s="394">
        <f t="shared" si="48"/>
        <v>11935667.9</v>
      </c>
      <c r="Q172" s="394">
        <f t="shared" si="48"/>
        <v>21169873.839999996</v>
      </c>
      <c r="R172" s="394">
        <f t="shared" si="48"/>
        <v>25164949.820000004</v>
      </c>
      <c r="S172" s="620">
        <f>SUM(S162:S171)</f>
        <v>25164949.820000004</v>
      </c>
      <c r="T172" s="773"/>
      <c r="U172" s="383"/>
      <c r="V172" s="383"/>
      <c r="W172" s="383"/>
      <c r="X172" s="393"/>
      <c r="Y172" s="383"/>
      <c r="Z172" s="383"/>
      <c r="AA172" s="383"/>
      <c r="AB172" s="383"/>
      <c r="AC172" s="773"/>
      <c r="AD172" s="773"/>
      <c r="AE172" s="773"/>
      <c r="AF172" s="781">
        <f t="shared" si="39"/>
        <v>0</v>
      </c>
    </row>
    <row r="173" spans="1:32">
      <c r="A173" s="779">
        <f t="shared" si="43"/>
        <v>159</v>
      </c>
      <c r="B173" s="779"/>
      <c r="C173" s="779"/>
      <c r="D173" s="779"/>
      <c r="E173" s="763"/>
      <c r="F173" s="778"/>
      <c r="G173" s="420"/>
      <c r="H173" s="408"/>
      <c r="I173" s="408"/>
      <c r="J173" s="409"/>
      <c r="K173" s="410"/>
      <c r="L173" s="411"/>
      <c r="M173" s="412"/>
      <c r="N173" s="413"/>
      <c r="O173" s="764"/>
      <c r="P173" s="415"/>
      <c r="Q173" s="421"/>
      <c r="R173" s="778"/>
      <c r="S173" s="392"/>
      <c r="T173" s="773"/>
      <c r="U173" s="383"/>
      <c r="V173" s="383"/>
      <c r="W173" s="383"/>
      <c r="X173" s="393"/>
      <c r="Y173" s="383"/>
      <c r="Z173" s="383"/>
      <c r="AA173" s="383"/>
      <c r="AB173" s="383"/>
      <c r="AC173" s="773"/>
      <c r="AD173" s="773"/>
      <c r="AE173" s="773"/>
      <c r="AF173" s="781">
        <f t="shared" si="39"/>
        <v>0</v>
      </c>
    </row>
    <row r="174" spans="1:32">
      <c r="A174" s="779">
        <f t="shared" si="43"/>
        <v>160</v>
      </c>
      <c r="B174" s="423" t="s">
        <v>1063</v>
      </c>
      <c r="C174" s="423" t="s">
        <v>478</v>
      </c>
      <c r="D174" s="423" t="s">
        <v>1098</v>
      </c>
      <c r="E174" s="777" t="s">
        <v>1845</v>
      </c>
      <c r="F174" s="778">
        <v>-94443.78</v>
      </c>
      <c r="G174" s="778">
        <v>-93656.73</v>
      </c>
      <c r="H174" s="778">
        <v>-92869.71</v>
      </c>
      <c r="I174" s="778">
        <v>-92082.7</v>
      </c>
      <c r="J174" s="778">
        <v>-91295.65</v>
      </c>
      <c r="K174" s="778">
        <v>-90508.62</v>
      </c>
      <c r="L174" s="778">
        <v>-89721.58</v>
      </c>
      <c r="M174" s="778">
        <v>-88934.57</v>
      </c>
      <c r="N174" s="778">
        <v>-88147.520000000004</v>
      </c>
      <c r="O174" s="778">
        <v>-87360.51</v>
      </c>
      <c r="P174" s="778">
        <v>-86573.46</v>
      </c>
      <c r="Q174" s="778">
        <v>-85786.43</v>
      </c>
      <c r="R174" s="778">
        <v>-82824.95</v>
      </c>
      <c r="S174" s="618">
        <f t="shared" ref="S174:S205" si="49">+R174</f>
        <v>-82824.95</v>
      </c>
      <c r="T174" s="773"/>
      <c r="U174" s="383"/>
      <c r="V174" s="383"/>
      <c r="W174" s="383"/>
      <c r="X174" s="425">
        <f>+S174</f>
        <v>-82824.95</v>
      </c>
      <c r="Y174" s="383"/>
      <c r="Z174" s="383"/>
      <c r="AA174" s="383"/>
      <c r="AB174" s="383">
        <f>+S174</f>
        <v>-82824.95</v>
      </c>
      <c r="AC174" s="773"/>
      <c r="AD174" s="426">
        <f>+U174</f>
        <v>0</v>
      </c>
      <c r="AE174" s="773"/>
      <c r="AF174" s="781">
        <f t="shared" si="39"/>
        <v>0</v>
      </c>
    </row>
    <row r="175" spans="1:32">
      <c r="A175" s="779">
        <f t="shared" si="43"/>
        <v>161</v>
      </c>
      <c r="B175" s="423" t="s">
        <v>1063</v>
      </c>
      <c r="C175" s="423" t="s">
        <v>478</v>
      </c>
      <c r="D175" s="423" t="s">
        <v>1099</v>
      </c>
      <c r="E175" s="777" t="s">
        <v>1846</v>
      </c>
      <c r="F175" s="778">
        <v>-358148.8</v>
      </c>
      <c r="G175" s="778">
        <v>-355164.23</v>
      </c>
      <c r="H175" s="778">
        <v>-352179.64</v>
      </c>
      <c r="I175" s="778">
        <v>-349195.1</v>
      </c>
      <c r="J175" s="778">
        <v>-346210.53</v>
      </c>
      <c r="K175" s="778">
        <v>-343225.97</v>
      </c>
      <c r="L175" s="778">
        <v>-340241.41</v>
      </c>
      <c r="M175" s="778">
        <v>-337256.82</v>
      </c>
      <c r="N175" s="778">
        <v>-334272.25</v>
      </c>
      <c r="O175" s="778">
        <v>-331287.65999999997</v>
      </c>
      <c r="P175" s="778">
        <v>-328303.08</v>
      </c>
      <c r="Q175" s="778">
        <v>-325318.53000000003</v>
      </c>
      <c r="R175" s="778">
        <v>-314153.82</v>
      </c>
      <c r="S175" s="618">
        <f t="shared" si="49"/>
        <v>-314153.82</v>
      </c>
      <c r="T175" s="773"/>
      <c r="U175" s="383"/>
      <c r="V175" s="383"/>
      <c r="W175" s="383"/>
      <c r="X175" s="425">
        <f>+S175</f>
        <v>-314153.82</v>
      </c>
      <c r="Y175" s="383"/>
      <c r="Z175" s="383"/>
      <c r="AA175" s="383"/>
      <c r="AB175" s="383">
        <f>+S175</f>
        <v>-314153.82</v>
      </c>
      <c r="AC175" s="773"/>
      <c r="AD175" s="426">
        <f>+U175</f>
        <v>0</v>
      </c>
      <c r="AE175" s="773"/>
      <c r="AF175" s="781">
        <f t="shared" si="39"/>
        <v>0</v>
      </c>
    </row>
    <row r="176" spans="1:32">
      <c r="A176" s="779">
        <f t="shared" si="43"/>
        <v>162</v>
      </c>
      <c r="B176" s="423" t="s">
        <v>1063</v>
      </c>
      <c r="C176" s="423" t="s">
        <v>478</v>
      </c>
      <c r="D176" s="423" t="s">
        <v>1563</v>
      </c>
      <c r="E176" s="777" t="s">
        <v>1847</v>
      </c>
      <c r="F176" s="778">
        <v>697651.87</v>
      </c>
      <c r="G176" s="778">
        <v>697613.36</v>
      </c>
      <c r="H176" s="778">
        <v>697922.4</v>
      </c>
      <c r="I176" s="778">
        <v>698519.61</v>
      </c>
      <c r="J176" s="778">
        <v>678178.7</v>
      </c>
      <c r="K176" s="778">
        <v>678500.27</v>
      </c>
      <c r="L176" s="778">
        <v>681401.76</v>
      </c>
      <c r="M176" s="778">
        <v>685925.9</v>
      </c>
      <c r="N176" s="778">
        <v>686548.36</v>
      </c>
      <c r="O176" s="778">
        <v>688137.33</v>
      </c>
      <c r="P176" s="778">
        <v>680572.31</v>
      </c>
      <c r="Q176" s="778">
        <v>680572.31</v>
      </c>
      <c r="R176" s="778">
        <v>680831.94</v>
      </c>
      <c r="S176" s="618">
        <f t="shared" si="49"/>
        <v>680831.94</v>
      </c>
      <c r="T176" s="773"/>
      <c r="U176" s="383"/>
      <c r="V176" s="383"/>
      <c r="W176" s="383"/>
      <c r="X176" s="425">
        <f t="shared" ref="X176:X177" si="50">+S176</f>
        <v>680831.94</v>
      </c>
      <c r="Y176" s="383"/>
      <c r="Z176" s="383"/>
      <c r="AA176" s="383"/>
      <c r="AB176" s="383">
        <f t="shared" ref="AB176:AB177" si="51">+S176</f>
        <v>680831.94</v>
      </c>
      <c r="AC176" s="773"/>
      <c r="AD176" s="426">
        <f>+U176</f>
        <v>0</v>
      </c>
      <c r="AE176" s="773"/>
      <c r="AF176" s="781">
        <f t="shared" si="39"/>
        <v>0</v>
      </c>
    </row>
    <row r="177" spans="1:32">
      <c r="A177" s="779">
        <f t="shared" si="43"/>
        <v>163</v>
      </c>
      <c r="B177" s="423" t="s">
        <v>1063</v>
      </c>
      <c r="C177" s="423" t="s">
        <v>478</v>
      </c>
      <c r="D177" s="423" t="s">
        <v>1667</v>
      </c>
      <c r="E177" s="777" t="s">
        <v>1848</v>
      </c>
      <c r="F177" s="778">
        <v>2039965.44</v>
      </c>
      <c r="G177" s="778">
        <v>2041399.36</v>
      </c>
      <c r="H177" s="778">
        <v>2043230.19</v>
      </c>
      <c r="I177" s="778">
        <v>2045061.03</v>
      </c>
      <c r="J177" s="778">
        <v>2046891.85</v>
      </c>
      <c r="K177" s="778">
        <v>2049938.21</v>
      </c>
      <c r="L177" s="778">
        <v>2052012.15</v>
      </c>
      <c r="M177" s="778">
        <v>2054086.08</v>
      </c>
      <c r="N177" s="778">
        <v>2056160.02</v>
      </c>
      <c r="O177" s="778">
        <v>2058233.95</v>
      </c>
      <c r="P177" s="778">
        <v>2060307.89</v>
      </c>
      <c r="Q177" s="778">
        <v>2107410</v>
      </c>
      <c r="R177" s="778">
        <v>1956266.79</v>
      </c>
      <c r="S177" s="618">
        <f t="shared" si="49"/>
        <v>1956266.79</v>
      </c>
      <c r="T177" s="773"/>
      <c r="U177" s="383"/>
      <c r="V177" s="383"/>
      <c r="W177" s="383"/>
      <c r="X177" s="425">
        <f t="shared" si="50"/>
        <v>1956266.79</v>
      </c>
      <c r="Y177" s="383"/>
      <c r="Z177" s="383"/>
      <c r="AA177" s="383"/>
      <c r="AB177" s="383">
        <f t="shared" si="51"/>
        <v>1956266.79</v>
      </c>
      <c r="AC177" s="773"/>
      <c r="AD177" s="426">
        <f t="shared" ref="AD177:AD187" si="52">+U177</f>
        <v>0</v>
      </c>
      <c r="AE177" s="773"/>
      <c r="AF177" s="781">
        <f t="shared" si="39"/>
        <v>0</v>
      </c>
    </row>
    <row r="178" spans="1:32">
      <c r="A178" s="779">
        <f t="shared" si="43"/>
        <v>164</v>
      </c>
      <c r="B178" s="423" t="s">
        <v>1063</v>
      </c>
      <c r="C178" s="423" t="s">
        <v>478</v>
      </c>
      <c r="D178" s="423" t="s">
        <v>1100</v>
      </c>
      <c r="E178" s="777" t="s">
        <v>1849</v>
      </c>
      <c r="F178" s="778">
        <v>11771087.18</v>
      </c>
      <c r="G178" s="778">
        <v>11773465.810000001</v>
      </c>
      <c r="H178" s="778">
        <v>11752882.02</v>
      </c>
      <c r="I178" s="778">
        <v>11708882.130000001</v>
      </c>
      <c r="J178" s="778">
        <v>11670592.35</v>
      </c>
      <c r="K178" s="778">
        <v>11651913.210000001</v>
      </c>
      <c r="L178" s="778">
        <v>11725587.689999999</v>
      </c>
      <c r="M178" s="778">
        <v>11705651.25</v>
      </c>
      <c r="N178" s="778">
        <v>11617547.18</v>
      </c>
      <c r="O178" s="778">
        <v>11599931.310000001</v>
      </c>
      <c r="P178" s="778">
        <v>11581247.359999999</v>
      </c>
      <c r="Q178" s="778">
        <v>11554057.15</v>
      </c>
      <c r="R178" s="778">
        <v>11510145.4</v>
      </c>
      <c r="S178" s="618">
        <f t="shared" si="49"/>
        <v>11510145.4</v>
      </c>
      <c r="T178" s="773"/>
      <c r="U178" s="383">
        <f t="shared" ref="U178:U189" si="53">+S178</f>
        <v>11510145.4</v>
      </c>
      <c r="V178" s="383"/>
      <c r="W178" s="383"/>
      <c r="X178" s="425"/>
      <c r="Y178" s="383"/>
      <c r="Z178" s="383"/>
      <c r="AA178" s="383"/>
      <c r="AB178" s="383"/>
      <c r="AC178" s="773"/>
      <c r="AD178" s="426">
        <f t="shared" si="52"/>
        <v>11510145.4</v>
      </c>
      <c r="AE178" s="773"/>
      <c r="AF178" s="781">
        <f t="shared" si="39"/>
        <v>0</v>
      </c>
    </row>
    <row r="179" spans="1:32">
      <c r="A179" s="779">
        <f t="shared" si="43"/>
        <v>165</v>
      </c>
      <c r="B179" s="423" t="s">
        <v>1063</v>
      </c>
      <c r="C179" s="423" t="s">
        <v>478</v>
      </c>
      <c r="D179" s="423" t="s">
        <v>1254</v>
      </c>
      <c r="E179" s="777" t="s">
        <v>1850</v>
      </c>
      <c r="F179" s="778">
        <v>617072.96</v>
      </c>
      <c r="G179" s="778">
        <v>718153.35</v>
      </c>
      <c r="H179" s="778">
        <v>714291.03</v>
      </c>
      <c r="I179" s="778">
        <v>798586.64</v>
      </c>
      <c r="J179" s="778">
        <v>858542.37</v>
      </c>
      <c r="K179" s="778">
        <v>1096073.54</v>
      </c>
      <c r="L179" s="778">
        <v>1434977.89</v>
      </c>
      <c r="M179" s="778">
        <v>1534235.08</v>
      </c>
      <c r="N179" s="778">
        <v>1511238.18</v>
      </c>
      <c r="O179" s="778">
        <v>1568158.85</v>
      </c>
      <c r="P179" s="778">
        <v>1621200.81</v>
      </c>
      <c r="Q179" s="778">
        <v>1670296.35</v>
      </c>
      <c r="R179" s="778">
        <v>1661184.9</v>
      </c>
      <c r="S179" s="618">
        <f t="shared" si="49"/>
        <v>1661184.9</v>
      </c>
      <c r="T179" s="773"/>
      <c r="U179" s="383">
        <f t="shared" si="53"/>
        <v>1661184.9</v>
      </c>
      <c r="V179" s="383"/>
      <c r="W179" s="383"/>
      <c r="X179" s="425"/>
      <c r="Y179" s="383"/>
      <c r="Z179" s="383"/>
      <c r="AA179" s="383"/>
      <c r="AB179" s="383"/>
      <c r="AC179" s="773"/>
      <c r="AD179" s="426">
        <f t="shared" si="52"/>
        <v>1661184.9</v>
      </c>
      <c r="AE179" s="773"/>
      <c r="AF179" s="781">
        <f t="shared" si="39"/>
        <v>0</v>
      </c>
    </row>
    <row r="180" spans="1:32">
      <c r="A180" s="779">
        <f t="shared" si="43"/>
        <v>166</v>
      </c>
      <c r="B180" s="423" t="s">
        <v>1094</v>
      </c>
      <c r="C180" s="423" t="s">
        <v>478</v>
      </c>
      <c r="D180" s="423" t="s">
        <v>1095</v>
      </c>
      <c r="E180" s="777" t="s">
        <v>1851</v>
      </c>
      <c r="F180" s="778">
        <v>-8266.2800000000007</v>
      </c>
      <c r="G180" s="778">
        <v>-8197.4</v>
      </c>
      <c r="H180" s="778">
        <v>-8128.51</v>
      </c>
      <c r="I180" s="778">
        <v>-8059.63</v>
      </c>
      <c r="J180" s="778">
        <v>-7990.74</v>
      </c>
      <c r="K180" s="778">
        <v>-7921.85</v>
      </c>
      <c r="L180" s="778">
        <v>-7852.97</v>
      </c>
      <c r="M180" s="778">
        <v>-7784.08</v>
      </c>
      <c r="N180" s="778">
        <v>-7715.2</v>
      </c>
      <c r="O180" s="778">
        <v>-7646.31</v>
      </c>
      <c r="P180" s="778">
        <v>-7577.43</v>
      </c>
      <c r="Q180" s="778">
        <v>-7508.54</v>
      </c>
      <c r="R180" s="778">
        <v>-7249.34</v>
      </c>
      <c r="S180" s="618">
        <f t="shared" si="49"/>
        <v>-7249.34</v>
      </c>
      <c r="T180" s="773"/>
      <c r="U180" s="383"/>
      <c r="V180" s="383"/>
      <c r="W180" s="383"/>
      <c r="X180" s="425">
        <f t="shared" ref="X180:X184" si="54">+S180</f>
        <v>-7249.34</v>
      </c>
      <c r="Y180" s="383"/>
      <c r="Z180" s="383"/>
      <c r="AA180" s="383"/>
      <c r="AB180" s="383">
        <f t="shared" ref="AB180:AB184" si="55">+S180</f>
        <v>-7249.34</v>
      </c>
      <c r="AC180" s="773"/>
      <c r="AD180" s="426">
        <f t="shared" si="52"/>
        <v>0</v>
      </c>
      <c r="AE180" s="773"/>
      <c r="AF180" s="781">
        <f t="shared" si="39"/>
        <v>0</v>
      </c>
    </row>
    <row r="181" spans="1:32">
      <c r="A181" s="779">
        <f t="shared" si="43"/>
        <v>167</v>
      </c>
      <c r="B181" s="423" t="s">
        <v>1094</v>
      </c>
      <c r="C181" s="423" t="s">
        <v>478</v>
      </c>
      <c r="D181" s="423" t="s">
        <v>1096</v>
      </c>
      <c r="E181" s="777" t="s">
        <v>1852</v>
      </c>
      <c r="F181" s="778">
        <v>2860.27</v>
      </c>
      <c r="G181" s="778">
        <v>2836.43</v>
      </c>
      <c r="H181" s="778">
        <v>2812.6</v>
      </c>
      <c r="I181" s="778">
        <v>2788.78</v>
      </c>
      <c r="J181" s="778">
        <v>2764.94</v>
      </c>
      <c r="K181" s="778">
        <v>2741.09</v>
      </c>
      <c r="L181" s="778">
        <v>2717.26</v>
      </c>
      <c r="M181" s="778">
        <v>2693.42</v>
      </c>
      <c r="N181" s="778">
        <v>2669.58</v>
      </c>
      <c r="O181" s="778">
        <v>2645.76</v>
      </c>
      <c r="P181" s="778">
        <v>2621.92</v>
      </c>
      <c r="Q181" s="778">
        <v>2598.0700000000002</v>
      </c>
      <c r="R181" s="778">
        <v>2574.23</v>
      </c>
      <c r="S181" s="618">
        <f t="shared" si="49"/>
        <v>2574.23</v>
      </c>
      <c r="T181" s="773"/>
      <c r="U181" s="383"/>
      <c r="V181" s="383"/>
      <c r="W181" s="383"/>
      <c r="X181" s="425">
        <f t="shared" si="54"/>
        <v>2574.23</v>
      </c>
      <c r="Y181" s="383"/>
      <c r="Z181" s="383"/>
      <c r="AA181" s="383"/>
      <c r="AB181" s="383">
        <f t="shared" si="55"/>
        <v>2574.23</v>
      </c>
      <c r="AC181" s="773"/>
      <c r="AD181" s="426">
        <f t="shared" si="52"/>
        <v>0</v>
      </c>
      <c r="AE181" s="773"/>
      <c r="AF181" s="781">
        <f t="shared" si="39"/>
        <v>0</v>
      </c>
    </row>
    <row r="182" spans="1:32">
      <c r="A182" s="779">
        <f t="shared" si="43"/>
        <v>168</v>
      </c>
      <c r="B182" s="423" t="s">
        <v>1094</v>
      </c>
      <c r="C182" s="423" t="s">
        <v>478</v>
      </c>
      <c r="D182" s="423" t="s">
        <v>1566</v>
      </c>
      <c r="E182" s="777" t="s">
        <v>1853</v>
      </c>
      <c r="F182" s="778">
        <v>61062.65</v>
      </c>
      <c r="G182" s="778">
        <v>61059.28</v>
      </c>
      <c r="H182" s="778">
        <v>61086.33</v>
      </c>
      <c r="I182" s="778">
        <v>61138.6</v>
      </c>
      <c r="J182" s="778">
        <v>59358.239999999998</v>
      </c>
      <c r="K182" s="778">
        <v>59386.39</v>
      </c>
      <c r="L182" s="778">
        <v>59640.34</v>
      </c>
      <c r="M182" s="778">
        <v>60036.32</v>
      </c>
      <c r="N182" s="778">
        <v>60090.8</v>
      </c>
      <c r="O182" s="778">
        <v>60229.88</v>
      </c>
      <c r="P182" s="778">
        <v>59567.74</v>
      </c>
      <c r="Q182" s="778">
        <v>59567.74</v>
      </c>
      <c r="R182" s="778">
        <v>59590.47</v>
      </c>
      <c r="S182" s="618">
        <f t="shared" si="49"/>
        <v>59590.47</v>
      </c>
      <c r="T182" s="773"/>
      <c r="U182" s="383"/>
      <c r="V182" s="383"/>
      <c r="W182" s="383"/>
      <c r="X182" s="425">
        <f t="shared" si="54"/>
        <v>59590.47</v>
      </c>
      <c r="Y182" s="383"/>
      <c r="Z182" s="383"/>
      <c r="AA182" s="383"/>
      <c r="AB182" s="383">
        <f t="shared" si="55"/>
        <v>59590.47</v>
      </c>
      <c r="AC182" s="773"/>
      <c r="AD182" s="426">
        <f t="shared" si="52"/>
        <v>0</v>
      </c>
      <c r="AE182" s="773"/>
      <c r="AF182" s="781">
        <f t="shared" si="39"/>
        <v>0</v>
      </c>
    </row>
    <row r="183" spans="1:32">
      <c r="A183" s="779">
        <f t="shared" si="43"/>
        <v>169</v>
      </c>
      <c r="B183" s="423" t="s">
        <v>1094</v>
      </c>
      <c r="C183" s="423" t="s">
        <v>478</v>
      </c>
      <c r="D183" s="423" t="s">
        <v>1567</v>
      </c>
      <c r="E183" s="777" t="s">
        <v>1854</v>
      </c>
      <c r="F183" s="778">
        <v>-2860.28</v>
      </c>
      <c r="G183" s="778">
        <v>-2836.44</v>
      </c>
      <c r="H183" s="778">
        <v>-2812.6</v>
      </c>
      <c r="I183" s="778">
        <v>-2788.77</v>
      </c>
      <c r="J183" s="778">
        <v>-2764.93</v>
      </c>
      <c r="K183" s="778">
        <v>-2741.09</v>
      </c>
      <c r="L183" s="778">
        <v>-2717.26</v>
      </c>
      <c r="M183" s="778">
        <v>-2693.42</v>
      </c>
      <c r="N183" s="778">
        <v>-2669.58</v>
      </c>
      <c r="O183" s="778">
        <v>-2645.75</v>
      </c>
      <c r="P183" s="778">
        <v>-2621.91</v>
      </c>
      <c r="Q183" s="778">
        <v>-2598.0700000000002</v>
      </c>
      <c r="R183" s="778">
        <v>-2574.25</v>
      </c>
      <c r="S183" s="618">
        <f t="shared" si="49"/>
        <v>-2574.25</v>
      </c>
      <c r="T183" s="773"/>
      <c r="U183" s="383"/>
      <c r="V183" s="383"/>
      <c r="W183" s="383"/>
      <c r="X183" s="425">
        <f t="shared" si="54"/>
        <v>-2574.25</v>
      </c>
      <c r="Y183" s="383"/>
      <c r="Z183" s="383"/>
      <c r="AA183" s="383"/>
      <c r="AB183" s="383">
        <f t="shared" si="55"/>
        <v>-2574.25</v>
      </c>
      <c r="AC183" s="773"/>
      <c r="AD183" s="426">
        <f t="shared" si="52"/>
        <v>0</v>
      </c>
      <c r="AE183" s="773"/>
      <c r="AF183" s="781">
        <f t="shared" si="39"/>
        <v>0</v>
      </c>
    </row>
    <row r="184" spans="1:32">
      <c r="A184" s="779">
        <f t="shared" si="43"/>
        <v>170</v>
      </c>
      <c r="B184" s="423" t="s">
        <v>1094</v>
      </c>
      <c r="C184" s="423" t="s">
        <v>478</v>
      </c>
      <c r="D184" s="423" t="s">
        <v>1666</v>
      </c>
      <c r="E184" s="777" t="s">
        <v>1855</v>
      </c>
      <c r="F184" s="778">
        <v>178549.95</v>
      </c>
      <c r="G184" s="778">
        <v>178675.45</v>
      </c>
      <c r="H184" s="778">
        <v>178835.7</v>
      </c>
      <c r="I184" s="778">
        <v>178995.94</v>
      </c>
      <c r="J184" s="778">
        <v>179156.19</v>
      </c>
      <c r="K184" s="778">
        <v>179422.82</v>
      </c>
      <c r="L184" s="778">
        <v>179604.35</v>
      </c>
      <c r="M184" s="778">
        <v>179785.87</v>
      </c>
      <c r="N184" s="778">
        <v>179967.39</v>
      </c>
      <c r="O184" s="778">
        <v>180148.92</v>
      </c>
      <c r="P184" s="778">
        <v>180330.44</v>
      </c>
      <c r="Q184" s="778">
        <v>184453.09</v>
      </c>
      <c r="R184" s="778">
        <v>171224.15</v>
      </c>
      <c r="S184" s="618">
        <f t="shared" si="49"/>
        <v>171224.15</v>
      </c>
      <c r="T184" s="773"/>
      <c r="U184" s="383"/>
      <c r="V184" s="383"/>
      <c r="W184" s="383"/>
      <c r="X184" s="425">
        <f t="shared" si="54"/>
        <v>171224.15</v>
      </c>
      <c r="Y184" s="383"/>
      <c r="Z184" s="383"/>
      <c r="AA184" s="383"/>
      <c r="AB184" s="383">
        <f t="shared" si="55"/>
        <v>171224.15</v>
      </c>
      <c r="AC184" s="773"/>
      <c r="AD184" s="426">
        <f t="shared" si="52"/>
        <v>0</v>
      </c>
      <c r="AE184" s="773"/>
      <c r="AF184" s="781">
        <f t="shared" si="39"/>
        <v>0</v>
      </c>
    </row>
    <row r="185" spans="1:32">
      <c r="A185" s="779">
        <f t="shared" si="43"/>
        <v>171</v>
      </c>
      <c r="B185" s="423" t="s">
        <v>1094</v>
      </c>
      <c r="C185" s="423" t="s">
        <v>478</v>
      </c>
      <c r="D185" s="423" t="s">
        <v>1097</v>
      </c>
      <c r="E185" s="777" t="s">
        <v>1856</v>
      </c>
      <c r="F185" s="778">
        <v>1026444.73</v>
      </c>
      <c r="G185" s="778">
        <v>1026652.92</v>
      </c>
      <c r="H185" s="778">
        <v>1024851.3</v>
      </c>
      <c r="I185" s="778">
        <v>1024831.27</v>
      </c>
      <c r="J185" s="778">
        <v>1021479.92</v>
      </c>
      <c r="K185" s="778">
        <v>1019845.01</v>
      </c>
      <c r="L185" s="778">
        <v>1026293.44</v>
      </c>
      <c r="M185" s="778">
        <v>1024548.48</v>
      </c>
      <c r="N185" s="778">
        <v>1016837.09</v>
      </c>
      <c r="O185" s="778">
        <v>1015295.24</v>
      </c>
      <c r="P185" s="778">
        <v>1013659.91</v>
      </c>
      <c r="Q185" s="778">
        <v>1011280.06</v>
      </c>
      <c r="R185" s="778">
        <v>1007436.65</v>
      </c>
      <c r="S185" s="618">
        <f t="shared" si="49"/>
        <v>1007436.65</v>
      </c>
      <c r="T185" s="773"/>
      <c r="U185" s="383">
        <f t="shared" si="53"/>
        <v>1007436.65</v>
      </c>
      <c r="V185" s="383"/>
      <c r="W185" s="383"/>
      <c r="X185" s="425"/>
      <c r="Y185" s="383"/>
      <c r="Z185" s="383"/>
      <c r="AA185" s="383"/>
      <c r="AB185" s="383"/>
      <c r="AC185" s="773"/>
      <c r="AD185" s="426">
        <f t="shared" si="52"/>
        <v>1007436.65</v>
      </c>
      <c r="AE185" s="773"/>
      <c r="AF185" s="781">
        <f t="shared" si="39"/>
        <v>0</v>
      </c>
    </row>
    <row r="186" spans="1:32">
      <c r="A186" s="779">
        <f t="shared" si="43"/>
        <v>172</v>
      </c>
      <c r="B186" s="423" t="s">
        <v>1094</v>
      </c>
      <c r="C186" s="423" t="s">
        <v>478</v>
      </c>
      <c r="D186" s="423" t="s">
        <v>200</v>
      </c>
      <c r="E186" s="777" t="s">
        <v>1857</v>
      </c>
      <c r="F186" s="778">
        <v>54009.9</v>
      </c>
      <c r="G186" s="778">
        <v>62857.06</v>
      </c>
      <c r="H186" s="778">
        <v>62519.01</v>
      </c>
      <c r="I186" s="778">
        <v>69897.05</v>
      </c>
      <c r="J186" s="778">
        <v>75144.73</v>
      </c>
      <c r="K186" s="778">
        <v>95934.89</v>
      </c>
      <c r="L186" s="778">
        <v>125597.82</v>
      </c>
      <c r="M186" s="778">
        <v>134285.41</v>
      </c>
      <c r="N186" s="778">
        <v>132272.57999999999</v>
      </c>
      <c r="O186" s="778">
        <v>137254.6</v>
      </c>
      <c r="P186" s="778">
        <v>141897.17000000001</v>
      </c>
      <c r="Q186" s="778">
        <v>146194.31</v>
      </c>
      <c r="R186" s="778">
        <v>145396.82</v>
      </c>
      <c r="S186" s="618">
        <f t="shared" si="49"/>
        <v>145396.82</v>
      </c>
      <c r="T186" s="773"/>
      <c r="U186" s="383">
        <f t="shared" si="53"/>
        <v>145396.82</v>
      </c>
      <c r="V186" s="383"/>
      <c r="W186" s="383"/>
      <c r="X186" s="425"/>
      <c r="Y186" s="383"/>
      <c r="Z186" s="383"/>
      <c r="AA186" s="383"/>
      <c r="AB186" s="383"/>
      <c r="AC186" s="773"/>
      <c r="AD186" s="426">
        <f t="shared" si="52"/>
        <v>145396.82</v>
      </c>
      <c r="AE186" s="773"/>
      <c r="AF186" s="781">
        <f t="shared" si="39"/>
        <v>0</v>
      </c>
    </row>
    <row r="187" spans="1:32">
      <c r="A187" s="779">
        <f t="shared" si="43"/>
        <v>173</v>
      </c>
      <c r="B187" s="423" t="s">
        <v>1094</v>
      </c>
      <c r="C187" s="423" t="s">
        <v>478</v>
      </c>
      <c r="D187" s="423" t="s">
        <v>1565</v>
      </c>
      <c r="E187" s="777" t="s">
        <v>1858</v>
      </c>
      <c r="F187" s="778">
        <v>81801.2</v>
      </c>
      <c r="G187" s="778">
        <v>81119.520000000004</v>
      </c>
      <c r="H187" s="778">
        <v>80437.84</v>
      </c>
      <c r="I187" s="778">
        <v>79756.17</v>
      </c>
      <c r="J187" s="778">
        <v>79074.490000000005</v>
      </c>
      <c r="K187" s="778">
        <v>78392.81</v>
      </c>
      <c r="L187" s="778">
        <v>77711.14</v>
      </c>
      <c r="M187" s="778">
        <v>77029.460000000006</v>
      </c>
      <c r="N187" s="778">
        <v>76347.78</v>
      </c>
      <c r="O187" s="778">
        <v>75666.11</v>
      </c>
      <c r="P187" s="778">
        <v>74984.430000000095</v>
      </c>
      <c r="Q187" s="778">
        <v>74302.750000000102</v>
      </c>
      <c r="R187" s="778">
        <v>65440.960000000101</v>
      </c>
      <c r="S187" s="618">
        <f t="shared" si="49"/>
        <v>65440.960000000101</v>
      </c>
      <c r="T187" s="773"/>
      <c r="U187" s="383"/>
      <c r="V187" s="383"/>
      <c r="W187" s="383"/>
      <c r="X187" s="425">
        <f t="shared" ref="X187:X188" si="56">+S187</f>
        <v>65440.960000000101</v>
      </c>
      <c r="Y187" s="383"/>
      <c r="Z187" s="383"/>
      <c r="AA187" s="383"/>
      <c r="AB187" s="383">
        <f t="shared" ref="AB187:AB188" si="57">+S187</f>
        <v>65440.960000000101</v>
      </c>
      <c r="AC187" s="773"/>
      <c r="AD187" s="426">
        <f t="shared" si="52"/>
        <v>0</v>
      </c>
      <c r="AE187" s="773"/>
      <c r="AF187" s="781">
        <f t="shared" si="39"/>
        <v>0</v>
      </c>
    </row>
    <row r="188" spans="1:32">
      <c r="A188" s="779">
        <f t="shared" si="43"/>
        <v>174</v>
      </c>
      <c r="B188" s="423" t="s">
        <v>1066</v>
      </c>
      <c r="C188" s="423" t="s">
        <v>478</v>
      </c>
      <c r="D188" s="423" t="s">
        <v>1565</v>
      </c>
      <c r="E188" s="777" t="s">
        <v>1858</v>
      </c>
      <c r="F188" s="778">
        <v>276347.64</v>
      </c>
      <c r="G188" s="778">
        <v>274044.74</v>
      </c>
      <c r="H188" s="778">
        <v>271741.84000000003</v>
      </c>
      <c r="I188" s="778">
        <v>269438.95</v>
      </c>
      <c r="J188" s="778">
        <v>267136.05</v>
      </c>
      <c r="K188" s="778">
        <v>264833.15000000002</v>
      </c>
      <c r="L188" s="778">
        <v>262530.26</v>
      </c>
      <c r="M188" s="778">
        <v>260227.36</v>
      </c>
      <c r="N188" s="778">
        <v>257924.46</v>
      </c>
      <c r="O188" s="778">
        <v>255621.57</v>
      </c>
      <c r="P188" s="778">
        <v>253318.67</v>
      </c>
      <c r="Q188" s="778">
        <v>251015.77</v>
      </c>
      <c r="R188" s="778">
        <v>248712.88</v>
      </c>
      <c r="S188" s="618">
        <f t="shared" si="49"/>
        <v>248712.88</v>
      </c>
      <c r="T188" s="773"/>
      <c r="U188" s="383"/>
      <c r="V188" s="383"/>
      <c r="W188" s="383"/>
      <c r="X188" s="425">
        <f t="shared" si="56"/>
        <v>248712.88</v>
      </c>
      <c r="Y188" s="383"/>
      <c r="Z188" s="383"/>
      <c r="AA188" s="383"/>
      <c r="AB188" s="383">
        <f t="shared" si="57"/>
        <v>248712.88</v>
      </c>
      <c r="AC188" s="773"/>
      <c r="AD188" s="426">
        <f>+U188</f>
        <v>0</v>
      </c>
      <c r="AE188" s="773"/>
      <c r="AF188" s="781">
        <f t="shared" si="39"/>
        <v>0</v>
      </c>
    </row>
    <row r="189" spans="1:32">
      <c r="A189" s="779">
        <f t="shared" si="43"/>
        <v>175</v>
      </c>
      <c r="B189" s="423"/>
      <c r="C189" s="423"/>
      <c r="D189" s="423"/>
      <c r="E189" s="777"/>
      <c r="F189" s="778"/>
      <c r="G189" s="778"/>
      <c r="H189" s="778"/>
      <c r="I189" s="778"/>
      <c r="J189" s="778"/>
      <c r="K189" s="778"/>
      <c r="L189" s="778"/>
      <c r="M189" s="778"/>
      <c r="N189" s="778"/>
      <c r="O189" s="778"/>
      <c r="P189" s="778"/>
      <c r="Q189" s="778"/>
      <c r="R189" s="778"/>
      <c r="S189" s="618">
        <f t="shared" si="49"/>
        <v>0</v>
      </c>
      <c r="T189" s="773"/>
      <c r="U189" s="383">
        <f t="shared" si="53"/>
        <v>0</v>
      </c>
      <c r="V189" s="383"/>
      <c r="W189" s="383"/>
      <c r="X189" s="393"/>
      <c r="Y189" s="383"/>
      <c r="Z189" s="383"/>
      <c r="AA189" s="383"/>
      <c r="AB189" s="383"/>
      <c r="AC189" s="773"/>
      <c r="AD189" s="417"/>
      <c r="AE189" s="773"/>
      <c r="AF189" s="781">
        <f t="shared" si="39"/>
        <v>0</v>
      </c>
    </row>
    <row r="190" spans="1:32">
      <c r="A190" s="779">
        <f t="shared" si="43"/>
        <v>176</v>
      </c>
      <c r="B190" s="779" t="s">
        <v>1094</v>
      </c>
      <c r="C190" s="779" t="s">
        <v>479</v>
      </c>
      <c r="D190" s="779" t="s">
        <v>459</v>
      </c>
      <c r="E190" s="763" t="s">
        <v>480</v>
      </c>
      <c r="F190" s="778">
        <v>0</v>
      </c>
      <c r="G190" s="420">
        <v>0</v>
      </c>
      <c r="H190" s="408">
        <v>0</v>
      </c>
      <c r="I190" s="408">
        <v>0</v>
      </c>
      <c r="J190" s="409">
        <v>0</v>
      </c>
      <c r="K190" s="410">
        <v>0</v>
      </c>
      <c r="L190" s="411">
        <v>0</v>
      </c>
      <c r="M190" s="412">
        <v>0</v>
      </c>
      <c r="N190" s="413">
        <v>0</v>
      </c>
      <c r="O190" s="764">
        <v>0</v>
      </c>
      <c r="P190" s="415">
        <v>0</v>
      </c>
      <c r="Q190" s="421">
        <v>0</v>
      </c>
      <c r="R190" s="778">
        <v>593186.79</v>
      </c>
      <c r="S190" s="618">
        <f t="shared" si="49"/>
        <v>593186.79</v>
      </c>
      <c r="T190" s="773"/>
      <c r="U190" s="383"/>
      <c r="V190" s="383"/>
      <c r="W190" s="383"/>
      <c r="X190" s="393">
        <f>+S190</f>
        <v>593186.79</v>
      </c>
      <c r="Y190" s="383"/>
      <c r="Z190" s="383"/>
      <c r="AA190" s="383"/>
      <c r="AB190" s="424">
        <f>+S190</f>
        <v>593186.79</v>
      </c>
      <c r="AC190" s="779"/>
      <c r="AD190" s="773"/>
      <c r="AE190" s="773"/>
      <c r="AF190" s="781">
        <f t="shared" si="39"/>
        <v>0</v>
      </c>
    </row>
    <row r="191" spans="1:32">
      <c r="A191" s="779">
        <f t="shared" si="43"/>
        <v>177</v>
      </c>
      <c r="B191" s="779" t="s">
        <v>1066</v>
      </c>
      <c r="C191" s="423" t="s">
        <v>479</v>
      </c>
      <c r="D191" s="423" t="s">
        <v>472</v>
      </c>
      <c r="E191" s="777" t="s">
        <v>480</v>
      </c>
      <c r="F191" s="778">
        <v>11596330.1</v>
      </c>
      <c r="G191" s="778">
        <v>7748798.7199999997</v>
      </c>
      <c r="H191" s="778">
        <v>4221637.78</v>
      </c>
      <c r="I191" s="778">
        <v>1021757.96</v>
      </c>
      <c r="J191" s="778">
        <v>-4.65661287307739E-10</v>
      </c>
      <c r="K191" s="778">
        <v>122870.05</v>
      </c>
      <c r="L191" s="778">
        <v>1144930</v>
      </c>
      <c r="M191" s="778">
        <v>2804968.14</v>
      </c>
      <c r="N191" s="778">
        <v>5871938.7599999998</v>
      </c>
      <c r="O191" s="778">
        <v>6859993.6600000001</v>
      </c>
      <c r="P191" s="778">
        <v>7376195.8399999999</v>
      </c>
      <c r="Q191" s="778">
        <v>17507602.550000001</v>
      </c>
      <c r="R191" s="778">
        <v>40887966.869999997</v>
      </c>
      <c r="S191" s="618">
        <f t="shared" si="49"/>
        <v>40887966.869999997</v>
      </c>
      <c r="T191" s="773"/>
      <c r="U191" s="383"/>
      <c r="V191" s="383"/>
      <c r="W191" s="383"/>
      <c r="X191" s="393">
        <f>+S191</f>
        <v>40887966.869999997</v>
      </c>
      <c r="Y191" s="383"/>
      <c r="Z191" s="383"/>
      <c r="AA191" s="383"/>
      <c r="AB191" s="424">
        <f>+S191</f>
        <v>40887966.869999997</v>
      </c>
      <c r="AC191" s="779"/>
      <c r="AD191" s="773"/>
      <c r="AE191" s="773"/>
      <c r="AF191" s="781">
        <f t="shared" si="39"/>
        <v>0</v>
      </c>
    </row>
    <row r="192" spans="1:32">
      <c r="A192" s="779">
        <f t="shared" si="43"/>
        <v>178</v>
      </c>
      <c r="B192" s="779"/>
      <c r="C192" s="779"/>
      <c r="D192" s="779"/>
      <c r="E192" s="763"/>
      <c r="F192" s="778"/>
      <c r="G192" s="420"/>
      <c r="H192" s="408"/>
      <c r="I192" s="408"/>
      <c r="J192" s="409"/>
      <c r="K192" s="410"/>
      <c r="L192" s="411"/>
      <c r="M192" s="412"/>
      <c r="N192" s="413"/>
      <c r="O192" s="764"/>
      <c r="P192" s="415"/>
      <c r="Q192" s="421"/>
      <c r="R192" s="778"/>
      <c r="S192" s="618">
        <f t="shared" si="49"/>
        <v>0</v>
      </c>
      <c r="T192" s="773"/>
      <c r="U192" s="383"/>
      <c r="V192" s="383"/>
      <c r="W192" s="383"/>
      <c r="X192" s="393"/>
      <c r="Y192" s="383"/>
      <c r="Z192" s="383"/>
      <c r="AA192" s="383"/>
      <c r="AB192" s="424"/>
      <c r="AC192" s="779"/>
      <c r="AD192" s="773"/>
      <c r="AE192" s="773"/>
      <c r="AF192" s="781">
        <f t="shared" si="39"/>
        <v>0</v>
      </c>
    </row>
    <row r="193" spans="1:32">
      <c r="A193" s="779">
        <f t="shared" si="43"/>
        <v>179</v>
      </c>
      <c r="B193" s="423" t="s">
        <v>1063</v>
      </c>
      <c r="C193" s="657" t="s">
        <v>481</v>
      </c>
      <c r="D193" s="423" t="s">
        <v>482</v>
      </c>
      <c r="E193" s="777" t="s">
        <v>483</v>
      </c>
      <c r="F193" s="778">
        <v>65177.089999999902</v>
      </c>
      <c r="G193" s="778">
        <v>64617.63</v>
      </c>
      <c r="H193" s="778">
        <v>64058.17</v>
      </c>
      <c r="I193" s="778">
        <v>63498.71</v>
      </c>
      <c r="J193" s="778">
        <v>62939.25</v>
      </c>
      <c r="K193" s="778">
        <v>62379.79</v>
      </c>
      <c r="L193" s="778">
        <v>61820.33</v>
      </c>
      <c r="M193" s="778">
        <v>61260.87</v>
      </c>
      <c r="N193" s="778">
        <v>60701.41</v>
      </c>
      <c r="O193" s="778">
        <v>60141.95</v>
      </c>
      <c r="P193" s="778">
        <v>59582.49</v>
      </c>
      <c r="Q193" s="778">
        <v>59023.03</v>
      </c>
      <c r="R193" s="778">
        <v>58463.57</v>
      </c>
      <c r="S193" s="618">
        <f t="shared" si="49"/>
        <v>58463.57</v>
      </c>
      <c r="T193" s="773"/>
      <c r="U193" s="383"/>
      <c r="V193" s="383"/>
      <c r="W193" s="383">
        <f>+S193</f>
        <v>58463.57</v>
      </c>
      <c r="X193" s="393"/>
      <c r="Y193" s="383"/>
      <c r="Z193" s="383"/>
      <c r="AA193" s="383"/>
      <c r="AB193" s="424"/>
      <c r="AC193" s="426">
        <f t="shared" ref="AC193:AC205" si="58">+S193</f>
        <v>58463.57</v>
      </c>
      <c r="AD193" s="773"/>
      <c r="AE193" s="773"/>
      <c r="AF193" s="781">
        <f t="shared" si="39"/>
        <v>0</v>
      </c>
    </row>
    <row r="194" spans="1:32">
      <c r="A194" s="779">
        <f t="shared" si="43"/>
        <v>180</v>
      </c>
      <c r="B194" s="423" t="s">
        <v>1063</v>
      </c>
      <c r="C194" s="657" t="s">
        <v>481</v>
      </c>
      <c r="D194" s="423" t="s">
        <v>484</v>
      </c>
      <c r="E194" s="777" t="s">
        <v>485</v>
      </c>
      <c r="F194" s="778">
        <v>56225.02</v>
      </c>
      <c r="G194" s="778">
        <v>55805.42</v>
      </c>
      <c r="H194" s="778">
        <v>55385.82</v>
      </c>
      <c r="I194" s="778">
        <v>54966.22</v>
      </c>
      <c r="J194" s="778">
        <v>54546.62</v>
      </c>
      <c r="K194" s="778">
        <v>54127.02</v>
      </c>
      <c r="L194" s="778">
        <v>53707.42</v>
      </c>
      <c r="M194" s="778">
        <v>53287.82</v>
      </c>
      <c r="N194" s="778">
        <v>52868.22</v>
      </c>
      <c r="O194" s="778">
        <v>52448.62</v>
      </c>
      <c r="P194" s="778">
        <v>52029.02</v>
      </c>
      <c r="Q194" s="778">
        <v>51609.42</v>
      </c>
      <c r="R194" s="778">
        <v>51189.82</v>
      </c>
      <c r="S194" s="618">
        <f t="shared" si="49"/>
        <v>51189.82</v>
      </c>
      <c r="T194" s="773"/>
      <c r="U194" s="383"/>
      <c r="V194" s="383"/>
      <c r="W194" s="383">
        <f t="shared" ref="W194:W205" si="59">+S194</f>
        <v>51189.82</v>
      </c>
      <c r="X194" s="393"/>
      <c r="Y194" s="383"/>
      <c r="Z194" s="383"/>
      <c r="AA194" s="383"/>
      <c r="AB194" s="424"/>
      <c r="AC194" s="426">
        <f t="shared" si="58"/>
        <v>51189.82</v>
      </c>
      <c r="AD194" s="773"/>
      <c r="AE194" s="773"/>
      <c r="AF194" s="781">
        <f t="shared" si="39"/>
        <v>0</v>
      </c>
    </row>
    <row r="195" spans="1:32">
      <c r="A195" s="779">
        <f t="shared" si="43"/>
        <v>181</v>
      </c>
      <c r="B195" s="423" t="s">
        <v>1063</v>
      </c>
      <c r="C195" s="657" t="s">
        <v>481</v>
      </c>
      <c r="D195" s="423" t="s">
        <v>486</v>
      </c>
      <c r="E195" s="777" t="s">
        <v>487</v>
      </c>
      <c r="F195" s="778">
        <v>908285.03999999899</v>
      </c>
      <c r="G195" s="778">
        <v>903854.38</v>
      </c>
      <c r="H195" s="778">
        <v>898503.35</v>
      </c>
      <c r="I195" s="778">
        <v>894077.23</v>
      </c>
      <c r="J195" s="778">
        <v>889651.11</v>
      </c>
      <c r="K195" s="778">
        <v>885043.63</v>
      </c>
      <c r="L195" s="778">
        <v>880618.41</v>
      </c>
      <c r="M195" s="778">
        <v>876193.19</v>
      </c>
      <c r="N195" s="778">
        <v>871767.97</v>
      </c>
      <c r="O195" s="778">
        <v>867342.75</v>
      </c>
      <c r="P195" s="778">
        <v>862917.53</v>
      </c>
      <c r="Q195" s="778">
        <v>857085.01</v>
      </c>
      <c r="R195" s="778">
        <v>852667.05</v>
      </c>
      <c r="S195" s="618">
        <f t="shared" si="49"/>
        <v>852667.05</v>
      </c>
      <c r="T195" s="773"/>
      <c r="U195" s="383"/>
      <c r="V195" s="383"/>
      <c r="W195" s="383">
        <f t="shared" si="59"/>
        <v>852667.05</v>
      </c>
      <c r="X195" s="393"/>
      <c r="Y195" s="383"/>
      <c r="Z195" s="383"/>
      <c r="AA195" s="383"/>
      <c r="AB195" s="424"/>
      <c r="AC195" s="426">
        <f t="shared" si="58"/>
        <v>852667.05</v>
      </c>
      <c r="AD195" s="773"/>
      <c r="AE195" s="773"/>
      <c r="AF195" s="781">
        <f t="shared" si="39"/>
        <v>0</v>
      </c>
    </row>
    <row r="196" spans="1:32">
      <c r="A196" s="779">
        <f t="shared" si="43"/>
        <v>182</v>
      </c>
      <c r="B196" s="423" t="s">
        <v>1063</v>
      </c>
      <c r="C196" s="657" t="s">
        <v>481</v>
      </c>
      <c r="D196" s="423" t="s">
        <v>488</v>
      </c>
      <c r="E196" s="777" t="s">
        <v>489</v>
      </c>
      <c r="F196" s="778">
        <v>41473.199999999997</v>
      </c>
      <c r="G196" s="778">
        <v>40125.14</v>
      </c>
      <c r="H196" s="778">
        <v>38777.08</v>
      </c>
      <c r="I196" s="778">
        <v>37429.019999999997</v>
      </c>
      <c r="J196" s="778">
        <v>36080.959999999999</v>
      </c>
      <c r="K196" s="778">
        <v>34732.9</v>
      </c>
      <c r="L196" s="778">
        <v>33384.839999999997</v>
      </c>
      <c r="M196" s="778">
        <v>32036.78</v>
      </c>
      <c r="N196" s="778">
        <v>30688.720000000001</v>
      </c>
      <c r="O196" s="778">
        <v>29340.66</v>
      </c>
      <c r="P196" s="778">
        <v>27992.6</v>
      </c>
      <c r="Q196" s="778">
        <v>26644.54</v>
      </c>
      <c r="R196" s="778">
        <v>25296.48</v>
      </c>
      <c r="S196" s="618">
        <f t="shared" si="49"/>
        <v>25296.48</v>
      </c>
      <c r="T196" s="773"/>
      <c r="U196" s="383"/>
      <c r="V196" s="383"/>
      <c r="W196" s="383">
        <f t="shared" si="59"/>
        <v>25296.48</v>
      </c>
      <c r="X196" s="393"/>
      <c r="Y196" s="383"/>
      <c r="Z196" s="383"/>
      <c r="AA196" s="383"/>
      <c r="AB196" s="424"/>
      <c r="AC196" s="426">
        <f t="shared" si="58"/>
        <v>25296.48</v>
      </c>
      <c r="AD196" s="773"/>
      <c r="AE196" s="773"/>
      <c r="AF196" s="781">
        <f t="shared" si="39"/>
        <v>0</v>
      </c>
    </row>
    <row r="197" spans="1:32">
      <c r="A197" s="779">
        <f t="shared" si="43"/>
        <v>183</v>
      </c>
      <c r="B197" s="423" t="s">
        <v>1063</v>
      </c>
      <c r="C197" s="657" t="s">
        <v>481</v>
      </c>
      <c r="D197" s="423" t="s">
        <v>490</v>
      </c>
      <c r="E197" s="777" t="s">
        <v>491</v>
      </c>
      <c r="F197" s="778">
        <v>148975.07999999999</v>
      </c>
      <c r="G197" s="778">
        <v>148327.57999999999</v>
      </c>
      <c r="H197" s="778">
        <v>147680.07999999999</v>
      </c>
      <c r="I197" s="778">
        <v>147032.57999999999</v>
      </c>
      <c r="J197" s="778">
        <v>146385.07999999999</v>
      </c>
      <c r="K197" s="778">
        <v>145737.57999999999</v>
      </c>
      <c r="L197" s="778">
        <v>145090.07999999999</v>
      </c>
      <c r="M197" s="778">
        <v>144442.57999999999</v>
      </c>
      <c r="N197" s="778">
        <v>143795.07999999999</v>
      </c>
      <c r="O197" s="778">
        <v>143147.57999999999</v>
      </c>
      <c r="P197" s="778">
        <v>142500.07999999999</v>
      </c>
      <c r="Q197" s="778">
        <v>141852.57999999999</v>
      </c>
      <c r="R197" s="778">
        <v>141205.07999999999</v>
      </c>
      <c r="S197" s="618">
        <f t="shared" si="49"/>
        <v>141205.07999999999</v>
      </c>
      <c r="T197" s="773"/>
      <c r="U197" s="383"/>
      <c r="V197" s="383"/>
      <c r="W197" s="383">
        <f t="shared" si="59"/>
        <v>141205.07999999999</v>
      </c>
      <c r="X197" s="393"/>
      <c r="Y197" s="383"/>
      <c r="Z197" s="383"/>
      <c r="AA197" s="383"/>
      <c r="AB197" s="424"/>
      <c r="AC197" s="426">
        <f t="shared" si="58"/>
        <v>141205.07999999999</v>
      </c>
      <c r="AD197" s="773"/>
      <c r="AE197" s="773"/>
      <c r="AF197" s="781">
        <f t="shared" si="39"/>
        <v>0</v>
      </c>
    </row>
    <row r="198" spans="1:32">
      <c r="A198" s="779">
        <f t="shared" si="43"/>
        <v>184</v>
      </c>
      <c r="B198" s="423" t="s">
        <v>1063</v>
      </c>
      <c r="C198" s="657" t="s">
        <v>481</v>
      </c>
      <c r="D198" s="423" t="s">
        <v>492</v>
      </c>
      <c r="E198" s="658" t="s">
        <v>493</v>
      </c>
      <c r="F198" s="778">
        <v>95428.63</v>
      </c>
      <c r="G198" s="778">
        <v>94379.96</v>
      </c>
      <c r="H198" s="778">
        <v>93331.29</v>
      </c>
      <c r="I198" s="778">
        <v>92282.62</v>
      </c>
      <c r="J198" s="778">
        <v>91233.95</v>
      </c>
      <c r="K198" s="778">
        <v>90185.279999999999</v>
      </c>
      <c r="L198" s="778">
        <v>89136.61</v>
      </c>
      <c r="M198" s="778">
        <v>88087.94</v>
      </c>
      <c r="N198" s="778">
        <v>87039.27</v>
      </c>
      <c r="O198" s="778">
        <v>85990.6</v>
      </c>
      <c r="P198" s="778">
        <v>84941.93</v>
      </c>
      <c r="Q198" s="778">
        <v>83893.26</v>
      </c>
      <c r="R198" s="778">
        <v>82844.59</v>
      </c>
      <c r="S198" s="618">
        <f t="shared" si="49"/>
        <v>82844.59</v>
      </c>
      <c r="T198" s="773"/>
      <c r="U198" s="383"/>
      <c r="V198" s="383"/>
      <c r="W198" s="383">
        <f t="shared" si="59"/>
        <v>82844.59</v>
      </c>
      <c r="X198" s="393"/>
      <c r="Y198" s="383"/>
      <c r="Z198" s="383"/>
      <c r="AA198" s="383"/>
      <c r="AB198" s="424"/>
      <c r="AC198" s="426">
        <f t="shared" si="58"/>
        <v>82844.59</v>
      </c>
      <c r="AD198" s="773"/>
      <c r="AE198" s="773"/>
      <c r="AF198" s="781">
        <f t="shared" si="39"/>
        <v>0</v>
      </c>
    </row>
    <row r="199" spans="1:32">
      <c r="A199" s="779">
        <f t="shared" si="43"/>
        <v>185</v>
      </c>
      <c r="B199" s="423" t="s">
        <v>1063</v>
      </c>
      <c r="C199" s="657" t="s">
        <v>481</v>
      </c>
      <c r="D199" s="423" t="s">
        <v>494</v>
      </c>
      <c r="E199" s="658" t="s">
        <v>495</v>
      </c>
      <c r="F199" s="778">
        <v>106544.65</v>
      </c>
      <c r="G199" s="778">
        <v>105705.72</v>
      </c>
      <c r="H199" s="778">
        <v>104866.79</v>
      </c>
      <c r="I199" s="778">
        <v>104027.86</v>
      </c>
      <c r="J199" s="778">
        <v>103188.93</v>
      </c>
      <c r="K199" s="778">
        <v>102350</v>
      </c>
      <c r="L199" s="778">
        <v>101511.07</v>
      </c>
      <c r="M199" s="778">
        <v>100672.14</v>
      </c>
      <c r="N199" s="778">
        <v>99833.210000000094</v>
      </c>
      <c r="O199" s="778">
        <v>98994.280000000101</v>
      </c>
      <c r="P199" s="778">
        <v>98155.350000000093</v>
      </c>
      <c r="Q199" s="778">
        <v>97316.4200000001</v>
      </c>
      <c r="R199" s="778">
        <v>96477.490000000107</v>
      </c>
      <c r="S199" s="618">
        <f t="shared" si="49"/>
        <v>96477.490000000107</v>
      </c>
      <c r="T199" s="773"/>
      <c r="U199" s="383"/>
      <c r="V199" s="383"/>
      <c r="W199" s="383">
        <f t="shared" si="59"/>
        <v>96477.490000000107</v>
      </c>
      <c r="X199" s="393"/>
      <c r="Y199" s="383"/>
      <c r="Z199" s="383"/>
      <c r="AA199" s="383"/>
      <c r="AB199" s="424"/>
      <c r="AC199" s="426">
        <f t="shared" si="58"/>
        <v>96477.490000000107</v>
      </c>
      <c r="AD199" s="773"/>
      <c r="AE199" s="773"/>
      <c r="AF199" s="781">
        <f t="shared" si="39"/>
        <v>0</v>
      </c>
    </row>
    <row r="200" spans="1:32">
      <c r="A200" s="779">
        <f t="shared" si="43"/>
        <v>186</v>
      </c>
      <c r="B200" s="423" t="s">
        <v>1063</v>
      </c>
      <c r="C200" s="657" t="s">
        <v>481</v>
      </c>
      <c r="D200" s="423" t="s">
        <v>466</v>
      </c>
      <c r="E200" s="658" t="s">
        <v>496</v>
      </c>
      <c r="F200" s="778">
        <v>177725.47</v>
      </c>
      <c r="G200" s="778">
        <v>171143.04000000001</v>
      </c>
      <c r="H200" s="778">
        <v>164560.60999999999</v>
      </c>
      <c r="I200" s="778">
        <v>157978.18</v>
      </c>
      <c r="J200" s="778">
        <v>151395.75</v>
      </c>
      <c r="K200" s="778">
        <v>144813.32</v>
      </c>
      <c r="L200" s="778">
        <v>138230.89000000001</v>
      </c>
      <c r="M200" s="778">
        <v>131648.46</v>
      </c>
      <c r="N200" s="778">
        <v>125066.03</v>
      </c>
      <c r="O200" s="778">
        <v>118483.6</v>
      </c>
      <c r="P200" s="778">
        <v>111901.17</v>
      </c>
      <c r="Q200" s="778">
        <v>105318.74</v>
      </c>
      <c r="R200" s="778">
        <v>98736.3100000001</v>
      </c>
      <c r="S200" s="618">
        <f t="shared" si="49"/>
        <v>98736.3100000001</v>
      </c>
      <c r="T200" s="773"/>
      <c r="U200" s="383"/>
      <c r="V200" s="383"/>
      <c r="W200" s="383">
        <f t="shared" si="59"/>
        <v>98736.3100000001</v>
      </c>
      <c r="X200" s="393"/>
      <c r="Y200" s="383"/>
      <c r="Z200" s="383"/>
      <c r="AA200" s="383"/>
      <c r="AB200" s="424"/>
      <c r="AC200" s="426">
        <f t="shared" si="58"/>
        <v>98736.3100000001</v>
      </c>
      <c r="AD200" s="773"/>
      <c r="AE200" s="773"/>
      <c r="AF200" s="781">
        <f t="shared" si="39"/>
        <v>0</v>
      </c>
    </row>
    <row r="201" spans="1:32">
      <c r="A201" s="779">
        <f t="shared" si="43"/>
        <v>187</v>
      </c>
      <c r="B201" s="423" t="s">
        <v>1063</v>
      </c>
      <c r="C201" s="657" t="s">
        <v>481</v>
      </c>
      <c r="D201" s="423" t="s">
        <v>497</v>
      </c>
      <c r="E201" s="658" t="s">
        <v>498</v>
      </c>
      <c r="F201" s="778">
        <v>55862.720000000001</v>
      </c>
      <c r="G201" s="778">
        <v>55689.23</v>
      </c>
      <c r="H201" s="778">
        <v>55515.74</v>
      </c>
      <c r="I201" s="778">
        <v>55342.25</v>
      </c>
      <c r="J201" s="778">
        <v>55168.76</v>
      </c>
      <c r="K201" s="778">
        <v>54995.27</v>
      </c>
      <c r="L201" s="778">
        <v>54821.78</v>
      </c>
      <c r="M201" s="778">
        <v>54648.29</v>
      </c>
      <c r="N201" s="778">
        <v>54474.8</v>
      </c>
      <c r="O201" s="778">
        <v>54301.31</v>
      </c>
      <c r="P201" s="778">
        <v>54127.82</v>
      </c>
      <c r="Q201" s="778">
        <v>53954.33</v>
      </c>
      <c r="R201" s="778">
        <v>53780.84</v>
      </c>
      <c r="S201" s="618">
        <f t="shared" si="49"/>
        <v>53780.84</v>
      </c>
      <c r="T201" s="773"/>
      <c r="U201" s="383"/>
      <c r="V201" s="383"/>
      <c r="W201" s="383">
        <f t="shared" si="59"/>
        <v>53780.84</v>
      </c>
      <c r="X201" s="393"/>
      <c r="Y201" s="383"/>
      <c r="Z201" s="383"/>
      <c r="AA201" s="383"/>
      <c r="AB201" s="424"/>
      <c r="AC201" s="426">
        <f t="shared" si="58"/>
        <v>53780.84</v>
      </c>
      <c r="AD201" s="773"/>
      <c r="AE201" s="773"/>
      <c r="AF201" s="781">
        <f t="shared" si="39"/>
        <v>0</v>
      </c>
    </row>
    <row r="202" spans="1:32">
      <c r="A202" s="779">
        <f t="shared" si="43"/>
        <v>188</v>
      </c>
      <c r="B202" s="423" t="s">
        <v>1063</v>
      </c>
      <c r="C202" s="657" t="s">
        <v>481</v>
      </c>
      <c r="D202" s="423" t="s">
        <v>499</v>
      </c>
      <c r="E202" s="658" t="s">
        <v>500</v>
      </c>
      <c r="F202" s="778">
        <v>56267.94</v>
      </c>
      <c r="G202" s="778">
        <v>56140.639999999999</v>
      </c>
      <c r="H202" s="778">
        <v>56013.34</v>
      </c>
      <c r="I202" s="778">
        <v>55886.04</v>
      </c>
      <c r="J202" s="778">
        <v>55758.74</v>
      </c>
      <c r="K202" s="778">
        <v>55631.44</v>
      </c>
      <c r="L202" s="778">
        <v>55504.14</v>
      </c>
      <c r="M202" s="778">
        <v>55376.84</v>
      </c>
      <c r="N202" s="778">
        <v>55249.54</v>
      </c>
      <c r="O202" s="778">
        <v>55122.239999999998</v>
      </c>
      <c r="P202" s="778">
        <v>54994.94</v>
      </c>
      <c r="Q202" s="778">
        <v>54867.64</v>
      </c>
      <c r="R202" s="778">
        <v>54740.34</v>
      </c>
      <c r="S202" s="618">
        <f t="shared" si="49"/>
        <v>54740.34</v>
      </c>
      <c r="T202" s="773"/>
      <c r="U202" s="383"/>
      <c r="V202" s="383"/>
      <c r="W202" s="383">
        <f t="shared" si="59"/>
        <v>54740.34</v>
      </c>
      <c r="X202" s="393"/>
      <c r="Y202" s="383"/>
      <c r="Z202" s="383"/>
      <c r="AA202" s="383"/>
      <c r="AB202" s="424"/>
      <c r="AC202" s="426">
        <f t="shared" si="58"/>
        <v>54740.34</v>
      </c>
      <c r="AD202" s="773"/>
      <c r="AE202" s="773"/>
      <c r="AF202" s="781">
        <f t="shared" si="39"/>
        <v>0</v>
      </c>
    </row>
    <row r="203" spans="1:32">
      <c r="A203" s="779">
        <f t="shared" si="43"/>
        <v>189</v>
      </c>
      <c r="B203" s="423" t="s">
        <v>1063</v>
      </c>
      <c r="C203" s="657" t="s">
        <v>481</v>
      </c>
      <c r="D203" s="423" t="s">
        <v>501</v>
      </c>
      <c r="E203" s="658" t="s">
        <v>500</v>
      </c>
      <c r="F203" s="778">
        <v>56209.7</v>
      </c>
      <c r="G203" s="778">
        <v>56036.21</v>
      </c>
      <c r="H203" s="778">
        <v>55862.720000000001</v>
      </c>
      <c r="I203" s="778">
        <v>55689.23</v>
      </c>
      <c r="J203" s="778">
        <v>55515.74</v>
      </c>
      <c r="K203" s="778">
        <v>55342.25</v>
      </c>
      <c r="L203" s="778">
        <v>55168.76</v>
      </c>
      <c r="M203" s="778">
        <v>54995.27</v>
      </c>
      <c r="N203" s="778">
        <v>54821.78</v>
      </c>
      <c r="O203" s="778">
        <v>54648.29</v>
      </c>
      <c r="P203" s="778">
        <v>54474.8</v>
      </c>
      <c r="Q203" s="778">
        <v>54301.31</v>
      </c>
      <c r="R203" s="778">
        <v>54127.82</v>
      </c>
      <c r="S203" s="618">
        <f t="shared" si="49"/>
        <v>54127.82</v>
      </c>
      <c r="T203" s="773"/>
      <c r="U203" s="383"/>
      <c r="V203" s="383"/>
      <c r="W203" s="383">
        <f t="shared" si="59"/>
        <v>54127.82</v>
      </c>
      <c r="X203" s="393"/>
      <c r="Y203" s="383"/>
      <c r="Z203" s="383"/>
      <c r="AA203" s="383"/>
      <c r="AB203" s="424"/>
      <c r="AC203" s="426">
        <f t="shared" si="58"/>
        <v>54127.82</v>
      </c>
      <c r="AD203" s="773"/>
      <c r="AE203" s="773"/>
      <c r="AF203" s="781">
        <f t="shared" si="39"/>
        <v>0</v>
      </c>
    </row>
    <row r="204" spans="1:32">
      <c r="A204" s="779">
        <f t="shared" si="43"/>
        <v>190</v>
      </c>
      <c r="B204" s="423" t="s">
        <v>1063</v>
      </c>
      <c r="C204" s="657" t="s">
        <v>481</v>
      </c>
      <c r="D204" s="423" t="s">
        <v>502</v>
      </c>
      <c r="E204" s="658" t="s">
        <v>500</v>
      </c>
      <c r="F204" s="778">
        <v>56522.54</v>
      </c>
      <c r="G204" s="778">
        <v>56395.24</v>
      </c>
      <c r="H204" s="778">
        <v>56267.94</v>
      </c>
      <c r="I204" s="778">
        <v>56140.639999999999</v>
      </c>
      <c r="J204" s="778">
        <v>56013.34</v>
      </c>
      <c r="K204" s="778">
        <v>55886.04</v>
      </c>
      <c r="L204" s="778">
        <v>55758.74</v>
      </c>
      <c r="M204" s="778">
        <v>55631.44</v>
      </c>
      <c r="N204" s="778">
        <v>55504.14</v>
      </c>
      <c r="O204" s="778">
        <v>55376.84</v>
      </c>
      <c r="P204" s="778">
        <v>55249.54</v>
      </c>
      <c r="Q204" s="778">
        <v>55122.239999999998</v>
      </c>
      <c r="R204" s="778">
        <v>54994.94</v>
      </c>
      <c r="S204" s="618">
        <f t="shared" si="49"/>
        <v>54994.94</v>
      </c>
      <c r="T204" s="773"/>
      <c r="U204" s="383"/>
      <c r="V204" s="383"/>
      <c r="W204" s="383">
        <f t="shared" si="59"/>
        <v>54994.94</v>
      </c>
      <c r="X204" s="393"/>
      <c r="Y204" s="383"/>
      <c r="Z204" s="383"/>
      <c r="AA204" s="383"/>
      <c r="AB204" s="424"/>
      <c r="AC204" s="426">
        <f t="shared" si="58"/>
        <v>54994.94</v>
      </c>
      <c r="AD204" s="773"/>
      <c r="AE204" s="773"/>
      <c r="AF204" s="781">
        <f t="shared" si="39"/>
        <v>0</v>
      </c>
    </row>
    <row r="205" spans="1:32">
      <c r="A205" s="779">
        <f t="shared" si="43"/>
        <v>191</v>
      </c>
      <c r="B205" s="423" t="s">
        <v>1063</v>
      </c>
      <c r="C205" s="657" t="s">
        <v>481</v>
      </c>
      <c r="D205" s="423" t="s">
        <v>754</v>
      </c>
      <c r="E205" s="658" t="s">
        <v>755</v>
      </c>
      <c r="F205" s="405">
        <v>-1646971.61</v>
      </c>
      <c r="G205" s="405">
        <v>-1637077.15</v>
      </c>
      <c r="H205" s="405">
        <v>-1626262.32</v>
      </c>
      <c r="I205" s="405">
        <v>-1616372.4</v>
      </c>
      <c r="J205" s="405">
        <v>-1606482.48</v>
      </c>
      <c r="K205" s="405">
        <v>-1596411.2</v>
      </c>
      <c r="L205" s="405">
        <v>-1586522.18</v>
      </c>
      <c r="M205" s="405">
        <v>-1576633.16</v>
      </c>
      <c r="N205" s="405">
        <v>-1566744.14</v>
      </c>
      <c r="O205" s="405">
        <v>-1556855.12</v>
      </c>
      <c r="P205" s="405">
        <v>-1546966.1</v>
      </c>
      <c r="Q205" s="405">
        <v>-1535669.78</v>
      </c>
      <c r="R205" s="405">
        <v>-1525788.02</v>
      </c>
      <c r="S205" s="618">
        <f t="shared" si="49"/>
        <v>-1525788.02</v>
      </c>
      <c r="T205" s="773"/>
      <c r="U205" s="383"/>
      <c r="V205" s="383"/>
      <c r="W205" s="383">
        <f t="shared" si="59"/>
        <v>-1525788.02</v>
      </c>
      <c r="X205" s="393"/>
      <c r="Y205" s="383"/>
      <c r="Z205" s="383"/>
      <c r="AA205" s="383"/>
      <c r="AB205" s="424"/>
      <c r="AC205" s="426">
        <f t="shared" si="58"/>
        <v>-1525788.02</v>
      </c>
      <c r="AD205" s="773"/>
      <c r="AE205" s="773"/>
      <c r="AF205" s="781">
        <f t="shared" si="39"/>
        <v>0</v>
      </c>
    </row>
    <row r="206" spans="1:32">
      <c r="A206" s="779">
        <f t="shared" si="43"/>
        <v>192</v>
      </c>
      <c r="B206" s="779"/>
      <c r="C206" s="779"/>
      <c r="D206" s="779"/>
      <c r="E206" s="774" t="s">
        <v>503</v>
      </c>
      <c r="F206" s="778">
        <f>SUM(F193:F205)</f>
        <v>177725.46999999881</v>
      </c>
      <c r="G206" s="778">
        <f t="shared" ref="G206:S206" si="60">SUM(G193:G205)</f>
        <v>171143.0399999998</v>
      </c>
      <c r="H206" s="778">
        <f t="shared" si="60"/>
        <v>164560.60999999987</v>
      </c>
      <c r="I206" s="778">
        <f t="shared" si="60"/>
        <v>157978.17999999993</v>
      </c>
      <c r="J206" s="778">
        <f t="shared" si="60"/>
        <v>151395.75</v>
      </c>
      <c r="K206" s="778">
        <f t="shared" si="60"/>
        <v>144813.32000000007</v>
      </c>
      <c r="L206" s="778">
        <f t="shared" si="60"/>
        <v>138230.89000000036</v>
      </c>
      <c r="M206" s="778">
        <f t="shared" si="60"/>
        <v>131648.45999999996</v>
      </c>
      <c r="N206" s="778">
        <f t="shared" si="60"/>
        <v>125066.03000000026</v>
      </c>
      <c r="O206" s="778">
        <f t="shared" si="60"/>
        <v>118483.60000000033</v>
      </c>
      <c r="P206" s="778">
        <f t="shared" si="60"/>
        <v>111901.16999999993</v>
      </c>
      <c r="Q206" s="778">
        <f t="shared" si="60"/>
        <v>105318.74000000022</v>
      </c>
      <c r="R206" s="778">
        <f t="shared" si="60"/>
        <v>98736.310000000289</v>
      </c>
      <c r="S206" s="618">
        <f t="shared" si="60"/>
        <v>98736.310000000289</v>
      </c>
      <c r="T206" s="773"/>
      <c r="U206" s="383"/>
      <c r="V206" s="383"/>
      <c r="W206" s="383"/>
      <c r="X206" s="393"/>
      <c r="Y206" s="383"/>
      <c r="Z206" s="383"/>
      <c r="AA206" s="383"/>
      <c r="AB206" s="424"/>
      <c r="AC206" s="779"/>
      <c r="AD206" s="773"/>
      <c r="AE206" s="773"/>
      <c r="AF206" s="781">
        <f t="shared" si="39"/>
        <v>0</v>
      </c>
    </row>
    <row r="207" spans="1:32">
      <c r="A207" s="779">
        <f t="shared" si="43"/>
        <v>193</v>
      </c>
      <c r="B207" s="779"/>
      <c r="C207" s="779"/>
      <c r="D207" s="779"/>
      <c r="E207" s="775"/>
      <c r="F207" s="778"/>
      <c r="G207" s="420"/>
      <c r="H207" s="408"/>
      <c r="I207" s="408"/>
      <c r="J207" s="409"/>
      <c r="K207" s="410"/>
      <c r="L207" s="411"/>
      <c r="M207" s="412"/>
      <c r="N207" s="413"/>
      <c r="O207" s="764"/>
      <c r="P207" s="415"/>
      <c r="Q207" s="421"/>
      <c r="R207" s="778"/>
      <c r="S207" s="392"/>
      <c r="T207" s="773"/>
      <c r="U207" s="383"/>
      <c r="V207" s="383"/>
      <c r="W207" s="383"/>
      <c r="X207" s="393"/>
      <c r="Y207" s="383"/>
      <c r="Z207" s="383"/>
      <c r="AA207" s="383"/>
      <c r="AB207" s="424"/>
      <c r="AC207" s="779"/>
      <c r="AD207" s="773"/>
      <c r="AE207" s="773"/>
      <c r="AF207" s="781">
        <f t="shared" ref="AF207:AF270" si="61">+U207+V207-AD207</f>
        <v>0</v>
      </c>
    </row>
    <row r="208" spans="1:32">
      <c r="A208" s="779">
        <f t="shared" si="43"/>
        <v>194</v>
      </c>
      <c r="B208" s="423" t="s">
        <v>1063</v>
      </c>
      <c r="C208" s="423" t="s">
        <v>504</v>
      </c>
      <c r="D208" s="423" t="s">
        <v>506</v>
      </c>
      <c r="E208" s="777" t="s">
        <v>507</v>
      </c>
      <c r="F208" s="778">
        <v>785271.11</v>
      </c>
      <c r="G208" s="778">
        <v>781856.89</v>
      </c>
      <c r="H208" s="778">
        <v>778442.67</v>
      </c>
      <c r="I208" s="778">
        <v>775028.45</v>
      </c>
      <c r="J208" s="778">
        <v>771614.23</v>
      </c>
      <c r="K208" s="778">
        <v>768200.01</v>
      </c>
      <c r="L208" s="778">
        <v>764785.79</v>
      </c>
      <c r="M208" s="778">
        <v>761371.57</v>
      </c>
      <c r="N208" s="778">
        <v>757957.35</v>
      </c>
      <c r="O208" s="778">
        <v>754543.13</v>
      </c>
      <c r="P208" s="778">
        <v>751128.91</v>
      </c>
      <c r="Q208" s="778">
        <v>747714.69</v>
      </c>
      <c r="R208" s="778">
        <v>744300.47</v>
      </c>
      <c r="S208" s="618">
        <f>+R208</f>
        <v>744300.47</v>
      </c>
      <c r="T208" s="773"/>
      <c r="U208" s="383"/>
      <c r="V208" s="383"/>
      <c r="W208" s="383">
        <f t="shared" ref="W208" si="62">+S208</f>
        <v>744300.47</v>
      </c>
      <c r="X208" s="393"/>
      <c r="Y208" s="383"/>
      <c r="Z208" s="383"/>
      <c r="AA208" s="383"/>
      <c r="AB208" s="424"/>
      <c r="AC208" s="426">
        <f>+S208</f>
        <v>744300.47</v>
      </c>
      <c r="AD208" s="773"/>
      <c r="AE208" s="773"/>
      <c r="AF208" s="781">
        <f t="shared" si="61"/>
        <v>0</v>
      </c>
    </row>
    <row r="209" spans="1:32">
      <c r="A209" s="779">
        <f t="shared" ref="A209:A272" si="63">+A208+1</f>
        <v>195</v>
      </c>
      <c r="B209" s="779"/>
      <c r="C209" s="779"/>
      <c r="D209" s="779"/>
      <c r="E209" s="777" t="s">
        <v>503</v>
      </c>
      <c r="F209" s="394">
        <f t="shared" ref="F209:S209" si="64">SUM(F208:F208)</f>
        <v>785271.11</v>
      </c>
      <c r="G209" s="394">
        <f t="shared" si="64"/>
        <v>781856.89</v>
      </c>
      <c r="H209" s="394">
        <f t="shared" si="64"/>
        <v>778442.67</v>
      </c>
      <c r="I209" s="394">
        <f t="shared" si="64"/>
        <v>775028.45</v>
      </c>
      <c r="J209" s="394">
        <f t="shared" si="64"/>
        <v>771614.23</v>
      </c>
      <c r="K209" s="394">
        <f t="shared" si="64"/>
        <v>768200.01</v>
      </c>
      <c r="L209" s="394">
        <f t="shared" si="64"/>
        <v>764785.79</v>
      </c>
      <c r="M209" s="394">
        <f t="shared" si="64"/>
        <v>761371.57</v>
      </c>
      <c r="N209" s="394">
        <f t="shared" si="64"/>
        <v>757957.35</v>
      </c>
      <c r="O209" s="394">
        <f t="shared" si="64"/>
        <v>754543.13</v>
      </c>
      <c r="P209" s="394">
        <f t="shared" si="64"/>
        <v>751128.91</v>
      </c>
      <c r="Q209" s="394">
        <f t="shared" si="64"/>
        <v>747714.69</v>
      </c>
      <c r="R209" s="394">
        <f t="shared" si="64"/>
        <v>744300.47</v>
      </c>
      <c r="S209" s="620">
        <f t="shared" si="64"/>
        <v>744300.47</v>
      </c>
      <c r="T209" s="773"/>
      <c r="U209" s="383"/>
      <c r="V209" s="383"/>
      <c r="W209" s="383"/>
      <c r="X209" s="393"/>
      <c r="Y209" s="383"/>
      <c r="Z209" s="383"/>
      <c r="AA209" s="383"/>
      <c r="AB209" s="383"/>
      <c r="AC209" s="773"/>
      <c r="AD209" s="773"/>
      <c r="AE209" s="773"/>
      <c r="AF209" s="781">
        <f t="shared" si="61"/>
        <v>0</v>
      </c>
    </row>
    <row r="210" spans="1:32">
      <c r="A210" s="779">
        <f t="shared" si="63"/>
        <v>196</v>
      </c>
      <c r="B210" s="779"/>
      <c r="C210" s="779"/>
      <c r="D210" s="779"/>
      <c r="E210" s="763"/>
      <c r="F210" s="778"/>
      <c r="G210" s="420"/>
      <c r="H210" s="408"/>
      <c r="I210" s="408"/>
      <c r="J210" s="409"/>
      <c r="K210" s="410"/>
      <c r="L210" s="411"/>
      <c r="M210" s="412"/>
      <c r="N210" s="413"/>
      <c r="O210" s="764"/>
      <c r="P210" s="415"/>
      <c r="Q210" s="421"/>
      <c r="R210" s="778"/>
      <c r="S210" s="392"/>
      <c r="T210" s="773"/>
      <c r="U210" s="383"/>
      <c r="V210" s="383"/>
      <c r="W210" s="383"/>
      <c r="X210" s="393"/>
      <c r="Y210" s="383"/>
      <c r="Z210" s="383"/>
      <c r="AA210" s="383"/>
      <c r="AB210" s="383"/>
      <c r="AC210" s="773"/>
      <c r="AD210" s="773"/>
      <c r="AE210" s="773"/>
      <c r="AF210" s="781">
        <f t="shared" si="61"/>
        <v>0</v>
      </c>
    </row>
    <row r="211" spans="1:32">
      <c r="A211" s="779">
        <f t="shared" si="63"/>
        <v>197</v>
      </c>
      <c r="B211" s="423" t="s">
        <v>1063</v>
      </c>
      <c r="C211" s="423" t="s">
        <v>471</v>
      </c>
      <c r="D211" s="423" t="s">
        <v>459</v>
      </c>
      <c r="E211" s="777" t="s">
        <v>508</v>
      </c>
      <c r="F211" s="778">
        <v>0</v>
      </c>
      <c r="G211" s="778">
        <v>0</v>
      </c>
      <c r="H211" s="778">
        <v>0</v>
      </c>
      <c r="I211" s="778">
        <v>0</v>
      </c>
      <c r="J211" s="778">
        <v>0</v>
      </c>
      <c r="K211" s="778">
        <v>0</v>
      </c>
      <c r="L211" s="778">
        <v>0</v>
      </c>
      <c r="M211" s="778">
        <v>0</v>
      </c>
      <c r="N211" s="778">
        <v>0</v>
      </c>
      <c r="O211" s="778">
        <v>0</v>
      </c>
      <c r="P211" s="778">
        <v>0</v>
      </c>
      <c r="Q211" s="778">
        <v>0</v>
      </c>
      <c r="R211" s="778">
        <v>0</v>
      </c>
      <c r="S211" s="618">
        <f t="shared" ref="S211:S267" si="65">+R211</f>
        <v>0</v>
      </c>
      <c r="T211" s="773"/>
      <c r="U211" s="383">
        <f t="shared" ref="U211:U244" si="66">+S211</f>
        <v>0</v>
      </c>
      <c r="V211" s="383"/>
      <c r="W211" s="383"/>
      <c r="X211" s="393"/>
      <c r="Y211" s="383"/>
      <c r="Z211" s="383"/>
      <c r="AA211" s="383"/>
      <c r="AB211" s="383"/>
      <c r="AC211" s="773"/>
      <c r="AD211" s="417">
        <f t="shared" ref="AD211:AD242" si="67">+U211</f>
        <v>0</v>
      </c>
      <c r="AE211" s="773"/>
      <c r="AF211" s="781">
        <f t="shared" si="61"/>
        <v>0</v>
      </c>
    </row>
    <row r="212" spans="1:32">
      <c r="A212" s="779">
        <f t="shared" si="63"/>
        <v>198</v>
      </c>
      <c r="B212" s="423" t="s">
        <v>1094</v>
      </c>
      <c r="C212" s="423" t="s">
        <v>509</v>
      </c>
      <c r="D212" s="423" t="s">
        <v>1255</v>
      </c>
      <c r="E212" s="777" t="s">
        <v>1859</v>
      </c>
      <c r="F212" s="778">
        <v>1.0000000125728501E-2</v>
      </c>
      <c r="G212" s="778">
        <v>0.01</v>
      </c>
      <c r="H212" s="778">
        <v>0.01</v>
      </c>
      <c r="I212" s="778">
        <v>0</v>
      </c>
      <c r="J212" s="778">
        <v>0</v>
      </c>
      <c r="K212" s="778">
        <v>0</v>
      </c>
      <c r="L212" s="778">
        <v>0</v>
      </c>
      <c r="M212" s="778">
        <v>0</v>
      </c>
      <c r="N212" s="778">
        <v>0</v>
      </c>
      <c r="O212" s="778">
        <v>0</v>
      </c>
      <c r="P212" s="778">
        <v>0</v>
      </c>
      <c r="Q212" s="778">
        <v>0</v>
      </c>
      <c r="R212" s="778">
        <v>0</v>
      </c>
      <c r="S212" s="618">
        <f t="shared" si="65"/>
        <v>0</v>
      </c>
      <c r="T212" s="779"/>
      <c r="U212" s="424">
        <f t="shared" si="66"/>
        <v>0</v>
      </c>
      <c r="V212" s="424"/>
      <c r="W212" s="424"/>
      <c r="X212" s="425"/>
      <c r="Y212" s="424"/>
      <c r="Z212" s="424"/>
      <c r="AA212" s="424"/>
      <c r="AB212" s="424"/>
      <c r="AC212" s="779"/>
      <c r="AD212" s="426">
        <f t="shared" si="67"/>
        <v>0</v>
      </c>
      <c r="AE212" s="779"/>
      <c r="AF212" s="781">
        <f t="shared" si="61"/>
        <v>0</v>
      </c>
    </row>
    <row r="213" spans="1:32">
      <c r="A213" s="779">
        <f t="shared" si="63"/>
        <v>199</v>
      </c>
      <c r="B213" s="423" t="s">
        <v>1066</v>
      </c>
      <c r="C213" s="423" t="s">
        <v>509</v>
      </c>
      <c r="D213" s="423" t="s">
        <v>1256</v>
      </c>
      <c r="E213" s="777" t="s">
        <v>1257</v>
      </c>
      <c r="F213" s="778">
        <v>46332277.100000001</v>
      </c>
      <c r="G213" s="778">
        <v>46332277.100000001</v>
      </c>
      <c r="H213" s="778">
        <v>46332277.100000001</v>
      </c>
      <c r="I213" s="778">
        <v>46332277.100000001</v>
      </c>
      <c r="J213" s="778">
        <v>46332277.100000001</v>
      </c>
      <c r="K213" s="778">
        <v>46332277.100000001</v>
      </c>
      <c r="L213" s="778">
        <v>46332277.100000001</v>
      </c>
      <c r="M213" s="778">
        <v>46332277.100000001</v>
      </c>
      <c r="N213" s="778">
        <v>46332277.100000001</v>
      </c>
      <c r="O213" s="778">
        <v>46332277.100000001</v>
      </c>
      <c r="P213" s="778">
        <v>46332277.100000001</v>
      </c>
      <c r="Q213" s="778">
        <v>46332277.100000001</v>
      </c>
      <c r="R213" s="778">
        <v>47614629.100000001</v>
      </c>
      <c r="S213" s="618">
        <f t="shared" si="65"/>
        <v>47614629.100000001</v>
      </c>
      <c r="T213" s="779"/>
      <c r="U213" s="424">
        <f t="shared" si="66"/>
        <v>47614629.100000001</v>
      </c>
      <c r="V213" s="424"/>
      <c r="W213" s="424"/>
      <c r="X213" s="425"/>
      <c r="Y213" s="424"/>
      <c r="Z213" s="424"/>
      <c r="AA213" s="424"/>
      <c r="AB213" s="424"/>
      <c r="AC213" s="779"/>
      <c r="AD213" s="426">
        <f t="shared" si="67"/>
        <v>47614629.100000001</v>
      </c>
      <c r="AE213" s="779"/>
      <c r="AF213" s="781">
        <f t="shared" si="61"/>
        <v>0</v>
      </c>
    </row>
    <row r="214" spans="1:32">
      <c r="A214" s="779">
        <f t="shared" si="63"/>
        <v>200</v>
      </c>
      <c r="B214" s="423" t="s">
        <v>1066</v>
      </c>
      <c r="C214" s="423" t="s">
        <v>509</v>
      </c>
      <c r="D214" s="423" t="s">
        <v>1258</v>
      </c>
      <c r="E214" s="777" t="s">
        <v>1702</v>
      </c>
      <c r="F214" s="778">
        <v>930129</v>
      </c>
      <c r="G214" s="778">
        <v>930129</v>
      </c>
      <c r="H214" s="778">
        <v>930129</v>
      </c>
      <c r="I214" s="778">
        <v>930129</v>
      </c>
      <c r="J214" s="778">
        <v>930129</v>
      </c>
      <c r="K214" s="778">
        <v>930129</v>
      </c>
      <c r="L214" s="778">
        <v>930129</v>
      </c>
      <c r="M214" s="778">
        <v>930129</v>
      </c>
      <c r="N214" s="778">
        <v>930129</v>
      </c>
      <c r="O214" s="778">
        <v>930129</v>
      </c>
      <c r="P214" s="778">
        <v>930129</v>
      </c>
      <c r="Q214" s="778">
        <v>930129</v>
      </c>
      <c r="R214" s="778">
        <v>974030</v>
      </c>
      <c r="S214" s="618">
        <f t="shared" si="65"/>
        <v>974030</v>
      </c>
      <c r="T214" s="779"/>
      <c r="U214" s="424">
        <f t="shared" si="66"/>
        <v>974030</v>
      </c>
      <c r="V214" s="424"/>
      <c r="W214" s="424"/>
      <c r="X214" s="425"/>
      <c r="Y214" s="424"/>
      <c r="Z214" s="424"/>
      <c r="AA214" s="424"/>
      <c r="AB214" s="424"/>
      <c r="AC214" s="779"/>
      <c r="AD214" s="426">
        <f t="shared" si="67"/>
        <v>974030</v>
      </c>
      <c r="AE214" s="779"/>
      <c r="AF214" s="781">
        <f t="shared" si="61"/>
        <v>0</v>
      </c>
    </row>
    <row r="215" spans="1:32">
      <c r="A215" s="779">
        <f t="shared" si="63"/>
        <v>201</v>
      </c>
      <c r="B215" s="423" t="s">
        <v>1094</v>
      </c>
      <c r="C215" s="423" t="s">
        <v>509</v>
      </c>
      <c r="D215" s="423" t="s">
        <v>1692</v>
      </c>
      <c r="E215" s="777" t="s">
        <v>1860</v>
      </c>
      <c r="F215" s="778">
        <v>532792.21</v>
      </c>
      <c r="G215" s="778">
        <v>536088.28</v>
      </c>
      <c r="H215" s="778">
        <v>539083.79</v>
      </c>
      <c r="I215" s="778">
        <v>542418.78</v>
      </c>
      <c r="J215" s="778">
        <v>545666.16</v>
      </c>
      <c r="K215" s="778">
        <v>549041.88</v>
      </c>
      <c r="L215" s="778">
        <v>552328.91</v>
      </c>
      <c r="M215" s="778">
        <v>555745.84</v>
      </c>
      <c r="N215" s="778">
        <v>559183.91</v>
      </c>
      <c r="O215" s="778">
        <v>562531.66</v>
      </c>
      <c r="P215" s="778">
        <v>566011.71</v>
      </c>
      <c r="Q215" s="778">
        <v>569400.34</v>
      </c>
      <c r="R215" s="778">
        <v>572922.88</v>
      </c>
      <c r="S215" s="618">
        <f t="shared" si="65"/>
        <v>572922.88</v>
      </c>
      <c r="T215" s="773"/>
      <c r="U215" s="383">
        <f t="shared" si="66"/>
        <v>572922.88</v>
      </c>
      <c r="V215" s="383"/>
      <c r="W215" s="383"/>
      <c r="X215" s="393"/>
      <c r="Y215" s="383"/>
      <c r="Z215" s="383"/>
      <c r="AA215" s="383"/>
      <c r="AB215" s="383"/>
      <c r="AC215" s="773"/>
      <c r="AD215" s="426">
        <f t="shared" si="67"/>
        <v>572922.88</v>
      </c>
      <c r="AE215" s="773"/>
      <c r="AF215" s="781">
        <f t="shared" si="61"/>
        <v>0</v>
      </c>
    </row>
    <row r="216" spans="1:32">
      <c r="A216" s="779">
        <f t="shared" si="63"/>
        <v>202</v>
      </c>
      <c r="B216" s="423" t="s">
        <v>1066</v>
      </c>
      <c r="C216" s="423" t="s">
        <v>509</v>
      </c>
      <c r="D216" s="657" t="s">
        <v>1693</v>
      </c>
      <c r="E216" s="777" t="s">
        <v>1861</v>
      </c>
      <c r="F216" s="778">
        <v>0</v>
      </c>
      <c r="G216" s="778">
        <v>349663.66</v>
      </c>
      <c r="H216" s="778">
        <v>460698.81</v>
      </c>
      <c r="I216" s="778">
        <v>462361.74</v>
      </c>
      <c r="J216" s="778">
        <v>522328.37</v>
      </c>
      <c r="K216" s="778">
        <v>584010.86</v>
      </c>
      <c r="L216" s="778">
        <v>749514.8</v>
      </c>
      <c r="M216" s="778">
        <v>858054.38</v>
      </c>
      <c r="N216" s="778">
        <v>904314.46</v>
      </c>
      <c r="O216" s="778">
        <v>907800.41</v>
      </c>
      <c r="P216" s="778">
        <v>1157381.75</v>
      </c>
      <c r="Q216" s="778">
        <v>353024.26</v>
      </c>
      <c r="R216" s="778">
        <v>384645.37</v>
      </c>
      <c r="S216" s="618">
        <f t="shared" si="65"/>
        <v>384645.37</v>
      </c>
      <c r="T216" s="773"/>
      <c r="U216" s="383">
        <f t="shared" si="66"/>
        <v>384645.37</v>
      </c>
      <c r="V216" s="383"/>
      <c r="W216" s="383"/>
      <c r="X216" s="393"/>
      <c r="Y216" s="383"/>
      <c r="Z216" s="383"/>
      <c r="AA216" s="383"/>
      <c r="AB216" s="383"/>
      <c r="AC216" s="773"/>
      <c r="AD216" s="426">
        <f t="shared" si="67"/>
        <v>384645.37</v>
      </c>
      <c r="AE216" s="773"/>
      <c r="AF216" s="781">
        <f t="shared" si="61"/>
        <v>0</v>
      </c>
    </row>
    <row r="217" spans="1:32">
      <c r="A217" s="779">
        <f t="shared" si="63"/>
        <v>203</v>
      </c>
      <c r="B217" s="423" t="s">
        <v>1066</v>
      </c>
      <c r="C217" s="423" t="s">
        <v>509</v>
      </c>
      <c r="D217" s="423" t="s">
        <v>1694</v>
      </c>
      <c r="E217" s="777" t="s">
        <v>1862</v>
      </c>
      <c r="F217" s="778">
        <v>0</v>
      </c>
      <c r="G217" s="778">
        <v>121284.45</v>
      </c>
      <c r="H217" s="778">
        <v>158770.69</v>
      </c>
      <c r="I217" s="778">
        <v>172291.69</v>
      </c>
      <c r="J217" s="778">
        <v>192912.46</v>
      </c>
      <c r="K217" s="778">
        <v>236018.77</v>
      </c>
      <c r="L217" s="778">
        <v>249760.26</v>
      </c>
      <c r="M217" s="778">
        <v>254796.39</v>
      </c>
      <c r="N217" s="778">
        <v>255811.32</v>
      </c>
      <c r="O217" s="778">
        <v>279069.86</v>
      </c>
      <c r="P217" s="778">
        <v>298243.67</v>
      </c>
      <c r="Q217" s="778">
        <v>77280.75</v>
      </c>
      <c r="R217" s="778">
        <v>99041.79</v>
      </c>
      <c r="S217" s="618">
        <f t="shared" si="65"/>
        <v>99041.79</v>
      </c>
      <c r="T217" s="773"/>
      <c r="U217" s="383">
        <f t="shared" si="66"/>
        <v>99041.79</v>
      </c>
      <c r="V217" s="383"/>
      <c r="W217" s="383"/>
      <c r="X217" s="393"/>
      <c r="Y217" s="383"/>
      <c r="Z217" s="383"/>
      <c r="AA217" s="383"/>
      <c r="AB217" s="383"/>
      <c r="AC217" s="773"/>
      <c r="AD217" s="426">
        <f t="shared" si="67"/>
        <v>99041.79</v>
      </c>
      <c r="AE217" s="773"/>
      <c r="AF217" s="781">
        <f t="shared" si="61"/>
        <v>0</v>
      </c>
    </row>
    <row r="218" spans="1:32">
      <c r="A218" s="779">
        <f t="shared" si="63"/>
        <v>204</v>
      </c>
      <c r="B218" s="423" t="s">
        <v>1066</v>
      </c>
      <c r="C218" s="423" t="s">
        <v>509</v>
      </c>
      <c r="D218" s="423" t="s">
        <v>1695</v>
      </c>
      <c r="E218" s="777" t="s">
        <v>1863</v>
      </c>
      <c r="F218" s="778">
        <v>0</v>
      </c>
      <c r="G218" s="778">
        <v>1025565.04</v>
      </c>
      <c r="H218" s="778">
        <v>1275151.3400000001</v>
      </c>
      <c r="I218" s="778">
        <v>1505606.22</v>
      </c>
      <c r="J218" s="778">
        <v>1648182.07</v>
      </c>
      <c r="K218" s="778">
        <v>1988945.76</v>
      </c>
      <c r="L218" s="778">
        <v>2296169.4900000002</v>
      </c>
      <c r="M218" s="778">
        <v>2507139.35</v>
      </c>
      <c r="N218" s="778">
        <v>2673844.92</v>
      </c>
      <c r="O218" s="778">
        <v>2956027.24</v>
      </c>
      <c r="P218" s="778">
        <v>3061278.08</v>
      </c>
      <c r="Q218" s="778">
        <v>636930.14999999898</v>
      </c>
      <c r="R218" s="778">
        <v>951817.28999999899</v>
      </c>
      <c r="S218" s="618">
        <f t="shared" si="65"/>
        <v>951817.28999999899</v>
      </c>
      <c r="T218" s="773"/>
      <c r="U218" s="383">
        <f t="shared" si="66"/>
        <v>951817.28999999899</v>
      </c>
      <c r="V218" s="383"/>
      <c r="W218" s="383"/>
      <c r="X218" s="393"/>
      <c r="Y218" s="383"/>
      <c r="Z218" s="383"/>
      <c r="AA218" s="383"/>
      <c r="AB218" s="383"/>
      <c r="AC218" s="773"/>
      <c r="AD218" s="426">
        <f t="shared" si="67"/>
        <v>951817.28999999899</v>
      </c>
      <c r="AE218" s="773"/>
      <c r="AF218" s="781">
        <f t="shared" si="61"/>
        <v>0</v>
      </c>
    </row>
    <row r="219" spans="1:32">
      <c r="A219" s="779">
        <f t="shared" si="63"/>
        <v>205</v>
      </c>
      <c r="B219" s="423" t="s">
        <v>1066</v>
      </c>
      <c r="C219" s="423" t="s">
        <v>509</v>
      </c>
      <c r="D219" s="423" t="s">
        <v>1696</v>
      </c>
      <c r="E219" s="777" t="s">
        <v>1864</v>
      </c>
      <c r="F219" s="778">
        <v>0</v>
      </c>
      <c r="G219" s="778">
        <v>808750.85</v>
      </c>
      <c r="H219" s="778">
        <v>955991.1</v>
      </c>
      <c r="I219" s="778">
        <v>1103442.48</v>
      </c>
      <c r="J219" s="778">
        <v>1335689.25</v>
      </c>
      <c r="K219" s="778">
        <v>1590874.11</v>
      </c>
      <c r="L219" s="778">
        <v>1850119.19</v>
      </c>
      <c r="M219" s="778">
        <v>2146780.5</v>
      </c>
      <c r="N219" s="778">
        <v>2389751.2400000002</v>
      </c>
      <c r="O219" s="778">
        <v>2608046.4900000002</v>
      </c>
      <c r="P219" s="778">
        <v>2837510.4</v>
      </c>
      <c r="Q219" s="778">
        <v>846306.01</v>
      </c>
      <c r="R219" s="778">
        <v>1070638.9099999999</v>
      </c>
      <c r="S219" s="618">
        <f t="shared" si="65"/>
        <v>1070638.9099999999</v>
      </c>
      <c r="T219" s="773"/>
      <c r="U219" s="383">
        <f t="shared" si="66"/>
        <v>1070638.9099999999</v>
      </c>
      <c r="V219" s="383"/>
      <c r="W219" s="383"/>
      <c r="X219" s="393"/>
      <c r="Y219" s="383"/>
      <c r="Z219" s="383"/>
      <c r="AA219" s="383"/>
      <c r="AB219" s="383"/>
      <c r="AC219" s="773"/>
      <c r="AD219" s="426">
        <f t="shared" si="67"/>
        <v>1070638.9099999999</v>
      </c>
      <c r="AE219" s="773"/>
      <c r="AF219" s="781">
        <f t="shared" si="61"/>
        <v>0</v>
      </c>
    </row>
    <row r="220" spans="1:32">
      <c r="A220" s="779">
        <f t="shared" si="63"/>
        <v>206</v>
      </c>
      <c r="B220" s="423" t="s">
        <v>1066</v>
      </c>
      <c r="C220" s="423" t="s">
        <v>509</v>
      </c>
      <c r="D220" s="423" t="s">
        <v>1697</v>
      </c>
      <c r="E220" s="777" t="s">
        <v>1865</v>
      </c>
      <c r="F220" s="778">
        <v>0</v>
      </c>
      <c r="G220" s="778">
        <v>1979104.45</v>
      </c>
      <c r="H220" s="778">
        <v>1554003.88</v>
      </c>
      <c r="I220" s="778">
        <v>1209256.4099999999</v>
      </c>
      <c r="J220" s="778">
        <v>973306.74</v>
      </c>
      <c r="K220" s="778">
        <v>857941.86</v>
      </c>
      <c r="L220" s="778">
        <v>750487.89</v>
      </c>
      <c r="M220" s="778">
        <v>662139.71</v>
      </c>
      <c r="N220" s="778">
        <v>608839.5</v>
      </c>
      <c r="O220" s="778">
        <v>495044.16</v>
      </c>
      <c r="P220" s="778">
        <v>276806.53999999998</v>
      </c>
      <c r="Q220" s="778">
        <v>5423949.5199999996</v>
      </c>
      <c r="R220" s="778">
        <v>4501119.47</v>
      </c>
      <c r="S220" s="618">
        <f t="shared" si="65"/>
        <v>4501119.47</v>
      </c>
      <c r="T220" s="773"/>
      <c r="U220" s="383">
        <f t="shared" si="66"/>
        <v>4501119.47</v>
      </c>
      <c r="V220" s="383"/>
      <c r="W220" s="383"/>
      <c r="X220" s="393"/>
      <c r="Y220" s="383"/>
      <c r="Z220" s="383"/>
      <c r="AA220" s="383"/>
      <c r="AB220" s="383"/>
      <c r="AC220" s="773"/>
      <c r="AD220" s="426">
        <f t="shared" si="67"/>
        <v>4501119.47</v>
      </c>
      <c r="AE220" s="773"/>
      <c r="AF220" s="781">
        <f t="shared" si="61"/>
        <v>0</v>
      </c>
    </row>
    <row r="221" spans="1:32">
      <c r="A221" s="779">
        <f t="shared" si="63"/>
        <v>207</v>
      </c>
      <c r="B221" s="423" t="s">
        <v>1063</v>
      </c>
      <c r="C221" s="423" t="s">
        <v>1698</v>
      </c>
      <c r="D221" s="423" t="s">
        <v>382</v>
      </c>
      <c r="E221" s="777" t="s">
        <v>1703</v>
      </c>
      <c r="F221" s="778">
        <v>366.69</v>
      </c>
      <c r="G221" s="778">
        <v>366.69</v>
      </c>
      <c r="H221" s="778">
        <v>366.69</v>
      </c>
      <c r="I221" s="778">
        <v>366.69</v>
      </c>
      <c r="J221" s="778">
        <v>366.69</v>
      </c>
      <c r="K221" s="778">
        <v>366.69</v>
      </c>
      <c r="L221" s="778">
        <v>366.69</v>
      </c>
      <c r="M221" s="778">
        <v>366.69</v>
      </c>
      <c r="N221" s="778">
        <v>366.69</v>
      </c>
      <c r="O221" s="778">
        <v>366.69</v>
      </c>
      <c r="P221" s="778">
        <v>366.69</v>
      </c>
      <c r="Q221" s="778">
        <v>0</v>
      </c>
      <c r="R221" s="778">
        <v>0</v>
      </c>
      <c r="S221" s="618">
        <f t="shared" si="65"/>
        <v>0</v>
      </c>
      <c r="T221" s="773"/>
      <c r="U221" s="383">
        <f t="shared" si="66"/>
        <v>0</v>
      </c>
      <c r="V221" s="383"/>
      <c r="W221" s="383"/>
      <c r="X221" s="393"/>
      <c r="Y221" s="383"/>
      <c r="Z221" s="383"/>
      <c r="AA221" s="383"/>
      <c r="AB221" s="383"/>
      <c r="AC221" s="773"/>
      <c r="AD221" s="426">
        <f t="shared" si="67"/>
        <v>0</v>
      </c>
      <c r="AE221" s="773"/>
      <c r="AF221" s="781">
        <f t="shared" si="61"/>
        <v>0</v>
      </c>
    </row>
    <row r="222" spans="1:32">
      <c r="A222" s="779">
        <f t="shared" si="63"/>
        <v>208</v>
      </c>
      <c r="B222" s="423" t="s">
        <v>1063</v>
      </c>
      <c r="C222" s="423" t="s">
        <v>510</v>
      </c>
      <c r="D222" s="423" t="s">
        <v>1259</v>
      </c>
      <c r="E222" s="777" t="s">
        <v>1866</v>
      </c>
      <c r="F222" s="778">
        <v>3.6379788070917101E-12</v>
      </c>
      <c r="G222" s="778">
        <v>-353763.36</v>
      </c>
      <c r="H222" s="778">
        <v>-641860.75</v>
      </c>
      <c r="I222" s="778">
        <v>-45312.1</v>
      </c>
      <c r="J222" s="778">
        <v>111008.69</v>
      </c>
      <c r="K222" s="778">
        <v>86148.93</v>
      </c>
      <c r="L222" s="778">
        <v>83938.96</v>
      </c>
      <c r="M222" s="778">
        <v>18194.88</v>
      </c>
      <c r="N222" s="778">
        <v>-9692.7899999999609</v>
      </c>
      <c r="O222" s="778">
        <v>-923.52999999996405</v>
      </c>
      <c r="P222" s="778">
        <v>-25054.75</v>
      </c>
      <c r="Q222" s="778">
        <v>-43985.06</v>
      </c>
      <c r="R222" s="778">
        <v>2.91038304567337E-11</v>
      </c>
      <c r="S222" s="618">
        <f t="shared" si="65"/>
        <v>2.91038304567337E-11</v>
      </c>
      <c r="T222" s="773"/>
      <c r="U222" s="383">
        <f t="shared" si="66"/>
        <v>2.91038304567337E-11</v>
      </c>
      <c r="V222" s="383"/>
      <c r="W222" s="383"/>
      <c r="X222" s="393"/>
      <c r="Y222" s="383"/>
      <c r="Z222" s="383"/>
      <c r="AA222" s="383"/>
      <c r="AB222" s="383"/>
      <c r="AC222" s="773"/>
      <c r="AD222" s="426">
        <f t="shared" si="67"/>
        <v>2.91038304567337E-11</v>
      </c>
      <c r="AE222" s="773"/>
      <c r="AF222" s="781">
        <f t="shared" si="61"/>
        <v>0</v>
      </c>
    </row>
    <row r="223" spans="1:32">
      <c r="A223" s="779">
        <f t="shared" si="63"/>
        <v>209</v>
      </c>
      <c r="B223" s="423" t="s">
        <v>1063</v>
      </c>
      <c r="C223" s="423" t="s">
        <v>510</v>
      </c>
      <c r="D223" s="657" t="s">
        <v>1260</v>
      </c>
      <c r="E223" s="777" t="s">
        <v>1867</v>
      </c>
      <c r="F223" s="778">
        <v>0</v>
      </c>
      <c r="G223" s="778">
        <v>285787.24</v>
      </c>
      <c r="H223" s="778">
        <v>585232.24</v>
      </c>
      <c r="I223" s="778">
        <v>0</v>
      </c>
      <c r="J223" s="778">
        <v>0</v>
      </c>
      <c r="K223" s="778">
        <v>0</v>
      </c>
      <c r="L223" s="778">
        <v>0</v>
      </c>
      <c r="M223" s="778">
        <v>0</v>
      </c>
      <c r="N223" s="778">
        <v>0</v>
      </c>
      <c r="O223" s="778">
        <v>0</v>
      </c>
      <c r="P223" s="778">
        <v>0</v>
      </c>
      <c r="Q223" s="778">
        <v>0</v>
      </c>
      <c r="R223" s="778">
        <v>0</v>
      </c>
      <c r="S223" s="618">
        <f t="shared" si="65"/>
        <v>0</v>
      </c>
      <c r="T223" s="773"/>
      <c r="U223" s="383">
        <f t="shared" si="66"/>
        <v>0</v>
      </c>
      <c r="V223" s="383"/>
      <c r="W223" s="383"/>
      <c r="X223" s="393"/>
      <c r="Y223" s="383"/>
      <c r="Z223" s="383"/>
      <c r="AA223" s="383"/>
      <c r="AB223" s="383"/>
      <c r="AC223" s="773"/>
      <c r="AD223" s="426">
        <f t="shared" si="67"/>
        <v>0</v>
      </c>
      <c r="AE223" s="773"/>
      <c r="AF223" s="781">
        <f t="shared" si="61"/>
        <v>0</v>
      </c>
    </row>
    <row r="224" spans="1:32">
      <c r="A224" s="779">
        <f t="shared" si="63"/>
        <v>210</v>
      </c>
      <c r="B224" s="423" t="s">
        <v>1063</v>
      </c>
      <c r="C224" s="423" t="s">
        <v>510</v>
      </c>
      <c r="D224" s="423" t="s">
        <v>1261</v>
      </c>
      <c r="E224" s="777" t="s">
        <v>1868</v>
      </c>
      <c r="F224" s="778">
        <v>4.65661287307739E-10</v>
      </c>
      <c r="G224" s="778">
        <v>25772.51</v>
      </c>
      <c r="H224" s="778">
        <v>25772.51</v>
      </c>
      <c r="I224" s="778">
        <v>0</v>
      </c>
      <c r="J224" s="778">
        <v>0</v>
      </c>
      <c r="K224" s="778">
        <v>0</v>
      </c>
      <c r="L224" s="778">
        <v>0</v>
      </c>
      <c r="M224" s="778">
        <v>0</v>
      </c>
      <c r="N224" s="778">
        <v>0</v>
      </c>
      <c r="O224" s="778">
        <v>0</v>
      </c>
      <c r="P224" s="778">
        <v>0</v>
      </c>
      <c r="Q224" s="778">
        <v>0</v>
      </c>
      <c r="R224" s="778">
        <v>0</v>
      </c>
      <c r="S224" s="618">
        <f t="shared" si="65"/>
        <v>0</v>
      </c>
      <c r="T224" s="773"/>
      <c r="U224" s="383">
        <f t="shared" si="66"/>
        <v>0</v>
      </c>
      <c r="V224" s="383"/>
      <c r="W224" s="383"/>
      <c r="X224" s="393"/>
      <c r="Y224" s="383"/>
      <c r="Z224" s="383"/>
      <c r="AA224" s="383"/>
      <c r="AB224" s="383"/>
      <c r="AC224" s="773"/>
      <c r="AD224" s="426">
        <f t="shared" si="67"/>
        <v>0</v>
      </c>
      <c r="AE224" s="773"/>
      <c r="AF224" s="781">
        <f t="shared" si="61"/>
        <v>0</v>
      </c>
    </row>
    <row r="225" spans="1:32">
      <c r="A225" s="779">
        <f t="shared" si="63"/>
        <v>211</v>
      </c>
      <c r="B225" s="423" t="s">
        <v>1063</v>
      </c>
      <c r="C225" s="423" t="s">
        <v>510</v>
      </c>
      <c r="D225" s="423" t="s">
        <v>1262</v>
      </c>
      <c r="E225" s="777" t="s">
        <v>1869</v>
      </c>
      <c r="F225" s="778">
        <v>0</v>
      </c>
      <c r="G225" s="778">
        <v>-26689.83</v>
      </c>
      <c r="H225" s="778">
        <v>-49725.9</v>
      </c>
      <c r="I225" s="778">
        <v>-1975.75</v>
      </c>
      <c r="J225" s="778">
        <v>-856.32</v>
      </c>
      <c r="K225" s="778">
        <v>-776.67</v>
      </c>
      <c r="L225" s="778">
        <v>648.38</v>
      </c>
      <c r="M225" s="778">
        <v>-5074.3999999999996</v>
      </c>
      <c r="N225" s="778">
        <v>-5383.61</v>
      </c>
      <c r="O225" s="778">
        <v>-3714.36</v>
      </c>
      <c r="P225" s="778">
        <v>-3671.23</v>
      </c>
      <c r="Q225" s="778">
        <v>-3478.09</v>
      </c>
      <c r="R225" s="778">
        <v>4.5474735088646402E-13</v>
      </c>
      <c r="S225" s="618">
        <f t="shared" si="65"/>
        <v>4.5474735088646402E-13</v>
      </c>
      <c r="T225" s="773"/>
      <c r="U225" s="383">
        <f t="shared" si="66"/>
        <v>4.5474735088646402E-13</v>
      </c>
      <c r="V225" s="383"/>
      <c r="W225" s="383"/>
      <c r="X225" s="393"/>
      <c r="Y225" s="383"/>
      <c r="Z225" s="383"/>
      <c r="AA225" s="383"/>
      <c r="AB225" s="383"/>
      <c r="AC225" s="773"/>
      <c r="AD225" s="426">
        <f t="shared" si="67"/>
        <v>4.5474735088646402E-13</v>
      </c>
      <c r="AE225" s="773"/>
      <c r="AF225" s="781">
        <f t="shared" si="61"/>
        <v>0</v>
      </c>
    </row>
    <row r="226" spans="1:32">
      <c r="A226" s="779">
        <f t="shared" si="63"/>
        <v>212</v>
      </c>
      <c r="B226" s="423" t="s">
        <v>1063</v>
      </c>
      <c r="C226" s="423" t="s">
        <v>510</v>
      </c>
      <c r="D226" s="423" t="s">
        <v>1263</v>
      </c>
      <c r="E226" s="777" t="s">
        <v>1870</v>
      </c>
      <c r="F226" s="778">
        <v>0</v>
      </c>
      <c r="G226" s="778">
        <v>20849.68</v>
      </c>
      <c r="H226" s="778">
        <v>45822.68</v>
      </c>
      <c r="I226" s="778">
        <v>0</v>
      </c>
      <c r="J226" s="778">
        <v>0</v>
      </c>
      <c r="K226" s="778">
        <v>0</v>
      </c>
      <c r="L226" s="778">
        <v>0</v>
      </c>
      <c r="M226" s="778">
        <v>0</v>
      </c>
      <c r="N226" s="778">
        <v>0</v>
      </c>
      <c r="O226" s="778">
        <v>0</v>
      </c>
      <c r="P226" s="778">
        <v>0</v>
      </c>
      <c r="Q226" s="778">
        <v>0</v>
      </c>
      <c r="R226" s="778">
        <v>0</v>
      </c>
      <c r="S226" s="618">
        <f t="shared" si="65"/>
        <v>0</v>
      </c>
      <c r="T226" s="773"/>
      <c r="U226" s="383">
        <f t="shared" si="66"/>
        <v>0</v>
      </c>
      <c r="V226" s="383"/>
      <c r="W226" s="383"/>
      <c r="X226" s="393"/>
      <c r="Y226" s="383"/>
      <c r="Z226" s="383"/>
      <c r="AA226" s="383"/>
      <c r="AB226" s="383"/>
      <c r="AC226" s="773"/>
      <c r="AD226" s="426">
        <f t="shared" si="67"/>
        <v>0</v>
      </c>
      <c r="AE226" s="773"/>
      <c r="AF226" s="781">
        <f t="shared" si="61"/>
        <v>0</v>
      </c>
    </row>
    <row r="227" spans="1:32">
      <c r="A227" s="779">
        <f t="shared" si="63"/>
        <v>213</v>
      </c>
      <c r="B227" s="423" t="s">
        <v>1063</v>
      </c>
      <c r="C227" s="423" t="s">
        <v>510</v>
      </c>
      <c r="D227" s="423" t="s">
        <v>1264</v>
      </c>
      <c r="E227" s="777" t="s">
        <v>1871</v>
      </c>
      <c r="F227" s="778">
        <v>-2.91038304567337E-11</v>
      </c>
      <c r="G227" s="778">
        <v>1412.95</v>
      </c>
      <c r="H227" s="778">
        <v>1412.95</v>
      </c>
      <c r="I227" s="778">
        <v>0</v>
      </c>
      <c r="J227" s="778">
        <v>0</v>
      </c>
      <c r="K227" s="778">
        <v>0</v>
      </c>
      <c r="L227" s="778">
        <v>0</v>
      </c>
      <c r="M227" s="778">
        <v>0</v>
      </c>
      <c r="N227" s="778">
        <v>0</v>
      </c>
      <c r="O227" s="778">
        <v>0</v>
      </c>
      <c r="P227" s="778">
        <v>0</v>
      </c>
      <c r="Q227" s="778">
        <v>0</v>
      </c>
      <c r="R227" s="778">
        <v>0</v>
      </c>
      <c r="S227" s="618">
        <f t="shared" si="65"/>
        <v>0</v>
      </c>
      <c r="T227" s="773"/>
      <c r="U227" s="383">
        <f t="shared" si="66"/>
        <v>0</v>
      </c>
      <c r="V227" s="383"/>
      <c r="W227" s="383"/>
      <c r="X227" s="393"/>
      <c r="Y227" s="383"/>
      <c r="Z227" s="383"/>
      <c r="AA227" s="383"/>
      <c r="AB227" s="383"/>
      <c r="AC227" s="773"/>
      <c r="AD227" s="426">
        <f t="shared" si="67"/>
        <v>0</v>
      </c>
      <c r="AE227" s="773"/>
      <c r="AF227" s="781">
        <f t="shared" si="61"/>
        <v>0</v>
      </c>
    </row>
    <row r="228" spans="1:32">
      <c r="A228" s="779">
        <f t="shared" si="63"/>
        <v>214</v>
      </c>
      <c r="B228" s="423" t="s">
        <v>1063</v>
      </c>
      <c r="C228" s="423" t="s">
        <v>510</v>
      </c>
      <c r="D228" s="423" t="s">
        <v>1265</v>
      </c>
      <c r="E228" s="777" t="s">
        <v>1872</v>
      </c>
      <c r="F228" s="778">
        <v>0</v>
      </c>
      <c r="G228" s="778">
        <v>-4292.71</v>
      </c>
      <c r="H228" s="778">
        <v>-8543.41</v>
      </c>
      <c r="I228" s="778">
        <v>-1102.52</v>
      </c>
      <c r="J228" s="778">
        <v>-790.81999999999903</v>
      </c>
      <c r="K228" s="778">
        <v>-413.27999999999901</v>
      </c>
      <c r="L228" s="778">
        <v>-81.039999999999495</v>
      </c>
      <c r="M228" s="778">
        <v>-1832.6</v>
      </c>
      <c r="N228" s="778">
        <v>-1518.76</v>
      </c>
      <c r="O228" s="778">
        <v>-1263.48</v>
      </c>
      <c r="P228" s="778">
        <v>-884.72</v>
      </c>
      <c r="Q228" s="778">
        <v>-570.5</v>
      </c>
      <c r="R228" s="778">
        <v>4.5474735088646402E-13</v>
      </c>
      <c r="S228" s="618">
        <f t="shared" si="65"/>
        <v>4.5474735088646402E-13</v>
      </c>
      <c r="T228" s="773"/>
      <c r="U228" s="383">
        <f t="shared" si="66"/>
        <v>4.5474735088646402E-13</v>
      </c>
      <c r="V228" s="383"/>
      <c r="W228" s="383"/>
      <c r="X228" s="393"/>
      <c r="Y228" s="383"/>
      <c r="Z228" s="383"/>
      <c r="AA228" s="383"/>
      <c r="AB228" s="383"/>
      <c r="AC228" s="773"/>
      <c r="AD228" s="426">
        <f t="shared" si="67"/>
        <v>4.5474735088646402E-13</v>
      </c>
      <c r="AE228" s="773"/>
      <c r="AF228" s="781">
        <f t="shared" si="61"/>
        <v>0</v>
      </c>
    </row>
    <row r="229" spans="1:32">
      <c r="A229" s="779">
        <f t="shared" si="63"/>
        <v>215</v>
      </c>
      <c r="B229" s="423" t="s">
        <v>1063</v>
      </c>
      <c r="C229" s="423" t="s">
        <v>510</v>
      </c>
      <c r="D229" s="423" t="s">
        <v>406</v>
      </c>
      <c r="E229" s="777" t="s">
        <v>1873</v>
      </c>
      <c r="F229" s="778">
        <v>-2.2737367544323201E-13</v>
      </c>
      <c r="G229" s="778">
        <v>2485.65</v>
      </c>
      <c r="H229" s="778">
        <v>7085.65</v>
      </c>
      <c r="I229" s="778">
        <v>0</v>
      </c>
      <c r="J229" s="778">
        <v>0</v>
      </c>
      <c r="K229" s="778">
        <v>0</v>
      </c>
      <c r="L229" s="778">
        <v>0</v>
      </c>
      <c r="M229" s="778">
        <v>0</v>
      </c>
      <c r="N229" s="778">
        <v>0</v>
      </c>
      <c r="O229" s="778">
        <v>0</v>
      </c>
      <c r="P229" s="778">
        <v>0</v>
      </c>
      <c r="Q229" s="778">
        <v>0</v>
      </c>
      <c r="R229" s="778">
        <v>0</v>
      </c>
      <c r="S229" s="618">
        <f t="shared" si="65"/>
        <v>0</v>
      </c>
      <c r="T229" s="773"/>
      <c r="U229" s="383">
        <f t="shared" si="66"/>
        <v>0</v>
      </c>
      <c r="V229" s="383"/>
      <c r="W229" s="383"/>
      <c r="X229" s="393"/>
      <c r="Y229" s="383"/>
      <c r="Z229" s="383"/>
      <c r="AA229" s="383"/>
      <c r="AB229" s="383"/>
      <c r="AC229" s="773"/>
      <c r="AD229" s="426">
        <f t="shared" si="67"/>
        <v>0</v>
      </c>
      <c r="AE229" s="773"/>
      <c r="AF229" s="781">
        <f t="shared" si="61"/>
        <v>0</v>
      </c>
    </row>
    <row r="230" spans="1:32">
      <c r="A230" s="779">
        <f t="shared" si="63"/>
        <v>216</v>
      </c>
      <c r="B230" s="423" t="s">
        <v>1063</v>
      </c>
      <c r="C230" s="423" t="s">
        <v>510</v>
      </c>
      <c r="D230" s="423" t="s">
        <v>1266</v>
      </c>
      <c r="E230" s="777" t="s">
        <v>1874</v>
      </c>
      <c r="F230" s="778">
        <v>1.4210854715202001E-14</v>
      </c>
      <c r="G230" s="778">
        <v>-117.07</v>
      </c>
      <c r="H230" s="778">
        <v>35.630000000000003</v>
      </c>
      <c r="I230" s="778">
        <v>-7.1054273576010003E-15</v>
      </c>
      <c r="J230" s="778">
        <v>2569.6</v>
      </c>
      <c r="K230" s="778">
        <v>2569.6</v>
      </c>
      <c r="L230" s="778">
        <v>0</v>
      </c>
      <c r="M230" s="778">
        <v>0</v>
      </c>
      <c r="N230" s="778">
        <v>0</v>
      </c>
      <c r="O230" s="778">
        <v>0</v>
      </c>
      <c r="P230" s="778">
        <v>0</v>
      </c>
      <c r="Q230" s="778">
        <v>0</v>
      </c>
      <c r="R230" s="778">
        <v>0</v>
      </c>
      <c r="S230" s="618">
        <f t="shared" si="65"/>
        <v>0</v>
      </c>
      <c r="T230" s="773"/>
      <c r="U230" s="383">
        <f t="shared" si="66"/>
        <v>0</v>
      </c>
      <c r="V230" s="383"/>
      <c r="W230" s="383"/>
      <c r="X230" s="393"/>
      <c r="Y230" s="383"/>
      <c r="Z230" s="383"/>
      <c r="AA230" s="383"/>
      <c r="AB230" s="383"/>
      <c r="AC230" s="773"/>
      <c r="AD230" s="426">
        <f t="shared" si="67"/>
        <v>0</v>
      </c>
      <c r="AE230" s="773"/>
      <c r="AF230" s="781">
        <f t="shared" si="61"/>
        <v>0</v>
      </c>
    </row>
    <row r="231" spans="1:32">
      <c r="A231" s="779">
        <f t="shared" si="63"/>
        <v>217</v>
      </c>
      <c r="B231" s="423" t="s">
        <v>1063</v>
      </c>
      <c r="C231" s="423" t="s">
        <v>510</v>
      </c>
      <c r="D231" s="657" t="s">
        <v>581</v>
      </c>
      <c r="E231" s="777" t="s">
        <v>1875</v>
      </c>
      <c r="F231" s="778">
        <v>5.6843418860808002E-14</v>
      </c>
      <c r="G231" s="778">
        <v>-2420.94</v>
      </c>
      <c r="H231" s="778">
        <v>-1900.79</v>
      </c>
      <c r="I231" s="778">
        <v>-1524.87</v>
      </c>
      <c r="J231" s="778">
        <v>-1087.28</v>
      </c>
      <c r="K231" s="778">
        <v>-675.12</v>
      </c>
      <c r="L231" s="778">
        <v>-222.42</v>
      </c>
      <c r="M231" s="778">
        <v>-2594.8200000000002</v>
      </c>
      <c r="N231" s="778">
        <v>-2068.52</v>
      </c>
      <c r="O231" s="778">
        <v>-1750.23</v>
      </c>
      <c r="P231" s="778">
        <v>-1359.32</v>
      </c>
      <c r="Q231" s="778">
        <v>-1020.51</v>
      </c>
      <c r="R231" s="778">
        <v>-4.5474735088646402E-13</v>
      </c>
      <c r="S231" s="618">
        <f t="shared" si="65"/>
        <v>-4.5474735088646402E-13</v>
      </c>
      <c r="T231" s="773"/>
      <c r="U231" s="383">
        <f t="shared" si="66"/>
        <v>-4.5474735088646402E-13</v>
      </c>
      <c r="V231" s="383"/>
      <c r="W231" s="383"/>
      <c r="X231" s="393"/>
      <c r="Y231" s="383"/>
      <c r="Z231" s="383"/>
      <c r="AA231" s="383"/>
      <c r="AB231" s="383"/>
      <c r="AC231" s="773"/>
      <c r="AD231" s="426">
        <f t="shared" si="67"/>
        <v>-4.5474735088646402E-13</v>
      </c>
      <c r="AE231" s="773"/>
      <c r="AF231" s="781">
        <f t="shared" si="61"/>
        <v>0</v>
      </c>
    </row>
    <row r="232" spans="1:32">
      <c r="A232" s="779">
        <f t="shared" si="63"/>
        <v>218</v>
      </c>
      <c r="B232" s="423" t="s">
        <v>1063</v>
      </c>
      <c r="C232" s="423" t="s">
        <v>510</v>
      </c>
      <c r="D232" s="423" t="s">
        <v>1267</v>
      </c>
      <c r="E232" s="777" t="s">
        <v>1876</v>
      </c>
      <c r="F232" s="778">
        <v>5.6843418860808002E-14</v>
      </c>
      <c r="G232" s="778">
        <v>-620.12</v>
      </c>
      <c r="H232" s="778">
        <v>-1662.86</v>
      </c>
      <c r="I232" s="778">
        <v>-229.36</v>
      </c>
      <c r="J232" s="778">
        <v>487</v>
      </c>
      <c r="K232" s="778">
        <v>540.66</v>
      </c>
      <c r="L232" s="778">
        <v>613.07000000000005</v>
      </c>
      <c r="M232" s="778">
        <v>230.59</v>
      </c>
      <c r="N232" s="778">
        <v>279.41000000000003</v>
      </c>
      <c r="O232" s="778">
        <v>344.74</v>
      </c>
      <c r="P232" s="778">
        <v>394.87</v>
      </c>
      <c r="Q232" s="778">
        <v>439.52</v>
      </c>
      <c r="R232" s="778">
        <v>-2.2737367544323201E-13</v>
      </c>
      <c r="S232" s="618">
        <f t="shared" si="65"/>
        <v>-2.2737367544323201E-13</v>
      </c>
      <c r="T232" s="773"/>
      <c r="U232" s="383">
        <f t="shared" si="66"/>
        <v>-2.2737367544323201E-13</v>
      </c>
      <c r="V232" s="383"/>
      <c r="W232" s="383"/>
      <c r="X232" s="393"/>
      <c r="Y232" s="383"/>
      <c r="Z232" s="383"/>
      <c r="AA232" s="383"/>
      <c r="AB232" s="383"/>
      <c r="AC232" s="773"/>
      <c r="AD232" s="426">
        <f t="shared" si="67"/>
        <v>-2.2737367544323201E-13</v>
      </c>
      <c r="AE232" s="773"/>
      <c r="AF232" s="781">
        <f t="shared" si="61"/>
        <v>0</v>
      </c>
    </row>
    <row r="233" spans="1:32">
      <c r="A233" s="779">
        <f t="shared" si="63"/>
        <v>219</v>
      </c>
      <c r="B233" s="423" t="s">
        <v>1063</v>
      </c>
      <c r="C233" s="423" t="s">
        <v>510</v>
      </c>
      <c r="D233" s="423" t="s">
        <v>1268</v>
      </c>
      <c r="E233" s="777" t="s">
        <v>1877</v>
      </c>
      <c r="F233" s="778">
        <v>0</v>
      </c>
      <c r="G233" s="778">
        <v>240</v>
      </c>
      <c r="H233" s="778">
        <v>1368.18</v>
      </c>
      <c r="I233" s="778">
        <v>0</v>
      </c>
      <c r="J233" s="778">
        <v>0</v>
      </c>
      <c r="K233" s="778">
        <v>0</v>
      </c>
      <c r="L233" s="778">
        <v>0</v>
      </c>
      <c r="M233" s="778">
        <v>0</v>
      </c>
      <c r="N233" s="778">
        <v>0</v>
      </c>
      <c r="O233" s="778">
        <v>0</v>
      </c>
      <c r="P233" s="778">
        <v>0</v>
      </c>
      <c r="Q233" s="778">
        <v>0</v>
      </c>
      <c r="R233" s="778">
        <v>0</v>
      </c>
      <c r="S233" s="618">
        <f t="shared" si="65"/>
        <v>0</v>
      </c>
      <c r="T233" s="773"/>
      <c r="U233" s="383">
        <f t="shared" si="66"/>
        <v>0</v>
      </c>
      <c r="V233" s="383"/>
      <c r="W233" s="383"/>
      <c r="X233" s="393"/>
      <c r="Y233" s="383"/>
      <c r="Z233" s="383"/>
      <c r="AA233" s="383"/>
      <c r="AB233" s="383"/>
      <c r="AC233" s="773"/>
      <c r="AD233" s="426">
        <f t="shared" si="67"/>
        <v>0</v>
      </c>
      <c r="AE233" s="773"/>
      <c r="AF233" s="781">
        <f t="shared" si="61"/>
        <v>0</v>
      </c>
    </row>
    <row r="234" spans="1:32">
      <c r="A234" s="779">
        <f t="shared" si="63"/>
        <v>220</v>
      </c>
      <c r="B234" s="423" t="s">
        <v>1063</v>
      </c>
      <c r="C234" s="423" t="s">
        <v>510</v>
      </c>
      <c r="D234" s="423" t="s">
        <v>649</v>
      </c>
      <c r="E234" s="777" t="s">
        <v>1878</v>
      </c>
      <c r="F234" s="778">
        <v>-6.2172489379008804E-14</v>
      </c>
      <c r="G234" s="778">
        <v>-684.42</v>
      </c>
      <c r="H234" s="778">
        <v>-535.55999999999995</v>
      </c>
      <c r="I234" s="778">
        <v>-375.68</v>
      </c>
      <c r="J234" s="778">
        <v>-241.59</v>
      </c>
      <c r="K234" s="778">
        <v>-160.52000000000001</v>
      </c>
      <c r="L234" s="778">
        <v>-57.19</v>
      </c>
      <c r="M234" s="778">
        <v>-700.39</v>
      </c>
      <c r="N234" s="778">
        <v>-561.44000000000005</v>
      </c>
      <c r="O234" s="778">
        <v>-474</v>
      </c>
      <c r="P234" s="778">
        <v>-384.51</v>
      </c>
      <c r="Q234" s="778">
        <v>-299.86</v>
      </c>
      <c r="R234" s="778">
        <v>0</v>
      </c>
      <c r="S234" s="618">
        <f t="shared" si="65"/>
        <v>0</v>
      </c>
      <c r="T234" s="773"/>
      <c r="U234" s="383">
        <f t="shared" si="66"/>
        <v>0</v>
      </c>
      <c r="V234" s="383"/>
      <c r="W234" s="383"/>
      <c r="X234" s="393"/>
      <c r="Y234" s="383"/>
      <c r="Z234" s="383"/>
      <c r="AA234" s="383"/>
      <c r="AB234" s="383"/>
      <c r="AC234" s="773"/>
      <c r="AD234" s="426">
        <f t="shared" si="67"/>
        <v>0</v>
      </c>
      <c r="AE234" s="773"/>
      <c r="AF234" s="781">
        <f t="shared" si="61"/>
        <v>0</v>
      </c>
    </row>
    <row r="235" spans="1:32">
      <c r="A235" s="779">
        <f t="shared" si="63"/>
        <v>221</v>
      </c>
      <c r="B235" s="423" t="s">
        <v>1063</v>
      </c>
      <c r="C235" s="423" t="s">
        <v>510</v>
      </c>
      <c r="D235" s="423" t="s">
        <v>1247</v>
      </c>
      <c r="E235" s="777" t="s">
        <v>1879</v>
      </c>
      <c r="F235" s="778">
        <v>-1.7763568394002501E-15</v>
      </c>
      <c r="G235" s="778">
        <v>-20.88</v>
      </c>
      <c r="H235" s="778">
        <v>-17.399999999999999</v>
      </c>
      <c r="I235" s="778">
        <v>-13.92</v>
      </c>
      <c r="J235" s="778">
        <v>-11</v>
      </c>
      <c r="K235" s="778">
        <v>-7</v>
      </c>
      <c r="L235" s="778">
        <v>-49.78</v>
      </c>
      <c r="M235" s="778">
        <v>-70.14</v>
      </c>
      <c r="N235" s="778">
        <v>-66.739999999999995</v>
      </c>
      <c r="O235" s="778">
        <v>-63.34</v>
      </c>
      <c r="P235" s="778">
        <v>-59.66</v>
      </c>
      <c r="Q235" s="778">
        <v>-57.14</v>
      </c>
      <c r="R235" s="778">
        <v>7.1054273576010003E-15</v>
      </c>
      <c r="S235" s="618">
        <f t="shared" si="65"/>
        <v>7.1054273576010003E-15</v>
      </c>
      <c r="T235" s="773"/>
      <c r="U235" s="383">
        <f t="shared" si="66"/>
        <v>7.1054273576010003E-15</v>
      </c>
      <c r="V235" s="383"/>
      <c r="W235" s="383"/>
      <c r="X235" s="393"/>
      <c r="Y235" s="383"/>
      <c r="Z235" s="383"/>
      <c r="AA235" s="383"/>
      <c r="AB235" s="383"/>
      <c r="AC235" s="773"/>
      <c r="AD235" s="426">
        <f t="shared" si="67"/>
        <v>7.1054273576010003E-15</v>
      </c>
      <c r="AE235" s="773"/>
      <c r="AF235" s="781">
        <f t="shared" si="61"/>
        <v>0</v>
      </c>
    </row>
    <row r="236" spans="1:32">
      <c r="A236" s="779">
        <f t="shared" si="63"/>
        <v>222</v>
      </c>
      <c r="B236" s="423" t="s">
        <v>1063</v>
      </c>
      <c r="C236" s="423" t="s">
        <v>510</v>
      </c>
      <c r="D236" s="779" t="s">
        <v>1269</v>
      </c>
      <c r="E236" s="777" t="s">
        <v>1880</v>
      </c>
      <c r="F236" s="778">
        <v>1.8189894035458601E-12</v>
      </c>
      <c r="G236" s="778">
        <v>-594.38</v>
      </c>
      <c r="H236" s="778">
        <v>-1110.3800000000001</v>
      </c>
      <c r="I236" s="778">
        <v>-1673.78</v>
      </c>
      <c r="J236" s="778">
        <v>-2210.85</v>
      </c>
      <c r="K236" s="778">
        <v>-2795.1</v>
      </c>
      <c r="L236" s="778">
        <v>-3331.2</v>
      </c>
      <c r="M236" s="778">
        <v>-3971.03</v>
      </c>
      <c r="N236" s="778">
        <v>-4560</v>
      </c>
      <c r="O236" s="778">
        <v>-5073</v>
      </c>
      <c r="P236" s="778">
        <v>-5593.05</v>
      </c>
      <c r="Q236" s="778">
        <v>-6166.13</v>
      </c>
      <c r="R236" s="778">
        <v>0</v>
      </c>
      <c r="S236" s="618">
        <f t="shared" si="65"/>
        <v>0</v>
      </c>
      <c r="T236" s="773"/>
      <c r="U236" s="383">
        <f t="shared" si="66"/>
        <v>0</v>
      </c>
      <c r="V236" s="383"/>
      <c r="W236" s="383"/>
      <c r="X236" s="393"/>
      <c r="Y236" s="383"/>
      <c r="Z236" s="383"/>
      <c r="AA236" s="383"/>
      <c r="AB236" s="383"/>
      <c r="AC236" s="773"/>
      <c r="AD236" s="426">
        <f t="shared" si="67"/>
        <v>0</v>
      </c>
      <c r="AE236" s="773"/>
      <c r="AF236" s="781">
        <f t="shared" si="61"/>
        <v>0</v>
      </c>
    </row>
    <row r="237" spans="1:32">
      <c r="A237" s="779">
        <f t="shared" si="63"/>
        <v>223</v>
      </c>
      <c r="B237" s="423" t="s">
        <v>1063</v>
      </c>
      <c r="C237" s="423" t="s">
        <v>510</v>
      </c>
      <c r="D237" s="423" t="s">
        <v>1270</v>
      </c>
      <c r="E237" s="777" t="s">
        <v>1881</v>
      </c>
      <c r="F237" s="778">
        <v>0</v>
      </c>
      <c r="G237" s="778">
        <v>-3885.69</v>
      </c>
      <c r="H237" s="778">
        <v>-6246.98</v>
      </c>
      <c r="I237" s="778">
        <v>-1382.39</v>
      </c>
      <c r="J237" s="778">
        <v>-1546.73</v>
      </c>
      <c r="K237" s="778">
        <v>-1645.87</v>
      </c>
      <c r="L237" s="778">
        <v>-1634.43</v>
      </c>
      <c r="M237" s="778">
        <v>-2205.77</v>
      </c>
      <c r="N237" s="778">
        <v>-2465.0100000000002</v>
      </c>
      <c r="O237" s="778">
        <v>-2024.71</v>
      </c>
      <c r="P237" s="778">
        <v>-1751.01</v>
      </c>
      <c r="Q237" s="778">
        <v>-1200.27</v>
      </c>
      <c r="R237" s="778">
        <v>6.8212102632969598E-13</v>
      </c>
      <c r="S237" s="618">
        <f t="shared" si="65"/>
        <v>6.8212102632969598E-13</v>
      </c>
      <c r="T237" s="773"/>
      <c r="U237" s="383">
        <f t="shared" si="66"/>
        <v>6.8212102632969598E-13</v>
      </c>
      <c r="V237" s="383"/>
      <c r="W237" s="383"/>
      <c r="X237" s="393"/>
      <c r="Y237" s="383"/>
      <c r="Z237" s="383"/>
      <c r="AA237" s="383"/>
      <c r="AB237" s="383"/>
      <c r="AC237" s="773"/>
      <c r="AD237" s="426">
        <f t="shared" si="67"/>
        <v>6.8212102632969598E-13</v>
      </c>
      <c r="AE237" s="773"/>
      <c r="AF237" s="781">
        <f t="shared" si="61"/>
        <v>0</v>
      </c>
    </row>
    <row r="238" spans="1:32">
      <c r="A238" s="779">
        <f t="shared" si="63"/>
        <v>224</v>
      </c>
      <c r="B238" s="423" t="s">
        <v>1063</v>
      </c>
      <c r="C238" s="423" t="s">
        <v>510</v>
      </c>
      <c r="D238" s="423" t="s">
        <v>1271</v>
      </c>
      <c r="E238" s="777" t="s">
        <v>1882</v>
      </c>
      <c r="F238" s="778">
        <v>0</v>
      </c>
      <c r="G238" s="778">
        <v>2646.24</v>
      </c>
      <c r="H238" s="778">
        <v>5050.63</v>
      </c>
      <c r="I238" s="778">
        <v>-9.0949470177292804E-13</v>
      </c>
      <c r="J238" s="778">
        <v>-9.0949470177292804E-13</v>
      </c>
      <c r="K238" s="778">
        <v>-9.0949470177292804E-13</v>
      </c>
      <c r="L238" s="778">
        <v>-9.0949470177292804E-13</v>
      </c>
      <c r="M238" s="778">
        <v>-9.0949470177292804E-13</v>
      </c>
      <c r="N238" s="778">
        <v>-9.0949470177292804E-13</v>
      </c>
      <c r="O238" s="778">
        <v>-9.0949470177292804E-13</v>
      </c>
      <c r="P238" s="778">
        <v>-9.0949470177292804E-13</v>
      </c>
      <c r="Q238" s="778">
        <v>-9.0949470177292804E-13</v>
      </c>
      <c r="R238" s="778">
        <v>-9.0949470177292804E-13</v>
      </c>
      <c r="S238" s="618">
        <f t="shared" si="65"/>
        <v>-9.0949470177292804E-13</v>
      </c>
      <c r="T238" s="773"/>
      <c r="U238" s="383">
        <f t="shared" si="66"/>
        <v>-9.0949470177292804E-13</v>
      </c>
      <c r="V238" s="383"/>
      <c r="W238" s="383"/>
      <c r="X238" s="393"/>
      <c r="Y238" s="383"/>
      <c r="Z238" s="383"/>
      <c r="AA238" s="383"/>
      <c r="AB238" s="383"/>
      <c r="AC238" s="773"/>
      <c r="AD238" s="426">
        <f t="shared" si="67"/>
        <v>-9.0949470177292804E-13</v>
      </c>
      <c r="AE238" s="773"/>
      <c r="AF238" s="781">
        <f t="shared" si="61"/>
        <v>0</v>
      </c>
    </row>
    <row r="239" spans="1:32">
      <c r="A239" s="779">
        <f t="shared" si="63"/>
        <v>225</v>
      </c>
      <c r="B239" s="423" t="s">
        <v>1063</v>
      </c>
      <c r="C239" s="423" t="s">
        <v>510</v>
      </c>
      <c r="D239" s="423" t="s">
        <v>1272</v>
      </c>
      <c r="E239" s="777" t="s">
        <v>1883</v>
      </c>
      <c r="F239" s="778">
        <v>-4.5474735088646402E-13</v>
      </c>
      <c r="G239" s="778">
        <v>-260.41000000000003</v>
      </c>
      <c r="H239" s="778">
        <v>-486.85</v>
      </c>
      <c r="I239" s="778">
        <v>-734.51</v>
      </c>
      <c r="J239" s="778">
        <v>-963.29</v>
      </c>
      <c r="K239" s="778">
        <v>-1215.33</v>
      </c>
      <c r="L239" s="778">
        <v>-1446.57</v>
      </c>
      <c r="M239" s="778">
        <v>-1722.17</v>
      </c>
      <c r="N239" s="778">
        <v>-1980.64</v>
      </c>
      <c r="O239" s="778">
        <v>-2208.1</v>
      </c>
      <c r="P239" s="778">
        <v>-2466.16</v>
      </c>
      <c r="Q239" s="778">
        <v>-2720.65</v>
      </c>
      <c r="R239" s="778">
        <v>4.5474735088646402E-13</v>
      </c>
      <c r="S239" s="618">
        <f t="shared" si="65"/>
        <v>4.5474735088646402E-13</v>
      </c>
      <c r="T239" s="779"/>
      <c r="U239" s="424">
        <f t="shared" si="66"/>
        <v>4.5474735088646402E-13</v>
      </c>
      <c r="V239" s="424"/>
      <c r="W239" s="424"/>
      <c r="X239" s="425"/>
      <c r="Y239" s="424"/>
      <c r="Z239" s="424"/>
      <c r="AA239" s="424"/>
      <c r="AB239" s="424"/>
      <c r="AC239" s="779"/>
      <c r="AD239" s="426">
        <f t="shared" si="67"/>
        <v>4.5474735088646402E-13</v>
      </c>
      <c r="AE239" s="779"/>
      <c r="AF239" s="781">
        <f t="shared" si="61"/>
        <v>0</v>
      </c>
    </row>
    <row r="240" spans="1:32">
      <c r="A240" s="779">
        <f t="shared" si="63"/>
        <v>226</v>
      </c>
      <c r="B240" s="423" t="s">
        <v>1063</v>
      </c>
      <c r="C240" s="423" t="s">
        <v>510</v>
      </c>
      <c r="D240" s="423" t="s">
        <v>83</v>
      </c>
      <c r="E240" s="777" t="s">
        <v>1884</v>
      </c>
      <c r="F240" s="778">
        <v>-8.5265128291212002E-13</v>
      </c>
      <c r="G240" s="778">
        <v>2367.6999999999998</v>
      </c>
      <c r="H240" s="778">
        <v>5937.97</v>
      </c>
      <c r="I240" s="778">
        <v>7850.44</v>
      </c>
      <c r="J240" s="778">
        <v>9979.2199999999993</v>
      </c>
      <c r="K240" s="778">
        <v>12357.84</v>
      </c>
      <c r="L240" s="778">
        <v>14571.88</v>
      </c>
      <c r="M240" s="778">
        <v>18378.07</v>
      </c>
      <c r="N240" s="778">
        <v>18308.939999999999</v>
      </c>
      <c r="O240" s="778">
        <v>0</v>
      </c>
      <c r="P240" s="778">
        <v>22545.21</v>
      </c>
      <c r="Q240" s="778">
        <v>26764.69</v>
      </c>
      <c r="R240" s="778">
        <v>0</v>
      </c>
      <c r="S240" s="618">
        <f t="shared" si="65"/>
        <v>0</v>
      </c>
      <c r="T240" s="773"/>
      <c r="U240" s="383">
        <f t="shared" si="66"/>
        <v>0</v>
      </c>
      <c r="V240" s="383"/>
      <c r="W240" s="383"/>
      <c r="X240" s="393"/>
      <c r="Y240" s="383"/>
      <c r="Z240" s="383"/>
      <c r="AA240" s="383"/>
      <c r="AB240" s="383"/>
      <c r="AC240" s="773"/>
      <c r="AD240" s="426">
        <f t="shared" si="67"/>
        <v>0</v>
      </c>
      <c r="AE240" s="773"/>
      <c r="AF240" s="781">
        <f t="shared" si="61"/>
        <v>0</v>
      </c>
    </row>
    <row r="241" spans="1:32">
      <c r="A241" s="779">
        <f t="shared" si="63"/>
        <v>227</v>
      </c>
      <c r="B241" s="423" t="s">
        <v>1063</v>
      </c>
      <c r="C241" s="423" t="s">
        <v>510</v>
      </c>
      <c r="D241" s="423" t="s">
        <v>1273</v>
      </c>
      <c r="E241" s="777" t="s">
        <v>1885</v>
      </c>
      <c r="F241" s="778">
        <v>-991.09</v>
      </c>
      <c r="G241" s="778">
        <v>-120.42</v>
      </c>
      <c r="H241" s="778">
        <v>-120.42</v>
      </c>
      <c r="I241" s="778">
        <v>-120.42</v>
      </c>
      <c r="J241" s="778">
        <v>883.12</v>
      </c>
      <c r="K241" s="778">
        <v>-1.13686837721616E-13</v>
      </c>
      <c r="L241" s="778">
        <v>-1.13686837721616E-13</v>
      </c>
      <c r="M241" s="778">
        <v>895.13</v>
      </c>
      <c r="N241" s="778">
        <v>1790.26</v>
      </c>
      <c r="O241" s="778">
        <v>-2.2737367544323201E-13</v>
      </c>
      <c r="P241" s="778">
        <v>1790.26</v>
      </c>
      <c r="Q241" s="778">
        <v>-685.07</v>
      </c>
      <c r="R241" s="778">
        <v>-1.13686837721616E-13</v>
      </c>
      <c r="S241" s="618">
        <f t="shared" si="65"/>
        <v>-1.13686837721616E-13</v>
      </c>
      <c r="T241" s="773"/>
      <c r="U241" s="383">
        <f t="shared" si="66"/>
        <v>-1.13686837721616E-13</v>
      </c>
      <c r="V241" s="383"/>
      <c r="W241" s="383"/>
      <c r="X241" s="393"/>
      <c r="Y241" s="383"/>
      <c r="Z241" s="383"/>
      <c r="AA241" s="383"/>
      <c r="AB241" s="383"/>
      <c r="AC241" s="773"/>
      <c r="AD241" s="426">
        <f t="shared" si="67"/>
        <v>-1.13686837721616E-13</v>
      </c>
      <c r="AE241" s="773"/>
      <c r="AF241" s="781">
        <f t="shared" si="61"/>
        <v>0</v>
      </c>
    </row>
    <row r="242" spans="1:32">
      <c r="A242" s="779">
        <f t="shared" si="63"/>
        <v>228</v>
      </c>
      <c r="B242" s="423" t="s">
        <v>1063</v>
      </c>
      <c r="C242" s="423" t="s">
        <v>510</v>
      </c>
      <c r="D242" s="423" t="s">
        <v>106</v>
      </c>
      <c r="E242" s="777" t="s">
        <v>1886</v>
      </c>
      <c r="F242" s="778">
        <v>-57906.559999999998</v>
      </c>
      <c r="G242" s="778">
        <v>-76279.28</v>
      </c>
      <c r="H242" s="778">
        <v>-39418.65</v>
      </c>
      <c r="I242" s="778">
        <v>-56992.27</v>
      </c>
      <c r="J242" s="778">
        <v>-73459.06</v>
      </c>
      <c r="K242" s="778">
        <v>-38524.49</v>
      </c>
      <c r="L242" s="778">
        <v>-54732.22</v>
      </c>
      <c r="M242" s="778">
        <v>-68894.009999999995</v>
      </c>
      <c r="N242" s="778">
        <v>-10450.370000000001</v>
      </c>
      <c r="O242" s="778">
        <v>-9.0949470177292808E-12</v>
      </c>
      <c r="P242" s="778">
        <v>-43242.6</v>
      </c>
      <c r="Q242" s="778">
        <v>-49864.76</v>
      </c>
      <c r="R242" s="778">
        <v>-7.2759576141834308E-12</v>
      </c>
      <c r="S242" s="618">
        <f t="shared" si="65"/>
        <v>-7.2759576141834308E-12</v>
      </c>
      <c r="T242" s="773"/>
      <c r="U242" s="383">
        <f t="shared" si="66"/>
        <v>-7.2759576141834308E-12</v>
      </c>
      <c r="V242" s="383"/>
      <c r="W242" s="383"/>
      <c r="X242" s="393"/>
      <c r="Y242" s="383"/>
      <c r="Z242" s="383"/>
      <c r="AA242" s="383"/>
      <c r="AB242" s="383"/>
      <c r="AC242" s="773"/>
      <c r="AD242" s="426">
        <f t="shared" si="67"/>
        <v>-7.2759576141834308E-12</v>
      </c>
      <c r="AE242" s="773"/>
      <c r="AF242" s="781">
        <f t="shared" si="61"/>
        <v>0</v>
      </c>
    </row>
    <row r="243" spans="1:32">
      <c r="A243" s="779">
        <f t="shared" si="63"/>
        <v>229</v>
      </c>
      <c r="B243" s="423" t="s">
        <v>382</v>
      </c>
      <c r="C243" s="423" t="s">
        <v>511</v>
      </c>
      <c r="D243" s="423" t="s">
        <v>382</v>
      </c>
      <c r="E243" s="777" t="s">
        <v>512</v>
      </c>
      <c r="F243" s="778">
        <v>98313.789999999557</v>
      </c>
      <c r="G243" s="778">
        <v>181342.5</v>
      </c>
      <c r="H243" s="778">
        <v>190218.62</v>
      </c>
      <c r="I243" s="778">
        <v>152481.63999999998</v>
      </c>
      <c r="J243" s="778">
        <v>121472.93999999999</v>
      </c>
      <c r="K243" s="778">
        <v>92550.510000000009</v>
      </c>
      <c r="L243" s="778">
        <v>6204.6399999999703</v>
      </c>
      <c r="M243" s="778">
        <v>42781.239999999991</v>
      </c>
      <c r="N243" s="778">
        <v>132846.85999999996</v>
      </c>
      <c r="O243" s="778">
        <v>111830.06999999998</v>
      </c>
      <c r="P243" s="778">
        <v>159343.88</v>
      </c>
      <c r="Q243" s="778">
        <v>234120.56</v>
      </c>
      <c r="R243" s="778">
        <v>59785.299999999981</v>
      </c>
      <c r="S243" s="618">
        <f t="shared" si="65"/>
        <v>59785.299999999981</v>
      </c>
      <c r="T243" s="773"/>
      <c r="U243" s="383">
        <f t="shared" si="66"/>
        <v>59785.299999999981</v>
      </c>
      <c r="V243" s="383"/>
      <c r="W243" s="383"/>
      <c r="X243" s="425"/>
      <c r="Y243" s="383"/>
      <c r="Z243" s="383"/>
      <c r="AA243" s="383"/>
      <c r="AB243" s="762"/>
      <c r="AC243" s="773"/>
      <c r="AD243" s="424">
        <f>+S243</f>
        <v>59785.299999999981</v>
      </c>
      <c r="AE243" s="773"/>
      <c r="AF243" s="781">
        <f t="shared" si="61"/>
        <v>0</v>
      </c>
    </row>
    <row r="244" spans="1:32">
      <c r="A244" s="779">
        <f t="shared" si="63"/>
        <v>230</v>
      </c>
      <c r="B244" s="423" t="s">
        <v>1063</v>
      </c>
      <c r="C244" s="423" t="s">
        <v>468</v>
      </c>
      <c r="D244" s="423" t="s">
        <v>1275</v>
      </c>
      <c r="E244" s="777" t="s">
        <v>1887</v>
      </c>
      <c r="F244" s="778">
        <v>2414472.8199999998</v>
      </c>
      <c r="G244" s="778">
        <v>2405799.87</v>
      </c>
      <c r="H244" s="778">
        <v>2400302.73</v>
      </c>
      <c r="I244" s="778">
        <v>2392972.9700000002</v>
      </c>
      <c r="J244" s="778">
        <v>2370630.61</v>
      </c>
      <c r="K244" s="778">
        <v>2514230.54</v>
      </c>
      <c r="L244" s="778">
        <v>2535905.41</v>
      </c>
      <c r="M244" s="778">
        <v>2556047.44</v>
      </c>
      <c r="N244" s="778">
        <v>2575415.15</v>
      </c>
      <c r="O244" s="778">
        <v>2596937.81</v>
      </c>
      <c r="P244" s="778">
        <v>2604700.02</v>
      </c>
      <c r="Q244" s="778">
        <v>2612527.48</v>
      </c>
      <c r="R244" s="778">
        <v>2988574.1</v>
      </c>
      <c r="S244" s="618">
        <f t="shared" si="65"/>
        <v>2988574.1</v>
      </c>
      <c r="T244" s="773"/>
      <c r="U244" s="383">
        <f t="shared" si="66"/>
        <v>2988574.1</v>
      </c>
      <c r="V244" s="383"/>
      <c r="W244" s="383"/>
      <c r="X244" s="393"/>
      <c r="Y244" s="383"/>
      <c r="Z244" s="383"/>
      <c r="AA244" s="383"/>
      <c r="AB244" s="383"/>
      <c r="AC244" s="773"/>
      <c r="AD244" s="426">
        <f>+U244</f>
        <v>2988574.1</v>
      </c>
      <c r="AE244" s="773"/>
      <c r="AF244" s="781">
        <f t="shared" si="61"/>
        <v>0</v>
      </c>
    </row>
    <row r="245" spans="1:32">
      <c r="A245" s="779">
        <f t="shared" si="63"/>
        <v>231</v>
      </c>
      <c r="B245" s="423" t="s">
        <v>1094</v>
      </c>
      <c r="C245" s="423" t="s">
        <v>468</v>
      </c>
      <c r="D245" s="423" t="s">
        <v>1276</v>
      </c>
      <c r="E245" s="777" t="s">
        <v>1888</v>
      </c>
      <c r="F245" s="778">
        <v>34575.51</v>
      </c>
      <c r="G245" s="778">
        <v>25809.91</v>
      </c>
      <c r="H245" s="778">
        <v>19844.240000000002</v>
      </c>
      <c r="I245" s="778">
        <v>12549.22</v>
      </c>
      <c r="J245" s="778">
        <v>7556.18</v>
      </c>
      <c r="K245" s="778">
        <v>4513.1900000000096</v>
      </c>
      <c r="L245" s="778">
        <v>2941.4100000000099</v>
      </c>
      <c r="M245" s="778">
        <v>1750.5700000000099</v>
      </c>
      <c r="N245" s="778">
        <v>713.36000000000502</v>
      </c>
      <c r="O245" s="778">
        <v>-387.14999999999498</v>
      </c>
      <c r="P245" s="778">
        <v>-2716.2599999999902</v>
      </c>
      <c r="Q245" s="778">
        <v>35525.760000000002</v>
      </c>
      <c r="R245" s="778">
        <v>29758.74</v>
      </c>
      <c r="S245" s="618">
        <f t="shared" si="65"/>
        <v>29758.74</v>
      </c>
      <c r="T245" s="773"/>
      <c r="U245" s="383"/>
      <c r="V245" s="383"/>
      <c r="W245" s="383"/>
      <c r="X245" s="393">
        <f>+S245</f>
        <v>29758.74</v>
      </c>
      <c r="Y245" s="383"/>
      <c r="Z245" s="383"/>
      <c r="AA245" s="383"/>
      <c r="AB245" s="383">
        <f>+S245</f>
        <v>29758.74</v>
      </c>
      <c r="AC245" s="773"/>
      <c r="AD245" s="417"/>
      <c r="AE245" s="773"/>
      <c r="AF245" s="781">
        <f t="shared" si="61"/>
        <v>0</v>
      </c>
    </row>
    <row r="246" spans="1:32">
      <c r="A246" s="779">
        <f t="shared" si="63"/>
        <v>232</v>
      </c>
      <c r="B246" s="423" t="s">
        <v>1094</v>
      </c>
      <c r="C246" s="423" t="s">
        <v>468</v>
      </c>
      <c r="D246" s="423" t="s">
        <v>1277</v>
      </c>
      <c r="E246" s="777" t="s">
        <v>1889</v>
      </c>
      <c r="F246" s="778">
        <v>-7.2759576141834308E-12</v>
      </c>
      <c r="G246" s="778">
        <v>39500</v>
      </c>
      <c r="H246" s="778">
        <v>39720.720000000001</v>
      </c>
      <c r="I246" s="778">
        <v>39966.449999999997</v>
      </c>
      <c r="J246" s="778">
        <v>40205.72</v>
      </c>
      <c r="K246" s="778">
        <v>40454.449999999997</v>
      </c>
      <c r="L246" s="778">
        <v>40696.639999999999</v>
      </c>
      <c r="M246" s="778">
        <v>40948.410000000003</v>
      </c>
      <c r="N246" s="778">
        <v>43201.73</v>
      </c>
      <c r="O246" s="778">
        <v>43460.37</v>
      </c>
      <c r="P246" s="778">
        <v>43729.23</v>
      </c>
      <c r="Q246" s="778">
        <v>2036.53000000001</v>
      </c>
      <c r="R246" s="778">
        <v>2049.1300000000101</v>
      </c>
      <c r="S246" s="618">
        <f t="shared" si="65"/>
        <v>2049.1300000000101</v>
      </c>
      <c r="T246" s="779"/>
      <c r="U246" s="424"/>
      <c r="V246" s="424"/>
      <c r="W246" s="424"/>
      <c r="X246" s="393">
        <f t="shared" ref="X246:X247" si="68">+S246</f>
        <v>2049.1300000000101</v>
      </c>
      <c r="Y246" s="424"/>
      <c r="Z246" s="424"/>
      <c r="AA246" s="424"/>
      <c r="AB246" s="383">
        <f t="shared" ref="AB246:AB247" si="69">+S246</f>
        <v>2049.1300000000101</v>
      </c>
      <c r="AC246" s="779"/>
      <c r="AD246" s="426"/>
      <c r="AE246" s="779"/>
      <c r="AF246" s="781">
        <f t="shared" si="61"/>
        <v>0</v>
      </c>
    </row>
    <row r="247" spans="1:32">
      <c r="A247" s="779">
        <f t="shared" si="63"/>
        <v>233</v>
      </c>
      <c r="B247" s="423" t="s">
        <v>1094</v>
      </c>
      <c r="C247" s="423" t="s">
        <v>468</v>
      </c>
      <c r="D247" s="423" t="s">
        <v>1278</v>
      </c>
      <c r="E247" s="777" t="s">
        <v>1890</v>
      </c>
      <c r="F247" s="778">
        <v>24066.33</v>
      </c>
      <c r="G247" s="778">
        <v>21291.01</v>
      </c>
      <c r="H247" s="778">
        <v>19108.43</v>
      </c>
      <c r="I247" s="778">
        <v>16323.19</v>
      </c>
      <c r="J247" s="778">
        <v>14062.5</v>
      </c>
      <c r="K247" s="778">
        <v>12028.85</v>
      </c>
      <c r="L247" s="778">
        <v>9828.7800000000007</v>
      </c>
      <c r="M247" s="778">
        <v>7773.7</v>
      </c>
      <c r="N247" s="778">
        <v>5805.16</v>
      </c>
      <c r="O247" s="778">
        <v>3670.75</v>
      </c>
      <c r="P247" s="778">
        <v>1104.74</v>
      </c>
      <c r="Q247" s="778">
        <v>3573.57</v>
      </c>
      <c r="R247" s="778">
        <v>3298.72</v>
      </c>
      <c r="S247" s="618">
        <f t="shared" si="65"/>
        <v>3298.72</v>
      </c>
      <c r="T247" s="779"/>
      <c r="U247" s="424"/>
      <c r="V247" s="424"/>
      <c r="W247" s="424"/>
      <c r="X247" s="393">
        <f t="shared" si="68"/>
        <v>3298.72</v>
      </c>
      <c r="Y247" s="424"/>
      <c r="Z247" s="424"/>
      <c r="AA247" s="424"/>
      <c r="AB247" s="383">
        <f t="shared" si="69"/>
        <v>3298.72</v>
      </c>
      <c r="AC247" s="779"/>
      <c r="AD247" s="426"/>
      <c r="AE247" s="779"/>
      <c r="AF247" s="781">
        <f t="shared" si="61"/>
        <v>0</v>
      </c>
    </row>
    <row r="248" spans="1:32">
      <c r="A248" s="779">
        <f t="shared" si="63"/>
        <v>234</v>
      </c>
      <c r="B248" s="423" t="s">
        <v>1094</v>
      </c>
      <c r="C248" s="423" t="s">
        <v>468</v>
      </c>
      <c r="D248" s="423" t="s">
        <v>1279</v>
      </c>
      <c r="E248" s="777" t="s">
        <v>1889</v>
      </c>
      <c r="F248" s="778">
        <v>7.2759576141834308E-12</v>
      </c>
      <c r="G248" s="778">
        <v>2756.75</v>
      </c>
      <c r="H248" s="778">
        <v>2772.15</v>
      </c>
      <c r="I248" s="778">
        <v>2789.3</v>
      </c>
      <c r="J248" s="778">
        <v>2806</v>
      </c>
      <c r="K248" s="778">
        <v>2823.36</v>
      </c>
      <c r="L248" s="778">
        <v>2840.26</v>
      </c>
      <c r="M248" s="778">
        <v>2857.83</v>
      </c>
      <c r="N248" s="778">
        <v>2875.51</v>
      </c>
      <c r="O248" s="778">
        <v>2892.73</v>
      </c>
      <c r="P248" s="778">
        <v>9886.2099999999991</v>
      </c>
      <c r="Q248" s="778">
        <v>7017.34</v>
      </c>
      <c r="R248" s="778">
        <v>7060.75</v>
      </c>
      <c r="S248" s="618">
        <f t="shared" si="65"/>
        <v>7060.75</v>
      </c>
      <c r="T248" s="773"/>
      <c r="U248" s="392"/>
      <c r="V248" s="383"/>
      <c r="W248" s="383"/>
      <c r="X248" s="393">
        <f>+R248</f>
        <v>7060.75</v>
      </c>
      <c r="Y248" s="383"/>
      <c r="Z248" s="383"/>
      <c r="AA248" s="383"/>
      <c r="AB248" s="756">
        <f>+R248</f>
        <v>7060.75</v>
      </c>
      <c r="AC248" s="773"/>
      <c r="AD248" s="424"/>
      <c r="AE248" s="773"/>
      <c r="AF248" s="781">
        <f t="shared" si="61"/>
        <v>0</v>
      </c>
    </row>
    <row r="249" spans="1:32">
      <c r="A249" s="779">
        <f t="shared" si="63"/>
        <v>235</v>
      </c>
      <c r="B249" s="423" t="s">
        <v>1066</v>
      </c>
      <c r="C249" s="423" t="s">
        <v>468</v>
      </c>
      <c r="D249" s="423" t="s">
        <v>1280</v>
      </c>
      <c r="E249" s="777" t="s">
        <v>1893</v>
      </c>
      <c r="F249" s="778">
        <v>16285659.689999999</v>
      </c>
      <c r="G249" s="778">
        <v>16289004.07</v>
      </c>
      <c r="H249" s="778">
        <v>16264484.9</v>
      </c>
      <c r="I249" s="778">
        <v>16189573.91</v>
      </c>
      <c r="J249" s="778">
        <v>16218041.33</v>
      </c>
      <c r="K249" s="778">
        <v>16124887.07</v>
      </c>
      <c r="L249" s="778">
        <v>16124887.07</v>
      </c>
      <c r="M249" s="778">
        <v>16128251.859999999</v>
      </c>
      <c r="N249" s="778">
        <v>15487946.050000001</v>
      </c>
      <c r="O249" s="778">
        <v>15503598.550000001</v>
      </c>
      <c r="P249" s="778">
        <v>14060621.75</v>
      </c>
      <c r="Q249" s="778">
        <v>14082715.25</v>
      </c>
      <c r="R249" s="778">
        <v>14082715.25</v>
      </c>
      <c r="S249" s="618">
        <f t="shared" si="65"/>
        <v>14082715.25</v>
      </c>
      <c r="T249" s="773"/>
      <c r="U249" s="392">
        <f>+S249</f>
        <v>14082715.25</v>
      </c>
      <c r="V249" s="424"/>
      <c r="W249" s="424"/>
      <c r="X249" s="425"/>
      <c r="Y249" s="424"/>
      <c r="Z249" s="424"/>
      <c r="AA249" s="424"/>
      <c r="AB249" s="513"/>
      <c r="AC249" s="779"/>
      <c r="AD249" s="424">
        <f>+S249</f>
        <v>14082715.25</v>
      </c>
      <c r="AE249" s="773"/>
      <c r="AF249" s="781">
        <f t="shared" si="61"/>
        <v>0</v>
      </c>
    </row>
    <row r="250" spans="1:32">
      <c r="A250" s="779">
        <f t="shared" si="63"/>
        <v>236</v>
      </c>
      <c r="B250" s="423" t="s">
        <v>1066</v>
      </c>
      <c r="C250" s="423" t="s">
        <v>468</v>
      </c>
      <c r="D250" s="423" t="s">
        <v>1699</v>
      </c>
      <c r="E250" s="777" t="s">
        <v>1894</v>
      </c>
      <c r="F250" s="778">
        <v>0</v>
      </c>
      <c r="G250" s="778">
        <v>0</v>
      </c>
      <c r="H250" s="778">
        <v>0</v>
      </c>
      <c r="I250" s="778">
        <v>0</v>
      </c>
      <c r="J250" s="778">
        <v>0</v>
      </c>
      <c r="K250" s="778">
        <v>0</v>
      </c>
      <c r="L250" s="778">
        <v>466500</v>
      </c>
      <c r="M250" s="778">
        <v>466500</v>
      </c>
      <c r="N250" s="778">
        <v>466500</v>
      </c>
      <c r="O250" s="778">
        <v>466500</v>
      </c>
      <c r="P250" s="778">
        <v>466500</v>
      </c>
      <c r="Q250" s="778">
        <v>466500</v>
      </c>
      <c r="R250" s="778">
        <v>466500</v>
      </c>
      <c r="S250" s="618">
        <f t="shared" si="65"/>
        <v>466500</v>
      </c>
      <c r="T250" s="773"/>
      <c r="U250" s="392">
        <f>+S250</f>
        <v>466500</v>
      </c>
      <c r="V250" s="424"/>
      <c r="W250" s="424"/>
      <c r="X250" s="425"/>
      <c r="Y250" s="424"/>
      <c r="Z250" s="424"/>
      <c r="AA250" s="424"/>
      <c r="AB250" s="513"/>
      <c r="AC250" s="779"/>
      <c r="AD250" s="424">
        <f>+S250</f>
        <v>466500</v>
      </c>
      <c r="AE250" s="773"/>
      <c r="AF250" s="781">
        <f t="shared" si="61"/>
        <v>0</v>
      </c>
    </row>
    <row r="251" spans="1:32">
      <c r="A251" s="779">
        <f t="shared" si="63"/>
        <v>237</v>
      </c>
      <c r="B251" s="423" t="s">
        <v>1094</v>
      </c>
      <c r="C251" s="423" t="s">
        <v>468</v>
      </c>
      <c r="D251" s="423" t="s">
        <v>1281</v>
      </c>
      <c r="E251" s="777" t="s">
        <v>1891</v>
      </c>
      <c r="F251" s="778">
        <v>1801565.66</v>
      </c>
      <c r="G251" s="778">
        <v>1807322.83</v>
      </c>
      <c r="H251" s="778">
        <v>1806118.35</v>
      </c>
      <c r="I251" s="778">
        <v>1872773.75</v>
      </c>
      <c r="J251" s="778">
        <v>1819592.15</v>
      </c>
      <c r="K251" s="778">
        <v>1818776.4</v>
      </c>
      <c r="L251" s="778">
        <v>1819924.72</v>
      </c>
      <c r="M251" s="778">
        <v>1823117.1</v>
      </c>
      <c r="N251" s="778">
        <v>1868103.47</v>
      </c>
      <c r="O251" s="778">
        <v>1871905.13</v>
      </c>
      <c r="P251" s="778">
        <v>1864078.78</v>
      </c>
      <c r="Q251" s="778">
        <v>1878314.93</v>
      </c>
      <c r="R251" s="778">
        <v>1883502.85</v>
      </c>
      <c r="S251" s="618">
        <f t="shared" si="65"/>
        <v>1883502.85</v>
      </c>
      <c r="T251" s="773"/>
      <c r="U251" s="392"/>
      <c r="V251" s="424"/>
      <c r="W251" s="424"/>
      <c r="X251" s="425">
        <f t="shared" ref="X251:X267" si="70">+S251</f>
        <v>1883502.85</v>
      </c>
      <c r="Y251" s="424"/>
      <c r="Z251" s="424"/>
      <c r="AA251" s="424"/>
      <c r="AB251" s="424">
        <f t="shared" ref="AB251:AB267" si="71">+S251</f>
        <v>1883502.85</v>
      </c>
      <c r="AC251" s="779"/>
      <c r="AD251" s="426"/>
      <c r="AE251" s="773"/>
      <c r="AF251" s="781">
        <f t="shared" si="61"/>
        <v>0</v>
      </c>
    </row>
    <row r="252" spans="1:32">
      <c r="A252" s="779">
        <f t="shared" si="63"/>
        <v>238</v>
      </c>
      <c r="B252" s="423" t="s">
        <v>1066</v>
      </c>
      <c r="C252" s="423" t="s">
        <v>468</v>
      </c>
      <c r="D252" s="423" t="s">
        <v>1283</v>
      </c>
      <c r="E252" s="777" t="s">
        <v>1895</v>
      </c>
      <c r="F252" s="778">
        <v>6038694.4900000002</v>
      </c>
      <c r="G252" s="778">
        <v>6064955.6500000004</v>
      </c>
      <c r="H252" s="778">
        <v>6082352.1299999999</v>
      </c>
      <c r="I252" s="778">
        <v>6420363.6900000004</v>
      </c>
      <c r="J252" s="778">
        <v>6572098.1799999997</v>
      </c>
      <c r="K252" s="778">
        <v>5651597.4699999997</v>
      </c>
      <c r="L252" s="778">
        <v>5791226.9500000002</v>
      </c>
      <c r="M252" s="778">
        <v>5875649.1399999997</v>
      </c>
      <c r="N252" s="778">
        <v>904757.700000001</v>
      </c>
      <c r="O252" s="778">
        <v>1878830.87</v>
      </c>
      <c r="P252" s="778">
        <v>2436647.81</v>
      </c>
      <c r="Q252" s="778">
        <v>2552903.35</v>
      </c>
      <c r="R252" s="778">
        <v>5432079.7599999998</v>
      </c>
      <c r="S252" s="618">
        <f t="shared" si="65"/>
        <v>5432079.7599999998</v>
      </c>
      <c r="T252" s="773"/>
      <c r="U252" s="392">
        <f>+S252</f>
        <v>5432079.7599999998</v>
      </c>
      <c r="V252" s="424"/>
      <c r="W252" s="424"/>
      <c r="X252" s="425"/>
      <c r="Y252" s="424"/>
      <c r="Z252" s="424"/>
      <c r="AA252" s="424"/>
      <c r="AB252" s="424"/>
      <c r="AC252" s="779"/>
      <c r="AD252" s="426">
        <f>+S252</f>
        <v>5432079.7599999998</v>
      </c>
      <c r="AE252" s="773"/>
      <c r="AF252" s="781">
        <f t="shared" si="61"/>
        <v>0</v>
      </c>
    </row>
    <row r="253" spans="1:32">
      <c r="A253" s="779">
        <f t="shared" si="63"/>
        <v>239</v>
      </c>
      <c r="B253" s="423" t="s">
        <v>1066</v>
      </c>
      <c r="C253" s="423" t="s">
        <v>468</v>
      </c>
      <c r="D253" s="423" t="s">
        <v>1700</v>
      </c>
      <c r="E253" s="777" t="s">
        <v>1909</v>
      </c>
      <c r="F253" s="778">
        <v>0</v>
      </c>
      <c r="G253" s="778">
        <v>0</v>
      </c>
      <c r="H253" s="778">
        <v>0</v>
      </c>
      <c r="I253" s="778">
        <v>0</v>
      </c>
      <c r="J253" s="778">
        <v>0</v>
      </c>
      <c r="K253" s="778">
        <v>0</v>
      </c>
      <c r="L253" s="778">
        <v>0</v>
      </c>
      <c r="M253" s="778">
        <v>0</v>
      </c>
      <c r="N253" s="778">
        <v>5377825.54</v>
      </c>
      <c r="O253" s="778">
        <v>5332633.7300000004</v>
      </c>
      <c r="P253" s="778">
        <v>5287441.92</v>
      </c>
      <c r="Q253" s="778">
        <v>5242250.1100000003</v>
      </c>
      <c r="R253" s="778">
        <v>5197058.3</v>
      </c>
      <c r="S253" s="618">
        <f t="shared" si="65"/>
        <v>5197058.3</v>
      </c>
      <c r="T253" s="773"/>
      <c r="U253" s="392">
        <f>+S253</f>
        <v>5197058.3</v>
      </c>
      <c r="V253" s="424"/>
      <c r="W253" s="424"/>
      <c r="X253" s="425"/>
      <c r="Y253" s="424"/>
      <c r="Z253" s="424"/>
      <c r="AA253" s="424"/>
      <c r="AB253" s="424">
        <f>+X253</f>
        <v>0</v>
      </c>
      <c r="AC253" s="779"/>
      <c r="AD253" s="426">
        <f>+S253</f>
        <v>5197058.3</v>
      </c>
      <c r="AE253" s="773"/>
      <c r="AF253" s="781">
        <f t="shared" si="61"/>
        <v>0</v>
      </c>
    </row>
    <row r="254" spans="1:32">
      <c r="A254" s="779">
        <f t="shared" si="63"/>
        <v>240</v>
      </c>
      <c r="B254" s="423" t="s">
        <v>1094</v>
      </c>
      <c r="C254" s="423" t="s">
        <v>468</v>
      </c>
      <c r="D254" s="423" t="s">
        <v>1701</v>
      </c>
      <c r="E254" s="777" t="s">
        <v>1892</v>
      </c>
      <c r="F254" s="778">
        <v>125655.57</v>
      </c>
      <c r="G254" s="778">
        <v>117154.43</v>
      </c>
      <c r="H254" s="778">
        <v>111240.3</v>
      </c>
      <c r="I254" s="778">
        <v>103862.92</v>
      </c>
      <c r="J254" s="778">
        <v>98643.06</v>
      </c>
      <c r="K254" s="778">
        <v>95018.8</v>
      </c>
      <c r="L254" s="778">
        <v>92328.48</v>
      </c>
      <c r="M254" s="778">
        <v>90015.35</v>
      </c>
      <c r="N254" s="778">
        <v>87865.53</v>
      </c>
      <c r="O254" s="778">
        <v>85550.92</v>
      </c>
      <c r="P254" s="778">
        <v>82091.25</v>
      </c>
      <c r="Q254" s="778">
        <v>77766.16</v>
      </c>
      <c r="R254" s="778">
        <v>70723.14</v>
      </c>
      <c r="S254" s="618">
        <f t="shared" si="65"/>
        <v>70723.14</v>
      </c>
      <c r="T254" s="773"/>
      <c r="U254" s="424"/>
      <c r="V254" s="424"/>
      <c r="W254" s="424"/>
      <c r="X254" s="425">
        <f t="shared" si="70"/>
        <v>70723.14</v>
      </c>
      <c r="Y254" s="424"/>
      <c r="Z254" s="424"/>
      <c r="AA254" s="424"/>
      <c r="AB254" s="424">
        <f>+X254</f>
        <v>70723.14</v>
      </c>
      <c r="AC254" s="779"/>
      <c r="AD254" s="426"/>
      <c r="AE254" s="773"/>
      <c r="AF254" s="781">
        <f t="shared" si="61"/>
        <v>0</v>
      </c>
    </row>
    <row r="255" spans="1:32">
      <c r="A255" s="779">
        <f t="shared" si="63"/>
        <v>241</v>
      </c>
      <c r="B255" s="423" t="s">
        <v>1066</v>
      </c>
      <c r="C255" s="423" t="s">
        <v>513</v>
      </c>
      <c r="D255" s="423" t="s">
        <v>1284</v>
      </c>
      <c r="E255" s="777" t="s">
        <v>1900</v>
      </c>
      <c r="F255" s="778">
        <v>331911.34999999998</v>
      </c>
      <c r="G255" s="778">
        <v>0</v>
      </c>
      <c r="H255" s="778">
        <v>0</v>
      </c>
      <c r="I255" s="778">
        <v>0</v>
      </c>
      <c r="J255" s="778">
        <v>0</v>
      </c>
      <c r="K255" s="778">
        <v>0</v>
      </c>
      <c r="L255" s="778">
        <v>0</v>
      </c>
      <c r="M255" s="778">
        <v>0</v>
      </c>
      <c r="N255" s="778">
        <v>0</v>
      </c>
      <c r="O255" s="778">
        <v>0</v>
      </c>
      <c r="P255" s="778">
        <v>0</v>
      </c>
      <c r="Q255" s="778">
        <v>0</v>
      </c>
      <c r="R255" s="778">
        <v>0</v>
      </c>
      <c r="S255" s="618">
        <f t="shared" si="65"/>
        <v>0</v>
      </c>
      <c r="T255" s="773"/>
      <c r="U255" s="424"/>
      <c r="V255" s="424"/>
      <c r="W255" s="424"/>
      <c r="X255" s="425">
        <f t="shared" si="70"/>
        <v>0</v>
      </c>
      <c r="Y255" s="424"/>
      <c r="Z255" s="424"/>
      <c r="AA255" s="424"/>
      <c r="AB255" s="424">
        <f t="shared" ref="AB255:AB264" si="72">+X255</f>
        <v>0</v>
      </c>
      <c r="AC255" s="779"/>
      <c r="AD255" s="426"/>
      <c r="AE255" s="773"/>
      <c r="AF255" s="781">
        <f t="shared" si="61"/>
        <v>0</v>
      </c>
    </row>
    <row r="256" spans="1:32">
      <c r="A256" s="779">
        <f t="shared" si="63"/>
        <v>242</v>
      </c>
      <c r="B256" s="423" t="s">
        <v>1066</v>
      </c>
      <c r="C256" s="423" t="s">
        <v>513</v>
      </c>
      <c r="D256" s="423" t="s">
        <v>1285</v>
      </c>
      <c r="E256" s="777" t="s">
        <v>1901</v>
      </c>
      <c r="F256" s="778">
        <v>113979.49</v>
      </c>
      <c r="G256" s="778">
        <v>0</v>
      </c>
      <c r="H256" s="778">
        <v>0</v>
      </c>
      <c r="I256" s="778">
        <v>0</v>
      </c>
      <c r="J256" s="778">
        <v>0</v>
      </c>
      <c r="K256" s="778">
        <v>0</v>
      </c>
      <c r="L256" s="778">
        <v>0</v>
      </c>
      <c r="M256" s="778">
        <v>0</v>
      </c>
      <c r="N256" s="778">
        <v>0</v>
      </c>
      <c r="O256" s="778">
        <v>0</v>
      </c>
      <c r="P256" s="778">
        <v>0</v>
      </c>
      <c r="Q256" s="778">
        <v>0</v>
      </c>
      <c r="R256" s="778">
        <v>0</v>
      </c>
      <c r="S256" s="618">
        <f t="shared" si="65"/>
        <v>0</v>
      </c>
      <c r="T256" s="773"/>
      <c r="U256" s="424"/>
      <c r="V256" s="424"/>
      <c r="W256" s="424"/>
      <c r="X256" s="425">
        <f t="shared" si="70"/>
        <v>0</v>
      </c>
      <c r="Y256" s="424"/>
      <c r="Z256" s="424"/>
      <c r="AA256" s="424"/>
      <c r="AB256" s="424">
        <f t="shared" si="72"/>
        <v>0</v>
      </c>
      <c r="AC256" s="779"/>
      <c r="AD256" s="426"/>
      <c r="AE256" s="773"/>
      <c r="AF256" s="781">
        <f t="shared" si="61"/>
        <v>0</v>
      </c>
    </row>
    <row r="257" spans="1:32">
      <c r="A257" s="779">
        <f t="shared" si="63"/>
        <v>243</v>
      </c>
      <c r="B257" s="423" t="s">
        <v>1066</v>
      </c>
      <c r="C257" s="423" t="s">
        <v>513</v>
      </c>
      <c r="D257" s="423" t="s">
        <v>1277</v>
      </c>
      <c r="E257" s="777" t="s">
        <v>1902</v>
      </c>
      <c r="F257" s="778">
        <v>976150.82</v>
      </c>
      <c r="G257" s="778">
        <v>0</v>
      </c>
      <c r="H257" s="778">
        <v>0</v>
      </c>
      <c r="I257" s="778">
        <v>0</v>
      </c>
      <c r="J257" s="778">
        <v>0</v>
      </c>
      <c r="K257" s="778">
        <v>0</v>
      </c>
      <c r="L257" s="778">
        <v>0</v>
      </c>
      <c r="M257" s="778">
        <v>0</v>
      </c>
      <c r="N257" s="778">
        <v>0</v>
      </c>
      <c r="O257" s="778">
        <v>0</v>
      </c>
      <c r="P257" s="778">
        <v>0</v>
      </c>
      <c r="Q257" s="778">
        <v>0</v>
      </c>
      <c r="R257" s="778">
        <v>0</v>
      </c>
      <c r="S257" s="618">
        <f t="shared" si="65"/>
        <v>0</v>
      </c>
      <c r="T257" s="773"/>
      <c r="U257" s="424"/>
      <c r="V257" s="424"/>
      <c r="W257" s="424"/>
      <c r="X257" s="425">
        <f t="shared" si="70"/>
        <v>0</v>
      </c>
      <c r="Y257" s="424"/>
      <c r="Z257" s="424"/>
      <c r="AA257" s="424"/>
      <c r="AB257" s="424">
        <f t="shared" si="72"/>
        <v>0</v>
      </c>
      <c r="AC257" s="779"/>
      <c r="AD257" s="426"/>
      <c r="AE257" s="773"/>
      <c r="AF257" s="781">
        <f t="shared" si="61"/>
        <v>0</v>
      </c>
    </row>
    <row r="258" spans="1:32">
      <c r="A258" s="779">
        <f t="shared" si="63"/>
        <v>244</v>
      </c>
      <c r="B258" s="423" t="s">
        <v>1066</v>
      </c>
      <c r="C258" s="423" t="s">
        <v>513</v>
      </c>
      <c r="D258" s="423" t="s">
        <v>1279</v>
      </c>
      <c r="E258" s="777" t="s">
        <v>1903</v>
      </c>
      <c r="F258" s="778">
        <v>700519.26</v>
      </c>
      <c r="G258" s="778">
        <v>0</v>
      </c>
      <c r="H258" s="778">
        <v>0</v>
      </c>
      <c r="I258" s="778">
        <v>0</v>
      </c>
      <c r="J258" s="778">
        <v>0</v>
      </c>
      <c r="K258" s="778">
        <v>0</v>
      </c>
      <c r="L258" s="778">
        <v>0</v>
      </c>
      <c r="M258" s="778">
        <v>0</v>
      </c>
      <c r="N258" s="778">
        <v>0</v>
      </c>
      <c r="O258" s="778">
        <v>0</v>
      </c>
      <c r="P258" s="778">
        <v>0</v>
      </c>
      <c r="Q258" s="778">
        <v>0</v>
      </c>
      <c r="R258" s="778">
        <v>0</v>
      </c>
      <c r="S258" s="618">
        <f t="shared" si="65"/>
        <v>0</v>
      </c>
      <c r="T258" s="773"/>
      <c r="U258" s="424"/>
      <c r="V258" s="424"/>
      <c r="W258" s="424"/>
      <c r="X258" s="425">
        <f t="shared" si="70"/>
        <v>0</v>
      </c>
      <c r="Y258" s="424"/>
      <c r="Z258" s="424"/>
      <c r="AA258" s="424"/>
      <c r="AB258" s="424">
        <f t="shared" si="72"/>
        <v>0</v>
      </c>
      <c r="AC258" s="779"/>
      <c r="AD258" s="426"/>
      <c r="AE258" s="773"/>
      <c r="AF258" s="781">
        <f t="shared" si="61"/>
        <v>0</v>
      </c>
    </row>
    <row r="259" spans="1:32">
      <c r="A259" s="779">
        <f t="shared" si="63"/>
        <v>245</v>
      </c>
      <c r="B259" s="423" t="s">
        <v>1094</v>
      </c>
      <c r="C259" s="423" t="s">
        <v>513</v>
      </c>
      <c r="D259" s="423" t="s">
        <v>1286</v>
      </c>
      <c r="E259" s="777" t="s">
        <v>1896</v>
      </c>
      <c r="F259" s="778">
        <v>-127054.48</v>
      </c>
      <c r="G259" s="778">
        <v>112599.89</v>
      </c>
      <c r="H259" s="778">
        <v>64307.17</v>
      </c>
      <c r="I259" s="778">
        <v>5704.35</v>
      </c>
      <c r="J259" s="778">
        <v>105521.48</v>
      </c>
      <c r="K259" s="778">
        <v>403722.96</v>
      </c>
      <c r="L259" s="778">
        <v>511191.86</v>
      </c>
      <c r="M259" s="778">
        <v>579615.27</v>
      </c>
      <c r="N259" s="778">
        <v>627784.15</v>
      </c>
      <c r="O259" s="778">
        <v>640100.43999999994</v>
      </c>
      <c r="P259" s="778">
        <v>698247.58</v>
      </c>
      <c r="Q259" s="778">
        <v>224362.23999999999</v>
      </c>
      <c r="R259" s="778">
        <v>643838.16</v>
      </c>
      <c r="S259" s="618">
        <f t="shared" si="65"/>
        <v>643838.16</v>
      </c>
      <c r="T259" s="773"/>
      <c r="U259" s="424"/>
      <c r="V259" s="424"/>
      <c r="W259" s="424"/>
      <c r="X259" s="425">
        <f t="shared" si="70"/>
        <v>643838.16</v>
      </c>
      <c r="Y259" s="424"/>
      <c r="Z259" s="424"/>
      <c r="AA259" s="424"/>
      <c r="AB259" s="424">
        <f t="shared" si="72"/>
        <v>643838.16</v>
      </c>
      <c r="AC259" s="779"/>
      <c r="AD259" s="426"/>
      <c r="AE259" s="773"/>
      <c r="AF259" s="781">
        <f t="shared" si="61"/>
        <v>0</v>
      </c>
    </row>
    <row r="260" spans="1:32">
      <c r="A260" s="779">
        <f t="shared" si="63"/>
        <v>246</v>
      </c>
      <c r="B260" s="423" t="s">
        <v>1094</v>
      </c>
      <c r="C260" s="423" t="s">
        <v>513</v>
      </c>
      <c r="D260" s="423" t="s">
        <v>1287</v>
      </c>
      <c r="E260" s="777" t="s">
        <v>1897</v>
      </c>
      <c r="F260" s="778">
        <v>-134381.76999999999</v>
      </c>
      <c r="G260" s="778">
        <v>-384479.74</v>
      </c>
      <c r="H260" s="778">
        <v>-207714.31</v>
      </c>
      <c r="I260" s="778">
        <v>-864763.28</v>
      </c>
      <c r="J260" s="778">
        <v>-1360079.25</v>
      </c>
      <c r="K260" s="778">
        <v>-1504989.27</v>
      </c>
      <c r="L260" s="778">
        <v>-1706939.14</v>
      </c>
      <c r="M260" s="778">
        <v>-1785092.34</v>
      </c>
      <c r="N260" s="778">
        <v>-1528441.42</v>
      </c>
      <c r="O260" s="778">
        <v>-1380726.1</v>
      </c>
      <c r="P260" s="778">
        <v>-1530780.52</v>
      </c>
      <c r="Q260" s="778">
        <v>193667.13</v>
      </c>
      <c r="R260" s="778">
        <v>-228902.82</v>
      </c>
      <c r="S260" s="618">
        <f t="shared" si="65"/>
        <v>-228902.82</v>
      </c>
      <c r="T260" s="773"/>
      <c r="U260" s="424"/>
      <c r="V260" s="424"/>
      <c r="W260" s="424"/>
      <c r="X260" s="425">
        <f t="shared" si="70"/>
        <v>-228902.82</v>
      </c>
      <c r="Y260" s="424"/>
      <c r="Z260" s="424"/>
      <c r="AA260" s="424"/>
      <c r="AB260" s="424">
        <f t="shared" si="72"/>
        <v>-228902.82</v>
      </c>
      <c r="AC260" s="779"/>
      <c r="AD260" s="426"/>
      <c r="AE260" s="773"/>
      <c r="AF260" s="781">
        <f t="shared" si="61"/>
        <v>0</v>
      </c>
    </row>
    <row r="261" spans="1:32">
      <c r="A261" s="779">
        <f t="shared" si="63"/>
        <v>247</v>
      </c>
      <c r="B261" s="423" t="s">
        <v>1094</v>
      </c>
      <c r="C261" s="423" t="s">
        <v>513</v>
      </c>
      <c r="D261" s="423" t="s">
        <v>1288</v>
      </c>
      <c r="E261" s="777" t="s">
        <v>1898</v>
      </c>
      <c r="F261" s="778">
        <v>4059966.67</v>
      </c>
      <c r="G261" s="778">
        <v>3212318.44</v>
      </c>
      <c r="H261" s="778">
        <v>2505235.73</v>
      </c>
      <c r="I261" s="778">
        <v>2507308.9</v>
      </c>
      <c r="J261" s="778">
        <v>2418602.59</v>
      </c>
      <c r="K261" s="778">
        <v>1964038.5</v>
      </c>
      <c r="L261" s="778">
        <v>1892252.25</v>
      </c>
      <c r="M261" s="778">
        <v>1770213.93</v>
      </c>
      <c r="N261" s="778">
        <v>1346690.53</v>
      </c>
      <c r="O261" s="778">
        <v>1062416.03</v>
      </c>
      <c r="P261" s="778">
        <v>921734.44</v>
      </c>
      <c r="Q261" s="778">
        <v>624129.18000000005</v>
      </c>
      <c r="R261" s="778">
        <v>444461.68</v>
      </c>
      <c r="S261" s="618">
        <f t="shared" si="65"/>
        <v>444461.68</v>
      </c>
      <c r="T261" s="773"/>
      <c r="U261" s="424"/>
      <c r="V261" s="424"/>
      <c r="W261" s="424"/>
      <c r="X261" s="425">
        <f t="shared" si="70"/>
        <v>444461.68</v>
      </c>
      <c r="Y261" s="424"/>
      <c r="Z261" s="424"/>
      <c r="AA261" s="424"/>
      <c r="AB261" s="424">
        <f t="shared" si="72"/>
        <v>444461.68</v>
      </c>
      <c r="AC261" s="779"/>
      <c r="AD261" s="426"/>
      <c r="AE261" s="773"/>
      <c r="AF261" s="781">
        <f t="shared" si="61"/>
        <v>0</v>
      </c>
    </row>
    <row r="262" spans="1:32">
      <c r="A262" s="779">
        <f t="shared" si="63"/>
        <v>248</v>
      </c>
      <c r="B262" s="423" t="s">
        <v>1094</v>
      </c>
      <c r="C262" s="423" t="s">
        <v>513</v>
      </c>
      <c r="D262" s="423" t="s">
        <v>1289</v>
      </c>
      <c r="E262" s="777" t="s">
        <v>1899</v>
      </c>
      <c r="F262" s="778">
        <v>-3798530.42</v>
      </c>
      <c r="G262" s="778">
        <v>-2940438.59</v>
      </c>
      <c r="H262" s="778">
        <v>-2361828.59</v>
      </c>
      <c r="I262" s="778">
        <v>-1648249.97</v>
      </c>
      <c r="J262" s="778">
        <v>-1164044.82</v>
      </c>
      <c r="K262" s="778">
        <v>-862772.19</v>
      </c>
      <c r="L262" s="778">
        <v>-696504.97</v>
      </c>
      <c r="M262" s="778">
        <v>-564736.86</v>
      </c>
      <c r="N262" s="778">
        <v>-446033.26</v>
      </c>
      <c r="O262" s="778">
        <v>-321790.37</v>
      </c>
      <c r="P262" s="778">
        <v>-89201.499999999898</v>
      </c>
      <c r="Q262" s="778">
        <v>-1042158.55</v>
      </c>
      <c r="R262" s="778">
        <v>-859397.02</v>
      </c>
      <c r="S262" s="618">
        <f t="shared" si="65"/>
        <v>-859397.02</v>
      </c>
      <c r="T262" s="773"/>
      <c r="U262" s="424"/>
      <c r="V262" s="424"/>
      <c r="W262" s="424"/>
      <c r="X262" s="425">
        <f t="shared" si="70"/>
        <v>-859397.02</v>
      </c>
      <c r="Y262" s="424"/>
      <c r="Z262" s="424"/>
      <c r="AA262" s="424"/>
      <c r="AB262" s="424">
        <f t="shared" si="72"/>
        <v>-859397.02</v>
      </c>
      <c r="AC262" s="779"/>
      <c r="AD262" s="426"/>
      <c r="AE262" s="773"/>
      <c r="AF262" s="781">
        <f t="shared" si="61"/>
        <v>0</v>
      </c>
    </row>
    <row r="263" spans="1:32">
      <c r="A263" s="779">
        <f t="shared" si="63"/>
        <v>249</v>
      </c>
      <c r="B263" s="423" t="s">
        <v>1066</v>
      </c>
      <c r="C263" s="423" t="s">
        <v>513</v>
      </c>
      <c r="D263" s="423" t="s">
        <v>1290</v>
      </c>
      <c r="E263" s="777" t="s">
        <v>1904</v>
      </c>
      <c r="F263" s="778">
        <v>-5899262.8300000001</v>
      </c>
      <c r="G263" s="778">
        <v>-5665638.0599999996</v>
      </c>
      <c r="H263" s="778">
        <v>-6495911.1799999997</v>
      </c>
      <c r="I263" s="778">
        <v>-6967711.3200000003</v>
      </c>
      <c r="J263" s="778">
        <v>-7545664.8799999999</v>
      </c>
      <c r="K263" s="778">
        <v>-7027571.9299999997</v>
      </c>
      <c r="L263" s="778">
        <v>-7146164.71</v>
      </c>
      <c r="M263" s="778">
        <v>-7151359.0899999999</v>
      </c>
      <c r="N263" s="778">
        <v>-6729387.8300000001</v>
      </c>
      <c r="O263" s="778">
        <v>-6838631.5999999996</v>
      </c>
      <c r="P263" s="778">
        <v>-6565400.29</v>
      </c>
      <c r="Q263" s="778">
        <v>-93709.3200000012</v>
      </c>
      <c r="R263" s="778">
        <v>1013703.17</v>
      </c>
      <c r="S263" s="618">
        <f t="shared" si="65"/>
        <v>1013703.17</v>
      </c>
      <c r="T263" s="773"/>
      <c r="U263" s="424"/>
      <c r="V263" s="424"/>
      <c r="W263" s="424"/>
      <c r="X263" s="425">
        <f t="shared" si="70"/>
        <v>1013703.17</v>
      </c>
      <c r="Y263" s="424"/>
      <c r="Z263" s="424"/>
      <c r="AA263" s="424"/>
      <c r="AB263" s="424">
        <f t="shared" si="72"/>
        <v>1013703.17</v>
      </c>
      <c r="AC263" s="779"/>
      <c r="AD263" s="426"/>
      <c r="AE263" s="773"/>
      <c r="AF263" s="781">
        <f t="shared" si="61"/>
        <v>0</v>
      </c>
    </row>
    <row r="264" spans="1:32">
      <c r="A264" s="779">
        <f t="shared" si="63"/>
        <v>250</v>
      </c>
      <c r="B264" s="423" t="s">
        <v>1066</v>
      </c>
      <c r="C264" s="423" t="s">
        <v>513</v>
      </c>
      <c r="D264" s="423" t="s">
        <v>1282</v>
      </c>
      <c r="E264" s="777" t="s">
        <v>1905</v>
      </c>
      <c r="F264" s="778">
        <v>2427759.54</v>
      </c>
      <c r="G264" s="778">
        <v>0</v>
      </c>
      <c r="H264" s="778">
        <v>0</v>
      </c>
      <c r="I264" s="778">
        <v>0</v>
      </c>
      <c r="J264" s="778">
        <v>0</v>
      </c>
      <c r="K264" s="778">
        <v>0</v>
      </c>
      <c r="L264" s="778">
        <v>0</v>
      </c>
      <c r="M264" s="778">
        <v>0</v>
      </c>
      <c r="N264" s="778">
        <v>0</v>
      </c>
      <c r="O264" s="778">
        <v>0</v>
      </c>
      <c r="P264" s="778">
        <v>0</v>
      </c>
      <c r="Q264" s="778">
        <v>0</v>
      </c>
      <c r="R264" s="778">
        <v>0</v>
      </c>
      <c r="S264" s="618">
        <f t="shared" si="65"/>
        <v>0</v>
      </c>
      <c r="T264" s="773"/>
      <c r="U264" s="424"/>
      <c r="V264" s="424"/>
      <c r="W264" s="424"/>
      <c r="X264" s="425">
        <f t="shared" si="70"/>
        <v>0</v>
      </c>
      <c r="Y264" s="424"/>
      <c r="Z264" s="424"/>
      <c r="AA264" s="424"/>
      <c r="AB264" s="424">
        <f t="shared" si="72"/>
        <v>0</v>
      </c>
      <c r="AC264" s="779"/>
      <c r="AD264" s="426"/>
      <c r="AE264" s="773"/>
      <c r="AF264" s="781">
        <f t="shared" si="61"/>
        <v>0</v>
      </c>
    </row>
    <row r="265" spans="1:32">
      <c r="A265" s="779">
        <f t="shared" si="63"/>
        <v>251</v>
      </c>
      <c r="B265" s="423" t="s">
        <v>1066</v>
      </c>
      <c r="C265" s="423" t="s">
        <v>513</v>
      </c>
      <c r="D265" s="423" t="s">
        <v>1283</v>
      </c>
      <c r="E265" s="777" t="s">
        <v>1906</v>
      </c>
      <c r="F265" s="778">
        <v>1511249.09</v>
      </c>
      <c r="G265" s="778">
        <v>5791633.3700000001</v>
      </c>
      <c r="H265" s="778">
        <v>6596943.9699999997</v>
      </c>
      <c r="I265" s="778">
        <v>7038725.3099999996</v>
      </c>
      <c r="J265" s="778">
        <v>7592820.75</v>
      </c>
      <c r="K265" s="778">
        <v>7057777.9500000002</v>
      </c>
      <c r="L265" s="778">
        <v>7165590.7300000004</v>
      </c>
      <c r="M265" s="778">
        <v>7161984.4100000001</v>
      </c>
      <c r="N265" s="778">
        <v>6731976.25</v>
      </c>
      <c r="O265" s="778">
        <v>6834231.7400000002</v>
      </c>
      <c r="P265" s="778">
        <v>6546122.6100000003</v>
      </c>
      <c r="Q265" s="778">
        <v>6026089.79</v>
      </c>
      <c r="R265" s="778">
        <v>4075395.82</v>
      </c>
      <c r="S265" s="618">
        <f t="shared" si="65"/>
        <v>4075395.82</v>
      </c>
      <c r="T265" s="773"/>
      <c r="U265" s="424"/>
      <c r="V265" s="424"/>
      <c r="W265" s="424"/>
      <c r="X265" s="425">
        <f t="shared" si="70"/>
        <v>4075395.82</v>
      </c>
      <c r="Y265" s="424"/>
      <c r="Z265" s="424"/>
      <c r="AA265" s="424"/>
      <c r="AB265" s="424">
        <f t="shared" si="71"/>
        <v>4075395.82</v>
      </c>
      <c r="AC265" s="779"/>
      <c r="AD265" s="426"/>
      <c r="AE265" s="773"/>
      <c r="AF265" s="781">
        <f t="shared" si="61"/>
        <v>0</v>
      </c>
    </row>
    <row r="266" spans="1:32">
      <c r="A266" s="779">
        <f t="shared" si="63"/>
        <v>252</v>
      </c>
      <c r="B266" s="423" t="s">
        <v>1066</v>
      </c>
      <c r="C266" s="423" t="s">
        <v>513</v>
      </c>
      <c r="D266" s="423" t="s">
        <v>1701</v>
      </c>
      <c r="E266" s="777" t="s">
        <v>1907</v>
      </c>
      <c r="F266" s="778">
        <v>-162306.72</v>
      </c>
      <c r="G266" s="778">
        <v>-125995.31</v>
      </c>
      <c r="H266" s="778">
        <v>-101032.79</v>
      </c>
      <c r="I266" s="778">
        <v>-71013.990000000005</v>
      </c>
      <c r="J266" s="778">
        <v>-47155.87</v>
      </c>
      <c r="K266" s="778">
        <v>-30206.02</v>
      </c>
      <c r="L266" s="778">
        <v>-19426.02</v>
      </c>
      <c r="M266" s="778">
        <v>-10625.32</v>
      </c>
      <c r="N266" s="778">
        <v>-2588.42</v>
      </c>
      <c r="O266" s="778">
        <v>4399.8599999999997</v>
      </c>
      <c r="P266" s="778">
        <v>19277.68</v>
      </c>
      <c r="Q266" s="778">
        <v>-5932380.4699999997</v>
      </c>
      <c r="R266" s="778">
        <v>-5089098.99</v>
      </c>
      <c r="S266" s="618">
        <f t="shared" si="65"/>
        <v>-5089098.99</v>
      </c>
      <c r="T266" s="773"/>
      <c r="U266" s="424"/>
      <c r="V266" s="424"/>
      <c r="W266" s="424"/>
      <c r="X266" s="425">
        <f t="shared" si="70"/>
        <v>-5089098.99</v>
      </c>
      <c r="Y266" s="424"/>
      <c r="Z266" s="424"/>
      <c r="AA266" s="424"/>
      <c r="AB266" s="424">
        <f t="shared" si="71"/>
        <v>-5089098.99</v>
      </c>
      <c r="AC266" s="779"/>
      <c r="AD266" s="426"/>
      <c r="AE266" s="773"/>
      <c r="AF266" s="781">
        <f t="shared" si="61"/>
        <v>0</v>
      </c>
    </row>
    <row r="267" spans="1:32">
      <c r="A267" s="779">
        <f t="shared" si="63"/>
        <v>253</v>
      </c>
      <c r="B267" s="423" t="s">
        <v>1063</v>
      </c>
      <c r="C267" s="423" t="s">
        <v>514</v>
      </c>
      <c r="D267" s="423" t="s">
        <v>472</v>
      </c>
      <c r="E267" s="777" t="s">
        <v>1908</v>
      </c>
      <c r="F267" s="778">
        <v>4048837</v>
      </c>
      <c r="G267" s="778">
        <v>4048837</v>
      </c>
      <c r="H267" s="778">
        <v>4048837</v>
      </c>
      <c r="I267" s="778">
        <v>4048837</v>
      </c>
      <c r="J267" s="778">
        <v>4405213</v>
      </c>
      <c r="K267" s="778">
        <v>4405213</v>
      </c>
      <c r="L267" s="778">
        <v>4405213</v>
      </c>
      <c r="M267" s="778">
        <v>4405213</v>
      </c>
      <c r="N267" s="778">
        <v>4405213</v>
      </c>
      <c r="O267" s="778">
        <v>4405213</v>
      </c>
      <c r="P267" s="778">
        <v>4405213</v>
      </c>
      <c r="Q267" s="778">
        <v>4405213</v>
      </c>
      <c r="R267" s="778">
        <v>4405213</v>
      </c>
      <c r="S267" s="618">
        <f t="shared" si="65"/>
        <v>4405213</v>
      </c>
      <c r="T267" s="773"/>
      <c r="U267" s="424"/>
      <c r="V267" s="424"/>
      <c r="W267" s="424"/>
      <c r="X267" s="425">
        <f t="shared" si="70"/>
        <v>4405213</v>
      </c>
      <c r="Y267" s="424"/>
      <c r="Z267" s="424"/>
      <c r="AA267" s="424"/>
      <c r="AB267" s="424">
        <f t="shared" si="71"/>
        <v>4405213</v>
      </c>
      <c r="AC267" s="779"/>
      <c r="AD267" s="426"/>
      <c r="AE267" s="773"/>
      <c r="AF267" s="781">
        <f t="shared" si="61"/>
        <v>0</v>
      </c>
    </row>
    <row r="268" spans="1:32">
      <c r="A268" s="779">
        <f t="shared" si="63"/>
        <v>254</v>
      </c>
      <c r="B268" s="779"/>
      <c r="C268" s="779"/>
      <c r="D268" s="779"/>
      <c r="E268" s="777" t="s">
        <v>515</v>
      </c>
      <c r="F268" s="394">
        <f t="shared" ref="F268:S268" si="73">SUM(F211:F267)</f>
        <v>78608508.219999969</v>
      </c>
      <c r="G268" s="394">
        <f t="shared" si="73"/>
        <v>82958816.010000005</v>
      </c>
      <c r="H268" s="394">
        <f t="shared" si="73"/>
        <v>83117560.469999984</v>
      </c>
      <c r="I268" s="394">
        <f t="shared" si="73"/>
        <v>83407057.019999996</v>
      </c>
      <c r="J268" s="394">
        <f t="shared" si="73"/>
        <v>84194940.200000003</v>
      </c>
      <c r="K268" s="394">
        <f t="shared" si="73"/>
        <v>83887103.320000023</v>
      </c>
      <c r="L268" s="394">
        <f t="shared" si="73"/>
        <v>85047868.13000001</v>
      </c>
      <c r="M268" s="394">
        <f t="shared" si="73"/>
        <v>85638967.939999998</v>
      </c>
      <c r="N268" s="394">
        <f t="shared" si="73"/>
        <v>85995217.929999992</v>
      </c>
      <c r="O268" s="394">
        <f t="shared" si="73"/>
        <v>87356779.379999995</v>
      </c>
      <c r="P268" s="394">
        <f t="shared" si="73"/>
        <v>86818910.600000024</v>
      </c>
      <c r="Q268" s="394">
        <f t="shared" si="73"/>
        <v>86686917.339999989</v>
      </c>
      <c r="R268" s="394">
        <f t="shared" si="73"/>
        <v>90797163.850000009</v>
      </c>
      <c r="S268" s="620">
        <f t="shared" si="73"/>
        <v>90797163.850000009</v>
      </c>
      <c r="T268" s="773"/>
      <c r="U268" s="424"/>
      <c r="V268" s="424"/>
      <c r="W268" s="424"/>
      <c r="X268" s="425"/>
      <c r="Y268" s="424"/>
      <c r="Z268" s="424"/>
      <c r="AA268" s="424"/>
      <c r="AB268" s="424"/>
      <c r="AC268" s="779"/>
      <c r="AD268" s="779"/>
      <c r="AE268" s="773"/>
      <c r="AF268" s="781">
        <f t="shared" si="61"/>
        <v>0</v>
      </c>
    </row>
    <row r="269" spans="1:32">
      <c r="A269" s="779">
        <f t="shared" si="63"/>
        <v>255</v>
      </c>
      <c r="B269" s="779"/>
      <c r="C269" s="779"/>
      <c r="D269" s="779"/>
      <c r="E269" s="763"/>
      <c r="F269" s="778"/>
      <c r="G269" s="420"/>
      <c r="H269" s="408"/>
      <c r="I269" s="408"/>
      <c r="J269" s="409"/>
      <c r="K269" s="410"/>
      <c r="L269" s="411"/>
      <c r="M269" s="412"/>
      <c r="N269" s="413"/>
      <c r="O269" s="764"/>
      <c r="P269" s="415"/>
      <c r="Q269" s="421"/>
      <c r="R269" s="778"/>
      <c r="S269" s="392"/>
      <c r="T269" s="773"/>
      <c r="U269" s="424"/>
      <c r="V269" s="424"/>
      <c r="W269" s="424"/>
      <c r="X269" s="425"/>
      <c r="Y269" s="424"/>
      <c r="Z269" s="424"/>
      <c r="AA269" s="424"/>
      <c r="AB269" s="424"/>
      <c r="AC269" s="779"/>
      <c r="AD269" s="779"/>
      <c r="AE269" s="773"/>
      <c r="AF269" s="781">
        <f t="shared" si="61"/>
        <v>0</v>
      </c>
    </row>
    <row r="270" spans="1:32">
      <c r="A270" s="779">
        <f t="shared" si="63"/>
        <v>256</v>
      </c>
      <c r="B270" s="423" t="s">
        <v>382</v>
      </c>
      <c r="C270" s="423" t="s">
        <v>516</v>
      </c>
      <c r="D270" s="423" t="s">
        <v>382</v>
      </c>
      <c r="E270" s="777" t="s">
        <v>517</v>
      </c>
      <c r="F270" s="778">
        <v>144114776.72</v>
      </c>
      <c r="G270" s="778">
        <v>21790189.309999999</v>
      </c>
      <c r="H270" s="778">
        <v>42147124.039999999</v>
      </c>
      <c r="I270" s="778">
        <v>58962425.490000002</v>
      </c>
      <c r="J270" s="778">
        <v>70342716.599999994</v>
      </c>
      <c r="K270" s="778">
        <v>75996700.909999996</v>
      </c>
      <c r="L270" s="778">
        <v>81176632.140000001</v>
      </c>
      <c r="M270" s="778">
        <v>85461812.150000006</v>
      </c>
      <c r="N270" s="778">
        <v>88067234.599999994</v>
      </c>
      <c r="O270" s="778">
        <v>93549872.980000004</v>
      </c>
      <c r="P270" s="778">
        <v>104197080.37</v>
      </c>
      <c r="Q270" s="778">
        <v>119701897.48999999</v>
      </c>
      <c r="R270" s="778">
        <v>139413148.13</v>
      </c>
      <c r="S270" s="618">
        <f t="shared" ref="S270:S273" si="74">+R270</f>
        <v>139413148.13</v>
      </c>
      <c r="T270" s="773"/>
      <c r="U270" s="424"/>
      <c r="V270" s="424"/>
      <c r="W270" s="424">
        <f t="shared" ref="W270:W273" si="75">+S270</f>
        <v>139413148.13</v>
      </c>
      <c r="X270" s="425"/>
      <c r="Y270" s="424"/>
      <c r="Z270" s="424"/>
      <c r="AA270" s="424"/>
      <c r="AB270" s="424"/>
      <c r="AC270" s="426">
        <f>+S270</f>
        <v>139413148.13</v>
      </c>
      <c r="AD270" s="779"/>
      <c r="AE270" s="773"/>
      <c r="AF270" s="781">
        <f t="shared" si="61"/>
        <v>0</v>
      </c>
    </row>
    <row r="271" spans="1:32">
      <c r="A271" s="779">
        <f t="shared" si="63"/>
        <v>257</v>
      </c>
      <c r="B271" s="423" t="s">
        <v>382</v>
      </c>
      <c r="C271" s="423" t="s">
        <v>518</v>
      </c>
      <c r="D271" s="423" t="s">
        <v>382</v>
      </c>
      <c r="E271" s="777" t="s">
        <v>519</v>
      </c>
      <c r="F271" s="778">
        <v>50276230.659999996</v>
      </c>
      <c r="G271" s="778">
        <v>5244374.67</v>
      </c>
      <c r="H271" s="778">
        <v>9620960.8900000006</v>
      </c>
      <c r="I271" s="778">
        <v>14511369.199999999</v>
      </c>
      <c r="J271" s="778">
        <v>18985259.670000002</v>
      </c>
      <c r="K271" s="778">
        <v>22808064.260000002</v>
      </c>
      <c r="L271" s="778">
        <v>26762282.68</v>
      </c>
      <c r="M271" s="778">
        <v>30771762.039999999</v>
      </c>
      <c r="N271" s="778">
        <v>35431844.210000001</v>
      </c>
      <c r="O271" s="778">
        <v>39749677.140000001</v>
      </c>
      <c r="P271" s="778">
        <v>44016316.68</v>
      </c>
      <c r="Q271" s="778">
        <v>48694380.310000002</v>
      </c>
      <c r="R271" s="778">
        <v>53526616.649999999</v>
      </c>
      <c r="S271" s="618">
        <f t="shared" si="74"/>
        <v>53526616.649999999</v>
      </c>
      <c r="T271" s="773"/>
      <c r="U271" s="424"/>
      <c r="V271" s="424"/>
      <c r="W271" s="424">
        <f t="shared" si="75"/>
        <v>53526616.649999999</v>
      </c>
      <c r="X271" s="425"/>
      <c r="Y271" s="424"/>
      <c r="Z271" s="424"/>
      <c r="AA271" s="424"/>
      <c r="AB271" s="424"/>
      <c r="AC271" s="426">
        <f t="shared" ref="AC271:AC273" si="76">+S271</f>
        <v>53526616.649999999</v>
      </c>
      <c r="AD271" s="779"/>
      <c r="AE271" s="773"/>
      <c r="AF271" s="781">
        <f t="shared" ref="AF271:AF334" si="77">+U271+V271-AD271</f>
        <v>0</v>
      </c>
    </row>
    <row r="272" spans="1:32">
      <c r="A272" s="779">
        <f t="shared" si="63"/>
        <v>258</v>
      </c>
      <c r="B272" s="423" t="s">
        <v>382</v>
      </c>
      <c r="C272" s="423" t="s">
        <v>520</v>
      </c>
      <c r="D272" s="423" t="s">
        <v>521</v>
      </c>
      <c r="E272" s="777" t="s">
        <v>522</v>
      </c>
      <c r="F272" s="778">
        <v>0</v>
      </c>
      <c r="G272" s="778">
        <v>0</v>
      </c>
      <c r="H272" s="778">
        <v>0</v>
      </c>
      <c r="I272" s="778">
        <v>0</v>
      </c>
      <c r="J272" s="778">
        <v>0</v>
      </c>
      <c r="K272" s="778">
        <v>0</v>
      </c>
      <c r="L272" s="778">
        <v>0</v>
      </c>
      <c r="M272" s="778">
        <v>0</v>
      </c>
      <c r="N272" s="778">
        <v>0</v>
      </c>
      <c r="O272" s="778">
        <v>0</v>
      </c>
      <c r="P272" s="778">
        <v>0</v>
      </c>
      <c r="Q272" s="778">
        <v>0</v>
      </c>
      <c r="R272" s="778">
        <v>0</v>
      </c>
      <c r="S272" s="618">
        <f t="shared" si="74"/>
        <v>0</v>
      </c>
      <c r="T272" s="773"/>
      <c r="U272" s="424"/>
      <c r="V272" s="424"/>
      <c r="W272" s="424">
        <f t="shared" si="75"/>
        <v>0</v>
      </c>
      <c r="X272" s="425"/>
      <c r="Y272" s="424"/>
      <c r="Z272" s="424"/>
      <c r="AA272" s="424"/>
      <c r="AB272" s="424"/>
      <c r="AC272" s="426">
        <f t="shared" si="76"/>
        <v>0</v>
      </c>
      <c r="AD272" s="779"/>
      <c r="AE272" s="773"/>
      <c r="AF272" s="781">
        <f t="shared" si="77"/>
        <v>0</v>
      </c>
    </row>
    <row r="273" spans="1:32">
      <c r="A273" s="779">
        <f t="shared" ref="A273:A336" si="78">+A272+1</f>
        <v>259</v>
      </c>
      <c r="B273" s="423" t="s">
        <v>382</v>
      </c>
      <c r="C273" s="423" t="s">
        <v>523</v>
      </c>
      <c r="D273" s="423" t="s">
        <v>382</v>
      </c>
      <c r="E273" s="777" t="s">
        <v>524</v>
      </c>
      <c r="F273" s="405">
        <v>7645195.1500000004</v>
      </c>
      <c r="G273" s="405">
        <v>662079.03</v>
      </c>
      <c r="H273" s="405">
        <v>1253795.29</v>
      </c>
      <c r="I273" s="405">
        <v>1941064.79</v>
      </c>
      <c r="J273" s="405">
        <v>2536308.91</v>
      </c>
      <c r="K273" s="405">
        <v>3169158.63</v>
      </c>
      <c r="L273" s="405">
        <v>3809101.68</v>
      </c>
      <c r="M273" s="405">
        <v>4398010.87</v>
      </c>
      <c r="N273" s="405">
        <v>5140319.42</v>
      </c>
      <c r="O273" s="405">
        <v>5809728.4299999997</v>
      </c>
      <c r="P273" s="405">
        <v>6622571.1200000001</v>
      </c>
      <c r="Q273" s="405">
        <v>7277178.5499999998</v>
      </c>
      <c r="R273" s="405">
        <v>8005145.8399999999</v>
      </c>
      <c r="S273" s="618">
        <f t="shared" si="74"/>
        <v>8005145.8399999999</v>
      </c>
      <c r="T273" s="773"/>
      <c r="U273" s="424"/>
      <c r="V273" s="424"/>
      <c r="W273" s="424">
        <f t="shared" si="75"/>
        <v>8005145.8399999999</v>
      </c>
      <c r="X273" s="425"/>
      <c r="Y273" s="424"/>
      <c r="Z273" s="424"/>
      <c r="AA273" s="424"/>
      <c r="AB273" s="424"/>
      <c r="AC273" s="426">
        <f t="shared" si="76"/>
        <v>8005145.8399999999</v>
      </c>
      <c r="AD273" s="779"/>
      <c r="AE273" s="773"/>
      <c r="AF273" s="781">
        <f t="shared" si="77"/>
        <v>0</v>
      </c>
    </row>
    <row r="274" spans="1:32">
      <c r="A274" s="779">
        <f t="shared" si="78"/>
        <v>260</v>
      </c>
      <c r="B274" s="423"/>
      <c r="C274" s="423"/>
      <c r="D274" s="423"/>
      <c r="E274" s="777" t="s">
        <v>525</v>
      </c>
      <c r="F274" s="394">
        <f>SUM(F270:F273)</f>
        <v>202036202.53</v>
      </c>
      <c r="G274" s="394">
        <f t="shared" ref="G274:S274" si="79">SUM(G270:G273)</f>
        <v>27696643.009999998</v>
      </c>
      <c r="H274" s="394">
        <f t="shared" si="79"/>
        <v>53021880.219999999</v>
      </c>
      <c r="I274" s="394">
        <f t="shared" si="79"/>
        <v>75414859.480000004</v>
      </c>
      <c r="J274" s="394">
        <f t="shared" si="79"/>
        <v>91864285.179999992</v>
      </c>
      <c r="K274" s="394">
        <f t="shared" si="79"/>
        <v>101973923.8</v>
      </c>
      <c r="L274" s="394">
        <f t="shared" si="79"/>
        <v>111748016.5</v>
      </c>
      <c r="M274" s="394">
        <f t="shared" si="79"/>
        <v>120631585.06</v>
      </c>
      <c r="N274" s="394">
        <f t="shared" si="79"/>
        <v>128639398.23</v>
      </c>
      <c r="O274" s="394">
        <f t="shared" si="79"/>
        <v>139109278.55000001</v>
      </c>
      <c r="P274" s="394">
        <f t="shared" si="79"/>
        <v>154835968.17000002</v>
      </c>
      <c r="Q274" s="394">
        <f t="shared" si="79"/>
        <v>175673456.35000002</v>
      </c>
      <c r="R274" s="394">
        <f t="shared" si="79"/>
        <v>200944910.62</v>
      </c>
      <c r="S274" s="620">
        <f t="shared" si="79"/>
        <v>200944910.62</v>
      </c>
      <c r="T274" s="773"/>
      <c r="U274" s="424"/>
      <c r="V274" s="424"/>
      <c r="W274" s="424"/>
      <c r="X274" s="425"/>
      <c r="Y274" s="424"/>
      <c r="Z274" s="424"/>
      <c r="AA274" s="424"/>
      <c r="AB274" s="424"/>
      <c r="AC274" s="779"/>
      <c r="AD274" s="779"/>
      <c r="AE274" s="773"/>
      <c r="AF274" s="781">
        <f t="shared" si="77"/>
        <v>0</v>
      </c>
    </row>
    <row r="275" spans="1:32">
      <c r="A275" s="779">
        <f t="shared" si="78"/>
        <v>261</v>
      </c>
      <c r="B275" s="779"/>
      <c r="C275" s="779"/>
      <c r="D275" s="779"/>
      <c r="E275" s="763"/>
      <c r="F275" s="778"/>
      <c r="G275" s="420"/>
      <c r="H275" s="408"/>
      <c r="I275" s="408"/>
      <c r="J275" s="409"/>
      <c r="K275" s="410"/>
      <c r="L275" s="411"/>
      <c r="M275" s="412"/>
      <c r="N275" s="413"/>
      <c r="O275" s="764"/>
      <c r="P275" s="415"/>
      <c r="Q275" s="421"/>
      <c r="R275" s="778"/>
      <c r="S275" s="392"/>
      <c r="T275" s="779"/>
      <c r="U275" s="424"/>
      <c r="V275" s="424"/>
      <c r="W275" s="424"/>
      <c r="X275" s="425"/>
      <c r="Y275" s="424"/>
      <c r="Z275" s="424"/>
      <c r="AA275" s="424"/>
      <c r="AB275" s="424"/>
      <c r="AC275" s="779"/>
      <c r="AD275" s="779"/>
      <c r="AE275" s="779"/>
      <c r="AF275" s="781">
        <f t="shared" si="77"/>
        <v>0</v>
      </c>
    </row>
    <row r="276" spans="1:32">
      <c r="A276" s="779">
        <f t="shared" si="78"/>
        <v>262</v>
      </c>
      <c r="B276" s="423" t="s">
        <v>1094</v>
      </c>
      <c r="C276" s="423" t="s">
        <v>526</v>
      </c>
      <c r="D276" s="779"/>
      <c r="E276" s="777" t="s">
        <v>527</v>
      </c>
      <c r="F276" s="778">
        <v>0</v>
      </c>
      <c r="G276" s="778">
        <v>0</v>
      </c>
      <c r="H276" s="778">
        <v>0</v>
      </c>
      <c r="I276" s="778">
        <v>0</v>
      </c>
      <c r="J276" s="778">
        <v>0</v>
      </c>
      <c r="K276" s="778">
        <v>0</v>
      </c>
      <c r="L276" s="778">
        <v>0</v>
      </c>
      <c r="M276" s="778">
        <v>0</v>
      </c>
      <c r="N276" s="778">
        <v>0</v>
      </c>
      <c r="O276" s="778">
        <v>0</v>
      </c>
      <c r="P276" s="778">
        <v>0</v>
      </c>
      <c r="Q276" s="778">
        <v>0</v>
      </c>
      <c r="R276" s="778">
        <v>0</v>
      </c>
      <c r="S276" s="618">
        <f t="shared" ref="S276:S293" si="80">+R276</f>
        <v>0</v>
      </c>
      <c r="T276" s="779"/>
      <c r="U276" s="424"/>
      <c r="V276" s="424"/>
      <c r="W276" s="424">
        <f t="shared" ref="W276:W293" si="81">+S276</f>
        <v>0</v>
      </c>
      <c r="X276" s="425"/>
      <c r="Y276" s="424"/>
      <c r="Z276" s="424"/>
      <c r="AA276" s="424"/>
      <c r="AB276" s="424"/>
      <c r="AC276" s="426">
        <f t="shared" ref="AC276:AC293" si="82">+S276</f>
        <v>0</v>
      </c>
      <c r="AD276" s="779"/>
      <c r="AE276" s="779"/>
      <c r="AF276" s="781">
        <f t="shared" si="77"/>
        <v>0</v>
      </c>
    </row>
    <row r="277" spans="1:32">
      <c r="A277" s="779">
        <f t="shared" si="78"/>
        <v>263</v>
      </c>
      <c r="B277" s="423" t="s">
        <v>1066</v>
      </c>
      <c r="C277" s="423" t="s">
        <v>526</v>
      </c>
      <c r="D277" s="779"/>
      <c r="E277" s="777" t="s">
        <v>527</v>
      </c>
      <c r="F277" s="778">
        <v>0</v>
      </c>
      <c r="G277" s="778">
        <v>0</v>
      </c>
      <c r="H277" s="778">
        <v>0</v>
      </c>
      <c r="I277" s="778">
        <v>0</v>
      </c>
      <c r="J277" s="778">
        <v>0</v>
      </c>
      <c r="K277" s="778">
        <v>0</v>
      </c>
      <c r="L277" s="778">
        <v>0</v>
      </c>
      <c r="M277" s="778">
        <v>0</v>
      </c>
      <c r="N277" s="778">
        <v>0</v>
      </c>
      <c r="O277" s="778">
        <v>0</v>
      </c>
      <c r="P277" s="778">
        <v>0</v>
      </c>
      <c r="Q277" s="778">
        <v>0</v>
      </c>
      <c r="R277" s="778">
        <v>0</v>
      </c>
      <c r="S277" s="618">
        <f t="shared" si="80"/>
        <v>0</v>
      </c>
      <c r="T277" s="779"/>
      <c r="U277" s="424"/>
      <c r="V277" s="424"/>
      <c r="W277" s="424">
        <f t="shared" si="81"/>
        <v>0</v>
      </c>
      <c r="X277" s="425"/>
      <c r="Y277" s="424"/>
      <c r="Z277" s="424"/>
      <c r="AA277" s="424"/>
      <c r="AB277" s="424"/>
      <c r="AC277" s="426">
        <f t="shared" si="82"/>
        <v>0</v>
      </c>
      <c r="AD277" s="779"/>
      <c r="AE277" s="779"/>
      <c r="AF277" s="781">
        <f t="shared" si="77"/>
        <v>0</v>
      </c>
    </row>
    <row r="278" spans="1:32">
      <c r="A278" s="779">
        <f t="shared" si="78"/>
        <v>264</v>
      </c>
      <c r="B278" s="779"/>
      <c r="C278" s="779"/>
      <c r="D278" s="779"/>
      <c r="E278" s="763"/>
      <c r="F278" s="778"/>
      <c r="G278" s="420"/>
      <c r="H278" s="408"/>
      <c r="I278" s="408"/>
      <c r="J278" s="409"/>
      <c r="K278" s="410"/>
      <c r="L278" s="411"/>
      <c r="M278" s="412"/>
      <c r="N278" s="413"/>
      <c r="O278" s="764"/>
      <c r="P278" s="415"/>
      <c r="Q278" s="421"/>
      <c r="R278" s="778"/>
      <c r="S278" s="618">
        <f t="shared" si="80"/>
        <v>0</v>
      </c>
      <c r="T278" s="779"/>
      <c r="U278" s="424"/>
      <c r="V278" s="424"/>
      <c r="W278" s="424">
        <f t="shared" si="81"/>
        <v>0</v>
      </c>
      <c r="X278" s="425"/>
      <c r="Y278" s="424"/>
      <c r="Z278" s="424"/>
      <c r="AA278" s="424"/>
      <c r="AB278" s="424"/>
      <c r="AC278" s="426">
        <f t="shared" si="82"/>
        <v>0</v>
      </c>
      <c r="AD278" s="779"/>
      <c r="AE278" s="779"/>
      <c r="AF278" s="781">
        <f t="shared" si="77"/>
        <v>0</v>
      </c>
    </row>
    <row r="279" spans="1:32">
      <c r="A279" s="779">
        <f t="shared" si="78"/>
        <v>265</v>
      </c>
      <c r="B279" s="423" t="s">
        <v>1094</v>
      </c>
      <c r="C279" s="423" t="s">
        <v>528</v>
      </c>
      <c r="D279" s="423" t="s">
        <v>1291</v>
      </c>
      <c r="E279" s="777" t="s">
        <v>1911</v>
      </c>
      <c r="F279" s="778">
        <v>191644.21</v>
      </c>
      <c r="G279" s="778">
        <v>16034.56</v>
      </c>
      <c r="H279" s="778">
        <v>32069.119999999999</v>
      </c>
      <c r="I279" s="778">
        <v>48144.67</v>
      </c>
      <c r="J279" s="778">
        <v>64220.19</v>
      </c>
      <c r="K279" s="778">
        <v>80295.710000000006</v>
      </c>
      <c r="L279" s="778">
        <v>96371.23</v>
      </c>
      <c r="M279" s="778">
        <v>112446.75</v>
      </c>
      <c r="N279" s="778">
        <v>128522.27</v>
      </c>
      <c r="O279" s="778">
        <v>144597.79</v>
      </c>
      <c r="P279" s="778">
        <v>160673.31</v>
      </c>
      <c r="Q279" s="778">
        <v>176748.83</v>
      </c>
      <c r="R279" s="778">
        <v>192824.35</v>
      </c>
      <c r="S279" s="618">
        <f t="shared" si="80"/>
        <v>192824.35</v>
      </c>
      <c r="T279" s="779"/>
      <c r="U279" s="424"/>
      <c r="V279" s="424"/>
      <c r="W279" s="424">
        <f t="shared" si="81"/>
        <v>192824.35</v>
      </c>
      <c r="X279" s="425"/>
      <c r="Y279" s="424"/>
      <c r="Z279" s="424"/>
      <c r="AA279" s="424"/>
      <c r="AB279" s="424"/>
      <c r="AC279" s="426">
        <f t="shared" si="82"/>
        <v>192824.35</v>
      </c>
      <c r="AD279" s="779"/>
      <c r="AE279" s="779"/>
      <c r="AF279" s="781">
        <f t="shared" si="77"/>
        <v>0</v>
      </c>
    </row>
    <row r="280" spans="1:32">
      <c r="A280" s="779">
        <f t="shared" si="78"/>
        <v>266</v>
      </c>
      <c r="B280" s="423" t="s">
        <v>1066</v>
      </c>
      <c r="C280" s="423" t="s">
        <v>528</v>
      </c>
      <c r="D280" s="423" t="s">
        <v>1291</v>
      </c>
      <c r="E280" s="777" t="s">
        <v>1910</v>
      </c>
      <c r="F280" s="778">
        <v>473580.63</v>
      </c>
      <c r="G280" s="778">
        <v>76703.429999999993</v>
      </c>
      <c r="H280" s="778">
        <v>133051.59</v>
      </c>
      <c r="I280" s="778">
        <v>197856.94</v>
      </c>
      <c r="J280" s="778">
        <v>225321.31</v>
      </c>
      <c r="K280" s="778">
        <v>256253.88</v>
      </c>
      <c r="L280" s="778">
        <v>277069.77</v>
      </c>
      <c r="M280" s="778">
        <v>295052.81</v>
      </c>
      <c r="N280" s="778">
        <v>312730.88</v>
      </c>
      <c r="O280" s="778">
        <v>330394.23</v>
      </c>
      <c r="P280" s="778">
        <v>355712.94</v>
      </c>
      <c r="Q280" s="778">
        <v>389023.6</v>
      </c>
      <c r="R280" s="778">
        <v>441440.08</v>
      </c>
      <c r="S280" s="618">
        <f t="shared" si="80"/>
        <v>441440.08</v>
      </c>
      <c r="T280" s="779"/>
      <c r="U280" s="424"/>
      <c r="V280" s="424"/>
      <c r="W280" s="424">
        <f t="shared" si="81"/>
        <v>441440.08</v>
      </c>
      <c r="X280" s="425"/>
      <c r="Y280" s="424"/>
      <c r="Z280" s="424"/>
      <c r="AA280" s="424"/>
      <c r="AB280" s="424"/>
      <c r="AC280" s="426">
        <f t="shared" si="82"/>
        <v>441440.08</v>
      </c>
      <c r="AD280" s="779"/>
      <c r="AE280" s="779"/>
      <c r="AF280" s="781">
        <f t="shared" si="77"/>
        <v>0</v>
      </c>
    </row>
    <row r="281" spans="1:32">
      <c r="A281" s="779">
        <f t="shared" si="78"/>
        <v>267</v>
      </c>
      <c r="B281" s="423" t="s">
        <v>1066</v>
      </c>
      <c r="C281" s="423" t="s">
        <v>528</v>
      </c>
      <c r="D281" s="423" t="s">
        <v>450</v>
      </c>
      <c r="E281" s="777" t="s">
        <v>1917</v>
      </c>
      <c r="F281" s="778">
        <v>10050925.689999999</v>
      </c>
      <c r="G281" s="778">
        <v>1721778.84</v>
      </c>
      <c r="H281" s="778">
        <v>2961931.99</v>
      </c>
      <c r="I281" s="778">
        <v>4379409.2300000004</v>
      </c>
      <c r="J281" s="778">
        <v>5369821.1399999997</v>
      </c>
      <c r="K281" s="778">
        <v>6005156.7999999998</v>
      </c>
      <c r="L281" s="778">
        <v>6418836.9100000001</v>
      </c>
      <c r="M281" s="778">
        <v>6773000.9900000002</v>
      </c>
      <c r="N281" s="778">
        <v>7116268.0499999998</v>
      </c>
      <c r="O281" s="778">
        <v>7449068.79</v>
      </c>
      <c r="P281" s="778">
        <v>7939639.3600000003</v>
      </c>
      <c r="Q281" s="778">
        <v>8631453.1099999994</v>
      </c>
      <c r="R281" s="778">
        <v>9826025.0600000005</v>
      </c>
      <c r="S281" s="618">
        <f t="shared" si="80"/>
        <v>9826025.0600000005</v>
      </c>
      <c r="T281" s="779"/>
      <c r="U281" s="424"/>
      <c r="V281" s="424"/>
      <c r="W281" s="424">
        <f t="shared" si="81"/>
        <v>9826025.0600000005</v>
      </c>
      <c r="X281" s="425"/>
      <c r="Y281" s="424"/>
      <c r="Z281" s="424"/>
      <c r="AA281" s="424"/>
      <c r="AB281" s="424"/>
      <c r="AC281" s="426">
        <f t="shared" si="82"/>
        <v>9826025.0600000005</v>
      </c>
      <c r="AD281" s="779"/>
      <c r="AE281" s="779"/>
      <c r="AF281" s="781">
        <f t="shared" si="77"/>
        <v>0</v>
      </c>
    </row>
    <row r="282" spans="1:32">
      <c r="A282" s="779">
        <f t="shared" si="78"/>
        <v>268</v>
      </c>
      <c r="B282" s="423" t="s">
        <v>1066</v>
      </c>
      <c r="C282" s="423" t="s">
        <v>528</v>
      </c>
      <c r="D282" s="423" t="s">
        <v>451</v>
      </c>
      <c r="E282" s="777" t="s">
        <v>1918</v>
      </c>
      <c r="F282" s="778">
        <v>9000910.9199999999</v>
      </c>
      <c r="G282" s="778">
        <v>1265439.75</v>
      </c>
      <c r="H282" s="778">
        <v>2451600.96</v>
      </c>
      <c r="I282" s="778">
        <v>3451493.27</v>
      </c>
      <c r="J282" s="778">
        <v>4164721.85</v>
      </c>
      <c r="K282" s="778">
        <v>4572915.22</v>
      </c>
      <c r="L282" s="778">
        <v>4951671.29</v>
      </c>
      <c r="M282" s="778">
        <v>5291700.78</v>
      </c>
      <c r="N282" s="778">
        <v>5540237.2699999996</v>
      </c>
      <c r="O282" s="778">
        <v>5936580.6200000001</v>
      </c>
      <c r="P282" s="778">
        <v>6568266.7400000002</v>
      </c>
      <c r="Q282" s="778">
        <v>7458462.8200000003</v>
      </c>
      <c r="R282" s="778">
        <v>8579658.0999999996</v>
      </c>
      <c r="S282" s="618">
        <f t="shared" si="80"/>
        <v>8579658.0999999996</v>
      </c>
      <c r="T282" s="779"/>
      <c r="U282" s="424"/>
      <c r="V282" s="424"/>
      <c r="W282" s="424">
        <f t="shared" si="81"/>
        <v>8579658.0999999996</v>
      </c>
      <c r="X282" s="425"/>
      <c r="Y282" s="424"/>
      <c r="Z282" s="424"/>
      <c r="AA282" s="424"/>
      <c r="AB282" s="424"/>
      <c r="AC282" s="426">
        <f t="shared" si="82"/>
        <v>8579658.0999999996</v>
      </c>
      <c r="AD282" s="779"/>
      <c r="AE282" s="779"/>
      <c r="AF282" s="781">
        <f t="shared" si="77"/>
        <v>0</v>
      </c>
    </row>
    <row r="283" spans="1:32">
      <c r="A283" s="779">
        <f t="shared" si="78"/>
        <v>269</v>
      </c>
      <c r="B283" s="423" t="s">
        <v>1094</v>
      </c>
      <c r="C283" s="423" t="s">
        <v>528</v>
      </c>
      <c r="D283" s="657" t="s">
        <v>1292</v>
      </c>
      <c r="E283" s="777" t="s">
        <v>1914</v>
      </c>
      <c r="F283" s="778">
        <v>81572.55</v>
      </c>
      <c r="G283" s="778">
        <v>7343.64</v>
      </c>
      <c r="H283" s="778">
        <v>14687.28</v>
      </c>
      <c r="I283" s="778">
        <v>22030.92</v>
      </c>
      <c r="J283" s="778">
        <v>29374.560000000001</v>
      </c>
      <c r="K283" s="778">
        <v>36718.199999999997</v>
      </c>
      <c r="L283" s="778">
        <v>43615.82</v>
      </c>
      <c r="M283" s="778">
        <v>50513.4</v>
      </c>
      <c r="N283" s="778">
        <v>57410.98</v>
      </c>
      <c r="O283" s="778">
        <v>64308.56</v>
      </c>
      <c r="P283" s="778">
        <v>71206.14</v>
      </c>
      <c r="Q283" s="778">
        <v>78103.72</v>
      </c>
      <c r="R283" s="778">
        <v>85001.3</v>
      </c>
      <c r="S283" s="618">
        <f t="shared" si="80"/>
        <v>85001.3</v>
      </c>
      <c r="T283" s="779"/>
      <c r="U283" s="424"/>
      <c r="V283" s="424"/>
      <c r="W283" s="424">
        <f t="shared" si="81"/>
        <v>85001.3</v>
      </c>
      <c r="X283" s="425"/>
      <c r="Y283" s="424"/>
      <c r="Z283" s="424"/>
      <c r="AA283" s="424"/>
      <c r="AB283" s="424"/>
      <c r="AC283" s="426">
        <f t="shared" si="82"/>
        <v>85001.3</v>
      </c>
      <c r="AD283" s="779"/>
      <c r="AE283" s="779"/>
      <c r="AF283" s="781">
        <f t="shared" si="77"/>
        <v>0</v>
      </c>
    </row>
    <row r="284" spans="1:32">
      <c r="A284" s="779">
        <f t="shared" si="78"/>
        <v>270</v>
      </c>
      <c r="B284" s="423" t="s">
        <v>1094</v>
      </c>
      <c r="C284" s="423" t="s">
        <v>528</v>
      </c>
      <c r="D284" s="657" t="s">
        <v>1293</v>
      </c>
      <c r="E284" s="777" t="s">
        <v>1915</v>
      </c>
      <c r="F284" s="778">
        <v>1574276.88</v>
      </c>
      <c r="G284" s="778">
        <v>207254.84</v>
      </c>
      <c r="H284" s="778">
        <v>394848.75</v>
      </c>
      <c r="I284" s="778">
        <v>567060.63</v>
      </c>
      <c r="J284" s="778">
        <v>681436.02</v>
      </c>
      <c r="K284" s="778">
        <v>745847.49</v>
      </c>
      <c r="L284" s="778">
        <v>799825.05</v>
      </c>
      <c r="M284" s="778">
        <v>844214.43</v>
      </c>
      <c r="N284" s="778">
        <v>873646.59</v>
      </c>
      <c r="O284" s="778">
        <v>929012.22</v>
      </c>
      <c r="P284" s="778">
        <v>1035573.13</v>
      </c>
      <c r="Q284" s="778">
        <v>1202265.6499999999</v>
      </c>
      <c r="R284" s="778">
        <v>1424187.05</v>
      </c>
      <c r="S284" s="618">
        <f t="shared" si="80"/>
        <v>1424187.05</v>
      </c>
      <c r="T284" s="779"/>
      <c r="U284" s="424"/>
      <c r="V284" s="424"/>
      <c r="W284" s="424">
        <f t="shared" si="81"/>
        <v>1424187.05</v>
      </c>
      <c r="X284" s="425"/>
      <c r="Y284" s="424"/>
      <c r="Z284" s="424"/>
      <c r="AA284" s="424"/>
      <c r="AB284" s="424"/>
      <c r="AC284" s="426">
        <f t="shared" si="82"/>
        <v>1424187.05</v>
      </c>
      <c r="AD284" s="779"/>
      <c r="AE284" s="779"/>
      <c r="AF284" s="781">
        <f t="shared" si="77"/>
        <v>0</v>
      </c>
    </row>
    <row r="285" spans="1:32">
      <c r="A285" s="779">
        <f t="shared" si="78"/>
        <v>271</v>
      </c>
      <c r="B285" s="423" t="s">
        <v>1066</v>
      </c>
      <c r="C285" s="423" t="s">
        <v>528</v>
      </c>
      <c r="D285" s="423" t="s">
        <v>1293</v>
      </c>
      <c r="E285" s="777" t="s">
        <v>1915</v>
      </c>
      <c r="F285" s="778">
        <v>117721.31</v>
      </c>
      <c r="G285" s="778">
        <v>33477.589999999997</v>
      </c>
      <c r="H285" s="778">
        <v>58924.93</v>
      </c>
      <c r="I285" s="778">
        <v>90500.61</v>
      </c>
      <c r="J285" s="778">
        <v>113126.71</v>
      </c>
      <c r="K285" s="778">
        <v>130160.74</v>
      </c>
      <c r="L285" s="778">
        <v>139688.99</v>
      </c>
      <c r="M285" s="778">
        <v>147975.31</v>
      </c>
      <c r="N285" s="778">
        <v>155068.54999999999</v>
      </c>
      <c r="O285" s="778">
        <v>161937.72</v>
      </c>
      <c r="P285" s="778">
        <v>171532.01</v>
      </c>
      <c r="Q285" s="778">
        <v>186152.77</v>
      </c>
      <c r="R285" s="778">
        <v>208767.15</v>
      </c>
      <c r="S285" s="618">
        <f t="shared" si="80"/>
        <v>208767.15</v>
      </c>
      <c r="T285" s="779"/>
      <c r="U285" s="424"/>
      <c r="V285" s="424"/>
      <c r="W285" s="424">
        <f t="shared" si="81"/>
        <v>208767.15</v>
      </c>
      <c r="X285" s="425"/>
      <c r="Y285" s="424"/>
      <c r="Z285" s="424"/>
      <c r="AA285" s="424"/>
      <c r="AB285" s="424"/>
      <c r="AC285" s="426">
        <f t="shared" si="82"/>
        <v>208767.15</v>
      </c>
      <c r="AD285" s="779"/>
      <c r="AE285" s="779"/>
      <c r="AF285" s="781">
        <f t="shared" si="77"/>
        <v>0</v>
      </c>
    </row>
    <row r="286" spans="1:32">
      <c r="A286" s="779">
        <f t="shared" si="78"/>
        <v>272</v>
      </c>
      <c r="B286" s="423" t="s">
        <v>1094</v>
      </c>
      <c r="C286" s="423" t="s">
        <v>528</v>
      </c>
      <c r="D286" s="423" t="s">
        <v>1294</v>
      </c>
      <c r="E286" s="777" t="s">
        <v>1916</v>
      </c>
      <c r="F286" s="778">
        <v>1167768.6299999999</v>
      </c>
      <c r="G286" s="778">
        <v>195362.41</v>
      </c>
      <c r="H286" s="778">
        <v>328402.13</v>
      </c>
      <c r="I286" s="778">
        <v>491479</v>
      </c>
      <c r="J286" s="778">
        <v>603090.49</v>
      </c>
      <c r="K286" s="778">
        <v>676344.93</v>
      </c>
      <c r="L286" s="778">
        <v>719202.96</v>
      </c>
      <c r="M286" s="778">
        <v>754531.38</v>
      </c>
      <c r="N286" s="778">
        <v>787082.54</v>
      </c>
      <c r="O286" s="778">
        <v>820953.59999999998</v>
      </c>
      <c r="P286" s="778">
        <v>876482.38</v>
      </c>
      <c r="Q286" s="778">
        <v>959129.94</v>
      </c>
      <c r="R286" s="778">
        <v>1111049.94</v>
      </c>
      <c r="S286" s="618">
        <f t="shared" si="80"/>
        <v>1111049.94</v>
      </c>
      <c r="T286" s="779"/>
      <c r="U286" s="424"/>
      <c r="V286" s="424"/>
      <c r="W286" s="424">
        <f t="shared" si="81"/>
        <v>1111049.94</v>
      </c>
      <c r="X286" s="425"/>
      <c r="Y286" s="424"/>
      <c r="Z286" s="424"/>
      <c r="AA286" s="424"/>
      <c r="AB286" s="424"/>
      <c r="AC286" s="426">
        <f t="shared" si="82"/>
        <v>1111049.94</v>
      </c>
      <c r="AD286" s="779"/>
      <c r="AE286" s="779"/>
      <c r="AF286" s="781">
        <f t="shared" si="77"/>
        <v>0</v>
      </c>
    </row>
    <row r="287" spans="1:32">
      <c r="A287" s="779">
        <f t="shared" si="78"/>
        <v>273</v>
      </c>
      <c r="B287" s="423" t="s">
        <v>1063</v>
      </c>
      <c r="C287" s="423" t="s">
        <v>528</v>
      </c>
      <c r="D287" s="423" t="s">
        <v>1295</v>
      </c>
      <c r="E287" s="777" t="s">
        <v>1912</v>
      </c>
      <c r="F287" s="778">
        <v>272590.59000000003</v>
      </c>
      <c r="G287" s="778">
        <v>22989</v>
      </c>
      <c r="H287" s="778">
        <v>45978</v>
      </c>
      <c r="I287" s="778">
        <v>68967</v>
      </c>
      <c r="J287" s="778">
        <v>93394</v>
      </c>
      <c r="K287" s="778">
        <v>120497.49</v>
      </c>
      <c r="L287" s="778">
        <v>146770.73000000001</v>
      </c>
      <c r="M287" s="778">
        <v>173043.73</v>
      </c>
      <c r="N287" s="778">
        <v>179905.73</v>
      </c>
      <c r="O287" s="778">
        <v>203752.73</v>
      </c>
      <c r="P287" s="778">
        <v>227599.73</v>
      </c>
      <c r="Q287" s="778">
        <v>251446.73</v>
      </c>
      <c r="R287" s="778">
        <v>275293.73</v>
      </c>
      <c r="S287" s="618">
        <f t="shared" si="80"/>
        <v>275293.73</v>
      </c>
      <c r="T287" s="779"/>
      <c r="U287" s="424"/>
      <c r="V287" s="424"/>
      <c r="W287" s="424">
        <f t="shared" si="81"/>
        <v>275293.73</v>
      </c>
      <c r="X287" s="425"/>
      <c r="Y287" s="424"/>
      <c r="Z287" s="424"/>
      <c r="AA287" s="424"/>
      <c r="AB287" s="424"/>
      <c r="AC287" s="426">
        <f t="shared" si="82"/>
        <v>275293.73</v>
      </c>
      <c r="AD287" s="779"/>
      <c r="AE287" s="779"/>
      <c r="AF287" s="781">
        <f t="shared" si="77"/>
        <v>0</v>
      </c>
    </row>
    <row r="288" spans="1:32">
      <c r="A288" s="779">
        <f t="shared" si="78"/>
        <v>274</v>
      </c>
      <c r="B288" s="423" t="s">
        <v>1094</v>
      </c>
      <c r="C288" s="423" t="s">
        <v>528</v>
      </c>
      <c r="D288" s="423" t="s">
        <v>1295</v>
      </c>
      <c r="E288" s="777" t="s">
        <v>1912</v>
      </c>
      <c r="F288" s="778">
        <v>1458277.32</v>
      </c>
      <c r="G288" s="778">
        <v>129057</v>
      </c>
      <c r="H288" s="778">
        <v>258114</v>
      </c>
      <c r="I288" s="778">
        <v>387171</v>
      </c>
      <c r="J288" s="778">
        <v>516228</v>
      </c>
      <c r="K288" s="778">
        <v>645285</v>
      </c>
      <c r="L288" s="778">
        <v>774342</v>
      </c>
      <c r="M288" s="778">
        <v>914662</v>
      </c>
      <c r="N288" s="778">
        <v>1054982</v>
      </c>
      <c r="O288" s="778">
        <v>1195302</v>
      </c>
      <c r="P288" s="778">
        <v>1335622</v>
      </c>
      <c r="Q288" s="778">
        <v>1476140.04</v>
      </c>
      <c r="R288" s="778">
        <v>1616657.04</v>
      </c>
      <c r="S288" s="618">
        <f t="shared" si="80"/>
        <v>1616657.04</v>
      </c>
      <c r="T288" s="779"/>
      <c r="U288" s="424"/>
      <c r="V288" s="424"/>
      <c r="W288" s="424">
        <f t="shared" si="81"/>
        <v>1616657.04</v>
      </c>
      <c r="X288" s="425"/>
      <c r="Y288" s="424"/>
      <c r="Z288" s="424"/>
      <c r="AA288" s="424"/>
      <c r="AB288" s="424"/>
      <c r="AC288" s="426">
        <f t="shared" si="82"/>
        <v>1616657.04</v>
      </c>
      <c r="AD288" s="779"/>
      <c r="AE288" s="779"/>
      <c r="AF288" s="781">
        <f t="shared" si="77"/>
        <v>0</v>
      </c>
    </row>
    <row r="289" spans="1:32">
      <c r="A289" s="779">
        <f t="shared" si="78"/>
        <v>275</v>
      </c>
      <c r="B289" s="423" t="s">
        <v>1066</v>
      </c>
      <c r="C289" s="423" t="s">
        <v>528</v>
      </c>
      <c r="D289" s="423" t="s">
        <v>1295</v>
      </c>
      <c r="E289" s="777" t="s">
        <v>1912</v>
      </c>
      <c r="F289" s="778">
        <v>2406207.75</v>
      </c>
      <c r="G289" s="778">
        <v>214824</v>
      </c>
      <c r="H289" s="778">
        <v>429648</v>
      </c>
      <c r="I289" s="778">
        <v>644472</v>
      </c>
      <c r="J289" s="778">
        <v>872495</v>
      </c>
      <c r="K289" s="778">
        <v>1092155</v>
      </c>
      <c r="L289" s="778">
        <v>1305474.8899999999</v>
      </c>
      <c r="M289" s="778">
        <v>1518759.09</v>
      </c>
      <c r="N289" s="778">
        <v>1574468.09</v>
      </c>
      <c r="O289" s="778">
        <v>1768093.19</v>
      </c>
      <c r="P289" s="778">
        <v>1961515.16</v>
      </c>
      <c r="Q289" s="778">
        <v>2155133.16</v>
      </c>
      <c r="R289" s="778">
        <v>2348751.16</v>
      </c>
      <c r="S289" s="618">
        <f t="shared" si="80"/>
        <v>2348751.16</v>
      </c>
      <c r="T289" s="779"/>
      <c r="U289" s="424"/>
      <c r="V289" s="424"/>
      <c r="W289" s="424">
        <f t="shared" si="81"/>
        <v>2348751.16</v>
      </c>
      <c r="X289" s="425"/>
      <c r="Y289" s="424"/>
      <c r="Z289" s="424"/>
      <c r="AA289" s="424"/>
      <c r="AB289" s="424"/>
      <c r="AC289" s="426">
        <f t="shared" si="82"/>
        <v>2348751.16</v>
      </c>
      <c r="AD289" s="779"/>
      <c r="AE289" s="779"/>
      <c r="AF289" s="781">
        <f t="shared" si="77"/>
        <v>0</v>
      </c>
    </row>
    <row r="290" spans="1:32">
      <c r="A290" s="779">
        <f t="shared" si="78"/>
        <v>276</v>
      </c>
      <c r="B290" s="423" t="s">
        <v>1063</v>
      </c>
      <c r="C290" s="423" t="s">
        <v>528</v>
      </c>
      <c r="D290" s="423" t="s">
        <v>1296</v>
      </c>
      <c r="E290" s="777" t="s">
        <v>1913</v>
      </c>
      <c r="F290" s="778">
        <v>993.6</v>
      </c>
      <c r="G290" s="778">
        <v>283.89</v>
      </c>
      <c r="H290" s="778">
        <v>321.83</v>
      </c>
      <c r="I290" s="778">
        <v>611.27</v>
      </c>
      <c r="J290" s="778">
        <v>919.59</v>
      </c>
      <c r="K290" s="778">
        <v>1764.06</v>
      </c>
      <c r="L290" s="778">
        <v>1785.22</v>
      </c>
      <c r="M290" s="778">
        <v>1785.22</v>
      </c>
      <c r="N290" s="778">
        <v>1785.22</v>
      </c>
      <c r="O290" s="778">
        <v>1785.22</v>
      </c>
      <c r="P290" s="778">
        <v>1785.22</v>
      </c>
      <c r="Q290" s="778">
        <v>1858.08</v>
      </c>
      <c r="R290" s="778">
        <v>2223.23</v>
      </c>
      <c r="S290" s="618">
        <f t="shared" si="80"/>
        <v>2223.23</v>
      </c>
      <c r="T290" s="779"/>
      <c r="U290" s="424"/>
      <c r="V290" s="424"/>
      <c r="W290" s="424">
        <f t="shared" si="81"/>
        <v>2223.23</v>
      </c>
      <c r="X290" s="425"/>
      <c r="Y290" s="424"/>
      <c r="Z290" s="424"/>
      <c r="AA290" s="424"/>
      <c r="AB290" s="424"/>
      <c r="AC290" s="426">
        <f t="shared" si="82"/>
        <v>2223.23</v>
      </c>
      <c r="AD290" s="779"/>
      <c r="AE290" s="779"/>
      <c r="AF290" s="781">
        <f t="shared" si="77"/>
        <v>0</v>
      </c>
    </row>
    <row r="291" spans="1:32">
      <c r="A291" s="779">
        <f t="shared" si="78"/>
        <v>277</v>
      </c>
      <c r="B291" s="423" t="s">
        <v>1094</v>
      </c>
      <c r="C291" s="423" t="s">
        <v>528</v>
      </c>
      <c r="D291" s="423" t="s">
        <v>1296</v>
      </c>
      <c r="E291" s="777" t="s">
        <v>1913</v>
      </c>
      <c r="F291" s="778">
        <v>29229.57</v>
      </c>
      <c r="G291" s="778">
        <v>264.72000000000003</v>
      </c>
      <c r="H291" s="778">
        <v>751.59</v>
      </c>
      <c r="I291" s="778">
        <v>1063.97</v>
      </c>
      <c r="J291" s="778">
        <v>1591.66</v>
      </c>
      <c r="K291" s="778">
        <v>1933.52</v>
      </c>
      <c r="L291" s="778">
        <v>2311.75</v>
      </c>
      <c r="M291" s="778">
        <v>3643.57</v>
      </c>
      <c r="N291" s="778">
        <v>4250.1400000000003</v>
      </c>
      <c r="O291" s="778">
        <v>24844.639999999999</v>
      </c>
      <c r="P291" s="778">
        <v>25351.48</v>
      </c>
      <c r="Q291" s="778">
        <v>26056.49</v>
      </c>
      <c r="R291" s="778">
        <v>26450.98</v>
      </c>
      <c r="S291" s="618">
        <f t="shared" si="80"/>
        <v>26450.98</v>
      </c>
      <c r="T291" s="779"/>
      <c r="U291" s="424"/>
      <c r="V291" s="424"/>
      <c r="W291" s="424">
        <f t="shared" si="81"/>
        <v>26450.98</v>
      </c>
      <c r="X291" s="425"/>
      <c r="Y291" s="424"/>
      <c r="Z291" s="424"/>
      <c r="AA291" s="424"/>
      <c r="AB291" s="424"/>
      <c r="AC291" s="426">
        <f t="shared" si="82"/>
        <v>26450.98</v>
      </c>
      <c r="AD291" s="779"/>
      <c r="AE291" s="779"/>
      <c r="AF291" s="781">
        <f t="shared" si="77"/>
        <v>0</v>
      </c>
    </row>
    <row r="292" spans="1:32">
      <c r="A292" s="779">
        <f t="shared" si="78"/>
        <v>278</v>
      </c>
      <c r="B292" s="423" t="s">
        <v>1066</v>
      </c>
      <c r="C292" s="423" t="s">
        <v>528</v>
      </c>
      <c r="D292" s="423" t="s">
        <v>1296</v>
      </c>
      <c r="E292" s="777" t="s">
        <v>1913</v>
      </c>
      <c r="F292" s="778">
        <v>9156.3799999999992</v>
      </c>
      <c r="G292" s="778">
        <v>-797.11</v>
      </c>
      <c r="H292" s="778">
        <v>-673.76</v>
      </c>
      <c r="I292" s="778">
        <v>14873.58</v>
      </c>
      <c r="J292" s="778">
        <v>20785.689999999999</v>
      </c>
      <c r="K292" s="778">
        <v>22336.83</v>
      </c>
      <c r="L292" s="778">
        <v>23071.86</v>
      </c>
      <c r="M292" s="778">
        <v>23791.4</v>
      </c>
      <c r="N292" s="778">
        <v>33454.019999999997</v>
      </c>
      <c r="O292" s="778">
        <v>33591.9</v>
      </c>
      <c r="P292" s="778">
        <v>34194.379999999997</v>
      </c>
      <c r="Q292" s="778">
        <v>34421.81</v>
      </c>
      <c r="R292" s="778">
        <v>34335.31</v>
      </c>
      <c r="S292" s="618">
        <f t="shared" si="80"/>
        <v>34335.31</v>
      </c>
      <c r="T292" s="779"/>
      <c r="U292" s="424"/>
      <c r="V292" s="424"/>
      <c r="W292" s="424">
        <f t="shared" si="81"/>
        <v>34335.31</v>
      </c>
      <c r="X292" s="425"/>
      <c r="Y292" s="424"/>
      <c r="Z292" s="424"/>
      <c r="AA292" s="424"/>
      <c r="AB292" s="424"/>
      <c r="AC292" s="426">
        <f t="shared" si="82"/>
        <v>34335.31</v>
      </c>
      <c r="AD292" s="779"/>
      <c r="AE292" s="779"/>
      <c r="AF292" s="781">
        <f t="shared" si="77"/>
        <v>0</v>
      </c>
    </row>
    <row r="293" spans="1:32">
      <c r="A293" s="779">
        <f t="shared" si="78"/>
        <v>279</v>
      </c>
      <c r="B293" s="779" t="s">
        <v>382</v>
      </c>
      <c r="C293" s="779" t="s">
        <v>529</v>
      </c>
      <c r="D293" s="779" t="s">
        <v>382</v>
      </c>
      <c r="E293" s="777" t="s">
        <v>1919</v>
      </c>
      <c r="F293" s="405">
        <v>2221137.12</v>
      </c>
      <c r="G293" s="405">
        <v>220730.39</v>
      </c>
      <c r="H293" s="405">
        <v>458372.11</v>
      </c>
      <c r="I293" s="405">
        <v>650749.69999999995</v>
      </c>
      <c r="J293" s="405">
        <v>835744.55</v>
      </c>
      <c r="K293" s="405">
        <v>1030779.05</v>
      </c>
      <c r="L293" s="405">
        <v>1218045.7</v>
      </c>
      <c r="M293" s="405">
        <v>1384451.07</v>
      </c>
      <c r="N293" s="405">
        <v>1590059.19</v>
      </c>
      <c r="O293" s="405">
        <v>1748289.82</v>
      </c>
      <c r="P293" s="405">
        <v>1925989.99</v>
      </c>
      <c r="Q293" s="405">
        <v>2099139.1</v>
      </c>
      <c r="R293" s="405">
        <v>2257640.98</v>
      </c>
      <c r="S293" s="618">
        <f t="shared" si="80"/>
        <v>2257640.98</v>
      </c>
      <c r="T293" s="779"/>
      <c r="U293" s="424"/>
      <c r="V293" s="424"/>
      <c r="W293" s="424">
        <f t="shared" si="81"/>
        <v>2257640.98</v>
      </c>
      <c r="X293" s="425"/>
      <c r="Y293" s="424"/>
      <c r="Z293" s="424"/>
      <c r="AA293" s="424"/>
      <c r="AB293" s="424"/>
      <c r="AC293" s="426">
        <f t="shared" si="82"/>
        <v>2257640.98</v>
      </c>
      <c r="AD293" s="779"/>
      <c r="AE293" s="779"/>
      <c r="AF293" s="781">
        <f t="shared" si="77"/>
        <v>0</v>
      </c>
    </row>
    <row r="294" spans="1:32">
      <c r="A294" s="779">
        <f t="shared" si="78"/>
        <v>280</v>
      </c>
      <c r="B294" s="779"/>
      <c r="C294" s="779"/>
      <c r="D294" s="779"/>
      <c r="E294" s="763" t="s">
        <v>530</v>
      </c>
      <c r="F294" s="394">
        <f t="shared" ref="F294:S294" si="83">SUM(F279:F293)</f>
        <v>29055993.149999999</v>
      </c>
      <c r="G294" s="394">
        <f t="shared" si="83"/>
        <v>4110746.9500000007</v>
      </c>
      <c r="H294" s="394">
        <f t="shared" si="83"/>
        <v>7568028.5200000005</v>
      </c>
      <c r="I294" s="394">
        <f t="shared" si="83"/>
        <v>11015883.790000001</v>
      </c>
      <c r="J294" s="394">
        <f t="shared" si="83"/>
        <v>13592270.760000002</v>
      </c>
      <c r="K294" s="394">
        <f t="shared" si="83"/>
        <v>15418443.92</v>
      </c>
      <c r="L294" s="394">
        <f t="shared" si="83"/>
        <v>16918084.170000002</v>
      </c>
      <c r="M294" s="394">
        <f t="shared" si="83"/>
        <v>18289571.93</v>
      </c>
      <c r="N294" s="394">
        <f t="shared" si="83"/>
        <v>19409871.52</v>
      </c>
      <c r="O294" s="394">
        <f t="shared" si="83"/>
        <v>20812513.030000001</v>
      </c>
      <c r="P294" s="394">
        <f t="shared" si="83"/>
        <v>22691143.969999999</v>
      </c>
      <c r="Q294" s="394">
        <f t="shared" si="83"/>
        <v>25125535.849999998</v>
      </c>
      <c r="R294" s="394">
        <f t="shared" si="83"/>
        <v>28430305.460000001</v>
      </c>
      <c r="S294" s="620">
        <f t="shared" si="83"/>
        <v>28430305.460000001</v>
      </c>
      <c r="T294" s="779"/>
      <c r="U294" s="424"/>
      <c r="V294" s="424"/>
      <c r="W294" s="424"/>
      <c r="X294" s="425"/>
      <c r="Y294" s="424"/>
      <c r="Z294" s="424"/>
      <c r="AA294" s="424"/>
      <c r="AB294" s="424"/>
      <c r="AC294" s="779"/>
      <c r="AD294" s="779"/>
      <c r="AE294" s="779"/>
      <c r="AF294" s="781">
        <f t="shared" si="77"/>
        <v>0</v>
      </c>
    </row>
    <row r="295" spans="1:32">
      <c r="A295" s="779">
        <f t="shared" si="78"/>
        <v>281</v>
      </c>
      <c r="B295" s="779"/>
      <c r="C295" s="779"/>
      <c r="D295" s="779"/>
      <c r="E295" s="763"/>
      <c r="F295" s="778"/>
      <c r="G295" s="420"/>
      <c r="H295" s="408"/>
      <c r="I295" s="408"/>
      <c r="J295" s="409"/>
      <c r="K295" s="410"/>
      <c r="L295" s="411"/>
      <c r="M295" s="412"/>
      <c r="N295" s="413"/>
      <c r="O295" s="764"/>
      <c r="P295" s="415"/>
      <c r="Q295" s="421"/>
      <c r="R295" s="778"/>
      <c r="S295" s="392"/>
      <c r="T295" s="773"/>
      <c r="U295" s="424"/>
      <c r="V295" s="424"/>
      <c r="W295" s="424"/>
      <c r="X295" s="425"/>
      <c r="Y295" s="424"/>
      <c r="Z295" s="424"/>
      <c r="AA295" s="424"/>
      <c r="AB295" s="424"/>
      <c r="AC295" s="779"/>
      <c r="AD295" s="779"/>
      <c r="AE295" s="773"/>
      <c r="AF295" s="781">
        <f t="shared" si="77"/>
        <v>0</v>
      </c>
    </row>
    <row r="296" spans="1:32">
      <c r="A296" s="779">
        <f t="shared" si="78"/>
        <v>282</v>
      </c>
      <c r="B296" s="423" t="s">
        <v>1063</v>
      </c>
      <c r="C296" s="423" t="s">
        <v>531</v>
      </c>
      <c r="D296" s="779"/>
      <c r="E296" s="777" t="s">
        <v>1920</v>
      </c>
      <c r="F296" s="778">
        <v>24014068.280000001</v>
      </c>
      <c r="G296" s="778">
        <v>2110085.92</v>
      </c>
      <c r="H296" s="778">
        <v>4229201.8499999996</v>
      </c>
      <c r="I296" s="778">
        <v>6355417.0899999999</v>
      </c>
      <c r="J296" s="778">
        <v>8489935.3300000001</v>
      </c>
      <c r="K296" s="778">
        <v>10637381.52</v>
      </c>
      <c r="L296" s="778">
        <v>12799582.960000001</v>
      </c>
      <c r="M296" s="778">
        <v>14988069.859999999</v>
      </c>
      <c r="N296" s="778">
        <v>17192360</v>
      </c>
      <c r="O296" s="778">
        <v>19425118.199999999</v>
      </c>
      <c r="P296" s="778">
        <v>21687934.18</v>
      </c>
      <c r="Q296" s="778">
        <v>23984099.579999998</v>
      </c>
      <c r="R296" s="778">
        <v>26303412.609999999</v>
      </c>
      <c r="S296" s="618">
        <f t="shared" ref="S296:S298" si="84">+R296</f>
        <v>26303412.609999999</v>
      </c>
      <c r="T296" s="773"/>
      <c r="U296" s="424"/>
      <c r="V296" s="424"/>
      <c r="W296" s="424">
        <f t="shared" ref="W296:W298" si="85">+S296</f>
        <v>26303412.609999999</v>
      </c>
      <c r="X296" s="425"/>
      <c r="Y296" s="424"/>
      <c r="Z296" s="424"/>
      <c r="AA296" s="424"/>
      <c r="AB296" s="424"/>
      <c r="AC296" s="426">
        <f t="shared" ref="AC296:AC297" si="86">+S296</f>
        <v>26303412.609999999</v>
      </c>
      <c r="AD296" s="779"/>
      <c r="AE296" s="773"/>
      <c r="AF296" s="781">
        <f t="shared" si="77"/>
        <v>0</v>
      </c>
    </row>
    <row r="297" spans="1:32">
      <c r="A297" s="779">
        <f t="shared" si="78"/>
        <v>283</v>
      </c>
      <c r="B297" s="423" t="s">
        <v>1063</v>
      </c>
      <c r="C297" s="423" t="s">
        <v>532</v>
      </c>
      <c r="D297" s="779"/>
      <c r="E297" s="777" t="s">
        <v>1921</v>
      </c>
      <c r="F297" s="778">
        <v>3032663.23</v>
      </c>
      <c r="G297" s="778">
        <v>284802.90999999997</v>
      </c>
      <c r="H297" s="778">
        <v>569721.69999999995</v>
      </c>
      <c r="I297" s="778">
        <v>854751.9</v>
      </c>
      <c r="J297" s="778">
        <v>1139861.95</v>
      </c>
      <c r="K297" s="778">
        <v>1424808.91</v>
      </c>
      <c r="L297" s="778">
        <v>1709755.87</v>
      </c>
      <c r="M297" s="778">
        <v>1994920.73</v>
      </c>
      <c r="N297" s="778">
        <v>2280085.7999999998</v>
      </c>
      <c r="O297" s="778">
        <v>2565268.1800000002</v>
      </c>
      <c r="P297" s="778">
        <v>2850451.84</v>
      </c>
      <c r="Q297" s="778">
        <v>3135636.98</v>
      </c>
      <c r="R297" s="778">
        <v>3486360.4</v>
      </c>
      <c r="S297" s="618">
        <f t="shared" si="84"/>
        <v>3486360.4</v>
      </c>
      <c r="T297" s="773"/>
      <c r="U297" s="424"/>
      <c r="V297" s="424"/>
      <c r="W297" s="424">
        <f t="shared" si="85"/>
        <v>3486360.4</v>
      </c>
      <c r="X297" s="425"/>
      <c r="Y297" s="424"/>
      <c r="Z297" s="424"/>
      <c r="AA297" s="424"/>
      <c r="AB297" s="424"/>
      <c r="AC297" s="426">
        <f t="shared" si="86"/>
        <v>3486360.4</v>
      </c>
      <c r="AD297" s="779"/>
      <c r="AE297" s="773"/>
      <c r="AF297" s="781">
        <f t="shared" si="77"/>
        <v>0</v>
      </c>
    </row>
    <row r="298" spans="1:32">
      <c r="A298" s="779">
        <f t="shared" si="78"/>
        <v>284</v>
      </c>
      <c r="B298" s="423" t="s">
        <v>1063</v>
      </c>
      <c r="C298" s="657" t="s">
        <v>533</v>
      </c>
      <c r="D298" s="779"/>
      <c r="E298" s="777" t="s">
        <v>1922</v>
      </c>
      <c r="F298" s="405">
        <v>0</v>
      </c>
      <c r="G298" s="405">
        <v>0</v>
      </c>
      <c r="H298" s="405">
        <v>0</v>
      </c>
      <c r="I298" s="405">
        <v>0</v>
      </c>
      <c r="J298" s="405">
        <v>0</v>
      </c>
      <c r="K298" s="405">
        <v>0</v>
      </c>
      <c r="L298" s="405">
        <v>0</v>
      </c>
      <c r="M298" s="405">
        <v>0</v>
      </c>
      <c r="N298" s="405">
        <v>0</v>
      </c>
      <c r="O298" s="405">
        <v>0</v>
      </c>
      <c r="P298" s="405">
        <v>0</v>
      </c>
      <c r="Q298" s="405">
        <v>0</v>
      </c>
      <c r="R298" s="405">
        <v>0</v>
      </c>
      <c r="S298" s="618">
        <f t="shared" si="84"/>
        <v>0</v>
      </c>
      <c r="T298" s="773"/>
      <c r="U298" s="424"/>
      <c r="V298" s="424"/>
      <c r="W298" s="424">
        <f t="shared" si="85"/>
        <v>0</v>
      </c>
      <c r="X298" s="425"/>
      <c r="Y298" s="424"/>
      <c r="Z298" s="424"/>
      <c r="AA298" s="424"/>
      <c r="AB298" s="424"/>
      <c r="AC298" s="426">
        <f>+S298</f>
        <v>0</v>
      </c>
      <c r="AD298" s="779"/>
      <c r="AE298" s="773"/>
      <c r="AF298" s="781">
        <f t="shared" si="77"/>
        <v>0</v>
      </c>
    </row>
    <row r="299" spans="1:32">
      <c r="A299" s="779">
        <f t="shared" si="78"/>
        <v>285</v>
      </c>
      <c r="B299" s="779"/>
      <c r="C299" s="779"/>
      <c r="D299" s="779"/>
      <c r="E299" s="777" t="s">
        <v>534</v>
      </c>
      <c r="F299" s="394">
        <f>SUM(F296:F298)</f>
        <v>27046731.510000002</v>
      </c>
      <c r="G299" s="394">
        <f t="shared" ref="G299:S299" si="87">SUM(G296:G298)</f>
        <v>2394888.83</v>
      </c>
      <c r="H299" s="394">
        <f t="shared" si="87"/>
        <v>4798923.55</v>
      </c>
      <c r="I299" s="394">
        <f t="shared" si="87"/>
        <v>7210168.9900000002</v>
      </c>
      <c r="J299" s="394">
        <f t="shared" si="87"/>
        <v>9629797.2799999993</v>
      </c>
      <c r="K299" s="394">
        <f t="shared" si="87"/>
        <v>12062190.43</v>
      </c>
      <c r="L299" s="394">
        <f t="shared" si="87"/>
        <v>14509338.830000002</v>
      </c>
      <c r="M299" s="394">
        <f t="shared" si="87"/>
        <v>16982990.59</v>
      </c>
      <c r="N299" s="394">
        <f t="shared" si="87"/>
        <v>19472445.800000001</v>
      </c>
      <c r="O299" s="394">
        <f t="shared" si="87"/>
        <v>21990386.379999999</v>
      </c>
      <c r="P299" s="394">
        <f t="shared" si="87"/>
        <v>24538386.02</v>
      </c>
      <c r="Q299" s="394">
        <f t="shared" si="87"/>
        <v>27119736.559999999</v>
      </c>
      <c r="R299" s="394">
        <f t="shared" si="87"/>
        <v>29789773.009999998</v>
      </c>
      <c r="S299" s="395">
        <f t="shared" si="87"/>
        <v>29789773.009999998</v>
      </c>
      <c r="T299" s="773"/>
      <c r="U299" s="424"/>
      <c r="V299" s="424"/>
      <c r="W299" s="424"/>
      <c r="X299" s="425"/>
      <c r="Y299" s="424"/>
      <c r="Z299" s="424"/>
      <c r="AA299" s="424"/>
      <c r="AB299" s="424"/>
      <c r="AC299" s="779"/>
      <c r="AD299" s="779"/>
      <c r="AE299" s="773"/>
      <c r="AF299" s="781">
        <f t="shared" si="77"/>
        <v>0</v>
      </c>
    </row>
    <row r="300" spans="1:32">
      <c r="A300" s="779">
        <f t="shared" si="78"/>
        <v>286</v>
      </c>
      <c r="B300" s="779"/>
      <c r="C300" s="779"/>
      <c r="D300" s="779"/>
      <c r="E300" s="763"/>
      <c r="F300" s="778"/>
      <c r="G300" s="420"/>
      <c r="H300" s="408"/>
      <c r="I300" s="408"/>
      <c r="J300" s="409"/>
      <c r="K300" s="410"/>
      <c r="L300" s="411"/>
      <c r="M300" s="412"/>
      <c r="N300" s="413"/>
      <c r="O300" s="764"/>
      <c r="P300" s="415"/>
      <c r="Q300" s="421"/>
      <c r="R300" s="778"/>
      <c r="S300" s="392"/>
      <c r="T300" s="773"/>
      <c r="U300" s="424"/>
      <c r="V300" s="424"/>
      <c r="W300" s="424"/>
      <c r="X300" s="425"/>
      <c r="Y300" s="424"/>
      <c r="Z300" s="424"/>
      <c r="AA300" s="424"/>
      <c r="AB300" s="424"/>
      <c r="AC300" s="779"/>
      <c r="AD300" s="779"/>
      <c r="AE300" s="773"/>
      <c r="AF300" s="781">
        <f t="shared" si="77"/>
        <v>0</v>
      </c>
    </row>
    <row r="301" spans="1:32">
      <c r="A301" s="779">
        <f t="shared" si="78"/>
        <v>287</v>
      </c>
      <c r="B301" s="423" t="s">
        <v>1063</v>
      </c>
      <c r="C301" s="423" t="s">
        <v>535</v>
      </c>
      <c r="D301" s="779"/>
      <c r="E301" s="777" t="s">
        <v>536</v>
      </c>
      <c r="F301" s="778">
        <v>0</v>
      </c>
      <c r="G301" s="778">
        <v>0</v>
      </c>
      <c r="H301" s="778">
        <v>0</v>
      </c>
      <c r="I301" s="778">
        <v>0</v>
      </c>
      <c r="J301" s="778">
        <v>0</v>
      </c>
      <c r="K301" s="778">
        <v>0</v>
      </c>
      <c r="L301" s="778">
        <v>0</v>
      </c>
      <c r="M301" s="778">
        <v>0</v>
      </c>
      <c r="N301" s="778">
        <v>0</v>
      </c>
      <c r="O301" s="778">
        <v>0</v>
      </c>
      <c r="P301" s="778">
        <v>0</v>
      </c>
      <c r="Q301" s="778">
        <v>0</v>
      </c>
      <c r="R301" s="778">
        <v>0</v>
      </c>
      <c r="S301" s="618">
        <f t="shared" ref="S301:S312" si="88">+R301</f>
        <v>0</v>
      </c>
      <c r="T301" s="773"/>
      <c r="U301" s="424"/>
      <c r="V301" s="424"/>
      <c r="W301" s="424"/>
      <c r="X301" s="425"/>
      <c r="Y301" s="424"/>
      <c r="Z301" s="424"/>
      <c r="AA301" s="424"/>
      <c r="AB301" s="424"/>
      <c r="AC301" s="779"/>
      <c r="AD301" s="779"/>
      <c r="AE301" s="773"/>
      <c r="AF301" s="781">
        <f t="shared" si="77"/>
        <v>0</v>
      </c>
    </row>
    <row r="302" spans="1:32">
      <c r="A302" s="779">
        <f t="shared" si="78"/>
        <v>288</v>
      </c>
      <c r="B302" s="423" t="s">
        <v>1063</v>
      </c>
      <c r="C302" s="423" t="s">
        <v>537</v>
      </c>
      <c r="D302" s="779"/>
      <c r="E302" s="777" t="s">
        <v>538</v>
      </c>
      <c r="F302" s="778">
        <v>11142249.390000001</v>
      </c>
      <c r="G302" s="778">
        <v>928402.29</v>
      </c>
      <c r="H302" s="778">
        <v>1856695.2</v>
      </c>
      <c r="I302" s="778">
        <v>2784988.12</v>
      </c>
      <c r="J302" s="778">
        <v>3713281.03</v>
      </c>
      <c r="K302" s="778">
        <v>4641552.08</v>
      </c>
      <c r="L302" s="778">
        <v>5569823.1299999999</v>
      </c>
      <c r="M302" s="778">
        <v>6498094.1699999999</v>
      </c>
      <c r="N302" s="778">
        <v>7426365.21</v>
      </c>
      <c r="O302" s="778">
        <v>8354636.2599999998</v>
      </c>
      <c r="P302" s="778">
        <v>9282907.2899999991</v>
      </c>
      <c r="Q302" s="778">
        <v>10211003.310000001</v>
      </c>
      <c r="R302" s="778">
        <v>11139099.369999999</v>
      </c>
      <c r="S302" s="618">
        <f t="shared" si="88"/>
        <v>11139099.369999999</v>
      </c>
      <c r="T302" s="773"/>
      <c r="U302" s="424"/>
      <c r="V302" s="424"/>
      <c r="W302" s="424">
        <f t="shared" ref="W302:W312" si="89">+S302</f>
        <v>11139099.369999999</v>
      </c>
      <c r="X302" s="425"/>
      <c r="Y302" s="424"/>
      <c r="Z302" s="424"/>
      <c r="AA302" s="424"/>
      <c r="AB302" s="424"/>
      <c r="AC302" s="426">
        <f t="shared" ref="AC302:AC312" si="90">+S302</f>
        <v>11139099.369999999</v>
      </c>
      <c r="AD302" s="779"/>
      <c r="AE302" s="773"/>
      <c r="AF302" s="781">
        <f t="shared" si="77"/>
        <v>0</v>
      </c>
    </row>
    <row r="303" spans="1:32">
      <c r="A303" s="779">
        <f t="shared" si="78"/>
        <v>289</v>
      </c>
      <c r="B303" s="423" t="s">
        <v>1063</v>
      </c>
      <c r="C303" s="423" t="s">
        <v>537</v>
      </c>
      <c r="D303" s="423" t="s">
        <v>539</v>
      </c>
      <c r="E303" s="764" t="s">
        <v>540</v>
      </c>
      <c r="F303" s="778">
        <v>261191.14</v>
      </c>
      <c r="G303" s="778">
        <v>42333.91</v>
      </c>
      <c r="H303" s="778">
        <v>61985.96</v>
      </c>
      <c r="I303" s="778">
        <v>83051.03</v>
      </c>
      <c r="J303" s="778">
        <v>88985.27</v>
      </c>
      <c r="K303" s="778">
        <v>93618.16</v>
      </c>
      <c r="L303" s="778">
        <v>99620.89</v>
      </c>
      <c r="M303" s="778">
        <v>122364.04</v>
      </c>
      <c r="N303" s="778">
        <v>187132.93</v>
      </c>
      <c r="O303" s="778">
        <v>266875.86</v>
      </c>
      <c r="P303" s="778">
        <v>308847.27</v>
      </c>
      <c r="Q303" s="778">
        <v>392534.75</v>
      </c>
      <c r="R303" s="778">
        <v>548333.80000000005</v>
      </c>
      <c r="S303" s="618">
        <f t="shared" si="88"/>
        <v>548333.80000000005</v>
      </c>
      <c r="T303" s="773"/>
      <c r="U303" s="424"/>
      <c r="V303" s="424"/>
      <c r="W303" s="424">
        <f t="shared" si="89"/>
        <v>548333.80000000005</v>
      </c>
      <c r="X303" s="425"/>
      <c r="Y303" s="424"/>
      <c r="Z303" s="424"/>
      <c r="AA303" s="424"/>
      <c r="AB303" s="424"/>
      <c r="AC303" s="426">
        <f t="shared" si="90"/>
        <v>548333.80000000005</v>
      </c>
      <c r="AD303" s="779"/>
      <c r="AE303" s="773"/>
      <c r="AF303" s="781">
        <f t="shared" si="77"/>
        <v>0</v>
      </c>
    </row>
    <row r="304" spans="1:32">
      <c r="A304" s="779">
        <f t="shared" si="78"/>
        <v>290</v>
      </c>
      <c r="B304" s="423" t="s">
        <v>1063</v>
      </c>
      <c r="C304" s="423" t="s">
        <v>541</v>
      </c>
      <c r="D304" s="423" t="s">
        <v>393</v>
      </c>
      <c r="E304" s="777" t="s">
        <v>1924</v>
      </c>
      <c r="F304" s="778">
        <v>85069.48</v>
      </c>
      <c r="G304" s="778">
        <v>8072.92</v>
      </c>
      <c r="H304" s="778">
        <v>15364.59</v>
      </c>
      <c r="I304" s="778">
        <v>23437.52</v>
      </c>
      <c r="J304" s="778">
        <v>31250.02</v>
      </c>
      <c r="K304" s="778">
        <v>39322.94</v>
      </c>
      <c r="L304" s="778">
        <v>47135.44</v>
      </c>
      <c r="M304" s="778">
        <v>55208.36</v>
      </c>
      <c r="N304" s="778">
        <v>63281.279999999999</v>
      </c>
      <c r="O304" s="778">
        <v>71093.789999999994</v>
      </c>
      <c r="P304" s="778">
        <v>79166.710000000006</v>
      </c>
      <c r="Q304" s="778">
        <v>86979.21</v>
      </c>
      <c r="R304" s="778">
        <v>95052.07</v>
      </c>
      <c r="S304" s="618">
        <f t="shared" si="88"/>
        <v>95052.07</v>
      </c>
      <c r="T304" s="773"/>
      <c r="U304" s="424"/>
      <c r="V304" s="424"/>
      <c r="W304" s="424">
        <f t="shared" si="89"/>
        <v>95052.07</v>
      </c>
      <c r="X304" s="425"/>
      <c r="Y304" s="424"/>
      <c r="Z304" s="424"/>
      <c r="AA304" s="424"/>
      <c r="AB304" s="424"/>
      <c r="AC304" s="426">
        <f t="shared" si="90"/>
        <v>95052.07</v>
      </c>
      <c r="AD304" s="779"/>
      <c r="AE304" s="773"/>
      <c r="AF304" s="781">
        <f t="shared" si="77"/>
        <v>0</v>
      </c>
    </row>
    <row r="305" spans="1:32">
      <c r="A305" s="779">
        <f t="shared" si="78"/>
        <v>291</v>
      </c>
      <c r="B305" s="423" t="s">
        <v>1094</v>
      </c>
      <c r="C305" s="423" t="s">
        <v>541</v>
      </c>
      <c r="D305" s="423" t="s">
        <v>1297</v>
      </c>
      <c r="E305" s="777" t="s">
        <v>1925</v>
      </c>
      <c r="F305" s="778">
        <v>1654.56</v>
      </c>
      <c r="G305" s="778">
        <v>23.85</v>
      </c>
      <c r="H305" s="778">
        <v>76.52</v>
      </c>
      <c r="I305" s="778">
        <v>150.68</v>
      </c>
      <c r="J305" s="778">
        <v>248.8</v>
      </c>
      <c r="K305" s="778">
        <v>366.3</v>
      </c>
      <c r="L305" s="778">
        <v>524.48</v>
      </c>
      <c r="M305" s="778">
        <v>663.72</v>
      </c>
      <c r="N305" s="778">
        <v>886.31</v>
      </c>
      <c r="O305" s="778">
        <v>1088.95</v>
      </c>
      <c r="P305" s="778">
        <v>1379.47</v>
      </c>
      <c r="Q305" s="778">
        <v>1543.27</v>
      </c>
      <c r="R305" s="778">
        <v>3105.24</v>
      </c>
      <c r="S305" s="618">
        <f t="shared" si="88"/>
        <v>3105.24</v>
      </c>
      <c r="T305" s="773"/>
      <c r="U305" s="424"/>
      <c r="V305" s="424"/>
      <c r="W305" s="424">
        <f t="shared" si="89"/>
        <v>3105.24</v>
      </c>
      <c r="X305" s="425"/>
      <c r="Y305" s="424"/>
      <c r="Z305" s="424"/>
      <c r="AA305" s="424"/>
      <c r="AB305" s="424"/>
      <c r="AC305" s="426">
        <f t="shared" si="90"/>
        <v>3105.24</v>
      </c>
      <c r="AD305" s="779"/>
      <c r="AE305" s="773"/>
      <c r="AF305" s="781">
        <f t="shared" si="77"/>
        <v>0</v>
      </c>
    </row>
    <row r="306" spans="1:32">
      <c r="A306" s="779">
        <f t="shared" si="78"/>
        <v>292</v>
      </c>
      <c r="B306" s="423" t="s">
        <v>1094</v>
      </c>
      <c r="C306" s="423" t="s">
        <v>541</v>
      </c>
      <c r="D306" s="423" t="s">
        <v>1298</v>
      </c>
      <c r="E306" s="777" t="s">
        <v>1926</v>
      </c>
      <c r="F306" s="778">
        <v>168887.29</v>
      </c>
      <c r="G306" s="778">
        <v>8389.86</v>
      </c>
      <c r="H306" s="778">
        <v>17240.2</v>
      </c>
      <c r="I306" s="778">
        <v>30002.5</v>
      </c>
      <c r="J306" s="778">
        <v>46646.75</v>
      </c>
      <c r="K306" s="778">
        <v>64650.63</v>
      </c>
      <c r="L306" s="778">
        <v>82674.87</v>
      </c>
      <c r="M306" s="778">
        <v>101522.38</v>
      </c>
      <c r="N306" s="778">
        <v>119460.57</v>
      </c>
      <c r="O306" s="778">
        <v>134014.20000000001</v>
      </c>
      <c r="P306" s="778">
        <v>149548.85</v>
      </c>
      <c r="Q306" s="778">
        <v>156077.73000000001</v>
      </c>
      <c r="R306" s="778">
        <v>156518.59</v>
      </c>
      <c r="S306" s="618">
        <f t="shared" si="88"/>
        <v>156518.59</v>
      </c>
      <c r="T306" s="773"/>
      <c r="U306" s="424"/>
      <c r="V306" s="424"/>
      <c r="W306" s="424">
        <f t="shared" si="89"/>
        <v>156518.59</v>
      </c>
      <c r="X306" s="425"/>
      <c r="Y306" s="424"/>
      <c r="Z306" s="424"/>
      <c r="AA306" s="424"/>
      <c r="AB306" s="424"/>
      <c r="AC306" s="426">
        <f t="shared" si="90"/>
        <v>156518.59</v>
      </c>
      <c r="AD306" s="779"/>
      <c r="AE306" s="773"/>
      <c r="AF306" s="781">
        <f t="shared" si="77"/>
        <v>0</v>
      </c>
    </row>
    <row r="307" spans="1:32">
      <c r="A307" s="779">
        <f t="shared" si="78"/>
        <v>293</v>
      </c>
      <c r="B307" s="423" t="s">
        <v>1094</v>
      </c>
      <c r="C307" s="423" t="s">
        <v>541</v>
      </c>
      <c r="D307" s="423" t="s">
        <v>1299</v>
      </c>
      <c r="E307" s="777" t="s">
        <v>1927</v>
      </c>
      <c r="F307" s="778">
        <v>179247.51</v>
      </c>
      <c r="G307" s="778">
        <v>4696.57</v>
      </c>
      <c r="H307" s="778">
        <v>7291.76</v>
      </c>
      <c r="I307" s="778">
        <v>8200.83</v>
      </c>
      <c r="J307" s="778">
        <v>12096.23</v>
      </c>
      <c r="K307" s="778">
        <v>17769.509999999998</v>
      </c>
      <c r="L307" s="778">
        <v>21844.14</v>
      </c>
      <c r="M307" s="778">
        <v>26395.13</v>
      </c>
      <c r="N307" s="778">
        <v>26395.13</v>
      </c>
      <c r="O307" s="778">
        <v>27405.49</v>
      </c>
      <c r="P307" s="778">
        <v>27405.49</v>
      </c>
      <c r="Q307" s="778">
        <v>39378.44</v>
      </c>
      <c r="R307" s="778">
        <v>39378.44</v>
      </c>
      <c r="S307" s="618">
        <f t="shared" si="88"/>
        <v>39378.44</v>
      </c>
      <c r="T307" s="773"/>
      <c r="U307" s="424"/>
      <c r="V307" s="424"/>
      <c r="W307" s="424">
        <f t="shared" si="89"/>
        <v>39378.44</v>
      </c>
      <c r="X307" s="425"/>
      <c r="Y307" s="424"/>
      <c r="Z307" s="424"/>
      <c r="AA307" s="424"/>
      <c r="AB307" s="424"/>
      <c r="AC307" s="426">
        <f t="shared" si="90"/>
        <v>39378.44</v>
      </c>
      <c r="AD307" s="779"/>
      <c r="AE307" s="773"/>
      <c r="AF307" s="781">
        <f t="shared" si="77"/>
        <v>0</v>
      </c>
    </row>
    <row r="308" spans="1:32">
      <c r="A308" s="779">
        <f t="shared" si="78"/>
        <v>294</v>
      </c>
      <c r="B308" s="423" t="s">
        <v>1066</v>
      </c>
      <c r="C308" s="423" t="s">
        <v>541</v>
      </c>
      <c r="D308" s="423" t="s">
        <v>1297</v>
      </c>
      <c r="E308" s="777" t="s">
        <v>1925</v>
      </c>
      <c r="F308" s="778">
        <v>4905.9799999999996</v>
      </c>
      <c r="G308" s="778">
        <v>78.69</v>
      </c>
      <c r="H308" s="778">
        <v>254.3</v>
      </c>
      <c r="I308" s="778">
        <v>584.65</v>
      </c>
      <c r="J308" s="778">
        <v>897.67</v>
      </c>
      <c r="K308" s="778">
        <v>1561.51</v>
      </c>
      <c r="L308" s="778">
        <v>2092</v>
      </c>
      <c r="M308" s="778">
        <v>2748.54</v>
      </c>
      <c r="N308" s="778">
        <v>3548.58</v>
      </c>
      <c r="O308" s="778">
        <v>4157.6400000000003</v>
      </c>
      <c r="P308" s="778">
        <v>5079.43</v>
      </c>
      <c r="Q308" s="778">
        <v>5759.62</v>
      </c>
      <c r="R308" s="778">
        <v>12321.35</v>
      </c>
      <c r="S308" s="618">
        <f t="shared" si="88"/>
        <v>12321.35</v>
      </c>
      <c r="T308" s="773"/>
      <c r="U308" s="424"/>
      <c r="V308" s="424"/>
      <c r="W308" s="424">
        <f t="shared" si="89"/>
        <v>12321.35</v>
      </c>
      <c r="X308" s="425"/>
      <c r="Y308" s="424"/>
      <c r="Z308" s="424"/>
      <c r="AA308" s="424"/>
      <c r="AB308" s="424"/>
      <c r="AC308" s="426">
        <f t="shared" si="90"/>
        <v>12321.35</v>
      </c>
      <c r="AD308" s="779"/>
      <c r="AE308" s="773"/>
      <c r="AF308" s="781">
        <f t="shared" si="77"/>
        <v>0</v>
      </c>
    </row>
    <row r="309" spans="1:32">
      <c r="A309" s="779">
        <f t="shared" si="78"/>
        <v>295</v>
      </c>
      <c r="B309" s="423" t="s">
        <v>1066</v>
      </c>
      <c r="C309" s="423" t="s">
        <v>541</v>
      </c>
      <c r="D309" s="423" t="s">
        <v>1298</v>
      </c>
      <c r="E309" s="777" t="s">
        <v>1926</v>
      </c>
      <c r="F309" s="778">
        <v>1058.1500000000001</v>
      </c>
      <c r="G309" s="778">
        <v>0</v>
      </c>
      <c r="H309" s="778">
        <v>0</v>
      </c>
      <c r="I309" s="778">
        <v>0</v>
      </c>
      <c r="J309" s="778">
        <v>0</v>
      </c>
      <c r="K309" s="778">
        <v>0</v>
      </c>
      <c r="L309" s="778">
        <v>0</v>
      </c>
      <c r="M309" s="778">
        <v>0</v>
      </c>
      <c r="N309" s="778">
        <v>0</v>
      </c>
      <c r="O309" s="778">
        <v>0</v>
      </c>
      <c r="P309" s="778">
        <v>0</v>
      </c>
      <c r="Q309" s="778">
        <v>0</v>
      </c>
      <c r="R309" s="778">
        <v>0</v>
      </c>
      <c r="S309" s="618">
        <f t="shared" si="88"/>
        <v>0</v>
      </c>
      <c r="T309" s="773"/>
      <c r="U309" s="424"/>
      <c r="V309" s="424"/>
      <c r="W309" s="424">
        <f t="shared" si="89"/>
        <v>0</v>
      </c>
      <c r="X309" s="425"/>
      <c r="Y309" s="424"/>
      <c r="Z309" s="424"/>
      <c r="AA309" s="424"/>
      <c r="AB309" s="424"/>
      <c r="AC309" s="426">
        <f t="shared" si="90"/>
        <v>0</v>
      </c>
      <c r="AD309" s="779"/>
      <c r="AE309" s="773"/>
      <c r="AF309" s="781">
        <f t="shared" si="77"/>
        <v>0</v>
      </c>
    </row>
    <row r="310" spans="1:32">
      <c r="A310" s="779">
        <f t="shared" si="78"/>
        <v>296</v>
      </c>
      <c r="B310" s="423" t="s">
        <v>1066</v>
      </c>
      <c r="C310" s="423" t="s">
        <v>541</v>
      </c>
      <c r="D310" s="423" t="s">
        <v>1299</v>
      </c>
      <c r="E310" s="777" t="s">
        <v>1927</v>
      </c>
      <c r="F310" s="778">
        <v>64353.77</v>
      </c>
      <c r="G310" s="778">
        <v>5457.45</v>
      </c>
      <c r="H310" s="778">
        <v>10373.77</v>
      </c>
      <c r="I310" s="778">
        <v>18287.18</v>
      </c>
      <c r="J310" s="778">
        <v>27787.22</v>
      </c>
      <c r="K310" s="778">
        <v>38874.339999999997</v>
      </c>
      <c r="L310" s="778">
        <v>45487.45</v>
      </c>
      <c r="M310" s="778">
        <v>50544.39</v>
      </c>
      <c r="N310" s="778">
        <v>53464.6</v>
      </c>
      <c r="O310" s="778">
        <v>53464.6</v>
      </c>
      <c r="P310" s="778">
        <v>53464.6</v>
      </c>
      <c r="Q310" s="778">
        <v>53464.6</v>
      </c>
      <c r="R310" s="778">
        <v>53464.6</v>
      </c>
      <c r="S310" s="618">
        <f t="shared" si="88"/>
        <v>53464.6</v>
      </c>
      <c r="T310" s="773"/>
      <c r="U310" s="424"/>
      <c r="V310" s="424"/>
      <c r="W310" s="424">
        <f t="shared" si="89"/>
        <v>53464.6</v>
      </c>
      <c r="X310" s="425"/>
      <c r="Y310" s="424"/>
      <c r="Z310" s="424"/>
      <c r="AA310" s="424"/>
      <c r="AB310" s="424"/>
      <c r="AC310" s="426">
        <f t="shared" si="90"/>
        <v>53464.6</v>
      </c>
      <c r="AD310" s="779"/>
      <c r="AE310" s="773"/>
      <c r="AF310" s="781">
        <f t="shared" si="77"/>
        <v>0</v>
      </c>
    </row>
    <row r="311" spans="1:32">
      <c r="A311" s="779">
        <f t="shared" si="78"/>
        <v>297</v>
      </c>
      <c r="B311" s="423" t="s">
        <v>1063</v>
      </c>
      <c r="C311" s="423" t="s">
        <v>542</v>
      </c>
      <c r="D311" s="779"/>
      <c r="E311" s="777" t="s">
        <v>543</v>
      </c>
      <c r="F311" s="778">
        <v>454448.18</v>
      </c>
      <c r="G311" s="778">
        <v>16476.89</v>
      </c>
      <c r="H311" s="778">
        <v>33874.15</v>
      </c>
      <c r="I311" s="778">
        <v>50346.5</v>
      </c>
      <c r="J311" s="778">
        <v>66818.850000000006</v>
      </c>
      <c r="K311" s="778">
        <v>83472.56</v>
      </c>
      <c r="L311" s="778">
        <v>99944.01</v>
      </c>
      <c r="M311" s="778">
        <v>116415.46</v>
      </c>
      <c r="N311" s="778">
        <v>132886.91</v>
      </c>
      <c r="O311" s="778">
        <v>149358.35999999999</v>
      </c>
      <c r="P311" s="778">
        <v>165829.81</v>
      </c>
      <c r="Q311" s="778">
        <v>183708.56</v>
      </c>
      <c r="R311" s="778">
        <v>200172.75</v>
      </c>
      <c r="S311" s="618">
        <f t="shared" si="88"/>
        <v>200172.75</v>
      </c>
      <c r="T311" s="773"/>
      <c r="U311" s="424"/>
      <c r="V311" s="424"/>
      <c r="W311" s="424">
        <f t="shared" si="89"/>
        <v>200172.75</v>
      </c>
      <c r="X311" s="425"/>
      <c r="Y311" s="424"/>
      <c r="Z311" s="424"/>
      <c r="AA311" s="424"/>
      <c r="AB311" s="424"/>
      <c r="AC311" s="426">
        <f t="shared" si="90"/>
        <v>200172.75</v>
      </c>
      <c r="AD311" s="779"/>
      <c r="AE311" s="773"/>
      <c r="AF311" s="781">
        <f t="shared" si="77"/>
        <v>0</v>
      </c>
    </row>
    <row r="312" spans="1:32">
      <c r="A312" s="779">
        <f t="shared" si="78"/>
        <v>298</v>
      </c>
      <c r="B312" s="423" t="s">
        <v>1063</v>
      </c>
      <c r="C312" s="423" t="s">
        <v>544</v>
      </c>
      <c r="D312" s="779"/>
      <c r="E312" s="777" t="s">
        <v>1923</v>
      </c>
      <c r="F312" s="405">
        <v>40970.639999999999</v>
      </c>
      <c r="G312" s="405">
        <v>3414.22</v>
      </c>
      <c r="H312" s="405">
        <v>6828.44</v>
      </c>
      <c r="I312" s="405">
        <v>10242.66</v>
      </c>
      <c r="J312" s="405">
        <v>13656.88</v>
      </c>
      <c r="K312" s="405">
        <v>17071.099999999999</v>
      </c>
      <c r="L312" s="405">
        <v>20485.32</v>
      </c>
      <c r="M312" s="405">
        <v>23899.54</v>
      </c>
      <c r="N312" s="405">
        <v>27313.759999999998</v>
      </c>
      <c r="O312" s="405">
        <v>30727.98</v>
      </c>
      <c r="P312" s="405">
        <v>34142.199999999997</v>
      </c>
      <c r="Q312" s="405">
        <v>37556.42</v>
      </c>
      <c r="R312" s="405">
        <v>40970.639999999999</v>
      </c>
      <c r="S312" s="618">
        <f t="shared" si="88"/>
        <v>40970.639999999999</v>
      </c>
      <c r="T312" s="773"/>
      <c r="U312" s="424"/>
      <c r="V312" s="424"/>
      <c r="W312" s="424">
        <f t="shared" si="89"/>
        <v>40970.639999999999</v>
      </c>
      <c r="X312" s="425"/>
      <c r="Y312" s="424"/>
      <c r="Z312" s="424"/>
      <c r="AA312" s="424"/>
      <c r="AB312" s="424"/>
      <c r="AC312" s="426">
        <f t="shared" si="90"/>
        <v>40970.639999999999</v>
      </c>
      <c r="AD312" s="779"/>
      <c r="AE312" s="773"/>
      <c r="AF312" s="781">
        <f t="shared" si="77"/>
        <v>0</v>
      </c>
    </row>
    <row r="313" spans="1:32">
      <c r="A313" s="779">
        <f t="shared" si="78"/>
        <v>299</v>
      </c>
      <c r="B313" s="779"/>
      <c r="C313" s="779"/>
      <c r="D313" s="779"/>
      <c r="E313" s="777" t="s">
        <v>545</v>
      </c>
      <c r="F313" s="394">
        <f t="shared" ref="F313:S313" si="91">SUM(F301:F312)</f>
        <v>12404036.090000002</v>
      </c>
      <c r="G313" s="394">
        <f t="shared" si="91"/>
        <v>1017346.6499999999</v>
      </c>
      <c r="H313" s="394">
        <f t="shared" si="91"/>
        <v>2009984.89</v>
      </c>
      <c r="I313" s="394">
        <f t="shared" si="91"/>
        <v>3009291.6700000004</v>
      </c>
      <c r="J313" s="394">
        <f t="shared" si="91"/>
        <v>4001668.7199999997</v>
      </c>
      <c r="K313" s="394">
        <f t="shared" si="91"/>
        <v>4998259.129999999</v>
      </c>
      <c r="L313" s="394">
        <f t="shared" si="91"/>
        <v>5989631.7300000004</v>
      </c>
      <c r="M313" s="394">
        <f t="shared" si="91"/>
        <v>6997855.7299999995</v>
      </c>
      <c r="N313" s="394">
        <f t="shared" si="91"/>
        <v>8040735.2799999993</v>
      </c>
      <c r="O313" s="394">
        <f t="shared" si="91"/>
        <v>9092823.1299999971</v>
      </c>
      <c r="P313" s="394">
        <f t="shared" si="91"/>
        <v>10107771.119999999</v>
      </c>
      <c r="Q313" s="394">
        <f t="shared" si="91"/>
        <v>11168005.91</v>
      </c>
      <c r="R313" s="394">
        <f t="shared" si="91"/>
        <v>12288416.85</v>
      </c>
      <c r="S313" s="620">
        <f t="shared" si="91"/>
        <v>12288416.85</v>
      </c>
      <c r="T313" s="773"/>
      <c r="U313" s="424"/>
      <c r="V313" s="424"/>
      <c r="W313" s="424"/>
      <c r="X313" s="425"/>
      <c r="Y313" s="424"/>
      <c r="Z313" s="424"/>
      <c r="AA313" s="424"/>
      <c r="AB313" s="424"/>
      <c r="AC313" s="779"/>
      <c r="AD313" s="779"/>
      <c r="AE313" s="773"/>
      <c r="AF313" s="781">
        <f t="shared" si="77"/>
        <v>0</v>
      </c>
    </row>
    <row r="314" spans="1:32">
      <c r="A314" s="779">
        <f t="shared" si="78"/>
        <v>300</v>
      </c>
      <c r="B314" s="779"/>
      <c r="C314" s="779"/>
      <c r="D314" s="779"/>
      <c r="E314" s="777"/>
      <c r="F314" s="778"/>
      <c r="G314" s="420"/>
      <c r="H314" s="408"/>
      <c r="I314" s="408"/>
      <c r="J314" s="409"/>
      <c r="K314" s="410"/>
      <c r="L314" s="411"/>
      <c r="M314" s="412"/>
      <c r="N314" s="413"/>
      <c r="O314" s="764"/>
      <c r="P314" s="415"/>
      <c r="Q314" s="421"/>
      <c r="R314" s="778"/>
      <c r="S314" s="392"/>
      <c r="T314" s="773"/>
      <c r="U314" s="424"/>
      <c r="V314" s="424"/>
      <c r="W314" s="424"/>
      <c r="X314" s="425"/>
      <c r="Y314" s="424"/>
      <c r="Z314" s="424"/>
      <c r="AA314" s="424"/>
      <c r="AB314" s="424"/>
      <c r="AC314" s="779"/>
      <c r="AD314" s="779"/>
      <c r="AE314" s="773"/>
      <c r="AF314" s="781">
        <f t="shared" si="77"/>
        <v>0</v>
      </c>
    </row>
    <row r="315" spans="1:32">
      <c r="A315" s="779">
        <f t="shared" si="78"/>
        <v>301</v>
      </c>
      <c r="B315" s="423" t="s">
        <v>1094</v>
      </c>
      <c r="C315" s="423" t="s">
        <v>546</v>
      </c>
      <c r="D315" s="423" t="s">
        <v>1300</v>
      </c>
      <c r="E315" s="777" t="s">
        <v>1930</v>
      </c>
      <c r="F315" s="778">
        <v>-726060.63</v>
      </c>
      <c r="G315" s="778">
        <v>471441.39</v>
      </c>
      <c r="H315" s="778">
        <v>973982.66</v>
      </c>
      <c r="I315" s="778">
        <v>1130947.54</v>
      </c>
      <c r="J315" s="778">
        <v>1341467.48</v>
      </c>
      <c r="K315" s="778">
        <v>1280308.51</v>
      </c>
      <c r="L315" s="778">
        <v>991473.83</v>
      </c>
      <c r="M315" s="778">
        <v>648610</v>
      </c>
      <c r="N315" s="778">
        <v>213367.17</v>
      </c>
      <c r="O315" s="778">
        <v>62602.18</v>
      </c>
      <c r="P315" s="778">
        <v>104804.63</v>
      </c>
      <c r="Q315" s="778">
        <v>162973.6</v>
      </c>
      <c r="R315" s="778">
        <v>477754.1</v>
      </c>
      <c r="S315" s="618">
        <f t="shared" ref="S315:S335" si="92">+R315</f>
        <v>477754.1</v>
      </c>
      <c r="T315" s="773"/>
      <c r="U315" s="424"/>
      <c r="V315" s="424"/>
      <c r="W315" s="424">
        <f t="shared" ref="W315:W335" si="93">+S315</f>
        <v>477754.1</v>
      </c>
      <c r="X315" s="425"/>
      <c r="Y315" s="424"/>
      <c r="Z315" s="424"/>
      <c r="AA315" s="424"/>
      <c r="AB315" s="424"/>
      <c r="AC315" s="426">
        <f t="shared" ref="AC315:AC335" si="94">+S315</f>
        <v>477754.1</v>
      </c>
      <c r="AD315" s="779"/>
      <c r="AE315" s="773"/>
      <c r="AF315" s="781">
        <f t="shared" si="77"/>
        <v>0</v>
      </c>
    </row>
    <row r="316" spans="1:32">
      <c r="A316" s="779">
        <f t="shared" si="78"/>
        <v>302</v>
      </c>
      <c r="B316" s="423" t="s">
        <v>1094</v>
      </c>
      <c r="C316" s="423" t="s">
        <v>546</v>
      </c>
      <c r="D316" s="423" t="s">
        <v>1301</v>
      </c>
      <c r="E316" s="777" t="s">
        <v>1931</v>
      </c>
      <c r="F316" s="778">
        <v>-129100.83</v>
      </c>
      <c r="G316" s="778">
        <v>203205.71</v>
      </c>
      <c r="H316" s="778">
        <v>379205.11</v>
      </c>
      <c r="I316" s="778">
        <v>494235.77</v>
      </c>
      <c r="J316" s="778">
        <v>522484.32</v>
      </c>
      <c r="K316" s="778">
        <v>526580.18999999994</v>
      </c>
      <c r="L316" s="778">
        <v>466833.05</v>
      </c>
      <c r="M316" s="778">
        <v>368883.92</v>
      </c>
      <c r="N316" s="778">
        <v>250347.5</v>
      </c>
      <c r="O316" s="778">
        <v>148847.37</v>
      </c>
      <c r="P316" s="778">
        <v>178053.06</v>
      </c>
      <c r="Q316" s="778">
        <v>87729.580000000104</v>
      </c>
      <c r="R316" s="778">
        <v>-461581.72</v>
      </c>
      <c r="S316" s="618">
        <f t="shared" si="92"/>
        <v>-461581.72</v>
      </c>
      <c r="T316" s="773"/>
      <c r="U316" s="424"/>
      <c r="V316" s="424"/>
      <c r="W316" s="424">
        <f t="shared" si="93"/>
        <v>-461581.72</v>
      </c>
      <c r="X316" s="425"/>
      <c r="Y316" s="424"/>
      <c r="Z316" s="424"/>
      <c r="AA316" s="424"/>
      <c r="AB316" s="424"/>
      <c r="AC316" s="426">
        <f t="shared" si="94"/>
        <v>-461581.72</v>
      </c>
      <c r="AD316" s="779"/>
      <c r="AE316" s="773"/>
      <c r="AF316" s="781">
        <f t="shared" si="77"/>
        <v>0</v>
      </c>
    </row>
    <row r="317" spans="1:32">
      <c r="A317" s="779">
        <f t="shared" si="78"/>
        <v>303</v>
      </c>
      <c r="B317" s="423" t="s">
        <v>1066</v>
      </c>
      <c r="C317" s="423" t="s">
        <v>546</v>
      </c>
      <c r="D317" s="423" t="s">
        <v>1300</v>
      </c>
      <c r="E317" s="777" t="s">
        <v>1930</v>
      </c>
      <c r="F317" s="778">
        <v>-1508118.62</v>
      </c>
      <c r="G317" s="778">
        <v>1857814.51</v>
      </c>
      <c r="H317" s="778">
        <v>3374154.2</v>
      </c>
      <c r="I317" s="778">
        <v>4495657.09</v>
      </c>
      <c r="J317" s="778">
        <v>4615315.21</v>
      </c>
      <c r="K317" s="778">
        <v>4730529.49</v>
      </c>
      <c r="L317" s="778">
        <v>4344768.4000000004</v>
      </c>
      <c r="M317" s="778">
        <v>3576862.39</v>
      </c>
      <c r="N317" s="778">
        <v>2666081.7999999998</v>
      </c>
      <c r="O317" s="778">
        <v>1366671.32</v>
      </c>
      <c r="P317" s="778">
        <v>1641939.08</v>
      </c>
      <c r="Q317" s="778">
        <v>745463.47000000102</v>
      </c>
      <c r="R317" s="778">
        <v>-5897972.5800000001</v>
      </c>
      <c r="S317" s="618">
        <f t="shared" si="92"/>
        <v>-5897972.5800000001</v>
      </c>
      <c r="T317" s="773"/>
      <c r="U317" s="424"/>
      <c r="V317" s="424"/>
      <c r="W317" s="424">
        <f t="shared" si="93"/>
        <v>-5897972.5800000001</v>
      </c>
      <c r="X317" s="425"/>
      <c r="Y317" s="424"/>
      <c r="Z317" s="424"/>
      <c r="AA317" s="424"/>
      <c r="AB317" s="424"/>
      <c r="AC317" s="426">
        <f t="shared" si="94"/>
        <v>-5897972.5800000001</v>
      </c>
      <c r="AD317" s="779"/>
      <c r="AE317" s="773"/>
      <c r="AF317" s="781">
        <f t="shared" si="77"/>
        <v>0</v>
      </c>
    </row>
    <row r="318" spans="1:32">
      <c r="A318" s="779">
        <f t="shared" si="78"/>
        <v>304</v>
      </c>
      <c r="B318" s="423" t="s">
        <v>1063</v>
      </c>
      <c r="C318" s="423" t="s">
        <v>547</v>
      </c>
      <c r="D318" s="423" t="s">
        <v>1300</v>
      </c>
      <c r="E318" s="777" t="s">
        <v>1928</v>
      </c>
      <c r="F318" s="778">
        <v>-1365.19</v>
      </c>
      <c r="G318" s="778">
        <v>34750.9</v>
      </c>
      <c r="H318" s="778">
        <v>-65523.98</v>
      </c>
      <c r="I318" s="778">
        <v>144863.85</v>
      </c>
      <c r="J318" s="778">
        <v>114751.96</v>
      </c>
      <c r="K318" s="778">
        <v>-224509.59</v>
      </c>
      <c r="L318" s="778">
        <v>-239544.81</v>
      </c>
      <c r="M318" s="778">
        <v>-222182.6</v>
      </c>
      <c r="N318" s="778">
        <v>-168358.7</v>
      </c>
      <c r="O318" s="778">
        <v>-20428.259999999998</v>
      </c>
      <c r="P318" s="778">
        <v>-168978.67</v>
      </c>
      <c r="Q318" s="778">
        <v>-43506.03</v>
      </c>
      <c r="R318" s="778">
        <v>-0.66000000003987203</v>
      </c>
      <c r="S318" s="618">
        <f t="shared" si="92"/>
        <v>-0.66000000003987203</v>
      </c>
      <c r="T318" s="773"/>
      <c r="U318" s="424"/>
      <c r="V318" s="424"/>
      <c r="W318" s="424">
        <f t="shared" si="93"/>
        <v>-0.66000000003987203</v>
      </c>
      <c r="X318" s="425"/>
      <c r="Y318" s="424"/>
      <c r="Z318" s="424"/>
      <c r="AA318" s="424"/>
      <c r="AB318" s="424"/>
      <c r="AC318" s="426">
        <f t="shared" si="94"/>
        <v>-0.66000000003987203</v>
      </c>
      <c r="AD318" s="779"/>
      <c r="AE318" s="773"/>
      <c r="AF318" s="781">
        <f t="shared" si="77"/>
        <v>0</v>
      </c>
    </row>
    <row r="319" spans="1:32">
      <c r="A319" s="779">
        <f t="shared" si="78"/>
        <v>305</v>
      </c>
      <c r="B319" s="423" t="s">
        <v>1066</v>
      </c>
      <c r="C319" s="423" t="s">
        <v>547</v>
      </c>
      <c r="D319" s="423" t="s">
        <v>1300</v>
      </c>
      <c r="E319" s="777" t="s">
        <v>1928</v>
      </c>
      <c r="F319" s="778">
        <v>0</v>
      </c>
      <c r="G319" s="778">
        <v>0</v>
      </c>
      <c r="H319" s="778">
        <v>0</v>
      </c>
      <c r="I319" s="778">
        <v>0</v>
      </c>
      <c r="J319" s="778">
        <v>0</v>
      </c>
      <c r="K319" s="778">
        <v>0</v>
      </c>
      <c r="L319" s="778">
        <v>0</v>
      </c>
      <c r="M319" s="778">
        <v>0</v>
      </c>
      <c r="N319" s="778">
        <v>0</v>
      </c>
      <c r="O319" s="778">
        <v>0</v>
      </c>
      <c r="P319" s="778">
        <v>0</v>
      </c>
      <c r="Q319" s="778">
        <v>0</v>
      </c>
      <c r="R319" s="778">
        <v>-202795.88</v>
      </c>
      <c r="S319" s="618">
        <f t="shared" si="92"/>
        <v>-202795.88</v>
      </c>
      <c r="T319" s="773"/>
      <c r="U319" s="424"/>
      <c r="V319" s="424"/>
      <c r="W319" s="424">
        <f t="shared" si="93"/>
        <v>-202795.88</v>
      </c>
      <c r="X319" s="425"/>
      <c r="Y319" s="424"/>
      <c r="Z319" s="424"/>
      <c r="AA319" s="424"/>
      <c r="AB319" s="424"/>
      <c r="AC319" s="426">
        <f t="shared" si="94"/>
        <v>-202795.88</v>
      </c>
      <c r="AD319" s="779"/>
      <c r="AE319" s="773"/>
      <c r="AF319" s="781">
        <f t="shared" si="77"/>
        <v>0</v>
      </c>
    </row>
    <row r="320" spans="1:32">
      <c r="A320" s="779">
        <f t="shared" si="78"/>
        <v>306</v>
      </c>
      <c r="B320" s="423" t="s">
        <v>1094</v>
      </c>
      <c r="C320" s="423" t="s">
        <v>547</v>
      </c>
      <c r="D320" s="423" t="s">
        <v>1300</v>
      </c>
      <c r="E320" s="777" t="s">
        <v>1928</v>
      </c>
      <c r="F320" s="778">
        <v>0</v>
      </c>
      <c r="G320" s="778">
        <v>0</v>
      </c>
      <c r="H320" s="778">
        <v>0</v>
      </c>
      <c r="I320" s="778">
        <v>0</v>
      </c>
      <c r="J320" s="778">
        <v>0</v>
      </c>
      <c r="K320" s="778">
        <v>0</v>
      </c>
      <c r="L320" s="778">
        <v>0</v>
      </c>
      <c r="M320" s="778">
        <v>0</v>
      </c>
      <c r="N320" s="778">
        <v>0</v>
      </c>
      <c r="O320" s="778">
        <v>0</v>
      </c>
      <c r="P320" s="778">
        <v>0</v>
      </c>
      <c r="Q320" s="778">
        <v>0</v>
      </c>
      <c r="R320" s="778">
        <v>-41879.49</v>
      </c>
      <c r="S320" s="618">
        <f t="shared" si="92"/>
        <v>-41879.49</v>
      </c>
      <c r="T320" s="773"/>
      <c r="U320" s="424"/>
      <c r="V320" s="424"/>
      <c r="W320" s="424">
        <f t="shared" si="93"/>
        <v>-41879.49</v>
      </c>
      <c r="X320" s="425"/>
      <c r="Y320" s="424"/>
      <c r="Z320" s="424"/>
      <c r="AA320" s="424"/>
      <c r="AB320" s="424"/>
      <c r="AC320" s="426">
        <f t="shared" si="94"/>
        <v>-41879.49</v>
      </c>
      <c r="AD320" s="779"/>
      <c r="AE320" s="773"/>
      <c r="AF320" s="781">
        <f t="shared" si="77"/>
        <v>0</v>
      </c>
    </row>
    <row r="321" spans="1:32">
      <c r="A321" s="779">
        <f t="shared" si="78"/>
        <v>307</v>
      </c>
      <c r="B321" s="423" t="s">
        <v>1094</v>
      </c>
      <c r="C321" s="423" t="s">
        <v>547</v>
      </c>
      <c r="D321" s="423" t="s">
        <v>1301</v>
      </c>
      <c r="E321" s="777" t="s">
        <v>1932</v>
      </c>
      <c r="F321" s="778">
        <v>1079.19</v>
      </c>
      <c r="G321" s="778">
        <v>3031.69</v>
      </c>
      <c r="H321" s="778">
        <v>-5714.41</v>
      </c>
      <c r="I321" s="778">
        <v>12724.71</v>
      </c>
      <c r="J321" s="778">
        <v>10065.19</v>
      </c>
      <c r="K321" s="778">
        <v>-19668.189999999999</v>
      </c>
      <c r="L321" s="778">
        <v>-20956.21</v>
      </c>
      <c r="M321" s="778">
        <v>-19396.55</v>
      </c>
      <c r="N321" s="778">
        <v>-14637.59</v>
      </c>
      <c r="O321" s="778">
        <v>-2127.44</v>
      </c>
      <c r="P321" s="778">
        <v>-17224.72</v>
      </c>
      <c r="Q321" s="778">
        <v>-4201.46</v>
      </c>
      <c r="R321" s="778">
        <v>-27118.1</v>
      </c>
      <c r="S321" s="618">
        <f t="shared" si="92"/>
        <v>-27118.1</v>
      </c>
      <c r="T321" s="773"/>
      <c r="U321" s="424"/>
      <c r="V321" s="424"/>
      <c r="W321" s="424">
        <f t="shared" si="93"/>
        <v>-27118.1</v>
      </c>
      <c r="X321" s="425"/>
      <c r="Y321" s="424"/>
      <c r="Z321" s="424"/>
      <c r="AA321" s="424"/>
      <c r="AB321" s="424"/>
      <c r="AC321" s="426">
        <f t="shared" si="94"/>
        <v>-27118.1</v>
      </c>
      <c r="AD321" s="779"/>
      <c r="AE321" s="773"/>
      <c r="AF321" s="781">
        <f t="shared" si="77"/>
        <v>0</v>
      </c>
    </row>
    <row r="322" spans="1:32">
      <c r="A322" s="779">
        <f t="shared" si="78"/>
        <v>308</v>
      </c>
      <c r="B322" s="423" t="s">
        <v>1094</v>
      </c>
      <c r="C322" s="423" t="s">
        <v>548</v>
      </c>
      <c r="D322" s="423" t="s">
        <v>1300</v>
      </c>
      <c r="E322" s="777" t="s">
        <v>1933</v>
      </c>
      <c r="F322" s="778">
        <v>2219473.83</v>
      </c>
      <c r="G322" s="778">
        <v>-229453.82</v>
      </c>
      <c r="H322" s="778">
        <v>-461410.93</v>
      </c>
      <c r="I322" s="778">
        <v>-629975.46</v>
      </c>
      <c r="J322" s="778">
        <v>-813237.88</v>
      </c>
      <c r="K322" s="778">
        <v>-881990.25</v>
      </c>
      <c r="L322" s="778">
        <v>-823415.27</v>
      </c>
      <c r="M322" s="778">
        <v>-661544.01</v>
      </c>
      <c r="N322" s="778">
        <v>-291376.15999999997</v>
      </c>
      <c r="O322" s="778">
        <v>-155940.25</v>
      </c>
      <c r="P322" s="778">
        <v>-233325.1</v>
      </c>
      <c r="Q322" s="778">
        <v>-399990.5</v>
      </c>
      <c r="R322" s="778">
        <v>1030111.29</v>
      </c>
      <c r="S322" s="618">
        <f t="shared" si="92"/>
        <v>1030111.29</v>
      </c>
      <c r="T322" s="773"/>
      <c r="U322" s="424"/>
      <c r="V322" s="424"/>
      <c r="W322" s="424">
        <f t="shared" si="93"/>
        <v>1030111.29</v>
      </c>
      <c r="X322" s="425"/>
      <c r="Y322" s="424"/>
      <c r="Z322" s="424"/>
      <c r="AA322" s="424"/>
      <c r="AB322" s="424"/>
      <c r="AC322" s="426">
        <f t="shared" si="94"/>
        <v>1030111.29</v>
      </c>
      <c r="AD322" s="779"/>
      <c r="AE322" s="773"/>
      <c r="AF322" s="781">
        <f t="shared" si="77"/>
        <v>0</v>
      </c>
    </row>
    <row r="323" spans="1:32">
      <c r="A323" s="779">
        <f t="shared" si="78"/>
        <v>309</v>
      </c>
      <c r="B323" s="423" t="s">
        <v>1094</v>
      </c>
      <c r="C323" s="423" t="s">
        <v>548</v>
      </c>
      <c r="D323" s="779" t="s">
        <v>1301</v>
      </c>
      <c r="E323" s="777" t="s">
        <v>1934</v>
      </c>
      <c r="F323" s="778">
        <v>520139.46</v>
      </c>
      <c r="G323" s="778">
        <v>-75667.360000000001</v>
      </c>
      <c r="H323" s="778">
        <v>-133176.59</v>
      </c>
      <c r="I323" s="778">
        <v>-207482.15</v>
      </c>
      <c r="J323" s="778">
        <v>-225672</v>
      </c>
      <c r="K323" s="778">
        <v>-248469.61</v>
      </c>
      <c r="L323" s="778">
        <v>-250375.71</v>
      </c>
      <c r="M323" s="778">
        <v>-206154.6</v>
      </c>
      <c r="N323" s="778">
        <v>-148126.51</v>
      </c>
      <c r="O323" s="778">
        <v>-90589.33</v>
      </c>
      <c r="P323" s="778">
        <v>-94354.9</v>
      </c>
      <c r="Q323" s="778">
        <v>85041.17</v>
      </c>
      <c r="R323" s="778">
        <v>1414436.22</v>
      </c>
      <c r="S323" s="618">
        <f t="shared" si="92"/>
        <v>1414436.22</v>
      </c>
      <c r="T323" s="773"/>
      <c r="U323" s="424"/>
      <c r="V323" s="424"/>
      <c r="W323" s="424">
        <f t="shared" si="93"/>
        <v>1414436.22</v>
      </c>
      <c r="X323" s="425"/>
      <c r="Y323" s="424"/>
      <c r="Z323" s="424"/>
      <c r="AA323" s="424"/>
      <c r="AB323" s="424"/>
      <c r="AC323" s="426">
        <f t="shared" si="94"/>
        <v>1414436.22</v>
      </c>
      <c r="AD323" s="779"/>
      <c r="AE323" s="773"/>
      <c r="AF323" s="781">
        <f t="shared" si="77"/>
        <v>0</v>
      </c>
    </row>
    <row r="324" spans="1:32">
      <c r="A324" s="779">
        <f t="shared" si="78"/>
        <v>310</v>
      </c>
      <c r="B324" s="423" t="s">
        <v>1066</v>
      </c>
      <c r="C324" s="423" t="s">
        <v>548</v>
      </c>
      <c r="D324" s="779" t="s">
        <v>1300</v>
      </c>
      <c r="E324" s="777" t="s">
        <v>1933</v>
      </c>
      <c r="F324" s="778">
        <v>8394939.3200000003</v>
      </c>
      <c r="G324" s="778">
        <v>-904211.28</v>
      </c>
      <c r="H324" s="778">
        <v>-1598459.31</v>
      </c>
      <c r="I324" s="778">
        <v>-2504230.83</v>
      </c>
      <c r="J324" s="778">
        <v>-2797942.74</v>
      </c>
      <c r="K324" s="778">
        <v>-3258809.04</v>
      </c>
      <c r="L324" s="778">
        <v>-3608313.85</v>
      </c>
      <c r="M324" s="778">
        <v>-3648188.97</v>
      </c>
      <c r="N324" s="778">
        <v>-3640825.78</v>
      </c>
      <c r="O324" s="778">
        <v>-3404339.38</v>
      </c>
      <c r="P324" s="778">
        <v>-3655426.51</v>
      </c>
      <c r="Q324" s="778">
        <v>-1829610.89</v>
      </c>
      <c r="R324" s="778">
        <v>14687003.68</v>
      </c>
      <c r="S324" s="618">
        <f t="shared" si="92"/>
        <v>14687003.68</v>
      </c>
      <c r="T324" s="773"/>
      <c r="U324" s="424"/>
      <c r="V324" s="424"/>
      <c r="W324" s="424">
        <f t="shared" si="93"/>
        <v>14687003.68</v>
      </c>
      <c r="X324" s="425"/>
      <c r="Y324" s="424"/>
      <c r="Z324" s="424"/>
      <c r="AA324" s="424"/>
      <c r="AB324" s="424"/>
      <c r="AC324" s="426">
        <f t="shared" si="94"/>
        <v>14687003.68</v>
      </c>
      <c r="AD324" s="779"/>
      <c r="AE324" s="773"/>
      <c r="AF324" s="781">
        <f t="shared" si="77"/>
        <v>0</v>
      </c>
    </row>
    <row r="325" spans="1:32">
      <c r="A325" s="779">
        <f t="shared" si="78"/>
        <v>311</v>
      </c>
      <c r="B325" s="423" t="s">
        <v>1063</v>
      </c>
      <c r="C325" s="423" t="s">
        <v>549</v>
      </c>
      <c r="D325" s="779" t="s">
        <v>1300</v>
      </c>
      <c r="E325" s="777" t="s">
        <v>1929</v>
      </c>
      <c r="F325" s="778">
        <v>0</v>
      </c>
      <c r="G325" s="778">
        <v>0</v>
      </c>
      <c r="H325" s="778">
        <v>0</v>
      </c>
      <c r="I325" s="778">
        <v>-5095.59</v>
      </c>
      <c r="J325" s="778">
        <v>-6926.41</v>
      </c>
      <c r="K325" s="778">
        <v>-9972.77</v>
      </c>
      <c r="L325" s="778">
        <v>-12046.71</v>
      </c>
      <c r="M325" s="778">
        <v>-14120.64</v>
      </c>
      <c r="N325" s="778">
        <v>-16194.58</v>
      </c>
      <c r="O325" s="778">
        <v>-18268.509999999998</v>
      </c>
      <c r="P325" s="778">
        <v>-20342.45</v>
      </c>
      <c r="Q325" s="778">
        <v>-67444.56</v>
      </c>
      <c r="R325" s="778">
        <v>-9.9999999947613105E-3</v>
      </c>
      <c r="S325" s="618">
        <f t="shared" si="92"/>
        <v>-9.9999999947613105E-3</v>
      </c>
      <c r="T325" s="773"/>
      <c r="U325" s="424"/>
      <c r="V325" s="424"/>
      <c r="W325" s="424">
        <f t="shared" si="93"/>
        <v>-9.9999999947613105E-3</v>
      </c>
      <c r="X325" s="425"/>
      <c r="Y325" s="424"/>
      <c r="Z325" s="424"/>
      <c r="AA325" s="424"/>
      <c r="AB325" s="424"/>
      <c r="AC325" s="426">
        <f t="shared" si="94"/>
        <v>-9.9999999947613105E-3</v>
      </c>
      <c r="AD325" s="779"/>
      <c r="AE325" s="773"/>
      <c r="AF325" s="781">
        <f t="shared" si="77"/>
        <v>0</v>
      </c>
    </row>
    <row r="326" spans="1:32">
      <c r="A326" s="779">
        <f t="shared" si="78"/>
        <v>312</v>
      </c>
      <c r="B326" s="423" t="s">
        <v>1066</v>
      </c>
      <c r="C326" s="423" t="s">
        <v>549</v>
      </c>
      <c r="D326" s="779" t="s">
        <v>1300</v>
      </c>
      <c r="E326" s="777" t="s">
        <v>1929</v>
      </c>
      <c r="F326" s="778">
        <v>0</v>
      </c>
      <c r="G326" s="778">
        <v>0</v>
      </c>
      <c r="H326" s="778">
        <v>0</v>
      </c>
      <c r="I326" s="778">
        <v>0</v>
      </c>
      <c r="J326" s="778">
        <v>0</v>
      </c>
      <c r="K326" s="778">
        <v>0</v>
      </c>
      <c r="L326" s="778">
        <v>0</v>
      </c>
      <c r="M326" s="778">
        <v>0</v>
      </c>
      <c r="N326" s="778">
        <v>0</v>
      </c>
      <c r="O326" s="778">
        <v>0</v>
      </c>
      <c r="P326" s="778">
        <v>0</v>
      </c>
      <c r="Q326" s="778">
        <v>0</v>
      </c>
      <c r="R326" s="778">
        <v>107145.27</v>
      </c>
      <c r="S326" s="618">
        <f t="shared" si="92"/>
        <v>107145.27</v>
      </c>
      <c r="T326" s="773"/>
      <c r="U326" s="424"/>
      <c r="V326" s="424"/>
      <c r="W326" s="424">
        <f t="shared" si="93"/>
        <v>107145.27</v>
      </c>
      <c r="X326" s="425"/>
      <c r="Y326" s="424"/>
      <c r="Z326" s="424"/>
      <c r="AA326" s="424"/>
      <c r="AB326" s="424"/>
      <c r="AC326" s="426">
        <f t="shared" si="94"/>
        <v>107145.27</v>
      </c>
      <c r="AD326" s="779"/>
      <c r="AE326" s="773"/>
      <c r="AF326" s="781">
        <f t="shared" si="77"/>
        <v>0</v>
      </c>
    </row>
    <row r="327" spans="1:32">
      <c r="A327" s="779">
        <f t="shared" si="78"/>
        <v>313</v>
      </c>
      <c r="B327" s="423" t="s">
        <v>1094</v>
      </c>
      <c r="C327" s="423" t="s">
        <v>549</v>
      </c>
      <c r="D327" s="779" t="s">
        <v>1300</v>
      </c>
      <c r="E327" s="777" t="s">
        <v>1929</v>
      </c>
      <c r="F327" s="778">
        <v>0</v>
      </c>
      <c r="G327" s="778">
        <v>0</v>
      </c>
      <c r="H327" s="778">
        <v>0</v>
      </c>
      <c r="I327" s="778">
        <v>0</v>
      </c>
      <c r="J327" s="778">
        <v>0</v>
      </c>
      <c r="K327" s="778">
        <v>0</v>
      </c>
      <c r="L327" s="778">
        <v>0</v>
      </c>
      <c r="M327" s="778">
        <v>0</v>
      </c>
      <c r="N327" s="778">
        <v>0</v>
      </c>
      <c r="O327" s="778">
        <v>0</v>
      </c>
      <c r="P327" s="778">
        <v>0</v>
      </c>
      <c r="Q327" s="778">
        <v>0</v>
      </c>
      <c r="R327" s="778">
        <v>36001.379999999997</v>
      </c>
      <c r="S327" s="618">
        <f t="shared" si="92"/>
        <v>36001.379999999997</v>
      </c>
      <c r="T327" s="773"/>
      <c r="U327" s="424"/>
      <c r="V327" s="424"/>
      <c r="W327" s="424">
        <f t="shared" si="93"/>
        <v>36001.379999999997</v>
      </c>
      <c r="X327" s="425"/>
      <c r="Y327" s="424"/>
      <c r="Z327" s="424"/>
      <c r="AA327" s="424"/>
      <c r="AB327" s="424"/>
      <c r="AC327" s="426">
        <f t="shared" si="94"/>
        <v>36001.379999999997</v>
      </c>
      <c r="AD327" s="779"/>
      <c r="AE327" s="773"/>
      <c r="AF327" s="781">
        <f t="shared" si="77"/>
        <v>0</v>
      </c>
    </row>
    <row r="328" spans="1:32">
      <c r="A328" s="779">
        <f t="shared" si="78"/>
        <v>314</v>
      </c>
      <c r="B328" s="423" t="s">
        <v>1094</v>
      </c>
      <c r="C328" s="423" t="s">
        <v>549</v>
      </c>
      <c r="D328" s="779" t="s">
        <v>1301</v>
      </c>
      <c r="E328" s="777" t="s">
        <v>1935</v>
      </c>
      <c r="F328" s="778">
        <v>0</v>
      </c>
      <c r="G328" s="778">
        <v>0</v>
      </c>
      <c r="H328" s="778">
        <v>0</v>
      </c>
      <c r="I328" s="778">
        <v>-445.99</v>
      </c>
      <c r="J328" s="778">
        <v>-606.24</v>
      </c>
      <c r="K328" s="778">
        <v>-872.87</v>
      </c>
      <c r="L328" s="778">
        <v>-1054.4000000000001</v>
      </c>
      <c r="M328" s="778">
        <v>-1235.92</v>
      </c>
      <c r="N328" s="778">
        <v>-1417.44</v>
      </c>
      <c r="O328" s="778">
        <v>-1598.97</v>
      </c>
      <c r="P328" s="778">
        <v>-1780.49</v>
      </c>
      <c r="Q328" s="778">
        <v>-5903.14</v>
      </c>
      <c r="R328" s="778">
        <v>9512.19</v>
      </c>
      <c r="S328" s="618">
        <f t="shared" si="92"/>
        <v>9512.19</v>
      </c>
      <c r="T328" s="773"/>
      <c r="U328" s="424"/>
      <c r="V328" s="424"/>
      <c r="W328" s="424">
        <f t="shared" si="93"/>
        <v>9512.19</v>
      </c>
      <c r="X328" s="425"/>
      <c r="Y328" s="424"/>
      <c r="Z328" s="424"/>
      <c r="AA328" s="424"/>
      <c r="AB328" s="424"/>
      <c r="AC328" s="426">
        <f t="shared" si="94"/>
        <v>9512.19</v>
      </c>
      <c r="AD328" s="779"/>
      <c r="AE328" s="773"/>
      <c r="AF328" s="781">
        <f t="shared" si="77"/>
        <v>0</v>
      </c>
    </row>
    <row r="329" spans="1:32">
      <c r="A329" s="779">
        <f t="shared" si="78"/>
        <v>315</v>
      </c>
      <c r="B329" s="423" t="s">
        <v>1094</v>
      </c>
      <c r="C329" s="423" t="s">
        <v>550</v>
      </c>
      <c r="D329" s="779" t="s">
        <v>1300</v>
      </c>
      <c r="E329" s="777" t="s">
        <v>1936</v>
      </c>
      <c r="F329" s="778">
        <v>0</v>
      </c>
      <c r="G329" s="778">
        <v>0</v>
      </c>
      <c r="H329" s="778">
        <v>0</v>
      </c>
      <c r="I329" s="778">
        <v>0</v>
      </c>
      <c r="J329" s="778">
        <v>0</v>
      </c>
      <c r="K329" s="778">
        <v>0</v>
      </c>
      <c r="L329" s="778">
        <v>0</v>
      </c>
      <c r="M329" s="778">
        <v>0</v>
      </c>
      <c r="N329" s="778">
        <v>0</v>
      </c>
      <c r="O329" s="778">
        <v>0</v>
      </c>
      <c r="P329" s="778">
        <v>0</v>
      </c>
      <c r="Q329" s="778">
        <v>0</v>
      </c>
      <c r="R329" s="778">
        <v>-1752961.74</v>
      </c>
      <c r="S329" s="618">
        <f t="shared" si="92"/>
        <v>-1752961.74</v>
      </c>
      <c r="T329" s="773"/>
      <c r="U329" s="424"/>
      <c r="V329" s="424"/>
      <c r="W329" s="424">
        <f t="shared" si="93"/>
        <v>-1752961.74</v>
      </c>
      <c r="X329" s="425"/>
      <c r="Y329" s="424"/>
      <c r="Z329" s="424"/>
      <c r="AA329" s="424"/>
      <c r="AB329" s="424"/>
      <c r="AC329" s="426">
        <f t="shared" si="94"/>
        <v>-1752961.74</v>
      </c>
      <c r="AD329" s="779"/>
      <c r="AE329" s="773"/>
      <c r="AF329" s="781">
        <f t="shared" si="77"/>
        <v>0</v>
      </c>
    </row>
    <row r="330" spans="1:32">
      <c r="A330" s="779">
        <f t="shared" si="78"/>
        <v>316</v>
      </c>
      <c r="B330" s="423" t="s">
        <v>1094</v>
      </c>
      <c r="C330" s="423" t="s">
        <v>550</v>
      </c>
      <c r="D330" s="779" t="s">
        <v>1301</v>
      </c>
      <c r="E330" s="777" t="s">
        <v>1937</v>
      </c>
      <c r="F330" s="778">
        <v>0</v>
      </c>
      <c r="G330" s="778">
        <v>0</v>
      </c>
      <c r="H330" s="778">
        <v>0</v>
      </c>
      <c r="I330" s="778">
        <v>0</v>
      </c>
      <c r="J330" s="778">
        <v>0</v>
      </c>
      <c r="K330" s="778">
        <v>0</v>
      </c>
      <c r="L330" s="778">
        <v>0</v>
      </c>
      <c r="M330" s="778">
        <v>0</v>
      </c>
      <c r="N330" s="778">
        <v>0</v>
      </c>
      <c r="O330" s="778">
        <v>0</v>
      </c>
      <c r="P330" s="778">
        <v>0</v>
      </c>
      <c r="Q330" s="778">
        <v>0</v>
      </c>
      <c r="R330" s="778">
        <v>-603695.05000000005</v>
      </c>
      <c r="S330" s="618">
        <f t="shared" si="92"/>
        <v>-603695.05000000005</v>
      </c>
      <c r="T330" s="773"/>
      <c r="U330" s="424"/>
      <c r="V330" s="424"/>
      <c r="W330" s="424">
        <f t="shared" si="93"/>
        <v>-603695.05000000005</v>
      </c>
      <c r="X330" s="425"/>
      <c r="Y330" s="424"/>
      <c r="Z330" s="424"/>
      <c r="AA330" s="424"/>
      <c r="AB330" s="424"/>
      <c r="AC330" s="426">
        <f t="shared" si="94"/>
        <v>-603695.05000000005</v>
      </c>
      <c r="AD330" s="779"/>
      <c r="AE330" s="773"/>
      <c r="AF330" s="781">
        <f t="shared" si="77"/>
        <v>0</v>
      </c>
    </row>
    <row r="331" spans="1:32">
      <c r="A331" s="779">
        <f t="shared" si="78"/>
        <v>317</v>
      </c>
      <c r="B331" s="423" t="s">
        <v>1066</v>
      </c>
      <c r="C331" s="423" t="s">
        <v>550</v>
      </c>
      <c r="D331" s="779" t="s">
        <v>1300</v>
      </c>
      <c r="E331" s="777" t="s">
        <v>1936</v>
      </c>
      <c r="F331" s="778">
        <v>0</v>
      </c>
      <c r="G331" s="778">
        <v>0</v>
      </c>
      <c r="H331" s="778">
        <v>0</v>
      </c>
      <c r="I331" s="778">
        <v>0</v>
      </c>
      <c r="J331" s="778">
        <v>0</v>
      </c>
      <c r="K331" s="778">
        <v>0</v>
      </c>
      <c r="L331" s="778">
        <v>0</v>
      </c>
      <c r="M331" s="778">
        <v>0</v>
      </c>
      <c r="N331" s="778">
        <v>0</v>
      </c>
      <c r="O331" s="778">
        <v>0</v>
      </c>
      <c r="P331" s="778">
        <v>0</v>
      </c>
      <c r="Q331" s="778">
        <v>0</v>
      </c>
      <c r="R331" s="778">
        <v>-8395783.8699999992</v>
      </c>
      <c r="S331" s="618">
        <f t="shared" si="92"/>
        <v>-8395783.8699999992</v>
      </c>
      <c r="T331" s="773"/>
      <c r="U331" s="424"/>
      <c r="V331" s="424"/>
      <c r="W331" s="424">
        <f t="shared" si="93"/>
        <v>-8395783.8699999992</v>
      </c>
      <c r="X331" s="425"/>
      <c r="Y331" s="424"/>
      <c r="Z331" s="424"/>
      <c r="AA331" s="424"/>
      <c r="AB331" s="424"/>
      <c r="AC331" s="426">
        <f t="shared" si="94"/>
        <v>-8395783.8699999992</v>
      </c>
      <c r="AD331" s="779"/>
      <c r="AE331" s="773"/>
      <c r="AF331" s="781">
        <f t="shared" si="77"/>
        <v>0</v>
      </c>
    </row>
    <row r="332" spans="1:32">
      <c r="A332" s="779">
        <f t="shared" si="78"/>
        <v>318</v>
      </c>
      <c r="B332" s="423" t="s">
        <v>1094</v>
      </c>
      <c r="C332" s="423" t="s">
        <v>551</v>
      </c>
      <c r="D332" s="779" t="s">
        <v>1300</v>
      </c>
      <c r="E332" s="777" t="s">
        <v>1938</v>
      </c>
      <c r="F332" s="778">
        <v>0</v>
      </c>
      <c r="G332" s="778">
        <v>0</v>
      </c>
      <c r="H332" s="778">
        <v>0</v>
      </c>
      <c r="I332" s="778">
        <v>0</v>
      </c>
      <c r="J332" s="778">
        <v>0</v>
      </c>
      <c r="K332" s="778">
        <v>0</v>
      </c>
      <c r="L332" s="778">
        <v>0</v>
      </c>
      <c r="M332" s="778">
        <v>0</v>
      </c>
      <c r="N332" s="778">
        <v>0</v>
      </c>
      <c r="O332" s="778">
        <v>0</v>
      </c>
      <c r="P332" s="778">
        <v>0</v>
      </c>
      <c r="Q332" s="778">
        <v>0</v>
      </c>
      <c r="R332" s="778">
        <v>-27116.89</v>
      </c>
      <c r="S332" s="618">
        <f t="shared" si="92"/>
        <v>-27116.89</v>
      </c>
      <c r="T332" s="773"/>
      <c r="U332" s="424"/>
      <c r="V332" s="424"/>
      <c r="W332" s="424">
        <f t="shared" si="93"/>
        <v>-27116.89</v>
      </c>
      <c r="X332" s="425"/>
      <c r="Y332" s="424"/>
      <c r="Z332" s="424"/>
      <c r="AA332" s="424"/>
      <c r="AB332" s="424"/>
      <c r="AC332" s="426">
        <f t="shared" si="94"/>
        <v>-27116.89</v>
      </c>
      <c r="AD332" s="779"/>
      <c r="AE332" s="773"/>
      <c r="AF332" s="781">
        <f t="shared" si="77"/>
        <v>0</v>
      </c>
    </row>
    <row r="333" spans="1:32">
      <c r="A333" s="779">
        <f t="shared" si="78"/>
        <v>319</v>
      </c>
      <c r="B333" s="423" t="s">
        <v>1094</v>
      </c>
      <c r="C333" s="423" t="s">
        <v>551</v>
      </c>
      <c r="D333" s="779" t="s">
        <v>1301</v>
      </c>
      <c r="E333" s="777" t="s">
        <v>1939</v>
      </c>
      <c r="F333" s="778">
        <v>0</v>
      </c>
      <c r="G333" s="778">
        <v>0</v>
      </c>
      <c r="H333" s="778">
        <v>0</v>
      </c>
      <c r="I333" s="778">
        <v>0</v>
      </c>
      <c r="J333" s="778">
        <v>0</v>
      </c>
      <c r="K333" s="778">
        <v>0</v>
      </c>
      <c r="L333" s="778">
        <v>0</v>
      </c>
      <c r="M333" s="778">
        <v>0</v>
      </c>
      <c r="N333" s="778">
        <v>0</v>
      </c>
      <c r="O333" s="778">
        <v>0</v>
      </c>
      <c r="P333" s="778">
        <v>0</v>
      </c>
      <c r="Q333" s="778">
        <v>0</v>
      </c>
      <c r="R333" s="778">
        <v>-6420.25</v>
      </c>
      <c r="S333" s="618">
        <f t="shared" si="92"/>
        <v>-6420.25</v>
      </c>
      <c r="T333" s="773"/>
      <c r="U333" s="424"/>
      <c r="V333" s="424"/>
      <c r="W333" s="424">
        <f t="shared" si="93"/>
        <v>-6420.25</v>
      </c>
      <c r="X333" s="425"/>
      <c r="Y333" s="424"/>
      <c r="Z333" s="424"/>
      <c r="AA333" s="424"/>
      <c r="AB333" s="424"/>
      <c r="AC333" s="426">
        <f t="shared" si="94"/>
        <v>-6420.25</v>
      </c>
      <c r="AD333" s="779"/>
      <c r="AE333" s="773"/>
      <c r="AF333" s="781">
        <f t="shared" si="77"/>
        <v>0</v>
      </c>
    </row>
    <row r="334" spans="1:32">
      <c r="A334" s="779">
        <f t="shared" si="78"/>
        <v>320</v>
      </c>
      <c r="B334" s="423" t="s">
        <v>1066</v>
      </c>
      <c r="C334" s="423" t="s">
        <v>551</v>
      </c>
      <c r="D334" s="779" t="s">
        <v>1300</v>
      </c>
      <c r="E334" s="777" t="s">
        <v>1938</v>
      </c>
      <c r="F334" s="778">
        <v>0</v>
      </c>
      <c r="G334" s="778">
        <v>0</v>
      </c>
      <c r="H334" s="778">
        <v>0</v>
      </c>
      <c r="I334" s="778">
        <v>0</v>
      </c>
      <c r="J334" s="778">
        <v>0</v>
      </c>
      <c r="K334" s="778">
        <v>0</v>
      </c>
      <c r="L334" s="778">
        <v>0</v>
      </c>
      <c r="M334" s="778">
        <v>0</v>
      </c>
      <c r="N334" s="778">
        <v>0</v>
      </c>
      <c r="O334" s="778">
        <v>0</v>
      </c>
      <c r="P334" s="778">
        <v>0</v>
      </c>
      <c r="Q334" s="778">
        <v>0</v>
      </c>
      <c r="R334" s="778">
        <v>-80703.789999999994</v>
      </c>
      <c r="S334" s="618">
        <f t="shared" si="92"/>
        <v>-80703.789999999994</v>
      </c>
      <c r="T334" s="773"/>
      <c r="U334" s="424"/>
      <c r="V334" s="424"/>
      <c r="W334" s="424">
        <f t="shared" si="93"/>
        <v>-80703.789999999994</v>
      </c>
      <c r="X334" s="425"/>
      <c r="Y334" s="424"/>
      <c r="Z334" s="424"/>
      <c r="AA334" s="424"/>
      <c r="AB334" s="424"/>
      <c r="AC334" s="426">
        <f t="shared" si="94"/>
        <v>-80703.789999999994</v>
      </c>
      <c r="AD334" s="779"/>
      <c r="AE334" s="773"/>
      <c r="AF334" s="781">
        <f t="shared" si="77"/>
        <v>0</v>
      </c>
    </row>
    <row r="335" spans="1:32">
      <c r="A335" s="779">
        <f t="shared" si="78"/>
        <v>321</v>
      </c>
      <c r="B335" s="423" t="s">
        <v>1063</v>
      </c>
      <c r="C335" s="423" t="s">
        <v>1302</v>
      </c>
      <c r="D335" s="779"/>
      <c r="E335" s="777" t="s">
        <v>552</v>
      </c>
      <c r="F335" s="778">
        <v>-38175</v>
      </c>
      <c r="G335" s="778">
        <v>-3566.83</v>
      </c>
      <c r="H335" s="778">
        <v>-7133.67</v>
      </c>
      <c r="I335" s="778">
        <v>-10700.5</v>
      </c>
      <c r="J335" s="778">
        <v>-14267.33</v>
      </c>
      <c r="K335" s="778">
        <v>-17834.169999999998</v>
      </c>
      <c r="L335" s="778">
        <v>-21401</v>
      </c>
      <c r="M335" s="778">
        <v>-24967.83</v>
      </c>
      <c r="N335" s="778">
        <v>-28534.67</v>
      </c>
      <c r="O335" s="778">
        <v>-32101.5</v>
      </c>
      <c r="P335" s="778">
        <v>-35668.33</v>
      </c>
      <c r="Q335" s="778">
        <v>-38682.42</v>
      </c>
      <c r="R335" s="778">
        <v>-42184</v>
      </c>
      <c r="S335" s="618">
        <f t="shared" si="92"/>
        <v>-42184</v>
      </c>
      <c r="T335" s="773"/>
      <c r="U335" s="424"/>
      <c r="V335" s="424"/>
      <c r="W335" s="424">
        <f t="shared" si="93"/>
        <v>-42184</v>
      </c>
      <c r="X335" s="425"/>
      <c r="Y335" s="424"/>
      <c r="Z335" s="424"/>
      <c r="AA335" s="424"/>
      <c r="AB335" s="424"/>
      <c r="AC335" s="426">
        <f t="shared" si="94"/>
        <v>-42184</v>
      </c>
      <c r="AD335" s="779"/>
      <c r="AE335" s="773"/>
      <c r="AF335" s="781">
        <f t="shared" ref="AF335:AF398" si="95">+U335+V335-AD335</f>
        <v>0</v>
      </c>
    </row>
    <row r="336" spans="1:32">
      <c r="A336" s="779">
        <f t="shared" si="78"/>
        <v>322</v>
      </c>
      <c r="B336" s="779"/>
      <c r="C336" s="779"/>
      <c r="D336" s="779"/>
      <c r="E336" s="777" t="s">
        <v>553</v>
      </c>
      <c r="F336" s="394">
        <f t="shared" ref="F336:S336" si="96">SUM(F315:F335)</f>
        <v>8732811.5300000012</v>
      </c>
      <c r="G336" s="394">
        <f t="shared" si="96"/>
        <v>1357344.91</v>
      </c>
      <c r="H336" s="394">
        <f t="shared" si="96"/>
        <v>2455923.0800000005</v>
      </c>
      <c r="I336" s="394">
        <f t="shared" si="96"/>
        <v>2920498.4399999995</v>
      </c>
      <c r="J336" s="394">
        <f t="shared" si="96"/>
        <v>2745431.5599999996</v>
      </c>
      <c r="K336" s="394">
        <f t="shared" si="96"/>
        <v>1875291.6999999997</v>
      </c>
      <c r="L336" s="394">
        <f t="shared" si="96"/>
        <v>825967.32000000018</v>
      </c>
      <c r="M336" s="394">
        <f t="shared" si="96"/>
        <v>-203434.80999999901</v>
      </c>
      <c r="N336" s="394">
        <f t="shared" si="96"/>
        <v>-1179674.96</v>
      </c>
      <c r="O336" s="394">
        <f t="shared" si="96"/>
        <v>-2147272.77</v>
      </c>
      <c r="P336" s="394">
        <f t="shared" si="96"/>
        <v>-2302304.4000000004</v>
      </c>
      <c r="Q336" s="394">
        <f t="shared" si="96"/>
        <v>-1308131.1799999985</v>
      </c>
      <c r="R336" s="394">
        <f t="shared" si="96"/>
        <v>221750.09999999934</v>
      </c>
      <c r="S336" s="620">
        <f t="shared" si="96"/>
        <v>221750.09999999934</v>
      </c>
      <c r="T336" s="779"/>
      <c r="U336" s="424"/>
      <c r="V336" s="424"/>
      <c r="W336" s="424"/>
      <c r="X336" s="425"/>
      <c r="Y336" s="424"/>
      <c r="Z336" s="424"/>
      <c r="AA336" s="424"/>
      <c r="AB336" s="424"/>
      <c r="AC336" s="779"/>
      <c r="AD336" s="779"/>
      <c r="AE336" s="779"/>
      <c r="AF336" s="781">
        <f t="shared" si="95"/>
        <v>0</v>
      </c>
    </row>
    <row r="337" spans="1:32">
      <c r="A337" s="779">
        <f t="shared" ref="A337:A400" si="97">+A336+1</f>
        <v>323</v>
      </c>
      <c r="B337" s="779"/>
      <c r="C337" s="779"/>
      <c r="D337" s="779"/>
      <c r="E337" s="777"/>
      <c r="F337" s="778"/>
      <c r="G337" s="420"/>
      <c r="H337" s="408"/>
      <c r="I337" s="408"/>
      <c r="J337" s="409"/>
      <c r="K337" s="410"/>
      <c r="L337" s="411"/>
      <c r="M337" s="412"/>
      <c r="N337" s="413"/>
      <c r="O337" s="764"/>
      <c r="P337" s="415"/>
      <c r="Q337" s="421"/>
      <c r="R337" s="778"/>
      <c r="S337" s="392"/>
      <c r="T337" s="779"/>
      <c r="U337" s="424"/>
      <c r="V337" s="424"/>
      <c r="W337" s="424"/>
      <c r="X337" s="425"/>
      <c r="Y337" s="424"/>
      <c r="Z337" s="424"/>
      <c r="AA337" s="424"/>
      <c r="AB337" s="424"/>
      <c r="AC337" s="779"/>
      <c r="AD337" s="779"/>
      <c r="AE337" s="779"/>
      <c r="AF337" s="781">
        <f t="shared" si="95"/>
        <v>0</v>
      </c>
    </row>
    <row r="338" spans="1:32">
      <c r="A338" s="779">
        <f t="shared" si="97"/>
        <v>324</v>
      </c>
      <c r="B338" s="779"/>
      <c r="C338" s="779"/>
      <c r="D338" s="779"/>
      <c r="E338" s="777"/>
      <c r="F338" s="778"/>
      <c r="G338" s="420"/>
      <c r="H338" s="408"/>
      <c r="I338" s="408"/>
      <c r="J338" s="409"/>
      <c r="K338" s="410"/>
      <c r="L338" s="411"/>
      <c r="M338" s="412"/>
      <c r="N338" s="413"/>
      <c r="O338" s="764"/>
      <c r="P338" s="415"/>
      <c r="Q338" s="421"/>
      <c r="R338" s="778"/>
      <c r="S338" s="392"/>
      <c r="T338" s="779"/>
      <c r="U338" s="424"/>
      <c r="V338" s="424"/>
      <c r="W338" s="424"/>
      <c r="X338" s="425"/>
      <c r="Y338" s="424"/>
      <c r="Z338" s="424"/>
      <c r="AA338" s="424"/>
      <c r="AB338" s="424"/>
      <c r="AC338" s="779"/>
      <c r="AD338" s="779"/>
      <c r="AE338" s="779"/>
      <c r="AF338" s="781">
        <f t="shared" si="95"/>
        <v>0</v>
      </c>
    </row>
    <row r="339" spans="1:32">
      <c r="A339" s="779">
        <f t="shared" si="97"/>
        <v>325</v>
      </c>
      <c r="B339" s="423" t="s">
        <v>1063</v>
      </c>
      <c r="C339" s="423" t="s">
        <v>554</v>
      </c>
      <c r="D339" s="779"/>
      <c r="E339" s="777" t="s">
        <v>1940</v>
      </c>
      <c r="F339" s="778">
        <v>0</v>
      </c>
      <c r="G339" s="778">
        <v>0</v>
      </c>
      <c r="H339" s="778">
        <v>0</v>
      </c>
      <c r="I339" s="778">
        <v>0</v>
      </c>
      <c r="J339" s="778">
        <v>0</v>
      </c>
      <c r="K339" s="778">
        <v>0</v>
      </c>
      <c r="L339" s="778">
        <v>0</v>
      </c>
      <c r="M339" s="778">
        <v>0</v>
      </c>
      <c r="N339" s="778">
        <v>0</v>
      </c>
      <c r="O339" s="778">
        <v>0</v>
      </c>
      <c r="P339" s="778">
        <v>0</v>
      </c>
      <c r="Q339" s="778">
        <v>0</v>
      </c>
      <c r="R339" s="778">
        <v>0</v>
      </c>
      <c r="S339" s="618">
        <f t="shared" ref="S339:S348" si="98">+R339</f>
        <v>0</v>
      </c>
      <c r="T339" s="779"/>
      <c r="U339" s="424"/>
      <c r="V339" s="424"/>
      <c r="W339" s="424">
        <f t="shared" ref="W339:W347" si="99">+S339</f>
        <v>0</v>
      </c>
      <c r="X339" s="425"/>
      <c r="Y339" s="424"/>
      <c r="Z339" s="424"/>
      <c r="AA339" s="424"/>
      <c r="AB339" s="424"/>
      <c r="AC339" s="426">
        <f t="shared" ref="AC339:AC348" si="100">+S339</f>
        <v>0</v>
      </c>
      <c r="AD339" s="779"/>
      <c r="AE339" s="779"/>
      <c r="AF339" s="781">
        <f t="shared" si="95"/>
        <v>0</v>
      </c>
    </row>
    <row r="340" spans="1:32">
      <c r="A340" s="779">
        <f t="shared" si="97"/>
        <v>326</v>
      </c>
      <c r="B340" s="423" t="s">
        <v>1063</v>
      </c>
      <c r="C340" s="423" t="s">
        <v>556</v>
      </c>
      <c r="D340" s="779"/>
      <c r="E340" s="777" t="s">
        <v>1941</v>
      </c>
      <c r="F340" s="778">
        <v>0</v>
      </c>
      <c r="G340" s="778">
        <v>0</v>
      </c>
      <c r="H340" s="778">
        <v>0</v>
      </c>
      <c r="I340" s="778">
        <v>0</v>
      </c>
      <c r="J340" s="778">
        <v>0</v>
      </c>
      <c r="K340" s="778">
        <v>0</v>
      </c>
      <c r="L340" s="778">
        <v>0</v>
      </c>
      <c r="M340" s="778">
        <v>0</v>
      </c>
      <c r="N340" s="778">
        <v>0</v>
      </c>
      <c r="O340" s="778">
        <v>0</v>
      </c>
      <c r="P340" s="778">
        <v>0</v>
      </c>
      <c r="Q340" s="778">
        <v>0</v>
      </c>
      <c r="R340" s="778">
        <v>0</v>
      </c>
      <c r="S340" s="618">
        <f t="shared" si="98"/>
        <v>0</v>
      </c>
      <c r="T340" s="779"/>
      <c r="U340" s="424"/>
      <c r="V340" s="424"/>
      <c r="W340" s="424">
        <f t="shared" si="99"/>
        <v>0</v>
      </c>
      <c r="X340" s="425"/>
      <c r="Y340" s="424"/>
      <c r="Z340" s="424"/>
      <c r="AA340" s="424"/>
      <c r="AB340" s="424"/>
      <c r="AC340" s="426">
        <f t="shared" si="100"/>
        <v>0</v>
      </c>
      <c r="AD340" s="779"/>
      <c r="AE340" s="779"/>
      <c r="AF340" s="781">
        <f t="shared" si="95"/>
        <v>0</v>
      </c>
    </row>
    <row r="341" spans="1:32">
      <c r="A341" s="779">
        <f t="shared" si="97"/>
        <v>327</v>
      </c>
      <c r="B341" s="659" t="s">
        <v>382</v>
      </c>
      <c r="C341" s="659" t="s">
        <v>382</v>
      </c>
      <c r="D341" s="423" t="s">
        <v>557</v>
      </c>
      <c r="E341" s="777" t="s">
        <v>1942</v>
      </c>
      <c r="F341" s="778">
        <v>299157.34999999998</v>
      </c>
      <c r="G341" s="778">
        <v>54030</v>
      </c>
      <c r="H341" s="778">
        <v>79330</v>
      </c>
      <c r="I341" s="778">
        <v>92319</v>
      </c>
      <c r="J341" s="778">
        <v>102669</v>
      </c>
      <c r="K341" s="778">
        <v>105757.04</v>
      </c>
      <c r="L341" s="778">
        <v>117757.04</v>
      </c>
      <c r="M341" s="778">
        <v>118898.59</v>
      </c>
      <c r="N341" s="778">
        <v>126822.82</v>
      </c>
      <c r="O341" s="778">
        <v>127868.98</v>
      </c>
      <c r="P341" s="778">
        <v>134480.73000000001</v>
      </c>
      <c r="Q341" s="778">
        <v>139021.71</v>
      </c>
      <c r="R341" s="778">
        <v>147336.4</v>
      </c>
      <c r="S341" s="618">
        <f t="shared" si="98"/>
        <v>147336.4</v>
      </c>
      <c r="T341" s="779"/>
      <c r="U341" s="424"/>
      <c r="V341" s="424"/>
      <c r="W341" s="424">
        <f t="shared" si="99"/>
        <v>147336.4</v>
      </c>
      <c r="X341" s="425"/>
      <c r="Y341" s="424"/>
      <c r="Z341" s="424"/>
      <c r="AA341" s="424"/>
      <c r="AB341" s="424"/>
      <c r="AC341" s="426">
        <f t="shared" si="100"/>
        <v>147336.4</v>
      </c>
      <c r="AD341" s="779"/>
      <c r="AE341" s="779"/>
      <c r="AF341" s="781">
        <f t="shared" si="95"/>
        <v>0</v>
      </c>
    </row>
    <row r="342" spans="1:32">
      <c r="A342" s="779">
        <f t="shared" si="97"/>
        <v>328</v>
      </c>
      <c r="B342" s="659" t="s">
        <v>382</v>
      </c>
      <c r="C342" s="659" t="s">
        <v>382</v>
      </c>
      <c r="D342" s="423" t="s">
        <v>1704</v>
      </c>
      <c r="E342" s="777" t="s">
        <v>1943</v>
      </c>
      <c r="F342" s="778">
        <v>-291752.32000000001</v>
      </c>
      <c r="G342" s="778">
        <v>-110886.66</v>
      </c>
      <c r="H342" s="778">
        <v>194720.11</v>
      </c>
      <c r="I342" s="778">
        <v>-398788.38</v>
      </c>
      <c r="J342" s="778">
        <v>-296885</v>
      </c>
      <c r="K342" s="778">
        <v>-383065.25</v>
      </c>
      <c r="L342" s="778">
        <v>-372289.33</v>
      </c>
      <c r="M342" s="778">
        <v>-381825.08</v>
      </c>
      <c r="N342" s="778">
        <v>-515431.54</v>
      </c>
      <c r="O342" s="778">
        <v>-474704.79</v>
      </c>
      <c r="P342" s="778">
        <v>116919.03</v>
      </c>
      <c r="Q342" s="778">
        <v>87521.269999999902</v>
      </c>
      <c r="R342" s="778">
        <v>452956.61</v>
      </c>
      <c r="S342" s="618">
        <f t="shared" si="98"/>
        <v>452956.61</v>
      </c>
      <c r="T342" s="779"/>
      <c r="U342" s="424"/>
      <c r="V342" s="424"/>
      <c r="W342" s="424">
        <f t="shared" si="99"/>
        <v>452956.61</v>
      </c>
      <c r="X342" s="425"/>
      <c r="Y342" s="424"/>
      <c r="Z342" s="424"/>
      <c r="AA342" s="424"/>
      <c r="AB342" s="424"/>
      <c r="AC342" s="426">
        <f t="shared" si="100"/>
        <v>452956.61</v>
      </c>
      <c r="AD342" s="779"/>
      <c r="AE342" s="779"/>
      <c r="AF342" s="781">
        <f t="shared" si="95"/>
        <v>0</v>
      </c>
    </row>
    <row r="343" spans="1:32">
      <c r="A343" s="779">
        <f t="shared" si="97"/>
        <v>329</v>
      </c>
      <c r="B343" s="659" t="s">
        <v>382</v>
      </c>
      <c r="C343" s="659" t="s">
        <v>382</v>
      </c>
      <c r="D343" s="423" t="s">
        <v>558</v>
      </c>
      <c r="E343" s="777" t="s">
        <v>1944</v>
      </c>
      <c r="F343" s="778">
        <v>0</v>
      </c>
      <c r="G343" s="778">
        <v>0</v>
      </c>
      <c r="H343" s="778">
        <v>0</v>
      </c>
      <c r="I343" s="778">
        <v>0</v>
      </c>
      <c r="J343" s="778">
        <v>0</v>
      </c>
      <c r="K343" s="778">
        <v>0</v>
      </c>
      <c r="L343" s="778">
        <v>0</v>
      </c>
      <c r="M343" s="778">
        <v>50.76</v>
      </c>
      <c r="N343" s="778">
        <v>50.76</v>
      </c>
      <c r="O343" s="778">
        <v>50.76</v>
      </c>
      <c r="P343" s="778">
        <v>50.76</v>
      </c>
      <c r="Q343" s="778">
        <v>50.76</v>
      </c>
      <c r="R343" s="778">
        <v>50.76</v>
      </c>
      <c r="S343" s="618">
        <f t="shared" si="98"/>
        <v>50.76</v>
      </c>
      <c r="T343" s="779"/>
      <c r="U343" s="424"/>
      <c r="V343" s="424"/>
      <c r="W343" s="424">
        <f t="shared" si="99"/>
        <v>50.76</v>
      </c>
      <c r="X343" s="425"/>
      <c r="Y343" s="424"/>
      <c r="Z343" s="424"/>
      <c r="AA343" s="424"/>
      <c r="AB343" s="424"/>
      <c r="AC343" s="426">
        <f t="shared" si="100"/>
        <v>50.76</v>
      </c>
      <c r="AD343" s="779"/>
      <c r="AE343" s="779"/>
      <c r="AF343" s="781">
        <f t="shared" si="95"/>
        <v>0</v>
      </c>
    </row>
    <row r="344" spans="1:32">
      <c r="A344" s="779">
        <f t="shared" si="97"/>
        <v>330</v>
      </c>
      <c r="B344" s="659" t="s">
        <v>382</v>
      </c>
      <c r="C344" s="659" t="s">
        <v>382</v>
      </c>
      <c r="D344" s="423" t="s">
        <v>559</v>
      </c>
      <c r="E344" s="777" t="s">
        <v>1945</v>
      </c>
      <c r="F344" s="778">
        <v>128933.23</v>
      </c>
      <c r="G344" s="778">
        <v>13497.83</v>
      </c>
      <c r="H344" s="778">
        <v>21997.83</v>
      </c>
      <c r="I344" s="778">
        <v>30647.83</v>
      </c>
      <c r="J344" s="778">
        <v>39754.480000000003</v>
      </c>
      <c r="K344" s="778">
        <v>49754.48</v>
      </c>
      <c r="L344" s="778">
        <v>58254.48</v>
      </c>
      <c r="M344" s="778">
        <v>66834.94</v>
      </c>
      <c r="N344" s="778">
        <v>127888.1</v>
      </c>
      <c r="O344" s="778">
        <v>136388.1</v>
      </c>
      <c r="P344" s="778">
        <v>149888.1</v>
      </c>
      <c r="Q344" s="778">
        <v>157077.54</v>
      </c>
      <c r="R344" s="778">
        <v>165577.54</v>
      </c>
      <c r="S344" s="618">
        <f t="shared" si="98"/>
        <v>165577.54</v>
      </c>
      <c r="T344" s="779"/>
      <c r="U344" s="424"/>
      <c r="V344" s="424"/>
      <c r="W344" s="424">
        <f t="shared" si="99"/>
        <v>165577.54</v>
      </c>
      <c r="X344" s="425"/>
      <c r="Y344" s="424"/>
      <c r="Z344" s="424"/>
      <c r="AA344" s="424"/>
      <c r="AB344" s="424"/>
      <c r="AC344" s="426">
        <f t="shared" si="100"/>
        <v>165577.54</v>
      </c>
      <c r="AD344" s="779"/>
      <c r="AE344" s="779"/>
      <c r="AF344" s="781">
        <f t="shared" si="95"/>
        <v>0</v>
      </c>
    </row>
    <row r="345" spans="1:32">
      <c r="A345" s="779">
        <f t="shared" si="97"/>
        <v>331</v>
      </c>
      <c r="B345" s="660" t="s">
        <v>382</v>
      </c>
      <c r="C345" s="660" t="s">
        <v>382</v>
      </c>
      <c r="D345" s="423" t="s">
        <v>560</v>
      </c>
      <c r="E345" s="777" t="s">
        <v>1946</v>
      </c>
      <c r="F345" s="778">
        <v>1097</v>
      </c>
      <c r="G345" s="778">
        <v>0</v>
      </c>
      <c r="H345" s="778">
        <v>0</v>
      </c>
      <c r="I345" s="778">
        <v>0</v>
      </c>
      <c r="J345" s="778">
        <v>0</v>
      </c>
      <c r="K345" s="778">
        <v>1007417.53</v>
      </c>
      <c r="L345" s="778">
        <v>1007417.53</v>
      </c>
      <c r="M345" s="778">
        <v>1007417.53</v>
      </c>
      <c r="N345" s="778">
        <v>1007417.53</v>
      </c>
      <c r="O345" s="778">
        <v>615677.14</v>
      </c>
      <c r="P345" s="778">
        <v>615677.14</v>
      </c>
      <c r="Q345" s="778">
        <v>615677.14</v>
      </c>
      <c r="R345" s="778">
        <v>615677.14</v>
      </c>
      <c r="S345" s="618">
        <f t="shared" si="98"/>
        <v>615677.14</v>
      </c>
      <c r="T345" s="779"/>
      <c r="U345" s="424"/>
      <c r="V345" s="424"/>
      <c r="W345" s="424">
        <f t="shared" si="99"/>
        <v>615677.14</v>
      </c>
      <c r="X345" s="425"/>
      <c r="Y345" s="424"/>
      <c r="Z345" s="424"/>
      <c r="AA345" s="424"/>
      <c r="AB345" s="424"/>
      <c r="AC345" s="426">
        <f t="shared" si="100"/>
        <v>615677.14</v>
      </c>
      <c r="AD345" s="779"/>
      <c r="AE345" s="779"/>
      <c r="AF345" s="781">
        <f t="shared" si="95"/>
        <v>0</v>
      </c>
    </row>
    <row r="346" spans="1:32">
      <c r="A346" s="779">
        <f t="shared" si="97"/>
        <v>332</v>
      </c>
      <c r="B346" s="661" t="s">
        <v>382</v>
      </c>
      <c r="C346" s="661" t="s">
        <v>382</v>
      </c>
      <c r="D346" s="423" t="s">
        <v>561</v>
      </c>
      <c r="E346" s="777" t="s">
        <v>1947</v>
      </c>
      <c r="F346" s="778">
        <v>0</v>
      </c>
      <c r="G346" s="778">
        <v>0</v>
      </c>
      <c r="H346" s="778">
        <v>0</v>
      </c>
      <c r="I346" s="778">
        <v>0</v>
      </c>
      <c r="J346" s="778">
        <v>0</v>
      </c>
      <c r="K346" s="778">
        <v>0</v>
      </c>
      <c r="L346" s="778">
        <v>0</v>
      </c>
      <c r="M346" s="778">
        <v>0</v>
      </c>
      <c r="N346" s="778">
        <v>0</v>
      </c>
      <c r="O346" s="778">
        <v>0</v>
      </c>
      <c r="P346" s="778">
        <v>0</v>
      </c>
      <c r="Q346" s="778">
        <v>0</v>
      </c>
      <c r="R346" s="778">
        <v>0</v>
      </c>
      <c r="S346" s="618">
        <f t="shared" si="98"/>
        <v>0</v>
      </c>
      <c r="T346" s="779"/>
      <c r="U346" s="424"/>
      <c r="V346" s="424"/>
      <c r="W346" s="424">
        <f t="shared" si="99"/>
        <v>0</v>
      </c>
      <c r="X346" s="425"/>
      <c r="Y346" s="424"/>
      <c r="Z346" s="424"/>
      <c r="AA346" s="424"/>
      <c r="AB346" s="424"/>
      <c r="AC346" s="426">
        <f t="shared" si="100"/>
        <v>0</v>
      </c>
      <c r="AD346" s="779"/>
      <c r="AE346" s="779"/>
      <c r="AF346" s="781">
        <f t="shared" si="95"/>
        <v>0</v>
      </c>
    </row>
    <row r="347" spans="1:32">
      <c r="A347" s="779">
        <f t="shared" si="97"/>
        <v>333</v>
      </c>
      <c r="B347" s="423" t="s">
        <v>382</v>
      </c>
      <c r="C347" s="423" t="s">
        <v>562</v>
      </c>
      <c r="D347" s="423" t="s">
        <v>561</v>
      </c>
      <c r="E347" s="427" t="s">
        <v>1948</v>
      </c>
      <c r="F347" s="778">
        <v>0</v>
      </c>
      <c r="G347" s="778">
        <v>0</v>
      </c>
      <c r="H347" s="778">
        <v>0</v>
      </c>
      <c r="I347" s="778">
        <v>0</v>
      </c>
      <c r="J347" s="778">
        <v>0</v>
      </c>
      <c r="K347" s="778">
        <v>0</v>
      </c>
      <c r="L347" s="778">
        <v>0</v>
      </c>
      <c r="M347" s="778">
        <v>0</v>
      </c>
      <c r="N347" s="778">
        <v>0</v>
      </c>
      <c r="O347" s="778">
        <v>0</v>
      </c>
      <c r="P347" s="778">
        <v>0</v>
      </c>
      <c r="Q347" s="778">
        <v>0</v>
      </c>
      <c r="R347" s="778">
        <v>0</v>
      </c>
      <c r="S347" s="618">
        <f t="shared" si="98"/>
        <v>0</v>
      </c>
      <c r="T347" s="779"/>
      <c r="U347" s="424"/>
      <c r="V347" s="424"/>
      <c r="W347" s="424">
        <f t="shared" si="99"/>
        <v>0</v>
      </c>
      <c r="X347" s="425"/>
      <c r="Y347" s="424"/>
      <c r="Z347" s="424"/>
      <c r="AA347" s="424"/>
      <c r="AB347" s="424"/>
      <c r="AC347" s="426">
        <f t="shared" si="100"/>
        <v>0</v>
      </c>
      <c r="AD347" s="779"/>
      <c r="AE347" s="779"/>
      <c r="AF347" s="781">
        <f t="shared" si="95"/>
        <v>0</v>
      </c>
    </row>
    <row r="348" spans="1:32">
      <c r="A348" s="779">
        <f t="shared" si="97"/>
        <v>334</v>
      </c>
      <c r="B348" s="423" t="s">
        <v>1066</v>
      </c>
      <c r="C348" s="423" t="s">
        <v>563</v>
      </c>
      <c r="D348" s="423" t="s">
        <v>1295</v>
      </c>
      <c r="E348" s="777" t="s">
        <v>1949</v>
      </c>
      <c r="F348" s="405">
        <v>1105.79</v>
      </c>
      <c r="G348" s="405">
        <v>0</v>
      </c>
      <c r="H348" s="405">
        <v>0</v>
      </c>
      <c r="I348" s="405">
        <v>0</v>
      </c>
      <c r="J348" s="405">
        <v>572.34</v>
      </c>
      <c r="K348" s="405">
        <v>572.34</v>
      </c>
      <c r="L348" s="405">
        <v>572.34</v>
      </c>
      <c r="M348" s="405">
        <v>572.34</v>
      </c>
      <c r="N348" s="405">
        <v>1144.68</v>
      </c>
      <c r="O348" s="405">
        <v>1144.68</v>
      </c>
      <c r="P348" s="405">
        <v>1144.68</v>
      </c>
      <c r="Q348" s="405">
        <v>1144.68</v>
      </c>
      <c r="R348" s="405">
        <v>1144.68</v>
      </c>
      <c r="S348" s="618">
        <f t="shared" si="98"/>
        <v>1144.68</v>
      </c>
      <c r="T348" s="779"/>
      <c r="U348" s="424"/>
      <c r="V348" s="424"/>
      <c r="W348" s="424">
        <f>+S348</f>
        <v>1144.68</v>
      </c>
      <c r="X348" s="425"/>
      <c r="Y348" s="424"/>
      <c r="Z348" s="424"/>
      <c r="AA348" s="424"/>
      <c r="AB348" s="424"/>
      <c r="AC348" s="426">
        <f t="shared" si="100"/>
        <v>1144.68</v>
      </c>
      <c r="AD348" s="779"/>
      <c r="AE348" s="779"/>
      <c r="AF348" s="781">
        <f t="shared" si="95"/>
        <v>0</v>
      </c>
    </row>
    <row r="349" spans="1:32">
      <c r="A349" s="779">
        <f t="shared" si="97"/>
        <v>335</v>
      </c>
      <c r="B349" s="779"/>
      <c r="C349" s="779"/>
      <c r="D349" s="779"/>
      <c r="E349" s="777" t="s">
        <v>564</v>
      </c>
      <c r="F349" s="394">
        <f>SUM(F339:F348)</f>
        <v>138541.04999999996</v>
      </c>
      <c r="G349" s="394">
        <f t="shared" ref="G349:S349" si="101">SUM(G339:G348)</f>
        <v>-43358.83</v>
      </c>
      <c r="H349" s="394">
        <f t="shared" si="101"/>
        <v>296047.94</v>
      </c>
      <c r="I349" s="394">
        <f t="shared" si="101"/>
        <v>-275821.55</v>
      </c>
      <c r="J349" s="394">
        <f t="shared" si="101"/>
        <v>-153889.18</v>
      </c>
      <c r="K349" s="394">
        <f t="shared" si="101"/>
        <v>780436.14</v>
      </c>
      <c r="L349" s="394">
        <f t="shared" si="101"/>
        <v>811712.05999999994</v>
      </c>
      <c r="M349" s="394">
        <f t="shared" si="101"/>
        <v>811949.08</v>
      </c>
      <c r="N349" s="394">
        <f t="shared" si="101"/>
        <v>747892.35000000009</v>
      </c>
      <c r="O349" s="394">
        <f t="shared" si="101"/>
        <v>406424.87000000005</v>
      </c>
      <c r="P349" s="394">
        <f t="shared" si="101"/>
        <v>1018160.4400000001</v>
      </c>
      <c r="Q349" s="394">
        <f t="shared" si="101"/>
        <v>1000493.1</v>
      </c>
      <c r="R349" s="394">
        <f t="shared" si="101"/>
        <v>1382743.1300000001</v>
      </c>
      <c r="S349" s="620">
        <f t="shared" si="101"/>
        <v>1382743.1300000001</v>
      </c>
      <c r="T349" s="779"/>
      <c r="U349" s="424"/>
      <c r="V349" s="424"/>
      <c r="W349" s="424"/>
      <c r="X349" s="425"/>
      <c r="Y349" s="424"/>
      <c r="Z349" s="424"/>
      <c r="AA349" s="424"/>
      <c r="AB349" s="424"/>
      <c r="AC349" s="779"/>
      <c r="AD349" s="779"/>
      <c r="AE349" s="779"/>
      <c r="AF349" s="781">
        <f t="shared" si="95"/>
        <v>0</v>
      </c>
    </row>
    <row r="350" spans="1:32">
      <c r="A350" s="779">
        <f t="shared" si="97"/>
        <v>336</v>
      </c>
      <c r="B350" s="779"/>
      <c r="C350" s="779"/>
      <c r="D350" s="779"/>
      <c r="E350" s="777"/>
      <c r="F350" s="778"/>
      <c r="G350" s="420"/>
      <c r="H350" s="408"/>
      <c r="I350" s="408"/>
      <c r="J350" s="409"/>
      <c r="K350" s="410"/>
      <c r="L350" s="411"/>
      <c r="M350" s="412"/>
      <c r="N350" s="413"/>
      <c r="O350" s="764"/>
      <c r="P350" s="415"/>
      <c r="Q350" s="421"/>
      <c r="R350" s="778"/>
      <c r="S350" s="392"/>
      <c r="T350" s="779"/>
      <c r="U350" s="424"/>
      <c r="V350" s="424"/>
      <c r="W350" s="424"/>
      <c r="X350" s="425"/>
      <c r="Y350" s="424"/>
      <c r="Z350" s="424"/>
      <c r="AA350" s="424"/>
      <c r="AB350" s="424"/>
      <c r="AC350" s="779"/>
      <c r="AD350" s="779"/>
      <c r="AE350" s="779"/>
      <c r="AF350" s="781">
        <f t="shared" si="95"/>
        <v>0</v>
      </c>
    </row>
    <row r="351" spans="1:32">
      <c r="A351" s="779">
        <f t="shared" si="97"/>
        <v>337</v>
      </c>
      <c r="B351" s="423" t="s">
        <v>1063</v>
      </c>
      <c r="C351" s="423" t="s">
        <v>565</v>
      </c>
      <c r="D351" s="423" t="s">
        <v>539</v>
      </c>
      <c r="E351" s="777" t="s">
        <v>566</v>
      </c>
      <c r="F351" s="405">
        <v>13200000</v>
      </c>
      <c r="G351" s="405">
        <v>0</v>
      </c>
      <c r="H351" s="405">
        <v>2550000</v>
      </c>
      <c r="I351" s="405">
        <v>2550000</v>
      </c>
      <c r="J351" s="405">
        <v>2550000</v>
      </c>
      <c r="K351" s="405">
        <v>5100000</v>
      </c>
      <c r="L351" s="405">
        <v>5100000</v>
      </c>
      <c r="M351" s="405">
        <v>5100000</v>
      </c>
      <c r="N351" s="405">
        <v>7650000</v>
      </c>
      <c r="O351" s="405">
        <v>7650000</v>
      </c>
      <c r="P351" s="405">
        <v>7650000</v>
      </c>
      <c r="Q351" s="405">
        <v>10610000</v>
      </c>
      <c r="R351" s="405">
        <v>10610000</v>
      </c>
      <c r="S351" s="618">
        <f>+R351</f>
        <v>10610000</v>
      </c>
      <c r="T351" s="779"/>
      <c r="U351" s="424"/>
      <c r="V351" s="424"/>
      <c r="W351" s="424">
        <f>+S351</f>
        <v>10610000</v>
      </c>
      <c r="X351" s="425"/>
      <c r="Y351" s="424"/>
      <c r="Z351" s="424"/>
      <c r="AA351" s="424"/>
      <c r="AB351" s="424"/>
      <c r="AC351" s="426">
        <f>+S351</f>
        <v>10610000</v>
      </c>
      <c r="AD351" s="779"/>
      <c r="AE351" s="779"/>
      <c r="AF351" s="781">
        <f t="shared" si="95"/>
        <v>0</v>
      </c>
    </row>
    <row r="352" spans="1:32">
      <c r="A352" s="779">
        <f t="shared" si="97"/>
        <v>338</v>
      </c>
      <c r="B352" s="779"/>
      <c r="C352" s="779"/>
      <c r="D352" s="779"/>
      <c r="E352" s="777" t="s">
        <v>567</v>
      </c>
      <c r="F352" s="394">
        <f>+F351</f>
        <v>13200000</v>
      </c>
      <c r="G352" s="394">
        <f t="shared" ref="G352:S352" si="102">+G351</f>
        <v>0</v>
      </c>
      <c r="H352" s="394">
        <f t="shared" si="102"/>
        <v>2550000</v>
      </c>
      <c r="I352" s="394">
        <f t="shared" si="102"/>
        <v>2550000</v>
      </c>
      <c r="J352" s="394">
        <f t="shared" si="102"/>
        <v>2550000</v>
      </c>
      <c r="K352" s="394">
        <f t="shared" si="102"/>
        <v>5100000</v>
      </c>
      <c r="L352" s="394">
        <f t="shared" si="102"/>
        <v>5100000</v>
      </c>
      <c r="M352" s="394">
        <f t="shared" si="102"/>
        <v>5100000</v>
      </c>
      <c r="N352" s="394">
        <f t="shared" si="102"/>
        <v>7650000</v>
      </c>
      <c r="O352" s="394">
        <f t="shared" si="102"/>
        <v>7650000</v>
      </c>
      <c r="P352" s="394">
        <f t="shared" si="102"/>
        <v>7650000</v>
      </c>
      <c r="Q352" s="394">
        <f t="shared" si="102"/>
        <v>10610000</v>
      </c>
      <c r="R352" s="394">
        <f t="shared" si="102"/>
        <v>10610000</v>
      </c>
      <c r="S352" s="620">
        <f t="shared" si="102"/>
        <v>10610000</v>
      </c>
      <c r="T352" s="779"/>
      <c r="U352" s="424"/>
      <c r="V352" s="424"/>
      <c r="W352" s="424"/>
      <c r="X352" s="425"/>
      <c r="Y352" s="424"/>
      <c r="Z352" s="424"/>
      <c r="AA352" s="424"/>
      <c r="AB352" s="424"/>
      <c r="AC352" s="779"/>
      <c r="AD352" s="779"/>
      <c r="AE352" s="779"/>
      <c r="AF352" s="781">
        <f t="shared" si="95"/>
        <v>0</v>
      </c>
    </row>
    <row r="353" spans="1:32">
      <c r="A353" s="779">
        <f t="shared" si="97"/>
        <v>339</v>
      </c>
      <c r="B353" s="779"/>
      <c r="C353" s="779"/>
      <c r="D353" s="779"/>
      <c r="E353" s="777"/>
      <c r="F353" s="396"/>
      <c r="G353" s="428"/>
      <c r="H353" s="768"/>
      <c r="I353" s="768"/>
      <c r="J353" s="398"/>
      <c r="K353" s="772"/>
      <c r="L353" s="400"/>
      <c r="M353" s="401"/>
      <c r="N353" s="402"/>
      <c r="O353" s="403"/>
      <c r="P353" s="404"/>
      <c r="Q353" s="429"/>
      <c r="R353" s="396"/>
      <c r="S353" s="392"/>
      <c r="T353" s="779"/>
      <c r="U353" s="424"/>
      <c r="V353" s="424"/>
      <c r="W353" s="424"/>
      <c r="X353" s="425"/>
      <c r="Y353" s="424"/>
      <c r="Z353" s="424"/>
      <c r="AA353" s="424"/>
      <c r="AB353" s="424"/>
      <c r="AC353" s="779"/>
      <c r="AD353" s="779"/>
      <c r="AE353" s="779"/>
      <c r="AF353" s="781">
        <f t="shared" si="95"/>
        <v>0</v>
      </c>
    </row>
    <row r="354" spans="1:32" ht="15.75" thickBot="1">
      <c r="A354" s="779">
        <f t="shared" si="97"/>
        <v>340</v>
      </c>
      <c r="B354" s="662"/>
      <c r="C354" s="662"/>
      <c r="D354" s="662"/>
      <c r="E354" s="771" t="s">
        <v>568</v>
      </c>
      <c r="F354" s="431">
        <f t="shared" ref="F354:S354" si="103">+F352+F349+F336+F313+F299+F294+F277+F276+F274+F268+F209+F206+F191+F189+F172+F160+F142+F116+F60+F42+F35+F32+F57+F174+F175+F176+F177+F178+F179+F180+F181+F182+F183+F184+F186+F185+F187+F188+F190</f>
        <v>1010058740.9000001</v>
      </c>
      <c r="G354" s="431">
        <f t="shared" si="103"/>
        <v>755596030.13999987</v>
      </c>
      <c r="H354" s="431">
        <f t="shared" si="103"/>
        <v>785949713.56999993</v>
      </c>
      <c r="I354" s="431">
        <f t="shared" si="103"/>
        <v>809849531.25999987</v>
      </c>
      <c r="J354" s="431">
        <f t="shared" si="103"/>
        <v>821119251.98000026</v>
      </c>
      <c r="K354" s="431">
        <f t="shared" si="103"/>
        <v>834114722.88999987</v>
      </c>
      <c r="L354" s="431">
        <f t="shared" si="103"/>
        <v>850558705.20000017</v>
      </c>
      <c r="M354" s="431">
        <f t="shared" si="103"/>
        <v>868721350.27999997</v>
      </c>
      <c r="N354" s="431">
        <f t="shared" si="103"/>
        <v>891100472.71000004</v>
      </c>
      <c r="O354" s="431">
        <f t="shared" si="103"/>
        <v>918592888.94000041</v>
      </c>
      <c r="P354" s="431">
        <f t="shared" si="103"/>
        <v>955424093.4599998</v>
      </c>
      <c r="Q354" s="431">
        <f t="shared" si="103"/>
        <v>1022043333.5399998</v>
      </c>
      <c r="R354" s="431">
        <f t="shared" si="103"/>
        <v>1117173255.4100006</v>
      </c>
      <c r="S354" s="431">
        <f t="shared" si="103"/>
        <v>1117173255.4100006</v>
      </c>
      <c r="T354" s="662"/>
      <c r="U354" s="449"/>
      <c r="V354" s="449"/>
      <c r="W354" s="449"/>
      <c r="X354" s="664"/>
      <c r="Y354" s="449"/>
      <c r="Z354" s="449"/>
      <c r="AA354" s="449"/>
      <c r="AB354" s="449"/>
      <c r="AC354" s="662"/>
      <c r="AD354" s="662"/>
      <c r="AE354" s="662"/>
      <c r="AF354" s="781">
        <f t="shared" si="95"/>
        <v>0</v>
      </c>
    </row>
    <row r="355" spans="1:32" ht="15.75" thickTop="1">
      <c r="A355" s="779">
        <f t="shared" si="97"/>
        <v>341</v>
      </c>
      <c r="B355" s="779"/>
      <c r="C355" s="779"/>
      <c r="D355" s="779"/>
      <c r="E355" s="777"/>
      <c r="F355" s="778"/>
      <c r="G355" s="420"/>
      <c r="H355" s="408"/>
      <c r="I355" s="408"/>
      <c r="J355" s="409"/>
      <c r="K355" s="410"/>
      <c r="L355" s="411"/>
      <c r="M355" s="412"/>
      <c r="N355" s="413"/>
      <c r="O355" s="764"/>
      <c r="P355" s="415"/>
      <c r="Q355" s="421"/>
      <c r="R355" s="778"/>
      <c r="S355" s="392"/>
      <c r="T355" s="779"/>
      <c r="U355" s="424"/>
      <c r="V355" s="424"/>
      <c r="W355" s="424"/>
      <c r="X355" s="425"/>
      <c r="Y355" s="424"/>
      <c r="Z355" s="424"/>
      <c r="AA355" s="424"/>
      <c r="AB355" s="424"/>
      <c r="AC355" s="779"/>
      <c r="AD355" s="779"/>
      <c r="AE355" s="779"/>
      <c r="AF355" s="781">
        <f t="shared" si="95"/>
        <v>0</v>
      </c>
    </row>
    <row r="356" spans="1:32">
      <c r="A356" s="779">
        <f t="shared" si="97"/>
        <v>342</v>
      </c>
      <c r="B356" s="779"/>
      <c r="C356" s="779"/>
      <c r="D356" s="779"/>
      <c r="E356" s="777"/>
      <c r="F356" s="778"/>
      <c r="G356" s="420"/>
      <c r="H356" s="408"/>
      <c r="I356" s="408"/>
      <c r="J356" s="409"/>
      <c r="K356" s="410"/>
      <c r="L356" s="411"/>
      <c r="M356" s="412"/>
      <c r="N356" s="413"/>
      <c r="O356" s="764"/>
      <c r="P356" s="415"/>
      <c r="Q356" s="421"/>
      <c r="R356" s="778"/>
      <c r="S356" s="392"/>
      <c r="T356" s="773"/>
      <c r="U356" s="424"/>
      <c r="V356" s="424"/>
      <c r="W356" s="424"/>
      <c r="X356" s="425"/>
      <c r="Y356" s="424"/>
      <c r="Z356" s="424"/>
      <c r="AA356" s="424"/>
      <c r="AB356" s="424"/>
      <c r="AC356" s="779"/>
      <c r="AD356" s="779"/>
      <c r="AE356" s="773"/>
      <c r="AF356" s="781">
        <f t="shared" si="95"/>
        <v>0</v>
      </c>
    </row>
    <row r="357" spans="1:32">
      <c r="A357" s="779">
        <f t="shared" si="97"/>
        <v>343</v>
      </c>
      <c r="B357" s="423" t="s">
        <v>1063</v>
      </c>
      <c r="C357" s="423" t="s">
        <v>569</v>
      </c>
      <c r="D357" s="423" t="s">
        <v>1303</v>
      </c>
      <c r="E357" s="763" t="s">
        <v>570</v>
      </c>
      <c r="F357" s="778">
        <v>-1000</v>
      </c>
      <c r="G357" s="778">
        <v>-1000</v>
      </c>
      <c r="H357" s="778">
        <v>-1000</v>
      </c>
      <c r="I357" s="778">
        <v>-1000</v>
      </c>
      <c r="J357" s="778">
        <v>-1000</v>
      </c>
      <c r="K357" s="778">
        <v>-1000</v>
      </c>
      <c r="L357" s="778">
        <v>-1000</v>
      </c>
      <c r="M357" s="778">
        <v>-1000</v>
      </c>
      <c r="N357" s="778">
        <v>-1000</v>
      </c>
      <c r="O357" s="778">
        <v>-1000</v>
      </c>
      <c r="P357" s="778">
        <v>-1000</v>
      </c>
      <c r="Q357" s="778">
        <v>-1000</v>
      </c>
      <c r="R357" s="778">
        <v>-1000</v>
      </c>
      <c r="S357" s="618">
        <f t="shared" ref="S357:S365" si="104">+R357</f>
        <v>-1000</v>
      </c>
      <c r="T357" s="773"/>
      <c r="U357" s="424"/>
      <c r="V357" s="424"/>
      <c r="W357" s="424">
        <f>+S357</f>
        <v>-1000</v>
      </c>
      <c r="X357" s="425"/>
      <c r="Y357" s="424"/>
      <c r="Z357" s="424"/>
      <c r="AA357" s="424"/>
      <c r="AB357" s="424"/>
      <c r="AC357" s="426">
        <f>+S357</f>
        <v>-1000</v>
      </c>
      <c r="AD357" s="779"/>
      <c r="AE357" s="773"/>
      <c r="AF357" s="781">
        <f t="shared" si="95"/>
        <v>0</v>
      </c>
    </row>
    <row r="358" spans="1:32">
      <c r="A358" s="779">
        <f t="shared" si="97"/>
        <v>344</v>
      </c>
      <c r="B358" s="423" t="s">
        <v>1063</v>
      </c>
      <c r="C358" s="423" t="s">
        <v>571</v>
      </c>
      <c r="D358" s="423" t="s">
        <v>539</v>
      </c>
      <c r="E358" s="763" t="s">
        <v>572</v>
      </c>
      <c r="F358" s="778">
        <v>-31852511.100000001</v>
      </c>
      <c r="G358" s="778">
        <v>-30688673.449999999</v>
      </c>
      <c r="H358" s="778">
        <v>-30688673.449999999</v>
      </c>
      <c r="I358" s="778">
        <v>-30688673.449999999</v>
      </c>
      <c r="J358" s="778">
        <v>-30688673.449999999</v>
      </c>
      <c r="K358" s="778">
        <v>-30688673.449999999</v>
      </c>
      <c r="L358" s="778">
        <v>-30688673.449999999</v>
      </c>
      <c r="M358" s="778">
        <v>-30688673.449999999</v>
      </c>
      <c r="N358" s="778">
        <v>-30688673.449999999</v>
      </c>
      <c r="O358" s="778">
        <v>-30688673.449999999</v>
      </c>
      <c r="P358" s="778">
        <v>-30688673.449999999</v>
      </c>
      <c r="Q358" s="778">
        <v>-30688673.449999999</v>
      </c>
      <c r="R358" s="778">
        <v>-30688673.449999999</v>
      </c>
      <c r="S358" s="618">
        <f t="shared" si="104"/>
        <v>-30688673.449999999</v>
      </c>
      <c r="T358" s="773"/>
      <c r="U358" s="424"/>
      <c r="V358" s="424"/>
      <c r="W358" s="424">
        <f>+S358</f>
        <v>-30688673.449999999</v>
      </c>
      <c r="X358" s="425"/>
      <c r="Y358" s="424"/>
      <c r="Z358" s="424"/>
      <c r="AA358" s="424"/>
      <c r="AB358" s="424"/>
      <c r="AC358" s="426">
        <f>+W358</f>
        <v>-30688673.449999999</v>
      </c>
      <c r="AD358" s="779"/>
      <c r="AE358" s="773"/>
      <c r="AF358" s="781">
        <f t="shared" si="95"/>
        <v>0</v>
      </c>
    </row>
    <row r="359" spans="1:32">
      <c r="A359" s="779">
        <f t="shared" si="97"/>
        <v>345</v>
      </c>
      <c r="B359" s="423" t="s">
        <v>1063</v>
      </c>
      <c r="C359" s="423" t="s">
        <v>571</v>
      </c>
      <c r="D359" s="423" t="s">
        <v>573</v>
      </c>
      <c r="E359" s="763" t="s">
        <v>574</v>
      </c>
      <c r="F359" s="778">
        <v>0</v>
      </c>
      <c r="G359" s="778">
        <v>0</v>
      </c>
      <c r="H359" s="778">
        <v>0</v>
      </c>
      <c r="I359" s="778">
        <v>0</v>
      </c>
      <c r="J359" s="778">
        <v>0</v>
      </c>
      <c r="K359" s="778">
        <v>0</v>
      </c>
      <c r="L359" s="778">
        <v>0</v>
      </c>
      <c r="M359" s="778">
        <v>0</v>
      </c>
      <c r="N359" s="778">
        <v>0</v>
      </c>
      <c r="O359" s="778">
        <v>0</v>
      </c>
      <c r="P359" s="778">
        <v>0</v>
      </c>
      <c r="Q359" s="778">
        <v>0</v>
      </c>
      <c r="R359" s="778">
        <v>0</v>
      </c>
      <c r="S359" s="618">
        <f t="shared" si="104"/>
        <v>0</v>
      </c>
      <c r="T359" s="773"/>
      <c r="U359" s="424"/>
      <c r="V359" s="424"/>
      <c r="W359" s="424">
        <f>+S359</f>
        <v>0</v>
      </c>
      <c r="X359" s="425"/>
      <c r="Y359" s="424"/>
      <c r="Z359" s="424"/>
      <c r="AA359" s="424"/>
      <c r="AB359" s="424"/>
      <c r="AC359" s="426">
        <f t="shared" ref="AC359:AC365" si="105">+S359</f>
        <v>0</v>
      </c>
      <c r="AD359" s="779"/>
      <c r="AE359" s="773"/>
      <c r="AF359" s="781">
        <f t="shared" si="95"/>
        <v>0</v>
      </c>
    </row>
    <row r="360" spans="1:32">
      <c r="A360" s="779">
        <f t="shared" si="97"/>
        <v>346</v>
      </c>
      <c r="B360" s="423" t="s">
        <v>1063</v>
      </c>
      <c r="C360" s="423" t="s">
        <v>571</v>
      </c>
      <c r="D360" s="423" t="s">
        <v>575</v>
      </c>
      <c r="E360" s="763" t="s">
        <v>576</v>
      </c>
      <c r="F360" s="778">
        <v>38242</v>
      </c>
      <c r="G360" s="778">
        <v>2423</v>
      </c>
      <c r="H360" s="778">
        <v>278526.51</v>
      </c>
      <c r="I360" s="778">
        <v>280949.51</v>
      </c>
      <c r="J360" s="778">
        <v>283372.51</v>
      </c>
      <c r="K360" s="778">
        <v>285795.51</v>
      </c>
      <c r="L360" s="778">
        <v>288218.51</v>
      </c>
      <c r="M360" s="778">
        <v>290641.51</v>
      </c>
      <c r="N360" s="778">
        <v>293064.51</v>
      </c>
      <c r="O360" s="778">
        <v>295487.51</v>
      </c>
      <c r="P360" s="778">
        <v>297910.51</v>
      </c>
      <c r="Q360" s="778">
        <v>26653</v>
      </c>
      <c r="R360" s="778">
        <v>42776</v>
      </c>
      <c r="S360" s="618">
        <f t="shared" si="104"/>
        <v>42776</v>
      </c>
      <c r="T360" s="773"/>
      <c r="U360" s="424"/>
      <c r="V360" s="424"/>
      <c r="W360" s="424">
        <f t="shared" ref="W360:W365" si="106">+S360</f>
        <v>42776</v>
      </c>
      <c r="X360" s="425"/>
      <c r="Y360" s="424"/>
      <c r="Z360" s="424"/>
      <c r="AA360" s="424"/>
      <c r="AB360" s="424"/>
      <c r="AC360" s="426">
        <f t="shared" si="105"/>
        <v>42776</v>
      </c>
      <c r="AD360" s="779"/>
      <c r="AE360" s="773"/>
      <c r="AF360" s="781">
        <f t="shared" si="95"/>
        <v>0</v>
      </c>
    </row>
    <row r="361" spans="1:32">
      <c r="A361" s="779">
        <f t="shared" si="97"/>
        <v>347</v>
      </c>
      <c r="B361" s="423" t="s">
        <v>1063</v>
      </c>
      <c r="C361" s="423" t="s">
        <v>577</v>
      </c>
      <c r="D361" s="423" t="s">
        <v>539</v>
      </c>
      <c r="E361" s="763" t="s">
        <v>578</v>
      </c>
      <c r="F361" s="778">
        <v>0</v>
      </c>
      <c r="G361" s="778">
        <v>0</v>
      </c>
      <c r="H361" s="778">
        <v>0</v>
      </c>
      <c r="I361" s="778">
        <v>0</v>
      </c>
      <c r="J361" s="778">
        <v>0</v>
      </c>
      <c r="K361" s="778">
        <v>0</v>
      </c>
      <c r="L361" s="778">
        <v>0</v>
      </c>
      <c r="M361" s="778">
        <v>0</v>
      </c>
      <c r="N361" s="778">
        <v>0</v>
      </c>
      <c r="O361" s="778">
        <v>0</v>
      </c>
      <c r="P361" s="778">
        <v>0</v>
      </c>
      <c r="Q361" s="778">
        <v>0</v>
      </c>
      <c r="R361" s="778">
        <v>0</v>
      </c>
      <c r="S361" s="618">
        <f t="shared" si="104"/>
        <v>0</v>
      </c>
      <c r="T361" s="773"/>
      <c r="U361" s="424"/>
      <c r="V361" s="424"/>
      <c r="W361" s="424">
        <f t="shared" si="106"/>
        <v>0</v>
      </c>
      <c r="X361" s="425"/>
      <c r="Y361" s="424"/>
      <c r="Z361" s="424"/>
      <c r="AA361" s="424"/>
      <c r="AB361" s="424"/>
      <c r="AC361" s="426">
        <f t="shared" si="105"/>
        <v>0</v>
      </c>
      <c r="AD361" s="779"/>
      <c r="AE361" s="773"/>
      <c r="AF361" s="781">
        <f t="shared" si="95"/>
        <v>0</v>
      </c>
    </row>
    <row r="362" spans="1:32">
      <c r="A362" s="779">
        <f t="shared" si="97"/>
        <v>348</v>
      </c>
      <c r="B362" s="423" t="s">
        <v>1063</v>
      </c>
      <c r="C362" s="423" t="s">
        <v>579</v>
      </c>
      <c r="D362" s="423" t="s">
        <v>539</v>
      </c>
      <c r="E362" s="763" t="s">
        <v>580</v>
      </c>
      <c r="F362" s="778">
        <v>-192553016.58000001</v>
      </c>
      <c r="G362" s="778">
        <v>-192553016.58000001</v>
      </c>
      <c r="H362" s="778">
        <v>-192117553.21000001</v>
      </c>
      <c r="I362" s="778">
        <v>-192117553.21000001</v>
      </c>
      <c r="J362" s="778">
        <v>-192117553.21000001</v>
      </c>
      <c r="K362" s="778">
        <v>-192117553.21000001</v>
      </c>
      <c r="L362" s="778">
        <v>-192117553.21000001</v>
      </c>
      <c r="M362" s="778">
        <v>-192117553.21000001</v>
      </c>
      <c r="N362" s="778">
        <v>-192117553.21000001</v>
      </c>
      <c r="O362" s="778">
        <v>-222117553.21000001</v>
      </c>
      <c r="P362" s="778">
        <v>-222117553.21000001</v>
      </c>
      <c r="Q362" s="778">
        <v>-222117553.21000001</v>
      </c>
      <c r="R362" s="778">
        <v>-222117553.21000001</v>
      </c>
      <c r="S362" s="618">
        <f t="shared" si="104"/>
        <v>-222117553.21000001</v>
      </c>
      <c r="T362" s="773"/>
      <c r="U362" s="424"/>
      <c r="V362" s="424"/>
      <c r="W362" s="424">
        <f t="shared" si="106"/>
        <v>-222117553.21000001</v>
      </c>
      <c r="X362" s="425"/>
      <c r="Y362" s="424"/>
      <c r="Z362" s="424"/>
      <c r="AA362" s="424"/>
      <c r="AB362" s="424"/>
      <c r="AC362" s="426">
        <f t="shared" si="105"/>
        <v>-222117553.21000001</v>
      </c>
      <c r="AD362" s="779"/>
      <c r="AE362" s="773"/>
      <c r="AF362" s="781">
        <f t="shared" si="95"/>
        <v>0</v>
      </c>
    </row>
    <row r="363" spans="1:32">
      <c r="A363" s="779">
        <f t="shared" si="97"/>
        <v>349</v>
      </c>
      <c r="B363" s="423" t="s">
        <v>1063</v>
      </c>
      <c r="C363" s="423" t="s">
        <v>1705</v>
      </c>
      <c r="D363" s="423"/>
      <c r="E363" s="763" t="s">
        <v>582</v>
      </c>
      <c r="F363" s="778">
        <v>0</v>
      </c>
      <c r="G363" s="778">
        <v>0</v>
      </c>
      <c r="H363" s="778">
        <v>0</v>
      </c>
      <c r="I363" s="778">
        <v>0</v>
      </c>
      <c r="J363" s="778">
        <v>0</v>
      </c>
      <c r="K363" s="778">
        <v>0</v>
      </c>
      <c r="L363" s="778">
        <v>0</v>
      </c>
      <c r="M363" s="778">
        <v>0</v>
      </c>
      <c r="N363" s="778">
        <v>0</v>
      </c>
      <c r="O363" s="778">
        <v>0</v>
      </c>
      <c r="P363" s="778">
        <v>0</v>
      </c>
      <c r="Q363" s="778">
        <v>273680.51</v>
      </c>
      <c r="R363" s="778">
        <v>273680.51</v>
      </c>
      <c r="S363" s="618">
        <f t="shared" si="104"/>
        <v>273680.51</v>
      </c>
      <c r="T363" s="773"/>
      <c r="U363" s="424"/>
      <c r="V363" s="424"/>
      <c r="W363" s="424">
        <f t="shared" si="106"/>
        <v>273680.51</v>
      </c>
      <c r="X363" s="425"/>
      <c r="Y363" s="424"/>
      <c r="Z363" s="424"/>
      <c r="AA363" s="424"/>
      <c r="AB363" s="424"/>
      <c r="AC363" s="426">
        <f t="shared" si="105"/>
        <v>273680.51</v>
      </c>
      <c r="AD363" s="779"/>
      <c r="AE363" s="773"/>
      <c r="AF363" s="781">
        <f t="shared" si="95"/>
        <v>0</v>
      </c>
    </row>
    <row r="364" spans="1:32">
      <c r="A364" s="779">
        <f t="shared" si="97"/>
        <v>350</v>
      </c>
      <c r="B364" s="423" t="s">
        <v>1063</v>
      </c>
      <c r="C364" s="423" t="s">
        <v>583</v>
      </c>
      <c r="D364" s="779" t="s">
        <v>382</v>
      </c>
      <c r="E364" s="763" t="s">
        <v>1950</v>
      </c>
      <c r="F364" s="778">
        <v>-1489849.51</v>
      </c>
      <c r="G364" s="778">
        <v>-1489849.51</v>
      </c>
      <c r="H364" s="778">
        <v>-1810739.96</v>
      </c>
      <c r="I364" s="778">
        <v>-1810739.96</v>
      </c>
      <c r="J364" s="778">
        <v>-1810739.96</v>
      </c>
      <c r="K364" s="778">
        <v>-1810739.96</v>
      </c>
      <c r="L364" s="778">
        <v>-1810739.96</v>
      </c>
      <c r="M364" s="778">
        <v>-1810739.96</v>
      </c>
      <c r="N364" s="778">
        <v>-1810739.96</v>
      </c>
      <c r="O364" s="778">
        <v>-1810739.96</v>
      </c>
      <c r="P364" s="778">
        <v>-1810739.96</v>
      </c>
      <c r="Q364" s="778">
        <v>-1810739.96</v>
      </c>
      <c r="R364" s="778">
        <v>-2402882.85</v>
      </c>
      <c r="S364" s="618">
        <f t="shared" si="104"/>
        <v>-2402882.85</v>
      </c>
      <c r="T364" s="773"/>
      <c r="U364" s="424"/>
      <c r="V364" s="424"/>
      <c r="W364" s="424">
        <f t="shared" si="106"/>
        <v>-2402882.85</v>
      </c>
      <c r="X364" s="425"/>
      <c r="Y364" s="424"/>
      <c r="Z364" s="424"/>
      <c r="AA364" s="424"/>
      <c r="AB364" s="424"/>
      <c r="AC364" s="426">
        <f t="shared" si="105"/>
        <v>-2402882.85</v>
      </c>
      <c r="AD364" s="779"/>
      <c r="AE364" s="773"/>
      <c r="AF364" s="781">
        <f t="shared" si="95"/>
        <v>0</v>
      </c>
    </row>
    <row r="365" spans="1:32">
      <c r="A365" s="779">
        <f t="shared" si="97"/>
        <v>351</v>
      </c>
      <c r="B365" s="423" t="s">
        <v>1063</v>
      </c>
      <c r="C365" s="423" t="s">
        <v>584</v>
      </c>
      <c r="D365" s="423" t="s">
        <v>1303</v>
      </c>
      <c r="E365" s="763" t="s">
        <v>1951</v>
      </c>
      <c r="F365" s="405">
        <v>219189.01</v>
      </c>
      <c r="G365" s="405">
        <v>219189.01</v>
      </c>
      <c r="H365" s="405">
        <v>266398.95</v>
      </c>
      <c r="I365" s="405">
        <v>266398.95</v>
      </c>
      <c r="J365" s="405">
        <v>266398.95</v>
      </c>
      <c r="K365" s="405">
        <v>266398.95</v>
      </c>
      <c r="L365" s="405">
        <v>266398.95</v>
      </c>
      <c r="M365" s="405">
        <v>266398.95</v>
      </c>
      <c r="N365" s="405">
        <v>266398.95</v>
      </c>
      <c r="O365" s="405">
        <v>266398.95</v>
      </c>
      <c r="P365" s="405">
        <v>266398.95</v>
      </c>
      <c r="Q365" s="405">
        <v>266398.95</v>
      </c>
      <c r="R365" s="405">
        <v>84425.49</v>
      </c>
      <c r="S365" s="618">
        <f t="shared" si="104"/>
        <v>84425.49</v>
      </c>
      <c r="T365" s="773"/>
      <c r="U365" s="424"/>
      <c r="V365" s="424"/>
      <c r="W365" s="424">
        <f t="shared" si="106"/>
        <v>84425.49</v>
      </c>
      <c r="X365" s="425"/>
      <c r="Y365" s="424"/>
      <c r="Z365" s="424"/>
      <c r="AA365" s="424"/>
      <c r="AB365" s="424"/>
      <c r="AC365" s="426">
        <f t="shared" si="105"/>
        <v>84425.49</v>
      </c>
      <c r="AD365" s="779"/>
      <c r="AE365" s="773"/>
      <c r="AF365" s="781">
        <f t="shared" si="95"/>
        <v>0</v>
      </c>
    </row>
    <row r="366" spans="1:32">
      <c r="A366" s="779">
        <f t="shared" si="97"/>
        <v>352</v>
      </c>
      <c r="B366" s="779"/>
      <c r="C366" s="779"/>
      <c r="D366" s="779"/>
      <c r="E366" s="763" t="s">
        <v>585</v>
      </c>
      <c r="F366" s="394">
        <f t="shared" ref="F366:S366" si="107">SUM(F357:F365)</f>
        <v>-225638946.18000001</v>
      </c>
      <c r="G366" s="394">
        <f t="shared" si="107"/>
        <v>-224510927.53</v>
      </c>
      <c r="H366" s="394">
        <f t="shared" si="107"/>
        <v>-224073041.16000003</v>
      </c>
      <c r="I366" s="394">
        <f t="shared" si="107"/>
        <v>-224070618.16000003</v>
      </c>
      <c r="J366" s="394">
        <f t="shared" si="107"/>
        <v>-224068195.16000003</v>
      </c>
      <c r="K366" s="394">
        <f t="shared" si="107"/>
        <v>-224065772.16000003</v>
      </c>
      <c r="L366" s="394">
        <f t="shared" si="107"/>
        <v>-224063349.16000003</v>
      </c>
      <c r="M366" s="394">
        <f t="shared" si="107"/>
        <v>-224060926.16000003</v>
      </c>
      <c r="N366" s="394">
        <f t="shared" si="107"/>
        <v>-224058503.16000003</v>
      </c>
      <c r="O366" s="394">
        <f t="shared" si="107"/>
        <v>-254056080.16000003</v>
      </c>
      <c r="P366" s="394">
        <f t="shared" si="107"/>
        <v>-254053657.16000003</v>
      </c>
      <c r="Q366" s="394">
        <f t="shared" si="107"/>
        <v>-254051234.16000003</v>
      </c>
      <c r="R366" s="394">
        <f t="shared" si="107"/>
        <v>-254809227.50999999</v>
      </c>
      <c r="S366" s="620">
        <f t="shared" si="107"/>
        <v>-254809227.50999999</v>
      </c>
      <c r="T366" s="773"/>
      <c r="U366" s="424"/>
      <c r="V366" s="424"/>
      <c r="W366" s="424"/>
      <c r="X366" s="425"/>
      <c r="Y366" s="424"/>
      <c r="Z366" s="424"/>
      <c r="AA366" s="424"/>
      <c r="AB366" s="424"/>
      <c r="AC366" s="779"/>
      <c r="AD366" s="779"/>
      <c r="AE366" s="773"/>
      <c r="AF366" s="781">
        <f t="shared" si="95"/>
        <v>0</v>
      </c>
    </row>
    <row r="367" spans="1:32">
      <c r="A367" s="779">
        <f t="shared" si="97"/>
        <v>353</v>
      </c>
      <c r="B367" s="779"/>
      <c r="C367" s="779"/>
      <c r="D367" s="779"/>
      <c r="E367" s="763"/>
      <c r="F367" s="776"/>
      <c r="G367" s="434"/>
      <c r="H367" s="435"/>
      <c r="I367" s="435"/>
      <c r="J367" s="436"/>
      <c r="K367" s="437"/>
      <c r="L367" s="438"/>
      <c r="M367" s="439"/>
      <c r="N367" s="440"/>
      <c r="O367" s="418"/>
      <c r="P367" s="441"/>
      <c r="Q367" s="442"/>
      <c r="R367" s="776"/>
      <c r="S367" s="392"/>
      <c r="T367" s="773"/>
      <c r="U367" s="424"/>
      <c r="V367" s="424"/>
      <c r="W367" s="424"/>
      <c r="X367" s="425"/>
      <c r="Y367" s="424"/>
      <c r="Z367" s="424"/>
      <c r="AA367" s="424"/>
      <c r="AB367" s="424"/>
      <c r="AC367" s="779"/>
      <c r="AD367" s="779"/>
      <c r="AE367" s="773"/>
      <c r="AF367" s="781">
        <f t="shared" si="95"/>
        <v>0</v>
      </c>
    </row>
    <row r="368" spans="1:32">
      <c r="A368" s="779">
        <f t="shared" si="97"/>
        <v>354</v>
      </c>
      <c r="B368" s="423" t="s">
        <v>1063</v>
      </c>
      <c r="C368" s="423" t="s">
        <v>586</v>
      </c>
      <c r="D368" s="423" t="s">
        <v>482</v>
      </c>
      <c r="E368" s="767" t="s">
        <v>587</v>
      </c>
      <c r="F368" s="778">
        <v>-20000000</v>
      </c>
      <c r="G368" s="778">
        <v>-20000000</v>
      </c>
      <c r="H368" s="778">
        <v>-20000000</v>
      </c>
      <c r="I368" s="778">
        <v>-20000000</v>
      </c>
      <c r="J368" s="778">
        <v>-20000000</v>
      </c>
      <c r="K368" s="778">
        <v>-20000000</v>
      </c>
      <c r="L368" s="778">
        <v>-20000000</v>
      </c>
      <c r="M368" s="778">
        <v>-20000000</v>
      </c>
      <c r="N368" s="778">
        <v>-20000000</v>
      </c>
      <c r="O368" s="778">
        <v>-20000000</v>
      </c>
      <c r="P368" s="778">
        <v>-20000000</v>
      </c>
      <c r="Q368" s="778">
        <v>-20000000</v>
      </c>
      <c r="R368" s="778">
        <v>-20000000</v>
      </c>
      <c r="S368" s="618">
        <f t="shared" ref="S368:S380" si="108">+R368</f>
        <v>-20000000</v>
      </c>
      <c r="T368" s="773"/>
      <c r="U368" s="424"/>
      <c r="V368" s="424"/>
      <c r="W368" s="424">
        <f t="shared" ref="W368:W380" si="109">+S368</f>
        <v>-20000000</v>
      </c>
      <c r="X368" s="425"/>
      <c r="Y368" s="424"/>
      <c r="Z368" s="424"/>
      <c r="AA368" s="424"/>
      <c r="AB368" s="424"/>
      <c r="AC368" s="426">
        <f t="shared" ref="AC368:AC380" si="110">+S368</f>
        <v>-20000000</v>
      </c>
      <c r="AD368" s="779"/>
      <c r="AE368" s="773"/>
      <c r="AF368" s="781">
        <f t="shared" si="95"/>
        <v>0</v>
      </c>
    </row>
    <row r="369" spans="1:32">
      <c r="A369" s="779">
        <f t="shared" si="97"/>
        <v>355</v>
      </c>
      <c r="B369" s="423" t="s">
        <v>1063</v>
      </c>
      <c r="C369" s="423" t="s">
        <v>586</v>
      </c>
      <c r="D369" s="423" t="s">
        <v>484</v>
      </c>
      <c r="E369" s="767" t="s">
        <v>588</v>
      </c>
      <c r="F369" s="778">
        <v>-15000000</v>
      </c>
      <c r="G369" s="778">
        <v>-15000000</v>
      </c>
      <c r="H369" s="778">
        <v>-15000000</v>
      </c>
      <c r="I369" s="778">
        <v>-15000000</v>
      </c>
      <c r="J369" s="778">
        <v>-15000000</v>
      </c>
      <c r="K369" s="778">
        <v>-15000000</v>
      </c>
      <c r="L369" s="778">
        <v>-15000000</v>
      </c>
      <c r="M369" s="778">
        <v>-15000000</v>
      </c>
      <c r="N369" s="778">
        <v>-15000000</v>
      </c>
      <c r="O369" s="778">
        <v>-15000000</v>
      </c>
      <c r="P369" s="778">
        <v>-15000000</v>
      </c>
      <c r="Q369" s="778">
        <v>-15000000</v>
      </c>
      <c r="R369" s="778">
        <v>-15000000</v>
      </c>
      <c r="S369" s="618">
        <f t="shared" si="108"/>
        <v>-15000000</v>
      </c>
      <c r="T369" s="773"/>
      <c r="U369" s="424"/>
      <c r="V369" s="424"/>
      <c r="W369" s="424">
        <f t="shared" si="109"/>
        <v>-15000000</v>
      </c>
      <c r="X369" s="425"/>
      <c r="Y369" s="424"/>
      <c r="Z369" s="424"/>
      <c r="AA369" s="424"/>
      <c r="AB369" s="424"/>
      <c r="AC369" s="426">
        <f t="shared" si="110"/>
        <v>-15000000</v>
      </c>
      <c r="AD369" s="779"/>
      <c r="AE369" s="773"/>
      <c r="AF369" s="781">
        <f t="shared" si="95"/>
        <v>0</v>
      </c>
    </row>
    <row r="370" spans="1:32">
      <c r="A370" s="779">
        <f t="shared" si="97"/>
        <v>356</v>
      </c>
      <c r="B370" s="423" t="s">
        <v>1063</v>
      </c>
      <c r="C370" s="423" t="s">
        <v>586</v>
      </c>
      <c r="D370" s="423" t="s">
        <v>486</v>
      </c>
      <c r="E370" s="767" t="s">
        <v>589</v>
      </c>
      <c r="F370" s="778">
        <v>-24431000</v>
      </c>
      <c r="G370" s="778">
        <v>-24431000</v>
      </c>
      <c r="H370" s="778">
        <v>-24406000</v>
      </c>
      <c r="I370" s="778">
        <v>-24406000</v>
      </c>
      <c r="J370" s="778">
        <v>-24406000</v>
      </c>
      <c r="K370" s="778">
        <v>-24401000</v>
      </c>
      <c r="L370" s="778">
        <v>-24401000</v>
      </c>
      <c r="M370" s="778">
        <v>-24401000</v>
      </c>
      <c r="N370" s="778">
        <v>-24401000</v>
      </c>
      <c r="O370" s="778">
        <v>-24401000</v>
      </c>
      <c r="P370" s="778">
        <v>-24401000</v>
      </c>
      <c r="Q370" s="778">
        <v>-24361000</v>
      </c>
      <c r="R370" s="778">
        <v>-24361000</v>
      </c>
      <c r="S370" s="618">
        <f t="shared" si="108"/>
        <v>-24361000</v>
      </c>
      <c r="T370" s="773"/>
      <c r="U370" s="424"/>
      <c r="V370" s="424"/>
      <c r="W370" s="424">
        <f t="shared" si="109"/>
        <v>-24361000</v>
      </c>
      <c r="X370" s="425"/>
      <c r="Y370" s="424"/>
      <c r="Z370" s="424"/>
      <c r="AA370" s="424"/>
      <c r="AB370" s="424"/>
      <c r="AC370" s="426">
        <f t="shared" si="110"/>
        <v>-24361000</v>
      </c>
      <c r="AD370" s="779"/>
      <c r="AE370" s="773"/>
      <c r="AF370" s="781">
        <f t="shared" si="95"/>
        <v>0</v>
      </c>
    </row>
    <row r="371" spans="1:32">
      <c r="A371" s="779">
        <f t="shared" si="97"/>
        <v>357</v>
      </c>
      <c r="B371" s="423" t="s">
        <v>1063</v>
      </c>
      <c r="C371" s="423" t="s">
        <v>586</v>
      </c>
      <c r="D371" s="423" t="s">
        <v>488</v>
      </c>
      <c r="E371" s="767" t="s">
        <v>590</v>
      </c>
      <c r="F371" s="778">
        <v>-15000000</v>
      </c>
      <c r="G371" s="778">
        <v>-15000000</v>
      </c>
      <c r="H371" s="778">
        <v>-15000000</v>
      </c>
      <c r="I371" s="778">
        <v>-15000000</v>
      </c>
      <c r="J371" s="778">
        <v>-15000000</v>
      </c>
      <c r="K371" s="778">
        <v>-15000000</v>
      </c>
      <c r="L371" s="778">
        <v>-15000000</v>
      </c>
      <c r="M371" s="778">
        <v>-15000000</v>
      </c>
      <c r="N371" s="778">
        <v>-15000000</v>
      </c>
      <c r="O371" s="778">
        <v>-15000000</v>
      </c>
      <c r="P371" s="778">
        <v>-15000000</v>
      </c>
      <c r="Q371" s="778">
        <v>-15000000</v>
      </c>
      <c r="R371" s="778">
        <v>-15000000</v>
      </c>
      <c r="S371" s="618">
        <f t="shared" si="108"/>
        <v>-15000000</v>
      </c>
      <c r="T371" s="773"/>
      <c r="U371" s="424"/>
      <c r="V371" s="424"/>
      <c r="W371" s="424">
        <f t="shared" si="109"/>
        <v>-15000000</v>
      </c>
      <c r="X371" s="425"/>
      <c r="Y371" s="424"/>
      <c r="Z371" s="424"/>
      <c r="AA371" s="424"/>
      <c r="AB371" s="424"/>
      <c r="AC371" s="426">
        <f t="shared" si="110"/>
        <v>-15000000</v>
      </c>
      <c r="AD371" s="779"/>
      <c r="AE371" s="773"/>
      <c r="AF371" s="781">
        <f t="shared" si="95"/>
        <v>0</v>
      </c>
    </row>
    <row r="372" spans="1:32">
      <c r="A372" s="779">
        <f t="shared" si="97"/>
        <v>358</v>
      </c>
      <c r="B372" s="423" t="s">
        <v>1063</v>
      </c>
      <c r="C372" s="423" t="s">
        <v>586</v>
      </c>
      <c r="D372" s="423" t="s">
        <v>490</v>
      </c>
      <c r="E372" s="767" t="s">
        <v>591</v>
      </c>
      <c r="F372" s="778">
        <v>-40000000</v>
      </c>
      <c r="G372" s="778">
        <v>-40000000</v>
      </c>
      <c r="H372" s="778">
        <v>-40000000</v>
      </c>
      <c r="I372" s="778">
        <v>-40000000</v>
      </c>
      <c r="J372" s="778">
        <v>-40000000</v>
      </c>
      <c r="K372" s="778">
        <v>-40000000</v>
      </c>
      <c r="L372" s="778">
        <v>-40000000</v>
      </c>
      <c r="M372" s="778">
        <v>-40000000</v>
      </c>
      <c r="N372" s="778">
        <v>-40000000</v>
      </c>
      <c r="O372" s="778">
        <v>-40000000</v>
      </c>
      <c r="P372" s="778">
        <v>-40000000</v>
      </c>
      <c r="Q372" s="778">
        <v>-40000000</v>
      </c>
      <c r="R372" s="778">
        <v>-40000000</v>
      </c>
      <c r="S372" s="618">
        <f t="shared" si="108"/>
        <v>-40000000</v>
      </c>
      <c r="T372" s="773"/>
      <c r="U372" s="424"/>
      <c r="V372" s="424"/>
      <c r="W372" s="424">
        <f t="shared" si="109"/>
        <v>-40000000</v>
      </c>
      <c r="X372" s="425"/>
      <c r="Y372" s="424"/>
      <c r="Z372" s="424"/>
      <c r="AA372" s="424"/>
      <c r="AB372" s="424"/>
      <c r="AC372" s="426">
        <f t="shared" si="110"/>
        <v>-40000000</v>
      </c>
      <c r="AD372" s="779"/>
      <c r="AE372" s="773"/>
      <c r="AF372" s="781">
        <f t="shared" si="95"/>
        <v>0</v>
      </c>
    </row>
    <row r="373" spans="1:32">
      <c r="A373" s="779">
        <f t="shared" si="97"/>
        <v>359</v>
      </c>
      <c r="B373" s="423" t="s">
        <v>1063</v>
      </c>
      <c r="C373" s="423" t="s">
        <v>586</v>
      </c>
      <c r="D373" s="423" t="s">
        <v>492</v>
      </c>
      <c r="E373" s="663" t="s">
        <v>592</v>
      </c>
      <c r="F373" s="778">
        <v>-25000000</v>
      </c>
      <c r="G373" s="778">
        <v>-25000000</v>
      </c>
      <c r="H373" s="778">
        <v>-25000000</v>
      </c>
      <c r="I373" s="778">
        <v>-25000000</v>
      </c>
      <c r="J373" s="778">
        <v>-25000000</v>
      </c>
      <c r="K373" s="778">
        <v>-25000000</v>
      </c>
      <c r="L373" s="778">
        <v>-25000000</v>
      </c>
      <c r="M373" s="778">
        <v>-25000000</v>
      </c>
      <c r="N373" s="778">
        <v>-25000000</v>
      </c>
      <c r="O373" s="778">
        <v>-25000000</v>
      </c>
      <c r="P373" s="778">
        <v>-25000000</v>
      </c>
      <c r="Q373" s="778">
        <v>-25000000</v>
      </c>
      <c r="R373" s="778">
        <v>-25000000</v>
      </c>
      <c r="S373" s="618">
        <f t="shared" si="108"/>
        <v>-25000000</v>
      </c>
      <c r="T373" s="773"/>
      <c r="U373" s="424"/>
      <c r="V373" s="424"/>
      <c r="W373" s="424">
        <f t="shared" si="109"/>
        <v>-25000000</v>
      </c>
      <c r="X373" s="425"/>
      <c r="Y373" s="424"/>
      <c r="Z373" s="424"/>
      <c r="AA373" s="424"/>
      <c r="AB373" s="424"/>
      <c r="AC373" s="426">
        <f t="shared" si="110"/>
        <v>-25000000</v>
      </c>
      <c r="AD373" s="779"/>
      <c r="AE373" s="773"/>
      <c r="AF373" s="781">
        <f t="shared" si="95"/>
        <v>0</v>
      </c>
    </row>
    <row r="374" spans="1:32">
      <c r="A374" s="779">
        <f t="shared" si="97"/>
        <v>360</v>
      </c>
      <c r="B374" s="423" t="s">
        <v>1063</v>
      </c>
      <c r="C374" s="423" t="s">
        <v>586</v>
      </c>
      <c r="D374" s="423" t="s">
        <v>494</v>
      </c>
      <c r="E374" s="663" t="s">
        <v>593</v>
      </c>
      <c r="F374" s="778">
        <v>-25000000</v>
      </c>
      <c r="G374" s="778">
        <v>-25000000</v>
      </c>
      <c r="H374" s="778">
        <v>-25000000</v>
      </c>
      <c r="I374" s="778">
        <v>-25000000</v>
      </c>
      <c r="J374" s="778">
        <v>-25000000</v>
      </c>
      <c r="K374" s="778">
        <v>-25000000</v>
      </c>
      <c r="L374" s="778">
        <v>-25000000</v>
      </c>
      <c r="M374" s="778">
        <v>-25000000</v>
      </c>
      <c r="N374" s="778">
        <v>-25000000</v>
      </c>
      <c r="O374" s="778">
        <v>-25000000</v>
      </c>
      <c r="P374" s="778">
        <v>-25000000</v>
      </c>
      <c r="Q374" s="778">
        <v>-25000000</v>
      </c>
      <c r="R374" s="778">
        <v>-25000000</v>
      </c>
      <c r="S374" s="618">
        <f t="shared" si="108"/>
        <v>-25000000</v>
      </c>
      <c r="T374" s="773"/>
      <c r="U374" s="424"/>
      <c r="V374" s="424"/>
      <c r="W374" s="424">
        <f t="shared" si="109"/>
        <v>-25000000</v>
      </c>
      <c r="X374" s="425"/>
      <c r="Y374" s="424"/>
      <c r="Z374" s="424"/>
      <c r="AA374" s="424"/>
      <c r="AB374" s="424"/>
      <c r="AC374" s="426">
        <f t="shared" si="110"/>
        <v>-25000000</v>
      </c>
      <c r="AD374" s="779"/>
      <c r="AE374" s="773"/>
      <c r="AF374" s="781">
        <f t="shared" si="95"/>
        <v>0</v>
      </c>
    </row>
    <row r="375" spans="1:32">
      <c r="A375" s="779">
        <f t="shared" si="97"/>
        <v>361</v>
      </c>
      <c r="B375" s="423" t="s">
        <v>1063</v>
      </c>
      <c r="C375" s="423" t="s">
        <v>586</v>
      </c>
      <c r="D375" s="423" t="s">
        <v>497</v>
      </c>
      <c r="E375" s="663" t="s">
        <v>1952</v>
      </c>
      <c r="F375" s="778">
        <v>-12500000</v>
      </c>
      <c r="G375" s="778">
        <v>-12500000</v>
      </c>
      <c r="H375" s="778">
        <v>-12500000</v>
      </c>
      <c r="I375" s="778">
        <v>-12500000</v>
      </c>
      <c r="J375" s="778">
        <v>-12500000</v>
      </c>
      <c r="K375" s="778">
        <v>-12500000</v>
      </c>
      <c r="L375" s="778">
        <v>-12500000</v>
      </c>
      <c r="M375" s="778">
        <v>-12500000</v>
      </c>
      <c r="N375" s="778">
        <v>-12500000</v>
      </c>
      <c r="O375" s="778">
        <v>-12500000</v>
      </c>
      <c r="P375" s="778">
        <v>-12500000</v>
      </c>
      <c r="Q375" s="778">
        <v>-12500000</v>
      </c>
      <c r="R375" s="778">
        <v>-12500000</v>
      </c>
      <c r="S375" s="618">
        <f t="shared" si="108"/>
        <v>-12500000</v>
      </c>
      <c r="T375" s="773"/>
      <c r="U375" s="424"/>
      <c r="V375" s="424"/>
      <c r="W375" s="424">
        <f t="shared" si="109"/>
        <v>-12500000</v>
      </c>
      <c r="X375" s="425"/>
      <c r="Y375" s="424"/>
      <c r="Z375" s="424"/>
      <c r="AA375" s="424"/>
      <c r="AB375" s="424"/>
      <c r="AC375" s="426">
        <f t="shared" si="110"/>
        <v>-12500000</v>
      </c>
      <c r="AD375" s="779"/>
      <c r="AE375" s="773"/>
      <c r="AF375" s="781">
        <f t="shared" si="95"/>
        <v>0</v>
      </c>
    </row>
    <row r="376" spans="1:32">
      <c r="A376" s="779">
        <f t="shared" si="97"/>
        <v>362</v>
      </c>
      <c r="B376" s="423" t="s">
        <v>1063</v>
      </c>
      <c r="C376" s="423" t="s">
        <v>586</v>
      </c>
      <c r="D376" s="423" t="s">
        <v>499</v>
      </c>
      <c r="E376" s="663" t="s">
        <v>1953</v>
      </c>
      <c r="F376" s="778">
        <v>-12500000</v>
      </c>
      <c r="G376" s="778">
        <v>-12500000</v>
      </c>
      <c r="H376" s="778">
        <v>-12500000</v>
      </c>
      <c r="I376" s="778">
        <v>-12500000</v>
      </c>
      <c r="J376" s="778">
        <v>-12500000</v>
      </c>
      <c r="K376" s="778">
        <v>-12500000</v>
      </c>
      <c r="L376" s="778">
        <v>-12500000</v>
      </c>
      <c r="M376" s="778">
        <v>-12500000</v>
      </c>
      <c r="N376" s="778">
        <v>-12500000</v>
      </c>
      <c r="O376" s="778">
        <v>-12500000</v>
      </c>
      <c r="P376" s="778">
        <v>-12500000</v>
      </c>
      <c r="Q376" s="778">
        <v>-12500000</v>
      </c>
      <c r="R376" s="778">
        <v>-12500000</v>
      </c>
      <c r="S376" s="618">
        <f t="shared" si="108"/>
        <v>-12500000</v>
      </c>
      <c r="T376" s="773"/>
      <c r="U376" s="424"/>
      <c r="V376" s="424"/>
      <c r="W376" s="424">
        <f t="shared" si="109"/>
        <v>-12500000</v>
      </c>
      <c r="X376" s="425"/>
      <c r="Y376" s="424"/>
      <c r="Z376" s="424"/>
      <c r="AA376" s="424"/>
      <c r="AB376" s="424"/>
      <c r="AC376" s="426">
        <f t="shared" si="110"/>
        <v>-12500000</v>
      </c>
      <c r="AD376" s="779"/>
      <c r="AE376" s="773"/>
      <c r="AF376" s="781">
        <f t="shared" si="95"/>
        <v>0</v>
      </c>
    </row>
    <row r="377" spans="1:32">
      <c r="A377" s="779">
        <f t="shared" si="97"/>
        <v>363</v>
      </c>
      <c r="B377" s="423" t="s">
        <v>1063</v>
      </c>
      <c r="C377" s="423" t="s">
        <v>586</v>
      </c>
      <c r="D377" s="423" t="s">
        <v>501</v>
      </c>
      <c r="E377" s="663" t="s">
        <v>1954</v>
      </c>
      <c r="F377" s="778">
        <v>-12500000</v>
      </c>
      <c r="G377" s="778">
        <v>-12500000</v>
      </c>
      <c r="H377" s="778">
        <v>-12500000</v>
      </c>
      <c r="I377" s="778">
        <v>-12500000</v>
      </c>
      <c r="J377" s="778">
        <v>-12500000</v>
      </c>
      <c r="K377" s="778">
        <v>-12500000</v>
      </c>
      <c r="L377" s="778">
        <v>-12500000</v>
      </c>
      <c r="M377" s="778">
        <v>-12500000</v>
      </c>
      <c r="N377" s="778">
        <v>-12500000</v>
      </c>
      <c r="O377" s="778">
        <v>-12500000</v>
      </c>
      <c r="P377" s="778">
        <v>-12500000</v>
      </c>
      <c r="Q377" s="778">
        <v>-12500000</v>
      </c>
      <c r="R377" s="778">
        <v>-12500000</v>
      </c>
      <c r="S377" s="618">
        <f t="shared" si="108"/>
        <v>-12500000</v>
      </c>
      <c r="T377" s="773"/>
      <c r="U377" s="424"/>
      <c r="V377" s="424"/>
      <c r="W377" s="424">
        <f t="shared" si="109"/>
        <v>-12500000</v>
      </c>
      <c r="X377" s="425"/>
      <c r="Y377" s="424"/>
      <c r="Z377" s="424"/>
      <c r="AA377" s="424"/>
      <c r="AB377" s="424"/>
      <c r="AC377" s="426">
        <f t="shared" si="110"/>
        <v>-12500000</v>
      </c>
      <c r="AD377" s="779"/>
      <c r="AE377" s="773"/>
      <c r="AF377" s="781">
        <f t="shared" si="95"/>
        <v>0</v>
      </c>
    </row>
    <row r="378" spans="1:32">
      <c r="A378" s="779">
        <f t="shared" si="97"/>
        <v>364</v>
      </c>
      <c r="B378" s="423" t="s">
        <v>1063</v>
      </c>
      <c r="C378" s="423" t="s">
        <v>586</v>
      </c>
      <c r="D378" s="423" t="s">
        <v>502</v>
      </c>
      <c r="E378" s="663" t="s">
        <v>1955</v>
      </c>
      <c r="F378" s="778">
        <v>-12500000</v>
      </c>
      <c r="G378" s="778">
        <v>-12500000</v>
      </c>
      <c r="H378" s="778">
        <v>-12500000</v>
      </c>
      <c r="I378" s="778">
        <v>-12500000</v>
      </c>
      <c r="J378" s="778">
        <v>-12500000</v>
      </c>
      <c r="K378" s="778">
        <v>-12500000</v>
      </c>
      <c r="L378" s="778">
        <v>-12500000</v>
      </c>
      <c r="M378" s="778">
        <v>-12500000</v>
      </c>
      <c r="N378" s="778">
        <v>-12500000</v>
      </c>
      <c r="O378" s="778">
        <v>-12500000</v>
      </c>
      <c r="P378" s="778">
        <v>-12500000</v>
      </c>
      <c r="Q378" s="778">
        <v>-12500000</v>
      </c>
      <c r="R378" s="778">
        <v>-12500000</v>
      </c>
      <c r="S378" s="618">
        <f t="shared" si="108"/>
        <v>-12500000</v>
      </c>
      <c r="T378" s="773"/>
      <c r="U378" s="424"/>
      <c r="V378" s="424"/>
      <c r="W378" s="424">
        <f t="shared" si="109"/>
        <v>-12500000</v>
      </c>
      <c r="X378" s="425"/>
      <c r="Y378" s="424"/>
      <c r="Z378" s="424"/>
      <c r="AA378" s="424"/>
      <c r="AB378" s="424"/>
      <c r="AC378" s="426">
        <f t="shared" si="110"/>
        <v>-12500000</v>
      </c>
      <c r="AD378" s="779"/>
      <c r="AE378" s="773"/>
      <c r="AF378" s="781">
        <f t="shared" si="95"/>
        <v>0</v>
      </c>
    </row>
    <row r="379" spans="1:32">
      <c r="A379" s="779">
        <f t="shared" si="97"/>
        <v>365</v>
      </c>
      <c r="B379" s="423" t="s">
        <v>1063</v>
      </c>
      <c r="C379" s="423" t="s">
        <v>586</v>
      </c>
      <c r="D379" s="423" t="s">
        <v>754</v>
      </c>
      <c r="E379" s="663" t="s">
        <v>756</v>
      </c>
      <c r="F379" s="778">
        <v>1646971.61</v>
      </c>
      <c r="G379" s="778">
        <v>1637077.15</v>
      </c>
      <c r="H379" s="778">
        <v>1626262.32</v>
      </c>
      <c r="I379" s="778">
        <v>1616372.4</v>
      </c>
      <c r="J379" s="778">
        <v>1606482.48</v>
      </c>
      <c r="K379" s="778">
        <v>1596411.2</v>
      </c>
      <c r="L379" s="778">
        <v>1586522.18</v>
      </c>
      <c r="M379" s="778">
        <v>1576633.16</v>
      </c>
      <c r="N379" s="778">
        <v>1566744.14</v>
      </c>
      <c r="O379" s="778">
        <v>1556855.12</v>
      </c>
      <c r="P379" s="778">
        <v>1546966.1</v>
      </c>
      <c r="Q379" s="778">
        <v>1535669.78</v>
      </c>
      <c r="R379" s="778">
        <v>1525788.02</v>
      </c>
      <c r="S379" s="618">
        <f t="shared" si="108"/>
        <v>1525788.02</v>
      </c>
      <c r="T379" s="773"/>
      <c r="U379" s="424"/>
      <c r="V379" s="424"/>
      <c r="W379" s="424">
        <f t="shared" si="109"/>
        <v>1525788.02</v>
      </c>
      <c r="X379" s="425"/>
      <c r="Y379" s="424"/>
      <c r="Z379" s="424"/>
      <c r="AA379" s="424"/>
      <c r="AB379" s="424"/>
      <c r="AC379" s="426">
        <f t="shared" si="110"/>
        <v>1525788.02</v>
      </c>
      <c r="AD379" s="779"/>
      <c r="AE379" s="773"/>
      <c r="AF379" s="781">
        <f t="shared" si="95"/>
        <v>0</v>
      </c>
    </row>
    <row r="380" spans="1:32">
      <c r="A380" s="779">
        <f t="shared" si="97"/>
        <v>366</v>
      </c>
      <c r="B380" s="423" t="s">
        <v>1063</v>
      </c>
      <c r="C380" s="423" t="s">
        <v>596</v>
      </c>
      <c r="D380" s="423" t="s">
        <v>472</v>
      </c>
      <c r="E380" s="769" t="s">
        <v>597</v>
      </c>
      <c r="F380" s="405">
        <v>-17300000</v>
      </c>
      <c r="G380" s="405">
        <v>-16150000</v>
      </c>
      <c r="H380" s="405">
        <v>-14300000</v>
      </c>
      <c r="I380" s="405">
        <v>-5900000</v>
      </c>
      <c r="J380" s="405">
        <v>-4200000</v>
      </c>
      <c r="K380" s="405">
        <v>-2050000</v>
      </c>
      <c r="L380" s="405">
        <v>-4550000</v>
      </c>
      <c r="M380" s="405">
        <v>-10400000</v>
      </c>
      <c r="N380" s="405">
        <v>-21850000</v>
      </c>
      <c r="O380" s="405">
        <v>-7050000</v>
      </c>
      <c r="P380" s="405">
        <v>-19250000</v>
      </c>
      <c r="Q380" s="405">
        <v>-33850000</v>
      </c>
      <c r="R380" s="405">
        <v>-53850000</v>
      </c>
      <c r="S380" s="618">
        <f t="shared" si="108"/>
        <v>-53850000</v>
      </c>
      <c r="T380" s="773"/>
      <c r="U380" s="424"/>
      <c r="V380" s="424"/>
      <c r="W380" s="424">
        <f t="shared" si="109"/>
        <v>-53850000</v>
      </c>
      <c r="X380" s="425"/>
      <c r="Y380" s="424"/>
      <c r="Z380" s="424"/>
      <c r="AA380" s="424"/>
      <c r="AB380" s="424"/>
      <c r="AC380" s="426">
        <f t="shared" si="110"/>
        <v>-53850000</v>
      </c>
      <c r="AD380" s="779"/>
      <c r="AE380" s="773"/>
      <c r="AF380" s="781">
        <f t="shared" si="95"/>
        <v>0</v>
      </c>
    </row>
    <row r="381" spans="1:32">
      <c r="A381" s="779">
        <f t="shared" si="97"/>
        <v>367</v>
      </c>
      <c r="B381" s="779"/>
      <c r="C381" s="779"/>
      <c r="D381" s="779"/>
      <c r="E381" s="763" t="s">
        <v>598</v>
      </c>
      <c r="F381" s="394">
        <f t="shared" ref="F381:S381" si="111">SUM(F368:F380)</f>
        <v>-230084028.38999999</v>
      </c>
      <c r="G381" s="394">
        <f t="shared" si="111"/>
        <v>-228943922.84999999</v>
      </c>
      <c r="H381" s="394">
        <f t="shared" si="111"/>
        <v>-227079737.68000001</v>
      </c>
      <c r="I381" s="394">
        <f t="shared" si="111"/>
        <v>-218689627.59999999</v>
      </c>
      <c r="J381" s="394">
        <f t="shared" si="111"/>
        <v>-216999517.52000001</v>
      </c>
      <c r="K381" s="394">
        <f t="shared" si="111"/>
        <v>-214854588.80000001</v>
      </c>
      <c r="L381" s="394">
        <f t="shared" si="111"/>
        <v>-217364477.81999999</v>
      </c>
      <c r="M381" s="394">
        <f t="shared" si="111"/>
        <v>-223224366.84</v>
      </c>
      <c r="N381" s="394">
        <f t="shared" si="111"/>
        <v>-234684255.86000001</v>
      </c>
      <c r="O381" s="394">
        <f t="shared" si="111"/>
        <v>-219894144.88</v>
      </c>
      <c r="P381" s="394">
        <f t="shared" si="111"/>
        <v>-232104033.90000001</v>
      </c>
      <c r="Q381" s="394">
        <f t="shared" si="111"/>
        <v>-246675330.22</v>
      </c>
      <c r="R381" s="394">
        <f t="shared" si="111"/>
        <v>-266685211.97999999</v>
      </c>
      <c r="S381" s="620">
        <f t="shared" si="111"/>
        <v>-266685211.97999999</v>
      </c>
      <c r="T381" s="773"/>
      <c r="U381" s="424"/>
      <c r="V381" s="424"/>
      <c r="W381" s="424"/>
      <c r="X381" s="425"/>
      <c r="Y381" s="424"/>
      <c r="Z381" s="424"/>
      <c r="AA381" s="424"/>
      <c r="AB381" s="424"/>
      <c r="AC381" s="779"/>
      <c r="AD381" s="779"/>
      <c r="AE381" s="773"/>
      <c r="AF381" s="781">
        <f t="shared" si="95"/>
        <v>0</v>
      </c>
    </row>
    <row r="382" spans="1:32">
      <c r="A382" s="779">
        <f t="shared" si="97"/>
        <v>368</v>
      </c>
      <c r="B382" s="779"/>
      <c r="C382" s="779"/>
      <c r="D382" s="779"/>
      <c r="E382" s="763"/>
      <c r="F382" s="778"/>
      <c r="G382" s="420"/>
      <c r="H382" s="408"/>
      <c r="I382" s="408"/>
      <c r="J382" s="409"/>
      <c r="K382" s="410"/>
      <c r="L382" s="411"/>
      <c r="M382" s="412"/>
      <c r="N382" s="413"/>
      <c r="O382" s="764"/>
      <c r="P382" s="415"/>
      <c r="Q382" s="421"/>
      <c r="R382" s="778"/>
      <c r="S382" s="392"/>
      <c r="T382" s="779"/>
      <c r="U382" s="424"/>
      <c r="V382" s="424"/>
      <c r="W382" s="424"/>
      <c r="X382" s="425"/>
      <c r="Y382" s="424"/>
      <c r="Z382" s="424"/>
      <c r="AA382" s="424"/>
      <c r="AB382" s="424"/>
      <c r="AC382" s="779"/>
      <c r="AD382" s="779"/>
      <c r="AE382" s="779"/>
      <c r="AF382" s="781">
        <f t="shared" si="95"/>
        <v>0</v>
      </c>
    </row>
    <row r="383" spans="1:32">
      <c r="A383" s="779">
        <f t="shared" si="97"/>
        <v>369</v>
      </c>
      <c r="B383" s="423" t="s">
        <v>1063</v>
      </c>
      <c r="C383" s="423" t="s">
        <v>599</v>
      </c>
      <c r="D383" s="779" t="s">
        <v>382</v>
      </c>
      <c r="E383" s="763" t="s">
        <v>600</v>
      </c>
      <c r="F383" s="778">
        <v>0</v>
      </c>
      <c r="G383" s="778">
        <v>0</v>
      </c>
      <c r="H383" s="778">
        <v>0</v>
      </c>
      <c r="I383" s="778">
        <v>0</v>
      </c>
      <c r="J383" s="778">
        <v>0</v>
      </c>
      <c r="K383" s="778">
        <v>0</v>
      </c>
      <c r="L383" s="778">
        <v>0</v>
      </c>
      <c r="M383" s="778">
        <v>0</v>
      </c>
      <c r="N383" s="778">
        <v>0</v>
      </c>
      <c r="O383" s="778">
        <v>0</v>
      </c>
      <c r="P383" s="778">
        <v>0</v>
      </c>
      <c r="Q383" s="778">
        <v>0</v>
      </c>
      <c r="R383" s="778">
        <v>0</v>
      </c>
      <c r="S383" s="618">
        <f t="shared" ref="S383:S407" si="112">+R383</f>
        <v>0</v>
      </c>
      <c r="T383" s="779"/>
      <c r="U383" s="424"/>
      <c r="V383" s="424"/>
      <c r="W383" s="424">
        <f t="shared" ref="W383:W384" si="113">+S383</f>
        <v>0</v>
      </c>
      <c r="X383" s="425"/>
      <c r="Y383" s="424"/>
      <c r="Z383" s="424"/>
      <c r="AA383" s="424"/>
      <c r="AB383" s="424"/>
      <c r="AC383" s="426">
        <f>+S383</f>
        <v>0</v>
      </c>
      <c r="AD383" s="779"/>
      <c r="AE383" s="779"/>
      <c r="AF383" s="781">
        <f t="shared" si="95"/>
        <v>0</v>
      </c>
    </row>
    <row r="384" spans="1:32">
      <c r="A384" s="779">
        <f t="shared" si="97"/>
        <v>370</v>
      </c>
      <c r="B384" s="423" t="s">
        <v>1063</v>
      </c>
      <c r="C384" s="423" t="s">
        <v>601</v>
      </c>
      <c r="D384" s="423" t="s">
        <v>602</v>
      </c>
      <c r="E384" s="769" t="s">
        <v>603</v>
      </c>
      <c r="F384" s="778">
        <v>0</v>
      </c>
      <c r="G384" s="778">
        <v>0</v>
      </c>
      <c r="H384" s="778">
        <v>0</v>
      </c>
      <c r="I384" s="778">
        <v>0</v>
      </c>
      <c r="J384" s="778">
        <v>0</v>
      </c>
      <c r="K384" s="778">
        <v>0</v>
      </c>
      <c r="L384" s="778">
        <v>0</v>
      </c>
      <c r="M384" s="778">
        <v>0</v>
      </c>
      <c r="N384" s="778">
        <v>0</v>
      </c>
      <c r="O384" s="778">
        <v>0</v>
      </c>
      <c r="P384" s="778">
        <v>0</v>
      </c>
      <c r="Q384" s="778">
        <v>0</v>
      </c>
      <c r="R384" s="778">
        <v>0</v>
      </c>
      <c r="S384" s="618">
        <f t="shared" si="112"/>
        <v>0</v>
      </c>
      <c r="T384" s="779"/>
      <c r="U384" s="424"/>
      <c r="V384" s="424"/>
      <c r="W384" s="424">
        <f t="shared" si="113"/>
        <v>0</v>
      </c>
      <c r="X384" s="425"/>
      <c r="Y384" s="424"/>
      <c r="Z384" s="424"/>
      <c r="AA384" s="424"/>
      <c r="AB384" s="424"/>
      <c r="AC384" s="426">
        <f>+S384</f>
        <v>0</v>
      </c>
      <c r="AD384" s="779"/>
      <c r="AE384" s="779"/>
      <c r="AF384" s="781">
        <f t="shared" si="95"/>
        <v>0</v>
      </c>
    </row>
    <row r="385" spans="1:32">
      <c r="A385" s="779">
        <f t="shared" si="97"/>
        <v>371</v>
      </c>
      <c r="B385" s="779"/>
      <c r="C385" s="779"/>
      <c r="D385" s="779"/>
      <c r="E385" s="763"/>
      <c r="F385" s="778"/>
      <c r="G385" s="420"/>
      <c r="H385" s="408"/>
      <c r="I385" s="408"/>
      <c r="J385" s="409"/>
      <c r="K385" s="410"/>
      <c r="L385" s="411"/>
      <c r="M385" s="412"/>
      <c r="N385" s="413"/>
      <c r="O385" s="764"/>
      <c r="P385" s="415"/>
      <c r="Q385" s="421"/>
      <c r="R385" s="778"/>
      <c r="S385" s="618">
        <f t="shared" si="112"/>
        <v>0</v>
      </c>
      <c r="T385" s="779"/>
      <c r="U385" s="424"/>
      <c r="V385" s="424"/>
      <c r="W385" s="424"/>
      <c r="X385" s="425"/>
      <c r="Y385" s="424"/>
      <c r="Z385" s="424"/>
      <c r="AA385" s="424"/>
      <c r="AB385" s="424"/>
      <c r="AC385" s="779"/>
      <c r="AD385" s="779"/>
      <c r="AE385" s="779"/>
      <c r="AF385" s="781">
        <f t="shared" si="95"/>
        <v>0</v>
      </c>
    </row>
    <row r="386" spans="1:32">
      <c r="A386" s="779">
        <f t="shared" si="97"/>
        <v>372</v>
      </c>
      <c r="B386" s="423" t="s">
        <v>1063</v>
      </c>
      <c r="C386" s="423" t="s">
        <v>604</v>
      </c>
      <c r="D386" s="423" t="s">
        <v>539</v>
      </c>
      <c r="E386" s="763" t="s">
        <v>1956</v>
      </c>
      <c r="F386" s="778">
        <v>-3070839.47</v>
      </c>
      <c r="G386" s="778">
        <v>-2123757.98</v>
      </c>
      <c r="H386" s="778">
        <v>-2315397.48</v>
      </c>
      <c r="I386" s="778">
        <v>-1498199.67</v>
      </c>
      <c r="J386" s="778">
        <v>-2271164.38</v>
      </c>
      <c r="K386" s="778">
        <v>-2828507.28</v>
      </c>
      <c r="L386" s="778">
        <v>-2134190.5499999998</v>
      </c>
      <c r="M386" s="778">
        <v>-4064939</v>
      </c>
      <c r="N386" s="778">
        <v>-6557557.4699999997</v>
      </c>
      <c r="O386" s="778">
        <v>-3455427.92</v>
      </c>
      <c r="P386" s="778">
        <v>-4486884.1500000004</v>
      </c>
      <c r="Q386" s="778">
        <v>-4330573.6100000003</v>
      </c>
      <c r="R386" s="778">
        <v>-6429388.5499999998</v>
      </c>
      <c r="S386" s="618">
        <f t="shared" si="112"/>
        <v>-6429388.5499999998</v>
      </c>
      <c r="T386" s="779"/>
      <c r="U386" s="424"/>
      <c r="V386" s="424">
        <f t="shared" ref="V386:V398" si="114">+S386</f>
        <v>-6429388.5499999998</v>
      </c>
      <c r="W386" s="424"/>
      <c r="X386" s="425"/>
      <c r="Y386" s="424"/>
      <c r="Z386" s="424"/>
      <c r="AA386" s="424"/>
      <c r="AB386" s="424"/>
      <c r="AC386" s="779"/>
      <c r="AD386" s="426">
        <f t="shared" ref="AD386:AD399" si="115">+V386</f>
        <v>-6429388.5499999998</v>
      </c>
      <c r="AE386" s="779"/>
      <c r="AF386" s="781">
        <f t="shared" si="95"/>
        <v>0</v>
      </c>
    </row>
    <row r="387" spans="1:32">
      <c r="A387" s="779">
        <f t="shared" si="97"/>
        <v>373</v>
      </c>
      <c r="B387" s="423" t="s">
        <v>1063</v>
      </c>
      <c r="C387" s="423" t="s">
        <v>605</v>
      </c>
      <c r="D387" s="423" t="s">
        <v>757</v>
      </c>
      <c r="E387" s="772" t="s">
        <v>1957</v>
      </c>
      <c r="F387" s="778">
        <v>-189624.16</v>
      </c>
      <c r="G387" s="778">
        <v>-38219.69</v>
      </c>
      <c r="H387" s="778">
        <v>-34276.35</v>
      </c>
      <c r="I387" s="778">
        <v>-55869.52</v>
      </c>
      <c r="J387" s="778">
        <v>-40027.61</v>
      </c>
      <c r="K387" s="778">
        <v>-112085.78</v>
      </c>
      <c r="L387" s="778">
        <v>-255917.7</v>
      </c>
      <c r="M387" s="778">
        <v>-242410.65</v>
      </c>
      <c r="N387" s="778">
        <v>-252891.51999999999</v>
      </c>
      <c r="O387" s="778">
        <v>-588341.68999999994</v>
      </c>
      <c r="P387" s="778">
        <v>-1037202.61</v>
      </c>
      <c r="Q387" s="778">
        <v>-627009.79</v>
      </c>
      <c r="R387" s="778">
        <v>-557521.93999999994</v>
      </c>
      <c r="S387" s="618">
        <f t="shared" si="112"/>
        <v>-557521.93999999994</v>
      </c>
      <c r="T387" s="773"/>
      <c r="U387" s="424"/>
      <c r="V387" s="424">
        <f t="shared" si="114"/>
        <v>-557521.93999999994</v>
      </c>
      <c r="W387" s="424"/>
      <c r="X387" s="425"/>
      <c r="Y387" s="424"/>
      <c r="Z387" s="424"/>
      <c r="AA387" s="424"/>
      <c r="AB387" s="424"/>
      <c r="AC387" s="779"/>
      <c r="AD387" s="426">
        <f t="shared" si="115"/>
        <v>-557521.93999999994</v>
      </c>
      <c r="AE387" s="773"/>
      <c r="AF387" s="781">
        <f t="shared" si="95"/>
        <v>0</v>
      </c>
    </row>
    <row r="388" spans="1:32">
      <c r="A388" s="779">
        <f t="shared" si="97"/>
        <v>374</v>
      </c>
      <c r="B388" s="423" t="s">
        <v>1063</v>
      </c>
      <c r="C388" s="423" t="s">
        <v>605</v>
      </c>
      <c r="D388" s="423" t="s">
        <v>1304</v>
      </c>
      <c r="E388" s="763" t="s">
        <v>606</v>
      </c>
      <c r="F388" s="778">
        <v>-21966194.609999999</v>
      </c>
      <c r="G388" s="778">
        <v>-19787732.48</v>
      </c>
      <c r="H388" s="778">
        <v>-13664331.699999999</v>
      </c>
      <c r="I388" s="778">
        <v>-13307495.970000001</v>
      </c>
      <c r="J388" s="778">
        <v>-10095715.27</v>
      </c>
      <c r="K388" s="778">
        <v>-7514853.4100000001</v>
      </c>
      <c r="L388" s="778">
        <v>-6443448.4900000002</v>
      </c>
      <c r="M388" s="778">
        <v>-7504343.7800000003</v>
      </c>
      <c r="N388" s="778">
        <v>-7152777.5</v>
      </c>
      <c r="O388" s="778">
        <v>-7696069.1299999999</v>
      </c>
      <c r="P388" s="778">
        <v>-9121499</v>
      </c>
      <c r="Q388" s="778">
        <v>-25832388.699999999</v>
      </c>
      <c r="R388" s="778">
        <v>-43539082.770000003</v>
      </c>
      <c r="S388" s="618">
        <f t="shared" si="112"/>
        <v>-43539082.770000003</v>
      </c>
      <c r="T388" s="773"/>
      <c r="U388" s="424"/>
      <c r="V388" s="424">
        <f t="shared" si="114"/>
        <v>-43539082.770000003</v>
      </c>
      <c r="W388" s="424"/>
      <c r="X388" s="425"/>
      <c r="Y388" s="424"/>
      <c r="Z388" s="424"/>
      <c r="AA388" s="424"/>
      <c r="AB388" s="424"/>
      <c r="AC388" s="779"/>
      <c r="AD388" s="426">
        <f t="shared" si="115"/>
        <v>-43539082.770000003</v>
      </c>
      <c r="AE388" s="773"/>
      <c r="AF388" s="781">
        <f t="shared" si="95"/>
        <v>0</v>
      </c>
    </row>
    <row r="389" spans="1:32">
      <c r="A389" s="779">
        <f t="shared" si="97"/>
        <v>375</v>
      </c>
      <c r="B389" s="423" t="s">
        <v>1063</v>
      </c>
      <c r="C389" s="423" t="s">
        <v>605</v>
      </c>
      <c r="D389" s="423" t="s">
        <v>426</v>
      </c>
      <c r="E389" s="769" t="s">
        <v>1959</v>
      </c>
      <c r="F389" s="778">
        <v>-265853.38</v>
      </c>
      <c r="G389" s="778">
        <v>0</v>
      </c>
      <c r="H389" s="778">
        <v>-45648.39</v>
      </c>
      <c r="I389" s="778">
        <v>-79738.27</v>
      </c>
      <c r="J389" s="778">
        <v>-101286.78</v>
      </c>
      <c r="K389" s="778">
        <v>-103824.04</v>
      </c>
      <c r="L389" s="778">
        <v>-125449.06</v>
      </c>
      <c r="M389" s="778">
        <v>-144091.67000000001</v>
      </c>
      <c r="N389" s="778">
        <v>-164607.32</v>
      </c>
      <c r="O389" s="778">
        <v>-184075.09</v>
      </c>
      <c r="P389" s="778">
        <v>-202484.92</v>
      </c>
      <c r="Q389" s="778">
        <v>-224365.5</v>
      </c>
      <c r="R389" s="778">
        <v>-245670.98</v>
      </c>
      <c r="S389" s="618">
        <f t="shared" si="112"/>
        <v>-245670.98</v>
      </c>
      <c r="T389" s="773"/>
      <c r="U389" s="424"/>
      <c r="V389" s="424">
        <f t="shared" si="114"/>
        <v>-245670.98</v>
      </c>
      <c r="W389" s="424"/>
      <c r="X389" s="425"/>
      <c r="Y389" s="424"/>
      <c r="Z389" s="424"/>
      <c r="AA389" s="424"/>
      <c r="AB389" s="424"/>
      <c r="AC389" s="779"/>
      <c r="AD389" s="426">
        <f t="shared" si="115"/>
        <v>-245670.98</v>
      </c>
      <c r="AE389" s="773"/>
      <c r="AF389" s="781">
        <f t="shared" si="95"/>
        <v>0</v>
      </c>
    </row>
    <row r="390" spans="1:32">
      <c r="A390" s="779">
        <f t="shared" si="97"/>
        <v>376</v>
      </c>
      <c r="B390" s="423" t="s">
        <v>1063</v>
      </c>
      <c r="C390" s="423" t="s">
        <v>605</v>
      </c>
      <c r="D390" s="423" t="s">
        <v>1305</v>
      </c>
      <c r="E390" s="769" t="s">
        <v>1958</v>
      </c>
      <c r="F390" s="778">
        <v>-2669194.88</v>
      </c>
      <c r="G390" s="778">
        <v>-1971396.65</v>
      </c>
      <c r="H390" s="778">
        <v>-1567605.58</v>
      </c>
      <c r="I390" s="778">
        <v>-2030382.68</v>
      </c>
      <c r="J390" s="778">
        <v>-2338930.25</v>
      </c>
      <c r="K390" s="778">
        <v>-4028498.02</v>
      </c>
      <c r="L390" s="778">
        <v>-5831197.6600000001</v>
      </c>
      <c r="M390" s="778">
        <v>-6863199.3799999999</v>
      </c>
      <c r="N390" s="778">
        <v>-6768688.2300000004</v>
      </c>
      <c r="O390" s="778">
        <v>-7151385.7599999998</v>
      </c>
      <c r="P390" s="778">
        <v>-6287907.9100000001</v>
      </c>
      <c r="Q390" s="778">
        <v>-5341565.2</v>
      </c>
      <c r="R390" s="778">
        <v>-11172210.310000001</v>
      </c>
      <c r="S390" s="618">
        <f t="shared" si="112"/>
        <v>-11172210.310000001</v>
      </c>
      <c r="T390" s="773"/>
      <c r="U390" s="424"/>
      <c r="V390" s="424">
        <f t="shared" si="114"/>
        <v>-11172210.310000001</v>
      </c>
      <c r="W390" s="424"/>
      <c r="X390" s="425"/>
      <c r="Y390" s="424"/>
      <c r="Z390" s="424"/>
      <c r="AA390" s="424"/>
      <c r="AB390" s="424"/>
      <c r="AC390" s="779"/>
      <c r="AD390" s="426">
        <f t="shared" si="115"/>
        <v>-11172210.310000001</v>
      </c>
      <c r="AE390" s="773"/>
      <c r="AF390" s="781">
        <f t="shared" si="95"/>
        <v>0</v>
      </c>
    </row>
    <row r="391" spans="1:32">
      <c r="A391" s="779">
        <f t="shared" si="97"/>
        <v>377</v>
      </c>
      <c r="B391" s="423" t="s">
        <v>1063</v>
      </c>
      <c r="C391" s="423" t="s">
        <v>605</v>
      </c>
      <c r="D391" s="423" t="s">
        <v>1306</v>
      </c>
      <c r="E391" s="763" t="s">
        <v>607</v>
      </c>
      <c r="F391" s="778">
        <v>-662213.44999999995</v>
      </c>
      <c r="G391" s="778">
        <v>-604306.79</v>
      </c>
      <c r="H391" s="778">
        <v>-511248.94</v>
      </c>
      <c r="I391" s="778">
        <v>-427256.47</v>
      </c>
      <c r="J391" s="778">
        <v>-605787.44999999995</v>
      </c>
      <c r="K391" s="778">
        <v>-516015.09</v>
      </c>
      <c r="L391" s="778">
        <v>-494839.57</v>
      </c>
      <c r="M391" s="778">
        <v>-486733.16</v>
      </c>
      <c r="N391" s="778">
        <v>-817857.78</v>
      </c>
      <c r="O391" s="778">
        <v>-1101309.97</v>
      </c>
      <c r="P391" s="778">
        <v>-513415.82</v>
      </c>
      <c r="Q391" s="778">
        <v>-621343.18000000005</v>
      </c>
      <c r="R391" s="778">
        <v>-3247355.18</v>
      </c>
      <c r="S391" s="618">
        <f t="shared" si="112"/>
        <v>-3247355.18</v>
      </c>
      <c r="T391" s="773"/>
      <c r="U391" s="424"/>
      <c r="V391" s="424">
        <f t="shared" si="114"/>
        <v>-3247355.18</v>
      </c>
      <c r="W391" s="424"/>
      <c r="X391" s="425"/>
      <c r="Y391" s="424"/>
      <c r="Z391" s="424"/>
      <c r="AA391" s="424"/>
      <c r="AB391" s="424"/>
      <c r="AC391" s="779"/>
      <c r="AD391" s="426">
        <f t="shared" si="115"/>
        <v>-3247355.18</v>
      </c>
      <c r="AE391" s="773"/>
      <c r="AF391" s="781">
        <f t="shared" si="95"/>
        <v>0</v>
      </c>
    </row>
    <row r="392" spans="1:32">
      <c r="A392" s="779">
        <f t="shared" si="97"/>
        <v>378</v>
      </c>
      <c r="B392" s="423" t="s">
        <v>1063</v>
      </c>
      <c r="C392" s="423" t="s">
        <v>605</v>
      </c>
      <c r="D392" s="423" t="s">
        <v>1307</v>
      </c>
      <c r="E392" s="763" t="s">
        <v>1965</v>
      </c>
      <c r="F392" s="778">
        <v>-266.98</v>
      </c>
      <c r="G392" s="778">
        <v>-5340.97</v>
      </c>
      <c r="H392" s="778">
        <v>-14849.86</v>
      </c>
      <c r="I392" s="778">
        <v>-239.98</v>
      </c>
      <c r="J392" s="778">
        <v>-3383.39</v>
      </c>
      <c r="K392" s="778">
        <v>-2230.67</v>
      </c>
      <c r="L392" s="778">
        <v>-291.88999999999902</v>
      </c>
      <c r="M392" s="778">
        <v>-7842</v>
      </c>
      <c r="N392" s="778">
        <v>-6523.45</v>
      </c>
      <c r="O392" s="778">
        <v>-327.66999999999899</v>
      </c>
      <c r="P392" s="778">
        <v>-652.69999999999902</v>
      </c>
      <c r="Q392" s="778">
        <v>-6792.37</v>
      </c>
      <c r="R392" s="778">
        <v>-1523.6</v>
      </c>
      <c r="S392" s="618">
        <f t="shared" si="112"/>
        <v>-1523.6</v>
      </c>
      <c r="T392" s="773"/>
      <c r="U392" s="424"/>
      <c r="V392" s="424">
        <f t="shared" si="114"/>
        <v>-1523.6</v>
      </c>
      <c r="W392" s="424"/>
      <c r="X392" s="425"/>
      <c r="Y392" s="424"/>
      <c r="Z392" s="424"/>
      <c r="AA392" s="424"/>
      <c r="AB392" s="424"/>
      <c r="AC392" s="779"/>
      <c r="AD392" s="426">
        <f t="shared" si="115"/>
        <v>-1523.6</v>
      </c>
      <c r="AE392" s="773"/>
      <c r="AF392" s="781">
        <f t="shared" si="95"/>
        <v>0</v>
      </c>
    </row>
    <row r="393" spans="1:32">
      <c r="A393" s="779">
        <f t="shared" si="97"/>
        <v>379</v>
      </c>
      <c r="B393" s="423" t="s">
        <v>1063</v>
      </c>
      <c r="C393" s="423" t="s">
        <v>605</v>
      </c>
      <c r="D393" s="423" t="s">
        <v>1308</v>
      </c>
      <c r="E393" s="763" t="s">
        <v>1960</v>
      </c>
      <c r="F393" s="778">
        <v>0</v>
      </c>
      <c r="G393" s="778">
        <v>0</v>
      </c>
      <c r="H393" s="778">
        <v>0</v>
      </c>
      <c r="I393" s="778">
        <v>0</v>
      </c>
      <c r="J393" s="778">
        <v>0</v>
      </c>
      <c r="K393" s="778">
        <v>0</v>
      </c>
      <c r="L393" s="778">
        <v>0</v>
      </c>
      <c r="M393" s="778">
        <v>99.24</v>
      </c>
      <c r="N393" s="778">
        <v>0</v>
      </c>
      <c r="O393" s="778">
        <v>0</v>
      </c>
      <c r="P393" s="778">
        <v>0</v>
      </c>
      <c r="Q393" s="778">
        <v>0</v>
      </c>
      <c r="R393" s="778">
        <v>0</v>
      </c>
      <c r="S393" s="618">
        <f t="shared" si="112"/>
        <v>0</v>
      </c>
      <c r="T393" s="773"/>
      <c r="U393" s="424"/>
      <c r="V393" s="424">
        <f t="shared" si="114"/>
        <v>0</v>
      </c>
      <c r="W393" s="424"/>
      <c r="X393" s="425"/>
      <c r="Y393" s="424"/>
      <c r="Z393" s="424"/>
      <c r="AA393" s="424"/>
      <c r="AB393" s="424"/>
      <c r="AC393" s="779"/>
      <c r="AD393" s="426">
        <f t="shared" si="115"/>
        <v>0</v>
      </c>
      <c r="AE393" s="773"/>
      <c r="AF393" s="781">
        <f t="shared" si="95"/>
        <v>0</v>
      </c>
    </row>
    <row r="394" spans="1:32">
      <c r="A394" s="779">
        <f t="shared" si="97"/>
        <v>380</v>
      </c>
      <c r="B394" s="423" t="s">
        <v>1063</v>
      </c>
      <c r="C394" s="423" t="s">
        <v>605</v>
      </c>
      <c r="D394" s="423" t="s">
        <v>1309</v>
      </c>
      <c r="E394" s="763" t="s">
        <v>1961</v>
      </c>
      <c r="F394" s="778">
        <v>1.45519152283669E-11</v>
      </c>
      <c r="G394" s="778">
        <v>-117180.98</v>
      </c>
      <c r="H394" s="778">
        <v>-116181.9</v>
      </c>
      <c r="I394" s="778">
        <v>-116919.13</v>
      </c>
      <c r="J394" s="778">
        <v>1.45519152283669E-11</v>
      </c>
      <c r="K394" s="778">
        <v>1.45519152283669E-11</v>
      </c>
      <c r="L394" s="778">
        <v>-5883.3599999999897</v>
      </c>
      <c r="M394" s="778">
        <v>-88615.61</v>
      </c>
      <c r="N394" s="778">
        <v>-110319.8</v>
      </c>
      <c r="O394" s="778">
        <v>-109300.26</v>
      </c>
      <c r="P394" s="778">
        <v>-108470.85</v>
      </c>
      <c r="Q394" s="778">
        <v>-298.44999999999698</v>
      </c>
      <c r="R394" s="778">
        <v>2.89901436190121E-12</v>
      </c>
      <c r="S394" s="618">
        <f t="shared" si="112"/>
        <v>2.89901436190121E-12</v>
      </c>
      <c r="T394" s="773"/>
      <c r="U394" s="424"/>
      <c r="V394" s="424">
        <f t="shared" si="114"/>
        <v>2.89901436190121E-12</v>
      </c>
      <c r="W394" s="424"/>
      <c r="X394" s="425"/>
      <c r="Y394" s="424"/>
      <c r="Z394" s="424"/>
      <c r="AA394" s="424"/>
      <c r="AB394" s="424"/>
      <c r="AC394" s="779"/>
      <c r="AD394" s="426">
        <f t="shared" si="115"/>
        <v>2.89901436190121E-12</v>
      </c>
      <c r="AE394" s="773"/>
      <c r="AF394" s="781">
        <f t="shared" si="95"/>
        <v>0</v>
      </c>
    </row>
    <row r="395" spans="1:32">
      <c r="A395" s="779">
        <f t="shared" si="97"/>
        <v>381</v>
      </c>
      <c r="B395" s="423" t="s">
        <v>1063</v>
      </c>
      <c r="C395" s="423" t="s">
        <v>605</v>
      </c>
      <c r="D395" s="423" t="s">
        <v>1310</v>
      </c>
      <c r="E395" s="763" t="s">
        <v>1962</v>
      </c>
      <c r="F395" s="778">
        <v>-17421.45</v>
      </c>
      <c r="G395" s="778">
        <v>-19671.77</v>
      </c>
      <c r="H395" s="778">
        <v>-16777.41</v>
      </c>
      <c r="I395" s="778">
        <v>-17590.599999999999</v>
      </c>
      <c r="J395" s="778">
        <v>-16097.29</v>
      </c>
      <c r="K395" s="778">
        <v>-11714.13</v>
      </c>
      <c r="L395" s="778">
        <v>-11258.3</v>
      </c>
      <c r="M395" s="778">
        <v>-16887.54</v>
      </c>
      <c r="N395" s="778">
        <v>-16176.82</v>
      </c>
      <c r="O395" s="778">
        <v>-17489.5</v>
      </c>
      <c r="P395" s="778">
        <v>-17998.41</v>
      </c>
      <c r="Q395" s="778">
        <v>-18728.46</v>
      </c>
      <c r="R395" s="778">
        <v>-20867.39</v>
      </c>
      <c r="S395" s="618">
        <f t="shared" si="112"/>
        <v>-20867.39</v>
      </c>
      <c r="T395" s="773"/>
      <c r="U395" s="424"/>
      <c r="V395" s="424">
        <f t="shared" si="114"/>
        <v>-20867.39</v>
      </c>
      <c r="W395" s="424"/>
      <c r="X395" s="425"/>
      <c r="Y395" s="424"/>
      <c r="Z395" s="424"/>
      <c r="AA395" s="424"/>
      <c r="AB395" s="424"/>
      <c r="AC395" s="779"/>
      <c r="AD395" s="426">
        <f t="shared" si="115"/>
        <v>-20867.39</v>
      </c>
      <c r="AE395" s="773"/>
      <c r="AF395" s="781">
        <f t="shared" si="95"/>
        <v>0</v>
      </c>
    </row>
    <row r="396" spans="1:32">
      <c r="A396" s="779">
        <f t="shared" si="97"/>
        <v>382</v>
      </c>
      <c r="B396" s="423" t="s">
        <v>1063</v>
      </c>
      <c r="C396" s="423" t="s">
        <v>605</v>
      </c>
      <c r="D396" s="423" t="s">
        <v>1311</v>
      </c>
      <c r="E396" s="763" t="s">
        <v>1963</v>
      </c>
      <c r="F396" s="778">
        <v>0</v>
      </c>
      <c r="G396" s="778">
        <v>0</v>
      </c>
      <c r="H396" s="778">
        <v>0</v>
      </c>
      <c r="I396" s="778">
        <v>0</v>
      </c>
      <c r="J396" s="778">
        <v>0</v>
      </c>
      <c r="K396" s="778">
        <v>0</v>
      </c>
      <c r="L396" s="778">
        <v>0</v>
      </c>
      <c r="M396" s="778">
        <v>0</v>
      </c>
      <c r="N396" s="778">
        <v>0</v>
      </c>
      <c r="O396" s="778">
        <v>-21479.1</v>
      </c>
      <c r="P396" s="778">
        <v>0</v>
      </c>
      <c r="Q396" s="778">
        <v>0</v>
      </c>
      <c r="R396" s="778">
        <v>0</v>
      </c>
      <c r="S396" s="618">
        <f t="shared" si="112"/>
        <v>0</v>
      </c>
      <c r="T396" s="773"/>
      <c r="U396" s="424"/>
      <c r="V396" s="424">
        <f t="shared" si="114"/>
        <v>0</v>
      </c>
      <c r="W396" s="424"/>
      <c r="X396" s="425"/>
      <c r="Y396" s="424"/>
      <c r="Z396" s="424"/>
      <c r="AA396" s="424"/>
      <c r="AB396" s="424"/>
      <c r="AC396" s="779"/>
      <c r="AD396" s="426">
        <f t="shared" si="115"/>
        <v>0</v>
      </c>
      <c r="AE396" s="773"/>
      <c r="AF396" s="781">
        <f t="shared" si="95"/>
        <v>0</v>
      </c>
    </row>
    <row r="397" spans="1:32">
      <c r="A397" s="779">
        <f t="shared" si="97"/>
        <v>383</v>
      </c>
      <c r="B397" s="423" t="s">
        <v>1063</v>
      </c>
      <c r="C397" s="423" t="s">
        <v>605</v>
      </c>
      <c r="D397" s="423" t="s">
        <v>1312</v>
      </c>
      <c r="E397" s="763" t="s">
        <v>1964</v>
      </c>
      <c r="F397" s="778">
        <v>0</v>
      </c>
      <c r="G397" s="778">
        <v>-22107.41</v>
      </c>
      <c r="H397" s="778">
        <v>-22435.83</v>
      </c>
      <c r="I397" s="778">
        <v>-23016.44</v>
      </c>
      <c r="J397" s="778">
        <v>-26.4499999999971</v>
      </c>
      <c r="K397" s="778">
        <v>2.9096725029376099E-12</v>
      </c>
      <c r="L397" s="778">
        <v>2.9096725029376099E-12</v>
      </c>
      <c r="M397" s="778">
        <v>-22153.35</v>
      </c>
      <c r="N397" s="778">
        <v>-22705.48</v>
      </c>
      <c r="O397" s="778">
        <v>-23550.04</v>
      </c>
      <c r="P397" s="778">
        <v>-23671.99</v>
      </c>
      <c r="Q397" s="778">
        <v>3.6379788070917101E-12</v>
      </c>
      <c r="R397" s="778">
        <v>3.6379788070917101E-12</v>
      </c>
      <c r="S397" s="618">
        <f t="shared" si="112"/>
        <v>3.6379788070917101E-12</v>
      </c>
      <c r="T397" s="773"/>
      <c r="U397" s="424"/>
      <c r="V397" s="424">
        <f t="shared" si="114"/>
        <v>3.6379788070917101E-12</v>
      </c>
      <c r="W397" s="424"/>
      <c r="X397" s="425"/>
      <c r="Y397" s="424"/>
      <c r="Z397" s="424"/>
      <c r="AA397" s="424"/>
      <c r="AB397" s="424"/>
      <c r="AC397" s="779"/>
      <c r="AD397" s="426">
        <f t="shared" si="115"/>
        <v>3.6379788070917101E-12</v>
      </c>
      <c r="AE397" s="773"/>
      <c r="AF397" s="781">
        <f t="shared" si="95"/>
        <v>0</v>
      </c>
    </row>
    <row r="398" spans="1:32">
      <c r="A398" s="779">
        <f t="shared" si="97"/>
        <v>384</v>
      </c>
      <c r="B398" s="423" t="s">
        <v>1063</v>
      </c>
      <c r="C398" s="423" t="s">
        <v>608</v>
      </c>
      <c r="D398" s="423" t="s">
        <v>539</v>
      </c>
      <c r="E398" s="763" t="s">
        <v>609</v>
      </c>
      <c r="F398" s="778">
        <v>-927111.63</v>
      </c>
      <c r="G398" s="778">
        <v>-119686.84</v>
      </c>
      <c r="H398" s="778">
        <v>-320365.93</v>
      </c>
      <c r="I398" s="778">
        <v>-157339.4</v>
      </c>
      <c r="J398" s="778">
        <v>-824919.94</v>
      </c>
      <c r="K398" s="778">
        <v>-1408542.43</v>
      </c>
      <c r="L398" s="778">
        <v>-809604.64</v>
      </c>
      <c r="M398" s="778">
        <v>-950752.57</v>
      </c>
      <c r="N398" s="778">
        <v>-1107878.17</v>
      </c>
      <c r="O398" s="778">
        <v>-1003242.03</v>
      </c>
      <c r="P398" s="778">
        <v>-2134950.41</v>
      </c>
      <c r="Q398" s="778">
        <v>-1155697.0900000001</v>
      </c>
      <c r="R398" s="778">
        <v>-1225497.53</v>
      </c>
      <c r="S398" s="618">
        <f t="shared" si="112"/>
        <v>-1225497.53</v>
      </c>
      <c r="T398" s="773"/>
      <c r="U398" s="424"/>
      <c r="V398" s="424">
        <f t="shared" si="114"/>
        <v>-1225497.53</v>
      </c>
      <c r="W398" s="424"/>
      <c r="X398" s="425"/>
      <c r="Y398" s="424"/>
      <c r="Z398" s="424"/>
      <c r="AA398" s="424"/>
      <c r="AB398" s="424"/>
      <c r="AC398" s="779"/>
      <c r="AD398" s="426">
        <f t="shared" si="115"/>
        <v>-1225497.53</v>
      </c>
      <c r="AE398" s="773"/>
      <c r="AF398" s="781">
        <f t="shared" si="95"/>
        <v>0</v>
      </c>
    </row>
    <row r="399" spans="1:32">
      <c r="A399" s="779">
        <f t="shared" si="97"/>
        <v>385</v>
      </c>
      <c r="B399" s="779"/>
      <c r="C399" s="779"/>
      <c r="D399" s="779"/>
      <c r="E399" s="763"/>
      <c r="F399" s="778"/>
      <c r="G399" s="420"/>
      <c r="H399" s="408"/>
      <c r="I399" s="408"/>
      <c r="J399" s="409"/>
      <c r="K399" s="410"/>
      <c r="L399" s="411"/>
      <c r="M399" s="412"/>
      <c r="N399" s="413"/>
      <c r="O399" s="764"/>
      <c r="P399" s="415"/>
      <c r="Q399" s="421"/>
      <c r="R399" s="778"/>
      <c r="S399" s="618">
        <f t="shared" si="112"/>
        <v>0</v>
      </c>
      <c r="T399" s="773"/>
      <c r="U399" s="424"/>
      <c r="V399" s="424"/>
      <c r="W399" s="424"/>
      <c r="X399" s="425"/>
      <c r="Y399" s="424"/>
      <c r="Z399" s="424"/>
      <c r="AA399" s="424"/>
      <c r="AB399" s="424"/>
      <c r="AC399" s="779"/>
      <c r="AD399" s="426">
        <f t="shared" si="115"/>
        <v>0</v>
      </c>
      <c r="AE399" s="773"/>
      <c r="AF399" s="781">
        <f t="shared" ref="AF399:AF462" si="116">+U399+V399-AD399</f>
        <v>0</v>
      </c>
    </row>
    <row r="400" spans="1:32">
      <c r="A400" s="779">
        <f t="shared" si="97"/>
        <v>386</v>
      </c>
      <c r="B400" s="423" t="s">
        <v>1063</v>
      </c>
      <c r="C400" s="423" t="s">
        <v>610</v>
      </c>
      <c r="D400" s="423" t="s">
        <v>430</v>
      </c>
      <c r="E400" s="765" t="s">
        <v>1706</v>
      </c>
      <c r="F400" s="778">
        <v>-1363428.29</v>
      </c>
      <c r="G400" s="778">
        <v>-1554224.84</v>
      </c>
      <c r="H400" s="778">
        <v>-1791445.43</v>
      </c>
      <c r="I400" s="778">
        <v>-1393490.55</v>
      </c>
      <c r="J400" s="778">
        <v>-1395691.25</v>
      </c>
      <c r="K400" s="778">
        <v>-1142264.6299999999</v>
      </c>
      <c r="L400" s="778">
        <v>-960915.29</v>
      </c>
      <c r="M400" s="778">
        <v>-1308587.21</v>
      </c>
      <c r="N400" s="778">
        <v>-1059495.57</v>
      </c>
      <c r="O400" s="778">
        <v>-1136177.3</v>
      </c>
      <c r="P400" s="778">
        <v>-1512179.61</v>
      </c>
      <c r="Q400" s="778">
        <v>-1344384.84</v>
      </c>
      <c r="R400" s="778">
        <v>-1704352.31</v>
      </c>
      <c r="S400" s="618">
        <f t="shared" si="112"/>
        <v>-1704352.31</v>
      </c>
      <c r="T400" s="773"/>
      <c r="U400" s="424"/>
      <c r="V400" s="424"/>
      <c r="W400" s="424"/>
      <c r="X400" s="425">
        <f>+S400</f>
        <v>-1704352.31</v>
      </c>
      <c r="Y400" s="424"/>
      <c r="Z400" s="424"/>
      <c r="AA400" s="424"/>
      <c r="AB400" s="424">
        <f t="shared" ref="AB400:AB407" si="117">+S400</f>
        <v>-1704352.31</v>
      </c>
      <c r="AC400" s="779"/>
      <c r="AD400" s="426"/>
      <c r="AE400" s="773"/>
      <c r="AF400" s="781">
        <f t="shared" si="116"/>
        <v>0</v>
      </c>
    </row>
    <row r="401" spans="1:32">
      <c r="A401" s="779">
        <f t="shared" ref="A401:A464" si="118">+A400+1</f>
        <v>387</v>
      </c>
      <c r="B401" s="423" t="s">
        <v>1063</v>
      </c>
      <c r="C401" s="423" t="s">
        <v>610</v>
      </c>
      <c r="D401" s="423" t="s">
        <v>1707</v>
      </c>
      <c r="E401" s="763" t="s">
        <v>1966</v>
      </c>
      <c r="F401" s="778">
        <v>0</v>
      </c>
      <c r="G401" s="778">
        <v>-3127.29</v>
      </c>
      <c r="H401" s="778">
        <v>0</v>
      </c>
      <c r="I401" s="778">
        <v>0</v>
      </c>
      <c r="J401" s="778">
        <v>0</v>
      </c>
      <c r="K401" s="778">
        <v>0</v>
      </c>
      <c r="L401" s="778">
        <v>0</v>
      </c>
      <c r="M401" s="778">
        <v>0</v>
      </c>
      <c r="N401" s="778">
        <v>0</v>
      </c>
      <c r="O401" s="778">
        <v>0</v>
      </c>
      <c r="P401" s="778">
        <v>0</v>
      </c>
      <c r="Q401" s="778">
        <v>0</v>
      </c>
      <c r="R401" s="778">
        <v>0</v>
      </c>
      <c r="S401" s="618">
        <f t="shared" si="112"/>
        <v>0</v>
      </c>
      <c r="T401" s="773"/>
      <c r="U401" s="424"/>
      <c r="V401" s="424"/>
      <c r="W401" s="424"/>
      <c r="X401" s="425">
        <f t="shared" ref="X401:X407" si="119">+S401</f>
        <v>0</v>
      </c>
      <c r="Y401" s="424"/>
      <c r="Z401" s="424"/>
      <c r="AA401" s="424"/>
      <c r="AB401" s="424">
        <f t="shared" si="117"/>
        <v>0</v>
      </c>
      <c r="AC401" s="779"/>
      <c r="AD401" s="426"/>
      <c r="AE401" s="773"/>
      <c r="AF401" s="781">
        <f t="shared" si="116"/>
        <v>0</v>
      </c>
    </row>
    <row r="402" spans="1:32">
      <c r="A402" s="779">
        <f t="shared" si="118"/>
        <v>388</v>
      </c>
      <c r="B402" s="423" t="s">
        <v>1063</v>
      </c>
      <c r="C402" s="423" t="s">
        <v>610</v>
      </c>
      <c r="D402" s="423" t="s">
        <v>1313</v>
      </c>
      <c r="E402" s="763" t="s">
        <v>1967</v>
      </c>
      <c r="F402" s="778">
        <v>-20459.330000000002</v>
      </c>
      <c r="G402" s="778">
        <v>-1062717.32</v>
      </c>
      <c r="H402" s="778">
        <v>-1161409.1200000001</v>
      </c>
      <c r="I402" s="778">
        <v>-1181675.49</v>
      </c>
      <c r="J402" s="778">
        <v>-4617.7100000002001</v>
      </c>
      <c r="K402" s="778">
        <v>-1394.0000000002001</v>
      </c>
      <c r="L402" s="778">
        <v>-45363.300000000199</v>
      </c>
      <c r="M402" s="778">
        <v>-332.000000000196</v>
      </c>
      <c r="N402" s="778">
        <v>-3030.3500000002</v>
      </c>
      <c r="O402" s="778">
        <v>-47584.330000000198</v>
      </c>
      <c r="P402" s="778">
        <v>-43944.9800000002</v>
      </c>
      <c r="Q402" s="778">
        <v>-154330.98000000001</v>
      </c>
      <c r="R402" s="778">
        <v>-154330.98000000001</v>
      </c>
      <c r="S402" s="618">
        <f t="shared" si="112"/>
        <v>-154330.98000000001</v>
      </c>
      <c r="T402" s="773"/>
      <c r="U402" s="424"/>
      <c r="V402" s="424"/>
      <c r="W402" s="424"/>
      <c r="X402" s="425">
        <f t="shared" si="119"/>
        <v>-154330.98000000001</v>
      </c>
      <c r="Y402" s="424"/>
      <c r="Z402" s="424"/>
      <c r="AA402" s="424"/>
      <c r="AB402" s="424">
        <f t="shared" si="117"/>
        <v>-154330.98000000001</v>
      </c>
      <c r="AC402" s="779"/>
      <c r="AD402" s="426"/>
      <c r="AE402" s="773"/>
      <c r="AF402" s="781">
        <f t="shared" si="116"/>
        <v>0</v>
      </c>
    </row>
    <row r="403" spans="1:32">
      <c r="A403" s="779">
        <f t="shared" si="118"/>
        <v>389</v>
      </c>
      <c r="B403" s="423" t="s">
        <v>1063</v>
      </c>
      <c r="C403" s="423" t="s">
        <v>610</v>
      </c>
      <c r="D403" s="423" t="s">
        <v>1314</v>
      </c>
      <c r="E403" s="765" t="s">
        <v>611</v>
      </c>
      <c r="F403" s="778">
        <v>-148996.9</v>
      </c>
      <c r="G403" s="778">
        <v>0</v>
      </c>
      <c r="H403" s="778">
        <v>0</v>
      </c>
      <c r="I403" s="778">
        <v>0</v>
      </c>
      <c r="J403" s="778">
        <v>0</v>
      </c>
      <c r="K403" s="778">
        <v>0</v>
      </c>
      <c r="L403" s="778">
        <v>-8328.33</v>
      </c>
      <c r="M403" s="778">
        <v>0</v>
      </c>
      <c r="N403" s="778">
        <v>0</v>
      </c>
      <c r="O403" s="778">
        <v>0</v>
      </c>
      <c r="P403" s="778">
        <v>0</v>
      </c>
      <c r="Q403" s="778">
        <v>0</v>
      </c>
      <c r="R403" s="778">
        <v>0</v>
      </c>
      <c r="S403" s="618">
        <f t="shared" si="112"/>
        <v>0</v>
      </c>
      <c r="T403" s="773"/>
      <c r="U403" s="424"/>
      <c r="V403" s="424"/>
      <c r="W403" s="424"/>
      <c r="X403" s="425">
        <f t="shared" si="119"/>
        <v>0</v>
      </c>
      <c r="Y403" s="424"/>
      <c r="Z403" s="424"/>
      <c r="AA403" s="424"/>
      <c r="AB403" s="424">
        <f t="shared" si="117"/>
        <v>0</v>
      </c>
      <c r="AC403" s="779"/>
      <c r="AD403" s="426"/>
      <c r="AE403" s="773"/>
      <c r="AF403" s="781">
        <f t="shared" si="116"/>
        <v>0</v>
      </c>
    </row>
    <row r="404" spans="1:32">
      <c r="A404" s="779">
        <f t="shared" si="118"/>
        <v>390</v>
      </c>
      <c r="B404" s="423" t="s">
        <v>1063</v>
      </c>
      <c r="C404" s="423" t="s">
        <v>610</v>
      </c>
      <c r="D404" s="423" t="s">
        <v>612</v>
      </c>
      <c r="E404" s="765" t="s">
        <v>613</v>
      </c>
      <c r="F404" s="778">
        <v>-3428.33</v>
      </c>
      <c r="G404" s="778">
        <v>-3129.15</v>
      </c>
      <c r="H404" s="778">
        <v>-283.24</v>
      </c>
      <c r="I404" s="778">
        <v>1288.8599999999999</v>
      </c>
      <c r="J404" s="778">
        <v>-2.2737367544323201E-13</v>
      </c>
      <c r="K404" s="778">
        <v>-2.2737367544323201E-13</v>
      </c>
      <c r="L404" s="778">
        <v>1108.24</v>
      </c>
      <c r="M404" s="778">
        <v>-9351.35</v>
      </c>
      <c r="N404" s="778">
        <v>-1596.21</v>
      </c>
      <c r="O404" s="778">
        <v>0</v>
      </c>
      <c r="P404" s="778">
        <v>-10688.32</v>
      </c>
      <c r="Q404" s="778">
        <v>-2560.31</v>
      </c>
      <c r="R404" s="778">
        <v>-7846.82</v>
      </c>
      <c r="S404" s="618">
        <f t="shared" si="112"/>
        <v>-7846.82</v>
      </c>
      <c r="T404" s="773"/>
      <c r="U404" s="424"/>
      <c r="V404" s="424"/>
      <c r="W404" s="424"/>
      <c r="X404" s="425">
        <f t="shared" si="119"/>
        <v>-7846.82</v>
      </c>
      <c r="Y404" s="424"/>
      <c r="Z404" s="424"/>
      <c r="AA404" s="424"/>
      <c r="AB404" s="424">
        <f t="shared" si="117"/>
        <v>-7846.82</v>
      </c>
      <c r="AC404" s="779"/>
      <c r="AD404" s="426"/>
      <c r="AE404" s="773"/>
      <c r="AF404" s="781">
        <f t="shared" si="116"/>
        <v>0</v>
      </c>
    </row>
    <row r="405" spans="1:32">
      <c r="A405" s="779">
        <f t="shared" si="118"/>
        <v>391</v>
      </c>
      <c r="B405" s="423" t="s">
        <v>1063</v>
      </c>
      <c r="C405" s="423" t="s">
        <v>610</v>
      </c>
      <c r="D405" s="423" t="s">
        <v>432</v>
      </c>
      <c r="E405" s="765" t="s">
        <v>614</v>
      </c>
      <c r="F405" s="778">
        <v>0</v>
      </c>
      <c r="G405" s="778">
        <v>0</v>
      </c>
      <c r="H405" s="778">
        <v>0</v>
      </c>
      <c r="I405" s="778">
        <v>0</v>
      </c>
      <c r="J405" s="778">
        <v>0</v>
      </c>
      <c r="K405" s="778">
        <v>0</v>
      </c>
      <c r="L405" s="778">
        <v>0</v>
      </c>
      <c r="M405" s="778">
        <v>0</v>
      </c>
      <c r="N405" s="778">
        <v>0</v>
      </c>
      <c r="O405" s="778">
        <v>0</v>
      </c>
      <c r="P405" s="778">
        <v>0</v>
      </c>
      <c r="Q405" s="778">
        <v>0</v>
      </c>
      <c r="R405" s="778">
        <v>0</v>
      </c>
      <c r="S405" s="618">
        <f t="shared" si="112"/>
        <v>0</v>
      </c>
      <c r="T405" s="773"/>
      <c r="U405" s="424"/>
      <c r="V405" s="424"/>
      <c r="W405" s="424"/>
      <c r="X405" s="425">
        <f t="shared" si="119"/>
        <v>0</v>
      </c>
      <c r="Y405" s="424"/>
      <c r="Z405" s="424"/>
      <c r="AA405" s="424"/>
      <c r="AB405" s="424">
        <f t="shared" si="117"/>
        <v>0</v>
      </c>
      <c r="AC405" s="779"/>
      <c r="AD405" s="426"/>
      <c r="AE405" s="773"/>
      <c r="AF405" s="781">
        <f t="shared" si="116"/>
        <v>0</v>
      </c>
    </row>
    <row r="406" spans="1:32">
      <c r="A406" s="779">
        <f t="shared" si="118"/>
        <v>392</v>
      </c>
      <c r="B406" s="423" t="s">
        <v>1063</v>
      </c>
      <c r="C406" s="423" t="s">
        <v>610</v>
      </c>
      <c r="D406" s="423" t="s">
        <v>436</v>
      </c>
      <c r="E406" s="763" t="s">
        <v>615</v>
      </c>
      <c r="F406" s="778">
        <v>0</v>
      </c>
      <c r="G406" s="778">
        <v>0</v>
      </c>
      <c r="H406" s="778">
        <v>0</v>
      </c>
      <c r="I406" s="778">
        <v>0</v>
      </c>
      <c r="J406" s="778">
        <v>0</v>
      </c>
      <c r="K406" s="778">
        <v>0</v>
      </c>
      <c r="L406" s="778">
        <v>0</v>
      </c>
      <c r="M406" s="778">
        <v>0</v>
      </c>
      <c r="N406" s="778">
        <v>0</v>
      </c>
      <c r="O406" s="778">
        <v>0</v>
      </c>
      <c r="P406" s="778">
        <v>0</v>
      </c>
      <c r="Q406" s="778">
        <v>0</v>
      </c>
      <c r="R406" s="778">
        <v>0</v>
      </c>
      <c r="S406" s="618">
        <f t="shared" si="112"/>
        <v>0</v>
      </c>
      <c r="T406" s="773"/>
      <c r="U406" s="424"/>
      <c r="V406" s="424"/>
      <c r="W406" s="424"/>
      <c r="X406" s="425"/>
      <c r="Y406" s="424"/>
      <c r="Z406" s="424"/>
      <c r="AA406" s="424"/>
      <c r="AB406" s="424"/>
      <c r="AC406" s="779"/>
      <c r="AD406" s="426"/>
      <c r="AE406" s="773"/>
      <c r="AF406" s="781">
        <f t="shared" si="116"/>
        <v>0</v>
      </c>
    </row>
    <row r="407" spans="1:32">
      <c r="A407" s="779">
        <f t="shared" si="118"/>
        <v>393</v>
      </c>
      <c r="B407" s="423" t="s">
        <v>1063</v>
      </c>
      <c r="C407" s="423" t="s">
        <v>610</v>
      </c>
      <c r="D407" s="423" t="s">
        <v>440</v>
      </c>
      <c r="E407" s="763" t="s">
        <v>1968</v>
      </c>
      <c r="F407" s="405">
        <v>-154488.57</v>
      </c>
      <c r="G407" s="405">
        <v>-170227.37</v>
      </c>
      <c r="H407" s="405">
        <v>-151013.84</v>
      </c>
      <c r="I407" s="405">
        <v>-146434.26</v>
      </c>
      <c r="J407" s="405">
        <v>-171847.13</v>
      </c>
      <c r="K407" s="405">
        <v>-277330.14</v>
      </c>
      <c r="L407" s="405">
        <v>-177110</v>
      </c>
      <c r="M407" s="405">
        <v>-140415.9</v>
      </c>
      <c r="N407" s="405">
        <v>-139413.17000000001</v>
      </c>
      <c r="O407" s="405">
        <v>-97915.57</v>
      </c>
      <c r="P407" s="405">
        <v>-115612.82</v>
      </c>
      <c r="Q407" s="405">
        <v>-125575.45</v>
      </c>
      <c r="R407" s="405">
        <v>-141047.06</v>
      </c>
      <c r="S407" s="618">
        <f t="shared" si="112"/>
        <v>-141047.06</v>
      </c>
      <c r="T407" s="773"/>
      <c r="U407" s="424"/>
      <c r="V407" s="424"/>
      <c r="W407" s="424"/>
      <c r="X407" s="425">
        <f t="shared" si="119"/>
        <v>-141047.06</v>
      </c>
      <c r="Y407" s="424"/>
      <c r="Z407" s="424"/>
      <c r="AA407" s="424"/>
      <c r="AB407" s="424">
        <f t="shared" si="117"/>
        <v>-141047.06</v>
      </c>
      <c r="AC407" s="779"/>
      <c r="AD407" s="426"/>
      <c r="AE407" s="773"/>
      <c r="AF407" s="781">
        <f t="shared" si="116"/>
        <v>0</v>
      </c>
    </row>
    <row r="408" spans="1:32">
      <c r="A408" s="779">
        <f t="shared" si="118"/>
        <v>394</v>
      </c>
      <c r="B408" s="779"/>
      <c r="C408" s="779"/>
      <c r="D408" s="779"/>
      <c r="E408" s="763" t="s">
        <v>616</v>
      </c>
      <c r="F408" s="394">
        <f t="shared" ref="F408:S408" si="120">SUM(F400:F407)</f>
        <v>-1690801.4200000002</v>
      </c>
      <c r="G408" s="394">
        <f t="shared" si="120"/>
        <v>-2793425.97</v>
      </c>
      <c r="H408" s="394">
        <f t="shared" si="120"/>
        <v>-3104151.63</v>
      </c>
      <c r="I408" s="394">
        <f t="shared" si="120"/>
        <v>-2720311.4400000004</v>
      </c>
      <c r="J408" s="394">
        <f t="shared" si="120"/>
        <v>-1572156.0900000003</v>
      </c>
      <c r="K408" s="394">
        <f t="shared" si="120"/>
        <v>-1420988.77</v>
      </c>
      <c r="L408" s="394">
        <f t="shared" si="120"/>
        <v>-1190608.6800000002</v>
      </c>
      <c r="M408" s="394">
        <f t="shared" si="120"/>
        <v>-1458686.4600000002</v>
      </c>
      <c r="N408" s="394">
        <f t="shared" si="120"/>
        <v>-1203535.3</v>
      </c>
      <c r="O408" s="394">
        <f t="shared" si="120"/>
        <v>-1281677.2000000004</v>
      </c>
      <c r="P408" s="394">
        <f t="shared" si="120"/>
        <v>-1682425.7300000004</v>
      </c>
      <c r="Q408" s="394">
        <f t="shared" si="120"/>
        <v>-1626851.58</v>
      </c>
      <c r="R408" s="394">
        <f t="shared" si="120"/>
        <v>-2007577.1700000002</v>
      </c>
      <c r="S408" s="620">
        <f t="shared" si="120"/>
        <v>-2007577.1700000002</v>
      </c>
      <c r="T408" s="773"/>
      <c r="U408" s="424"/>
      <c r="V408" s="424"/>
      <c r="W408" s="424"/>
      <c r="X408" s="425"/>
      <c r="Y408" s="424"/>
      <c r="Z408" s="424"/>
      <c r="AA408" s="424"/>
      <c r="AB408" s="424"/>
      <c r="AC408" s="779"/>
      <c r="AD408" s="779"/>
      <c r="AE408" s="773"/>
      <c r="AF408" s="781">
        <f t="shared" si="116"/>
        <v>0</v>
      </c>
    </row>
    <row r="409" spans="1:32">
      <c r="A409" s="779">
        <f t="shared" si="118"/>
        <v>395</v>
      </c>
      <c r="B409" s="779"/>
      <c r="C409" s="779"/>
      <c r="D409" s="779"/>
      <c r="E409" s="763"/>
      <c r="F409" s="778"/>
      <c r="G409" s="420"/>
      <c r="H409" s="408"/>
      <c r="I409" s="408"/>
      <c r="J409" s="409"/>
      <c r="K409" s="410"/>
      <c r="L409" s="411"/>
      <c r="M409" s="412"/>
      <c r="N409" s="413"/>
      <c r="O409" s="764"/>
      <c r="P409" s="415"/>
      <c r="Q409" s="421"/>
      <c r="R409" s="778"/>
      <c r="S409" s="392"/>
      <c r="T409" s="773"/>
      <c r="U409" s="424"/>
      <c r="V409" s="424"/>
      <c r="W409" s="424"/>
      <c r="X409" s="425"/>
      <c r="Y409" s="424"/>
      <c r="Z409" s="424"/>
      <c r="AA409" s="424"/>
      <c r="AB409" s="424"/>
      <c r="AC409" s="779"/>
      <c r="AD409" s="779"/>
      <c r="AE409" s="773"/>
      <c r="AF409" s="781">
        <f t="shared" si="116"/>
        <v>0</v>
      </c>
    </row>
    <row r="410" spans="1:32">
      <c r="A410" s="779">
        <f t="shared" si="118"/>
        <v>396</v>
      </c>
      <c r="B410" s="423" t="s">
        <v>1063</v>
      </c>
      <c r="C410" s="423" t="s">
        <v>617</v>
      </c>
      <c r="D410" s="779" t="s">
        <v>83</v>
      </c>
      <c r="E410" s="763" t="s">
        <v>1971</v>
      </c>
      <c r="F410" s="778">
        <v>0</v>
      </c>
      <c r="G410" s="778">
        <v>0</v>
      </c>
      <c r="H410" s="778">
        <v>0</v>
      </c>
      <c r="I410" s="778">
        <v>0</v>
      </c>
      <c r="J410" s="778">
        <v>-159.9</v>
      </c>
      <c r="K410" s="778">
        <v>0</v>
      </c>
      <c r="L410" s="778">
        <v>-509.02</v>
      </c>
      <c r="M410" s="778">
        <v>-9667.42</v>
      </c>
      <c r="N410" s="778">
        <v>-14970.74</v>
      </c>
      <c r="O410" s="778">
        <v>-14261.62</v>
      </c>
      <c r="P410" s="778">
        <v>1.8189894035458601E-12</v>
      </c>
      <c r="Q410" s="778">
        <v>-340.449999999998</v>
      </c>
      <c r="R410" s="778">
        <v>1.8189894035458601E-12</v>
      </c>
      <c r="S410" s="618">
        <f t="shared" ref="S410:S413" si="121">+R410</f>
        <v>1.8189894035458601E-12</v>
      </c>
      <c r="T410" s="773"/>
      <c r="U410" s="424"/>
      <c r="V410" s="424">
        <f t="shared" ref="V410:V413" si="122">+S410</f>
        <v>1.8189894035458601E-12</v>
      </c>
      <c r="W410" s="424"/>
      <c r="X410" s="425"/>
      <c r="Y410" s="424"/>
      <c r="Z410" s="424"/>
      <c r="AA410" s="424"/>
      <c r="AB410" s="424"/>
      <c r="AC410" s="779"/>
      <c r="AD410" s="426">
        <f t="shared" ref="AD410:AD413" si="123">+V410</f>
        <v>1.8189894035458601E-12</v>
      </c>
      <c r="AE410" s="773"/>
      <c r="AF410" s="781">
        <f t="shared" si="116"/>
        <v>0</v>
      </c>
    </row>
    <row r="411" spans="1:32">
      <c r="A411" s="779">
        <f t="shared" si="118"/>
        <v>397</v>
      </c>
      <c r="B411" s="423" t="s">
        <v>1063</v>
      </c>
      <c r="C411" s="423" t="s">
        <v>617</v>
      </c>
      <c r="D411" s="779" t="s">
        <v>1708</v>
      </c>
      <c r="E411" s="763" t="s">
        <v>1972</v>
      </c>
      <c r="F411" s="778">
        <v>0</v>
      </c>
      <c r="G411" s="778">
        <v>0</v>
      </c>
      <c r="H411" s="778">
        <v>0</v>
      </c>
      <c r="I411" s="778">
        <v>0</v>
      </c>
      <c r="J411" s="778">
        <v>0</v>
      </c>
      <c r="K411" s="778">
        <v>0</v>
      </c>
      <c r="L411" s="778">
        <v>0</v>
      </c>
      <c r="M411" s="778">
        <v>-593.05999999999995</v>
      </c>
      <c r="N411" s="778">
        <v>-1049.1500000000001</v>
      </c>
      <c r="O411" s="778">
        <v>-1474.78</v>
      </c>
      <c r="P411" s="778">
        <v>-442.87</v>
      </c>
      <c r="Q411" s="778">
        <v>-878.43</v>
      </c>
      <c r="R411" s="778">
        <v>-1309.05</v>
      </c>
      <c r="S411" s="618">
        <f t="shared" si="121"/>
        <v>-1309.05</v>
      </c>
      <c r="T411" s="773"/>
      <c r="U411" s="424"/>
      <c r="V411" s="424">
        <f t="shared" si="122"/>
        <v>-1309.05</v>
      </c>
      <c r="W411" s="424"/>
      <c r="X411" s="425"/>
      <c r="Y411" s="424"/>
      <c r="Z411" s="424"/>
      <c r="AA411" s="424"/>
      <c r="AB411" s="424"/>
      <c r="AC411" s="779"/>
      <c r="AD411" s="426">
        <f t="shared" si="123"/>
        <v>-1309.05</v>
      </c>
      <c r="AE411" s="773"/>
      <c r="AF411" s="781">
        <f t="shared" si="116"/>
        <v>0</v>
      </c>
    </row>
    <row r="412" spans="1:32">
      <c r="A412" s="779">
        <f t="shared" si="118"/>
        <v>398</v>
      </c>
      <c r="B412" s="423" t="s">
        <v>1063</v>
      </c>
      <c r="C412" s="423" t="s">
        <v>618</v>
      </c>
      <c r="D412" s="423" t="s">
        <v>539</v>
      </c>
      <c r="E412" s="763" t="s">
        <v>1969</v>
      </c>
      <c r="F412" s="778">
        <v>0</v>
      </c>
      <c r="G412" s="778">
        <v>0</v>
      </c>
      <c r="H412" s="778">
        <v>0</v>
      </c>
      <c r="I412" s="778">
        <v>0</v>
      </c>
      <c r="J412" s="778">
        <v>-297.32</v>
      </c>
      <c r="K412" s="778">
        <v>0</v>
      </c>
      <c r="L412" s="778">
        <v>-11623.42</v>
      </c>
      <c r="M412" s="778">
        <v>-71907.649999999994</v>
      </c>
      <c r="N412" s="778">
        <v>-114929.45</v>
      </c>
      <c r="O412" s="778">
        <v>-116821.54</v>
      </c>
      <c r="P412" s="778">
        <v>-1.45519152283669E-11</v>
      </c>
      <c r="Q412" s="778">
        <v>-512.78000000001498</v>
      </c>
      <c r="R412" s="778">
        <v>-1.45519152283669E-11</v>
      </c>
      <c r="S412" s="618">
        <f t="shared" si="121"/>
        <v>-1.45519152283669E-11</v>
      </c>
      <c r="T412" s="773"/>
      <c r="U412" s="424"/>
      <c r="V412" s="424">
        <f t="shared" si="122"/>
        <v>-1.45519152283669E-11</v>
      </c>
      <c r="W412" s="424"/>
      <c r="X412" s="425"/>
      <c r="Y412" s="424"/>
      <c r="Z412" s="424"/>
      <c r="AA412" s="424"/>
      <c r="AB412" s="424"/>
      <c r="AC412" s="779"/>
      <c r="AD412" s="426">
        <f t="shared" si="123"/>
        <v>-1.45519152283669E-11</v>
      </c>
      <c r="AE412" s="773"/>
      <c r="AF412" s="781">
        <f t="shared" si="116"/>
        <v>0</v>
      </c>
    </row>
    <row r="413" spans="1:32">
      <c r="A413" s="779">
        <f t="shared" si="118"/>
        <v>399</v>
      </c>
      <c r="B413" s="423" t="s">
        <v>1063</v>
      </c>
      <c r="C413" s="423" t="s">
        <v>618</v>
      </c>
      <c r="D413" s="423" t="s">
        <v>573</v>
      </c>
      <c r="E413" s="763" t="s">
        <v>1970</v>
      </c>
      <c r="F413" s="778">
        <v>-2.2737367544323201E-13</v>
      </c>
      <c r="G413" s="778">
        <v>0</v>
      </c>
      <c r="H413" s="778">
        <v>0</v>
      </c>
      <c r="I413" s="778">
        <v>0</v>
      </c>
      <c r="J413" s="778">
        <v>-157.27000000000001</v>
      </c>
      <c r="K413" s="778">
        <v>0</v>
      </c>
      <c r="L413" s="778">
        <v>-3730.89</v>
      </c>
      <c r="M413" s="778">
        <v>-60236.74</v>
      </c>
      <c r="N413" s="778">
        <v>-81925.81</v>
      </c>
      <c r="O413" s="778">
        <v>-82034.210000000006</v>
      </c>
      <c r="P413" s="778">
        <v>1.45519152283669E-11</v>
      </c>
      <c r="Q413" s="778">
        <v>-443.26999999998498</v>
      </c>
      <c r="R413" s="778">
        <v>1.45519152283669E-11</v>
      </c>
      <c r="S413" s="618">
        <f t="shared" si="121"/>
        <v>1.45519152283669E-11</v>
      </c>
      <c r="T413" s="773"/>
      <c r="U413" s="424"/>
      <c r="V413" s="424">
        <f t="shared" si="122"/>
        <v>1.45519152283669E-11</v>
      </c>
      <c r="W413" s="424"/>
      <c r="X413" s="425"/>
      <c r="Y413" s="424"/>
      <c r="Z413" s="424"/>
      <c r="AA413" s="424"/>
      <c r="AB413" s="424"/>
      <c r="AC413" s="779"/>
      <c r="AD413" s="426">
        <f t="shared" si="123"/>
        <v>1.45519152283669E-11</v>
      </c>
      <c r="AE413" s="773"/>
      <c r="AF413" s="781">
        <f t="shared" si="116"/>
        <v>0</v>
      </c>
    </row>
    <row r="414" spans="1:32">
      <c r="A414" s="779">
        <f t="shared" si="118"/>
        <v>400</v>
      </c>
      <c r="B414" s="779"/>
      <c r="C414" s="779"/>
      <c r="D414" s="779"/>
      <c r="E414" s="763" t="s">
        <v>619</v>
      </c>
      <c r="F414" s="394">
        <f t="shared" ref="F414:S414" si="124">SUM(F410:F413)</f>
        <v>-2.2737367544323201E-13</v>
      </c>
      <c r="G414" s="394">
        <f t="shared" si="124"/>
        <v>0</v>
      </c>
      <c r="H414" s="394">
        <f t="shared" si="124"/>
        <v>0</v>
      </c>
      <c r="I414" s="394">
        <f t="shared" si="124"/>
        <v>0</v>
      </c>
      <c r="J414" s="394">
        <f t="shared" si="124"/>
        <v>-614.49</v>
      </c>
      <c r="K414" s="394">
        <f t="shared" si="124"/>
        <v>0</v>
      </c>
      <c r="L414" s="394">
        <f t="shared" si="124"/>
        <v>-15863.33</v>
      </c>
      <c r="M414" s="394">
        <f t="shared" si="124"/>
        <v>-142404.87</v>
      </c>
      <c r="N414" s="394">
        <f t="shared" si="124"/>
        <v>-212875.15</v>
      </c>
      <c r="O414" s="394">
        <f t="shared" si="124"/>
        <v>-214592.15000000002</v>
      </c>
      <c r="P414" s="394">
        <f t="shared" si="124"/>
        <v>-442.86999999999819</v>
      </c>
      <c r="Q414" s="394">
        <f t="shared" si="124"/>
        <v>-2174.9299999999976</v>
      </c>
      <c r="R414" s="394">
        <f t="shared" si="124"/>
        <v>-1309.0499999999981</v>
      </c>
      <c r="S414" s="620">
        <f t="shared" si="124"/>
        <v>-1309.0499999999981</v>
      </c>
      <c r="T414" s="779"/>
      <c r="U414" s="424"/>
      <c r="V414" s="424"/>
      <c r="W414" s="424"/>
      <c r="X414" s="425"/>
      <c r="Y414" s="424"/>
      <c r="Z414" s="424"/>
      <c r="AA414" s="424"/>
      <c r="AB414" s="424"/>
      <c r="AC414" s="779"/>
      <c r="AD414" s="779"/>
      <c r="AE414" s="779"/>
      <c r="AF414" s="781">
        <f t="shared" si="116"/>
        <v>0</v>
      </c>
    </row>
    <row r="415" spans="1:32">
      <c r="A415" s="779">
        <f t="shared" si="118"/>
        <v>401</v>
      </c>
      <c r="B415" s="779"/>
      <c r="C415" s="779"/>
      <c r="D415" s="779"/>
      <c r="E415" s="763"/>
      <c r="F415" s="778"/>
      <c r="G415" s="420"/>
      <c r="H415" s="408"/>
      <c r="I415" s="408"/>
      <c r="J415" s="409"/>
      <c r="K415" s="410"/>
      <c r="L415" s="411"/>
      <c r="M415" s="412"/>
      <c r="N415" s="413"/>
      <c r="O415" s="764"/>
      <c r="P415" s="415"/>
      <c r="Q415" s="421"/>
      <c r="R415" s="778"/>
      <c r="S415" s="392"/>
      <c r="T415" s="779"/>
      <c r="U415" s="424"/>
      <c r="V415" s="424"/>
      <c r="W415" s="424"/>
      <c r="X415" s="425"/>
      <c r="Y415" s="424"/>
      <c r="Z415" s="424"/>
      <c r="AA415" s="424"/>
      <c r="AB415" s="424"/>
      <c r="AC415" s="779"/>
      <c r="AD415" s="779"/>
      <c r="AE415" s="779"/>
      <c r="AF415" s="781">
        <f t="shared" si="116"/>
        <v>0</v>
      </c>
    </row>
    <row r="416" spans="1:32">
      <c r="A416" s="779">
        <f t="shared" si="118"/>
        <v>402</v>
      </c>
      <c r="B416" s="779"/>
      <c r="C416" s="779"/>
      <c r="D416" s="779"/>
      <c r="E416" s="763" t="s">
        <v>620</v>
      </c>
      <c r="F416" s="394">
        <f t="shared" ref="F416:S416" si="125">SUM(F383:F398)+F408+F414</f>
        <v>-31459521.429999996</v>
      </c>
      <c r="G416" s="394">
        <f t="shared" si="125"/>
        <v>-27602827.529999994</v>
      </c>
      <c r="H416" s="394">
        <f t="shared" si="125"/>
        <v>-21733270.999999996</v>
      </c>
      <c r="I416" s="394">
        <f t="shared" si="125"/>
        <v>-20434359.57</v>
      </c>
      <c r="J416" s="394">
        <f t="shared" si="125"/>
        <v>-17870109.389999997</v>
      </c>
      <c r="K416" s="394">
        <f t="shared" si="125"/>
        <v>-17947259.619999997</v>
      </c>
      <c r="L416" s="394">
        <f t="shared" si="125"/>
        <v>-17318553.23</v>
      </c>
      <c r="M416" s="394">
        <f t="shared" si="125"/>
        <v>-21992960.800000004</v>
      </c>
      <c r="N416" s="394">
        <f t="shared" si="125"/>
        <v>-24394393.989999998</v>
      </c>
      <c r="O416" s="394">
        <f t="shared" si="125"/>
        <v>-22848267.510000002</v>
      </c>
      <c r="P416" s="394">
        <f t="shared" si="125"/>
        <v>-25618007.370000005</v>
      </c>
      <c r="Q416" s="394">
        <f t="shared" si="125"/>
        <v>-39787788.860000007</v>
      </c>
      <c r="R416" s="394">
        <f t="shared" si="125"/>
        <v>-68448004.469999999</v>
      </c>
      <c r="S416" s="620">
        <f t="shared" si="125"/>
        <v>-68448004.469999999</v>
      </c>
      <c r="T416" s="779"/>
      <c r="U416" s="424"/>
      <c r="V416" s="424"/>
      <c r="W416" s="424"/>
      <c r="X416" s="425"/>
      <c r="Y416" s="424"/>
      <c r="Z416" s="424"/>
      <c r="AA416" s="424"/>
      <c r="AB416" s="424"/>
      <c r="AC416" s="779"/>
      <c r="AD416" s="779"/>
      <c r="AE416" s="779"/>
      <c r="AF416" s="781">
        <f t="shared" si="116"/>
        <v>0</v>
      </c>
    </row>
    <row r="417" spans="1:32">
      <c r="A417" s="779">
        <f t="shared" si="118"/>
        <v>403</v>
      </c>
      <c r="B417" s="779"/>
      <c r="C417" s="779"/>
      <c r="D417" s="779"/>
      <c r="E417" s="763"/>
      <c r="F417" s="778"/>
      <c r="G417" s="420"/>
      <c r="H417" s="408"/>
      <c r="I417" s="408"/>
      <c r="J417" s="409"/>
      <c r="K417" s="410"/>
      <c r="L417" s="411"/>
      <c r="M417" s="412"/>
      <c r="N417" s="413"/>
      <c r="O417" s="764"/>
      <c r="P417" s="415"/>
      <c r="Q417" s="421"/>
      <c r="R417" s="778"/>
      <c r="S417" s="392"/>
      <c r="T417" s="773"/>
      <c r="U417" s="424"/>
      <c r="V417" s="424"/>
      <c r="W417" s="424"/>
      <c r="X417" s="425"/>
      <c r="Y417" s="424"/>
      <c r="Z417" s="424"/>
      <c r="AA417" s="424"/>
      <c r="AB417" s="424"/>
      <c r="AC417" s="779"/>
      <c r="AD417" s="779"/>
      <c r="AE417" s="773"/>
      <c r="AF417" s="781">
        <f t="shared" si="116"/>
        <v>0</v>
      </c>
    </row>
    <row r="418" spans="1:32">
      <c r="A418" s="779">
        <f t="shared" si="118"/>
        <v>404</v>
      </c>
      <c r="B418" s="423" t="s">
        <v>1063</v>
      </c>
      <c r="C418" s="423" t="s">
        <v>621</v>
      </c>
      <c r="D418" s="423" t="s">
        <v>1303</v>
      </c>
      <c r="E418" s="763" t="s">
        <v>622</v>
      </c>
      <c r="F418" s="778">
        <v>0</v>
      </c>
      <c r="G418" s="778">
        <v>0</v>
      </c>
      <c r="H418" s="778">
        <v>0</v>
      </c>
      <c r="I418" s="778">
        <v>0</v>
      </c>
      <c r="J418" s="778">
        <v>0</v>
      </c>
      <c r="K418" s="778">
        <v>0</v>
      </c>
      <c r="L418" s="778">
        <v>0</v>
      </c>
      <c r="M418" s="778">
        <v>0</v>
      </c>
      <c r="N418" s="778">
        <v>0</v>
      </c>
      <c r="O418" s="778">
        <v>0</v>
      </c>
      <c r="P418" s="778">
        <v>0</v>
      </c>
      <c r="Q418" s="778">
        <v>0</v>
      </c>
      <c r="R418" s="778">
        <v>0</v>
      </c>
      <c r="S418" s="618">
        <f t="shared" ref="S418:S481" si="126">+R418</f>
        <v>0</v>
      </c>
      <c r="T418" s="773"/>
      <c r="U418" s="424"/>
      <c r="V418" s="424">
        <f t="shared" ref="V418:V439" si="127">+S418</f>
        <v>0</v>
      </c>
      <c r="W418" s="424"/>
      <c r="X418" s="425"/>
      <c r="Y418" s="424"/>
      <c r="Z418" s="424"/>
      <c r="AA418" s="424"/>
      <c r="AB418" s="424"/>
      <c r="AC418" s="779"/>
      <c r="AD418" s="426">
        <f t="shared" ref="AD418:AD435" si="128">+V418</f>
        <v>0</v>
      </c>
      <c r="AE418" s="773"/>
      <c r="AF418" s="781">
        <f t="shared" si="116"/>
        <v>0</v>
      </c>
    </row>
    <row r="419" spans="1:32">
      <c r="A419" s="779">
        <f t="shared" si="118"/>
        <v>405</v>
      </c>
      <c r="B419" s="423" t="s">
        <v>1063</v>
      </c>
      <c r="C419" s="423" t="s">
        <v>623</v>
      </c>
      <c r="D419" s="423" t="s">
        <v>1056</v>
      </c>
      <c r="E419" s="763" t="s">
        <v>1973</v>
      </c>
      <c r="F419" s="778">
        <v>-378996.92000000097</v>
      </c>
      <c r="G419" s="778">
        <v>-2743003.72</v>
      </c>
      <c r="H419" s="778">
        <v>-4661609.8</v>
      </c>
      <c r="I419" s="778">
        <v>-5708883.4000000004</v>
      </c>
      <c r="J419" s="778">
        <v>-4423949.57</v>
      </c>
      <c r="K419" s="778">
        <v>-4138743.33</v>
      </c>
      <c r="L419" s="778">
        <v>-3449112.34</v>
      </c>
      <c r="M419" s="778">
        <v>-2355704.71</v>
      </c>
      <c r="N419" s="778">
        <v>-1063505.19</v>
      </c>
      <c r="O419" s="778">
        <v>9.3132257461547893E-10</v>
      </c>
      <c r="P419" s="778">
        <v>9.3132257461547893E-10</v>
      </c>
      <c r="Q419" s="778">
        <v>9.3132257461547893E-10</v>
      </c>
      <c r="R419" s="778">
        <v>9.3132257461547893E-10</v>
      </c>
      <c r="S419" s="618">
        <f t="shared" si="126"/>
        <v>9.3132257461547893E-10</v>
      </c>
      <c r="T419" s="773"/>
      <c r="U419" s="424"/>
      <c r="V419" s="424">
        <f t="shared" si="127"/>
        <v>9.3132257461547893E-10</v>
      </c>
      <c r="W419" s="424"/>
      <c r="X419" s="425"/>
      <c r="Y419" s="424"/>
      <c r="Z419" s="424"/>
      <c r="AA419" s="424"/>
      <c r="AB419" s="424"/>
      <c r="AC419" s="779"/>
      <c r="AD419" s="426">
        <f t="shared" si="128"/>
        <v>9.3132257461547893E-10</v>
      </c>
      <c r="AE419" s="773"/>
      <c r="AF419" s="781">
        <f t="shared" si="116"/>
        <v>0</v>
      </c>
    </row>
    <row r="420" spans="1:32">
      <c r="A420" s="779">
        <f t="shared" si="118"/>
        <v>406</v>
      </c>
      <c r="B420" s="423" t="s">
        <v>1094</v>
      </c>
      <c r="C420" s="423" t="s">
        <v>623</v>
      </c>
      <c r="D420" s="423" t="s">
        <v>494</v>
      </c>
      <c r="E420" s="763" t="s">
        <v>622</v>
      </c>
      <c r="F420" s="778">
        <v>-2.91038304567337E-11</v>
      </c>
      <c r="G420" s="778">
        <v>-123017.18</v>
      </c>
      <c r="H420" s="778">
        <v>-290270.48</v>
      </c>
      <c r="I420" s="778">
        <v>-400550.26</v>
      </c>
      <c r="J420" s="778">
        <v>27860.71</v>
      </c>
      <c r="K420" s="778">
        <v>53498.22</v>
      </c>
      <c r="L420" s="778">
        <v>114533.38</v>
      </c>
      <c r="M420" s="778">
        <v>210922.85</v>
      </c>
      <c r="N420" s="778">
        <v>324700.31</v>
      </c>
      <c r="O420" s="778">
        <v>0</v>
      </c>
      <c r="P420" s="778">
        <v>0</v>
      </c>
      <c r="Q420" s="778">
        <v>0</v>
      </c>
      <c r="R420" s="778">
        <v>0</v>
      </c>
      <c r="S420" s="618">
        <f t="shared" si="126"/>
        <v>0</v>
      </c>
      <c r="T420" s="773"/>
      <c r="U420" s="424"/>
      <c r="V420" s="424">
        <f t="shared" si="127"/>
        <v>0</v>
      </c>
      <c r="W420" s="424"/>
      <c r="X420" s="425"/>
      <c r="Y420" s="424"/>
      <c r="Z420" s="424"/>
      <c r="AA420" s="424"/>
      <c r="AB420" s="424"/>
      <c r="AC420" s="779"/>
      <c r="AD420" s="426">
        <f t="shared" si="128"/>
        <v>0</v>
      </c>
      <c r="AE420" s="773"/>
      <c r="AF420" s="781">
        <f t="shared" si="116"/>
        <v>0</v>
      </c>
    </row>
    <row r="421" spans="1:32">
      <c r="A421" s="779">
        <f t="shared" si="118"/>
        <v>407</v>
      </c>
      <c r="B421" s="423" t="s">
        <v>1063</v>
      </c>
      <c r="C421" s="423" t="s">
        <v>624</v>
      </c>
      <c r="D421" s="423" t="s">
        <v>1055</v>
      </c>
      <c r="E421" s="763" t="s">
        <v>1974</v>
      </c>
      <c r="F421" s="778">
        <v>-99745.18</v>
      </c>
      <c r="G421" s="778">
        <v>-41406.76</v>
      </c>
      <c r="H421" s="778">
        <v>-41700.6</v>
      </c>
      <c r="I421" s="778">
        <v>-57848.44</v>
      </c>
      <c r="J421" s="778">
        <v>-67589.86</v>
      </c>
      <c r="K421" s="778">
        <v>-87739.32</v>
      </c>
      <c r="L421" s="778">
        <v>-108297.72</v>
      </c>
      <c r="M421" s="778">
        <v>-104293.54</v>
      </c>
      <c r="N421" s="778">
        <v>-163545.32</v>
      </c>
      <c r="O421" s="778">
        <v>-163563.78</v>
      </c>
      <c r="P421" s="778">
        <v>-105871.88</v>
      </c>
      <c r="Q421" s="778">
        <v>-122225.72</v>
      </c>
      <c r="R421" s="778">
        <v>-129565.47</v>
      </c>
      <c r="S421" s="618">
        <f t="shared" si="126"/>
        <v>-129565.47</v>
      </c>
      <c r="T421" s="773"/>
      <c r="U421" s="424"/>
      <c r="V421" s="424">
        <f t="shared" si="127"/>
        <v>-129565.47</v>
      </c>
      <c r="W421" s="424"/>
      <c r="X421" s="425"/>
      <c r="Y421" s="424"/>
      <c r="Z421" s="424"/>
      <c r="AA421" s="424"/>
      <c r="AB421" s="424"/>
      <c r="AC421" s="779"/>
      <c r="AD421" s="426">
        <f t="shared" si="128"/>
        <v>-129565.47</v>
      </c>
      <c r="AE421" s="773"/>
      <c r="AF421" s="781">
        <f t="shared" si="116"/>
        <v>0</v>
      </c>
    </row>
    <row r="422" spans="1:32">
      <c r="A422" s="779">
        <f t="shared" si="118"/>
        <v>408</v>
      </c>
      <c r="B422" s="423" t="s">
        <v>1063</v>
      </c>
      <c r="C422" s="423" t="s">
        <v>624</v>
      </c>
      <c r="D422" s="423" t="s">
        <v>1304</v>
      </c>
      <c r="E422" s="763" t="s">
        <v>1975</v>
      </c>
      <c r="F422" s="778">
        <v>0</v>
      </c>
      <c r="G422" s="778">
        <v>0</v>
      </c>
      <c r="H422" s="778">
        <v>0</v>
      </c>
      <c r="I422" s="778">
        <v>0</v>
      </c>
      <c r="J422" s="778">
        <v>-40594.78</v>
      </c>
      <c r="K422" s="778">
        <v>-52857.93</v>
      </c>
      <c r="L422" s="778">
        <v>-68294.06</v>
      </c>
      <c r="M422" s="778">
        <v>-75484.52</v>
      </c>
      <c r="N422" s="778">
        <v>-85312.88</v>
      </c>
      <c r="O422" s="778">
        <v>-93244</v>
      </c>
      <c r="P422" s="778">
        <v>-102301.38</v>
      </c>
      <c r="Q422" s="778">
        <v>-111187.99</v>
      </c>
      <c r="R422" s="778">
        <v>-91467.8</v>
      </c>
      <c r="S422" s="618">
        <f t="shared" si="126"/>
        <v>-91467.8</v>
      </c>
      <c r="T422" s="773"/>
      <c r="U422" s="424"/>
      <c r="V422" s="424">
        <f t="shared" si="127"/>
        <v>-91467.8</v>
      </c>
      <c r="W422" s="424"/>
      <c r="X422" s="425"/>
      <c r="Y422" s="424"/>
      <c r="Z422" s="424"/>
      <c r="AA422" s="424"/>
      <c r="AB422" s="424"/>
      <c r="AC422" s="779"/>
      <c r="AD422" s="426">
        <f t="shared" si="128"/>
        <v>-91467.8</v>
      </c>
      <c r="AE422" s="773"/>
      <c r="AF422" s="781">
        <f t="shared" si="116"/>
        <v>0</v>
      </c>
    </row>
    <row r="423" spans="1:32">
      <c r="A423" s="779">
        <f t="shared" si="118"/>
        <v>409</v>
      </c>
      <c r="B423" s="423" t="s">
        <v>1063</v>
      </c>
      <c r="C423" s="423" t="s">
        <v>624</v>
      </c>
      <c r="D423" s="423" t="s">
        <v>1056</v>
      </c>
      <c r="E423" s="763" t="s">
        <v>1976</v>
      </c>
      <c r="F423" s="778">
        <v>-8184.64</v>
      </c>
      <c r="G423" s="778">
        <v>-16763.88</v>
      </c>
      <c r="H423" s="778">
        <v>-14623.35</v>
      </c>
      <c r="I423" s="778">
        <v>-14684.58</v>
      </c>
      <c r="J423" s="778">
        <v>-87.1299999999992</v>
      </c>
      <c r="K423" s="778">
        <v>-218.70999999999901</v>
      </c>
      <c r="L423" s="778">
        <v>-511.86999999999898</v>
      </c>
      <c r="M423" s="778">
        <v>-439.42999999999898</v>
      </c>
      <c r="N423" s="778">
        <v>-752.31999999999903</v>
      </c>
      <c r="O423" s="778">
        <v>-897.64999999999895</v>
      </c>
      <c r="P423" s="778">
        <v>-52.479999999999301</v>
      </c>
      <c r="Q423" s="778">
        <v>-270.94999999999902</v>
      </c>
      <c r="R423" s="778">
        <v>-10477.540000000001</v>
      </c>
      <c r="S423" s="618">
        <f t="shared" si="126"/>
        <v>-10477.540000000001</v>
      </c>
      <c r="T423" s="773"/>
      <c r="U423" s="424"/>
      <c r="V423" s="424">
        <f t="shared" si="127"/>
        <v>-10477.540000000001</v>
      </c>
      <c r="W423" s="424"/>
      <c r="X423" s="425"/>
      <c r="Y423" s="424"/>
      <c r="Z423" s="424"/>
      <c r="AA423" s="424"/>
      <c r="AB423" s="424"/>
      <c r="AC423" s="779"/>
      <c r="AD423" s="426">
        <f t="shared" si="128"/>
        <v>-10477.540000000001</v>
      </c>
      <c r="AE423" s="773"/>
      <c r="AF423" s="781">
        <f t="shared" si="116"/>
        <v>0</v>
      </c>
    </row>
    <row r="424" spans="1:32">
      <c r="A424" s="779">
        <f t="shared" si="118"/>
        <v>410</v>
      </c>
      <c r="B424" s="423" t="s">
        <v>1063</v>
      </c>
      <c r="C424" s="423" t="s">
        <v>624</v>
      </c>
      <c r="D424" s="423" t="s">
        <v>83</v>
      </c>
      <c r="E424" s="763" t="s">
        <v>1977</v>
      </c>
      <c r="F424" s="778">
        <v>-4873.74</v>
      </c>
      <c r="G424" s="778">
        <v>-10628.12</v>
      </c>
      <c r="H424" s="778">
        <v>-19188.23</v>
      </c>
      <c r="I424" s="778">
        <v>-25378.93</v>
      </c>
      <c r="J424" s="778">
        <v>-7569.77</v>
      </c>
      <c r="K424" s="778">
        <v>-11544.14</v>
      </c>
      <c r="L424" s="778">
        <v>-13148.46</v>
      </c>
      <c r="M424" s="778">
        <v>-1429.77</v>
      </c>
      <c r="N424" s="778">
        <v>-2093.81</v>
      </c>
      <c r="O424" s="778">
        <v>-2524.46</v>
      </c>
      <c r="P424" s="778">
        <v>-583.30999999999904</v>
      </c>
      <c r="Q424" s="778">
        <v>-961.10999999999899</v>
      </c>
      <c r="R424" s="778">
        <v>-5803.23</v>
      </c>
      <c r="S424" s="618">
        <f t="shared" si="126"/>
        <v>-5803.23</v>
      </c>
      <c r="T424" s="773"/>
      <c r="U424" s="424"/>
      <c r="V424" s="424">
        <f t="shared" si="127"/>
        <v>-5803.23</v>
      </c>
      <c r="W424" s="424"/>
      <c r="X424" s="425"/>
      <c r="Y424" s="424"/>
      <c r="Z424" s="424"/>
      <c r="AA424" s="424"/>
      <c r="AB424" s="424"/>
      <c r="AC424" s="779"/>
      <c r="AD424" s="426">
        <f t="shared" si="128"/>
        <v>-5803.23</v>
      </c>
      <c r="AE424" s="773"/>
      <c r="AF424" s="781">
        <f t="shared" si="116"/>
        <v>0</v>
      </c>
    </row>
    <row r="425" spans="1:32">
      <c r="A425" s="779">
        <f t="shared" si="118"/>
        <v>411</v>
      </c>
      <c r="B425" s="423" t="s">
        <v>1063</v>
      </c>
      <c r="C425" s="423" t="s">
        <v>624</v>
      </c>
      <c r="D425" s="779" t="s">
        <v>1273</v>
      </c>
      <c r="E425" s="763" t="s">
        <v>1978</v>
      </c>
      <c r="F425" s="778">
        <v>0</v>
      </c>
      <c r="G425" s="778">
        <v>0</v>
      </c>
      <c r="H425" s="778">
        <v>0</v>
      </c>
      <c r="I425" s="778">
        <v>0</v>
      </c>
      <c r="J425" s="778">
        <v>0</v>
      </c>
      <c r="K425" s="778">
        <v>0</v>
      </c>
      <c r="L425" s="778">
        <v>0</v>
      </c>
      <c r="M425" s="778">
        <v>0</v>
      </c>
      <c r="N425" s="778">
        <v>0</v>
      </c>
      <c r="O425" s="778">
        <v>23060.92</v>
      </c>
      <c r="P425" s="778">
        <v>0</v>
      </c>
      <c r="Q425" s="778">
        <v>0</v>
      </c>
      <c r="R425" s="778">
        <v>-985.4</v>
      </c>
      <c r="S425" s="618">
        <f t="shared" si="126"/>
        <v>-985.4</v>
      </c>
      <c r="T425" s="773"/>
      <c r="U425" s="424"/>
      <c r="V425" s="424">
        <f t="shared" si="127"/>
        <v>-985.4</v>
      </c>
      <c r="W425" s="424"/>
      <c r="X425" s="425"/>
      <c r="Y425" s="424"/>
      <c r="Z425" s="424"/>
      <c r="AA425" s="424"/>
      <c r="AB425" s="424"/>
      <c r="AC425" s="779"/>
      <c r="AD425" s="426">
        <f t="shared" si="128"/>
        <v>-985.4</v>
      </c>
      <c r="AE425" s="773"/>
      <c r="AF425" s="781">
        <f t="shared" si="116"/>
        <v>0</v>
      </c>
    </row>
    <row r="426" spans="1:32">
      <c r="A426" s="779">
        <f t="shared" si="118"/>
        <v>412</v>
      </c>
      <c r="B426" s="423" t="s">
        <v>1063</v>
      </c>
      <c r="C426" s="423" t="s">
        <v>624</v>
      </c>
      <c r="D426" s="423" t="s">
        <v>1709</v>
      </c>
      <c r="E426" s="763" t="s">
        <v>1979</v>
      </c>
      <c r="F426" s="778">
        <v>0</v>
      </c>
      <c r="G426" s="778">
        <v>-317.66000000000003</v>
      </c>
      <c r="H426" s="778">
        <v>-614.73</v>
      </c>
      <c r="I426" s="778">
        <v>-934.75</v>
      </c>
      <c r="J426" s="778">
        <v>-1250.9100000000001</v>
      </c>
      <c r="K426" s="778">
        <v>-680.76</v>
      </c>
      <c r="L426" s="778">
        <v>-985.74</v>
      </c>
      <c r="M426" s="778">
        <v>-1317.78</v>
      </c>
      <c r="N426" s="778">
        <v>-2562.17</v>
      </c>
      <c r="O426" s="778">
        <v>-1042.8699999999999</v>
      </c>
      <c r="P426" s="778">
        <v>-2196.7399999999998</v>
      </c>
      <c r="Q426" s="778">
        <v>0</v>
      </c>
      <c r="R426" s="778">
        <v>0</v>
      </c>
      <c r="S426" s="618">
        <f t="shared" si="126"/>
        <v>0</v>
      </c>
      <c r="T426" s="773"/>
      <c r="U426" s="424"/>
      <c r="V426" s="424">
        <f t="shared" si="127"/>
        <v>0</v>
      </c>
      <c r="W426" s="424"/>
      <c r="X426" s="425"/>
      <c r="Y426" s="424"/>
      <c r="Z426" s="424"/>
      <c r="AA426" s="424"/>
      <c r="AB426" s="424"/>
      <c r="AC426" s="779"/>
      <c r="AD426" s="426">
        <f t="shared" si="128"/>
        <v>0</v>
      </c>
      <c r="AE426" s="773"/>
      <c r="AF426" s="781">
        <f t="shared" si="116"/>
        <v>0</v>
      </c>
    </row>
    <row r="427" spans="1:32">
      <c r="A427" s="779">
        <f t="shared" si="118"/>
        <v>413</v>
      </c>
      <c r="B427" s="423" t="s">
        <v>1063</v>
      </c>
      <c r="C427" s="423" t="s">
        <v>624</v>
      </c>
      <c r="D427" s="423" t="s">
        <v>106</v>
      </c>
      <c r="E427" s="763" t="s">
        <v>1980</v>
      </c>
      <c r="F427" s="778">
        <v>-7995.68</v>
      </c>
      <c r="G427" s="778">
        <v>-15578.65</v>
      </c>
      <c r="H427" s="778">
        <v>-30237.46</v>
      </c>
      <c r="I427" s="778">
        <v>-38973.519999999997</v>
      </c>
      <c r="J427" s="778">
        <v>-11041.66</v>
      </c>
      <c r="K427" s="778">
        <v>-17935.84</v>
      </c>
      <c r="L427" s="778">
        <v>-22567.200000000001</v>
      </c>
      <c r="M427" s="778">
        <v>-5188.04</v>
      </c>
      <c r="N427" s="778">
        <v>-7156.66</v>
      </c>
      <c r="O427" s="778">
        <v>-8092.39</v>
      </c>
      <c r="P427" s="778">
        <v>-1318.04</v>
      </c>
      <c r="Q427" s="778">
        <v>-2026.31</v>
      </c>
      <c r="R427" s="778">
        <v>-9109.7999999999993</v>
      </c>
      <c r="S427" s="618">
        <f t="shared" si="126"/>
        <v>-9109.7999999999993</v>
      </c>
      <c r="T427" s="773"/>
      <c r="U427" s="424"/>
      <c r="V427" s="424">
        <f t="shared" si="127"/>
        <v>-9109.7999999999993</v>
      </c>
      <c r="W427" s="424"/>
      <c r="X427" s="425"/>
      <c r="Y427" s="424"/>
      <c r="Z427" s="424"/>
      <c r="AA427" s="424"/>
      <c r="AB427" s="424"/>
      <c r="AC427" s="779"/>
      <c r="AD427" s="426">
        <f t="shared" si="128"/>
        <v>-9109.7999999999993</v>
      </c>
      <c r="AE427" s="773"/>
      <c r="AF427" s="781">
        <f t="shared" si="116"/>
        <v>0</v>
      </c>
    </row>
    <row r="428" spans="1:32">
      <c r="A428" s="779">
        <f t="shared" si="118"/>
        <v>414</v>
      </c>
      <c r="B428" s="423" t="s">
        <v>1063</v>
      </c>
      <c r="C428" s="423" t="s">
        <v>624</v>
      </c>
      <c r="D428" s="423" t="s">
        <v>1710</v>
      </c>
      <c r="E428" s="763" t="s">
        <v>1981</v>
      </c>
      <c r="F428" s="778">
        <v>0</v>
      </c>
      <c r="G428" s="778">
        <v>-4875.83</v>
      </c>
      <c r="H428" s="778">
        <v>-10024.57</v>
      </c>
      <c r="I428" s="778">
        <v>-15442.13</v>
      </c>
      <c r="J428" s="778">
        <v>-22047.64</v>
      </c>
      <c r="K428" s="778">
        <v>-10758.37</v>
      </c>
      <c r="L428" s="778">
        <v>-15763.15</v>
      </c>
      <c r="M428" s="778">
        <v>-22586.720000000001</v>
      </c>
      <c r="N428" s="778">
        <v>-43640</v>
      </c>
      <c r="O428" s="778">
        <v>-73713.27</v>
      </c>
      <c r="P428" s="778">
        <v>-54167.5</v>
      </c>
      <c r="Q428" s="778">
        <v>0</v>
      </c>
      <c r="R428" s="778">
        <v>-71423.69</v>
      </c>
      <c r="S428" s="618">
        <f t="shared" si="126"/>
        <v>-71423.69</v>
      </c>
      <c r="T428" s="773"/>
      <c r="U428" s="424"/>
      <c r="V428" s="424">
        <f t="shared" si="127"/>
        <v>-71423.69</v>
      </c>
      <c r="W428" s="424"/>
      <c r="X428" s="425"/>
      <c r="Y428" s="424"/>
      <c r="Z428" s="424"/>
      <c r="AA428" s="424"/>
      <c r="AB428" s="424"/>
      <c r="AC428" s="779"/>
      <c r="AD428" s="426">
        <f t="shared" si="128"/>
        <v>-71423.69</v>
      </c>
      <c r="AE428" s="773"/>
      <c r="AF428" s="781">
        <f t="shared" si="116"/>
        <v>0</v>
      </c>
    </row>
    <row r="429" spans="1:32">
      <c r="A429" s="779">
        <f t="shared" si="118"/>
        <v>415</v>
      </c>
      <c r="B429" s="423" t="s">
        <v>1063</v>
      </c>
      <c r="C429" s="423" t="s">
        <v>625</v>
      </c>
      <c r="D429" s="423"/>
      <c r="E429" s="763" t="s">
        <v>1982</v>
      </c>
      <c r="F429" s="778">
        <v>-22907.64</v>
      </c>
      <c r="G429" s="778">
        <v>-32929.69</v>
      </c>
      <c r="H429" s="778">
        <v>-15380.52</v>
      </c>
      <c r="I429" s="778">
        <v>-29435.86</v>
      </c>
      <c r="J429" s="778">
        <v>-7849.57</v>
      </c>
      <c r="K429" s="778">
        <v>-6933.32</v>
      </c>
      <c r="L429" s="778">
        <v>-17480.84</v>
      </c>
      <c r="M429" s="778">
        <v>-18943.650000000001</v>
      </c>
      <c r="N429" s="778">
        <v>-13359.02</v>
      </c>
      <c r="O429" s="778">
        <v>-1014.56</v>
      </c>
      <c r="P429" s="778">
        <v>-5246.55</v>
      </c>
      <c r="Q429" s="778">
        <v>-5201.03</v>
      </c>
      <c r="R429" s="778">
        <v>-4512.1000000000004</v>
      </c>
      <c r="S429" s="618">
        <f t="shared" si="126"/>
        <v>-4512.1000000000004</v>
      </c>
      <c r="T429" s="773"/>
      <c r="U429" s="424"/>
      <c r="V429" s="424">
        <f t="shared" si="127"/>
        <v>-4512.1000000000004</v>
      </c>
      <c r="W429" s="424"/>
      <c r="X429" s="425"/>
      <c r="Y429" s="424"/>
      <c r="Z429" s="424"/>
      <c r="AA429" s="424"/>
      <c r="AB429" s="424"/>
      <c r="AC429" s="779"/>
      <c r="AD429" s="426">
        <f t="shared" si="128"/>
        <v>-4512.1000000000004</v>
      </c>
      <c r="AE429" s="773"/>
      <c r="AF429" s="781">
        <f t="shared" si="116"/>
        <v>0</v>
      </c>
    </row>
    <row r="430" spans="1:32">
      <c r="A430" s="779">
        <f t="shared" si="118"/>
        <v>416</v>
      </c>
      <c r="B430" s="423" t="s">
        <v>1066</v>
      </c>
      <c r="C430" s="423" t="s">
        <v>625</v>
      </c>
      <c r="D430" s="423" t="s">
        <v>539</v>
      </c>
      <c r="E430" s="763" t="s">
        <v>2013</v>
      </c>
      <c r="F430" s="778">
        <v>-14.37</v>
      </c>
      <c r="G430" s="778">
        <v>-20.82</v>
      </c>
      <c r="H430" s="778">
        <v>0</v>
      </c>
      <c r="I430" s="778">
        <v>-23.49</v>
      </c>
      <c r="J430" s="778">
        <v>-34.29</v>
      </c>
      <c r="K430" s="778">
        <v>-65.98</v>
      </c>
      <c r="L430" s="778">
        <v>-28.54</v>
      </c>
      <c r="M430" s="778">
        <v>-13.6</v>
      </c>
      <c r="N430" s="778">
        <v>-2.7700000000000098</v>
      </c>
      <c r="O430" s="778">
        <v>-6.66133814775094E-15</v>
      </c>
      <c r="P430" s="778">
        <v>-23.89</v>
      </c>
      <c r="Q430" s="778">
        <v>-7.1054273576010003E-15</v>
      </c>
      <c r="R430" s="778">
        <v>-26.14</v>
      </c>
      <c r="S430" s="618">
        <f t="shared" si="126"/>
        <v>-26.14</v>
      </c>
      <c r="T430" s="773"/>
      <c r="U430" s="424"/>
      <c r="V430" s="424">
        <f t="shared" si="127"/>
        <v>-26.14</v>
      </c>
      <c r="W430" s="424"/>
      <c r="X430" s="425"/>
      <c r="Y430" s="424"/>
      <c r="Z430" s="424"/>
      <c r="AA430" s="424"/>
      <c r="AB430" s="424"/>
      <c r="AC430" s="779"/>
      <c r="AD430" s="426">
        <f t="shared" si="128"/>
        <v>-26.14</v>
      </c>
      <c r="AE430" s="773"/>
      <c r="AF430" s="781">
        <f t="shared" si="116"/>
        <v>0</v>
      </c>
    </row>
    <row r="431" spans="1:32">
      <c r="A431" s="779">
        <f t="shared" si="118"/>
        <v>417</v>
      </c>
      <c r="B431" s="423" t="s">
        <v>1094</v>
      </c>
      <c r="C431" s="423" t="s">
        <v>626</v>
      </c>
      <c r="D431" s="423" t="s">
        <v>1055</v>
      </c>
      <c r="E431" s="763" t="s">
        <v>2014</v>
      </c>
      <c r="F431" s="778">
        <v>0</v>
      </c>
      <c r="G431" s="778">
        <v>0</v>
      </c>
      <c r="H431" s="778">
        <v>0</v>
      </c>
      <c r="I431" s="778">
        <v>0</v>
      </c>
      <c r="J431" s="778">
        <v>0</v>
      </c>
      <c r="K431" s="778">
        <v>0</v>
      </c>
      <c r="L431" s="778">
        <v>0</v>
      </c>
      <c r="M431" s="778">
        <v>-140320</v>
      </c>
      <c r="N431" s="778">
        <v>-280640</v>
      </c>
      <c r="O431" s="778">
        <v>-420960</v>
      </c>
      <c r="P431" s="778">
        <v>-561280</v>
      </c>
      <c r="Q431" s="778">
        <v>0</v>
      </c>
      <c r="R431" s="778">
        <v>0</v>
      </c>
      <c r="S431" s="618">
        <f t="shared" si="126"/>
        <v>0</v>
      </c>
      <c r="T431" s="773"/>
      <c r="U431" s="424"/>
      <c r="V431" s="424">
        <f t="shared" si="127"/>
        <v>0</v>
      </c>
      <c r="W431" s="424"/>
      <c r="X431" s="425"/>
      <c r="Y431" s="424"/>
      <c r="Z431" s="424"/>
      <c r="AA431" s="424"/>
      <c r="AB431" s="424"/>
      <c r="AC431" s="779"/>
      <c r="AD431" s="426">
        <f t="shared" si="128"/>
        <v>0</v>
      </c>
      <c r="AE431" s="773"/>
      <c r="AF431" s="781">
        <f t="shared" si="116"/>
        <v>0</v>
      </c>
    </row>
    <row r="432" spans="1:32">
      <c r="A432" s="779">
        <f t="shared" si="118"/>
        <v>418</v>
      </c>
      <c r="B432" s="423" t="s">
        <v>1094</v>
      </c>
      <c r="C432" s="423" t="s">
        <v>626</v>
      </c>
      <c r="D432" s="423" t="s">
        <v>492</v>
      </c>
      <c r="E432" s="763" t="s">
        <v>2004</v>
      </c>
      <c r="F432" s="778">
        <v>-728132.45</v>
      </c>
      <c r="G432" s="778">
        <v>-575054.42000000004</v>
      </c>
      <c r="H432" s="778">
        <v>-721405.78</v>
      </c>
      <c r="I432" s="778">
        <v>-936950.4</v>
      </c>
      <c r="J432" s="778">
        <v>-340276.66</v>
      </c>
      <c r="K432" s="778">
        <v>-378832.98</v>
      </c>
      <c r="L432" s="778">
        <v>-412794.44</v>
      </c>
      <c r="M432" s="778">
        <v>-129657.86</v>
      </c>
      <c r="N432" s="778">
        <v>-160852.4</v>
      </c>
      <c r="O432" s="778">
        <v>-220693.77</v>
      </c>
      <c r="P432" s="778">
        <v>-207891.45</v>
      </c>
      <c r="Q432" s="778">
        <v>-409864.6</v>
      </c>
      <c r="R432" s="778">
        <v>-709456.17</v>
      </c>
      <c r="S432" s="618">
        <f t="shared" si="126"/>
        <v>-709456.17</v>
      </c>
      <c r="T432" s="773"/>
      <c r="U432" s="424"/>
      <c r="V432" s="424">
        <f t="shared" si="127"/>
        <v>-709456.17</v>
      </c>
      <c r="W432" s="424"/>
      <c r="X432" s="425"/>
      <c r="Y432" s="424"/>
      <c r="Z432" s="424"/>
      <c r="AA432" s="424"/>
      <c r="AB432" s="424"/>
      <c r="AC432" s="779"/>
      <c r="AD432" s="426">
        <f t="shared" si="128"/>
        <v>-709456.17</v>
      </c>
      <c r="AE432" s="773"/>
      <c r="AF432" s="781">
        <f t="shared" si="116"/>
        <v>0</v>
      </c>
    </row>
    <row r="433" spans="1:32">
      <c r="A433" s="779">
        <f t="shared" si="118"/>
        <v>419</v>
      </c>
      <c r="B433" s="423" t="s">
        <v>1066</v>
      </c>
      <c r="C433" s="423" t="s">
        <v>626</v>
      </c>
      <c r="D433" s="423" t="s">
        <v>1055</v>
      </c>
      <c r="E433" s="763" t="s">
        <v>2014</v>
      </c>
      <c r="F433" s="778">
        <v>-2723571.73</v>
      </c>
      <c r="G433" s="778">
        <v>-2961384.73</v>
      </c>
      <c r="H433" s="778">
        <v>-3199197.73</v>
      </c>
      <c r="I433" s="778">
        <v>-3437010.73</v>
      </c>
      <c r="J433" s="778">
        <v>-2319375</v>
      </c>
      <c r="K433" s="778">
        <v>-2566089</v>
      </c>
      <c r="L433" s="778">
        <v>-2805682.13</v>
      </c>
      <c r="M433" s="778">
        <v>-3045275.13</v>
      </c>
      <c r="N433" s="778">
        <v>-1739723</v>
      </c>
      <c r="O433" s="778">
        <v>-1957188</v>
      </c>
      <c r="P433" s="778">
        <v>-2174653</v>
      </c>
      <c r="Q433" s="778">
        <v>-2392118</v>
      </c>
      <c r="R433" s="778">
        <v>-2609583</v>
      </c>
      <c r="S433" s="618">
        <f t="shared" si="126"/>
        <v>-2609583</v>
      </c>
      <c r="T433" s="773"/>
      <c r="U433" s="424"/>
      <c r="V433" s="424">
        <f t="shared" si="127"/>
        <v>-2609583</v>
      </c>
      <c r="W433" s="424"/>
      <c r="X433" s="425"/>
      <c r="Y433" s="424"/>
      <c r="Z433" s="424"/>
      <c r="AA433" s="424"/>
      <c r="AB433" s="424"/>
      <c r="AC433" s="779"/>
      <c r="AD433" s="426">
        <f t="shared" si="128"/>
        <v>-2609583</v>
      </c>
      <c r="AE433" s="773"/>
      <c r="AF433" s="781">
        <f t="shared" si="116"/>
        <v>0</v>
      </c>
    </row>
    <row r="434" spans="1:32">
      <c r="A434" s="779">
        <f t="shared" si="118"/>
        <v>420</v>
      </c>
      <c r="B434" s="423" t="s">
        <v>1066</v>
      </c>
      <c r="C434" s="423" t="s">
        <v>626</v>
      </c>
      <c r="D434" s="423" t="s">
        <v>492</v>
      </c>
      <c r="E434" s="763" t="s">
        <v>2004</v>
      </c>
      <c r="F434" s="778">
        <v>-25177.11</v>
      </c>
      <c r="G434" s="778">
        <v>-32458.83</v>
      </c>
      <c r="H434" s="778">
        <v>-24800.98</v>
      </c>
      <c r="I434" s="778">
        <v>-30777.07</v>
      </c>
      <c r="J434" s="778">
        <v>-22118.87</v>
      </c>
      <c r="K434" s="778">
        <v>-16650.46</v>
      </c>
      <c r="L434" s="778">
        <v>-9212.24</v>
      </c>
      <c r="M434" s="778">
        <v>-8026.73</v>
      </c>
      <c r="N434" s="778">
        <v>-6834.81</v>
      </c>
      <c r="O434" s="778">
        <v>-6637.07</v>
      </c>
      <c r="P434" s="778">
        <v>-9284.09</v>
      </c>
      <c r="Q434" s="778">
        <v>-14266.02</v>
      </c>
      <c r="R434" s="778">
        <v>-21934.62</v>
      </c>
      <c r="S434" s="618">
        <f t="shared" si="126"/>
        <v>-21934.62</v>
      </c>
      <c r="T434" s="773"/>
      <c r="U434" s="424"/>
      <c r="V434" s="424">
        <f t="shared" si="127"/>
        <v>-21934.62</v>
      </c>
      <c r="W434" s="424"/>
      <c r="X434" s="425"/>
      <c r="Y434" s="424"/>
      <c r="Z434" s="424"/>
      <c r="AA434" s="424"/>
      <c r="AB434" s="424"/>
      <c r="AC434" s="779"/>
      <c r="AD434" s="426">
        <f t="shared" si="128"/>
        <v>-21934.62</v>
      </c>
      <c r="AE434" s="773"/>
      <c r="AF434" s="781">
        <f t="shared" si="116"/>
        <v>0</v>
      </c>
    </row>
    <row r="435" spans="1:32">
      <c r="A435" s="779">
        <f t="shared" si="118"/>
        <v>421</v>
      </c>
      <c r="B435" s="423" t="s">
        <v>1066</v>
      </c>
      <c r="C435" s="423" t="s">
        <v>626</v>
      </c>
      <c r="D435" s="423" t="s">
        <v>494</v>
      </c>
      <c r="E435" s="763" t="s">
        <v>2015</v>
      </c>
      <c r="F435" s="778">
        <v>-1472281.44</v>
      </c>
      <c r="G435" s="778">
        <v>-1752186.07</v>
      </c>
      <c r="H435" s="778">
        <v>-1524555.55</v>
      </c>
      <c r="I435" s="778">
        <v>-1888150.6</v>
      </c>
      <c r="J435" s="778">
        <v>-1038255.43</v>
      </c>
      <c r="K435" s="778">
        <v>-836688.67</v>
      </c>
      <c r="L435" s="778">
        <v>-720998.43</v>
      </c>
      <c r="M435" s="778">
        <v>-410296.32000000001</v>
      </c>
      <c r="N435" s="778">
        <v>-459178.41</v>
      </c>
      <c r="O435" s="778">
        <v>-503174.24</v>
      </c>
      <c r="P435" s="778">
        <v>-547186.64</v>
      </c>
      <c r="Q435" s="778">
        <v>-827952.79</v>
      </c>
      <c r="R435" s="778">
        <v>-1426163.81</v>
      </c>
      <c r="S435" s="618">
        <f t="shared" si="126"/>
        <v>-1426163.81</v>
      </c>
      <c r="T435" s="773"/>
      <c r="U435" s="424"/>
      <c r="V435" s="424">
        <f t="shared" si="127"/>
        <v>-1426163.81</v>
      </c>
      <c r="W435" s="424"/>
      <c r="X435" s="425"/>
      <c r="Y435" s="424"/>
      <c r="Z435" s="424"/>
      <c r="AA435" s="424"/>
      <c r="AB435" s="424"/>
      <c r="AC435" s="779"/>
      <c r="AD435" s="426">
        <f t="shared" si="128"/>
        <v>-1426163.81</v>
      </c>
      <c r="AE435" s="773"/>
      <c r="AF435" s="781">
        <f t="shared" si="116"/>
        <v>0</v>
      </c>
    </row>
    <row r="436" spans="1:32">
      <c r="A436" s="779">
        <f t="shared" si="118"/>
        <v>422</v>
      </c>
      <c r="B436" s="423" t="s">
        <v>1066</v>
      </c>
      <c r="C436" s="423" t="s">
        <v>626</v>
      </c>
      <c r="D436" s="423" t="s">
        <v>466</v>
      </c>
      <c r="E436" s="763" t="s">
        <v>2016</v>
      </c>
      <c r="F436" s="778">
        <v>-10135.92</v>
      </c>
      <c r="G436" s="778">
        <v>-12940.62</v>
      </c>
      <c r="H436" s="778">
        <v>-8011.66</v>
      </c>
      <c r="I436" s="778">
        <v>-9396.16</v>
      </c>
      <c r="J436" s="778">
        <v>-6155.57</v>
      </c>
      <c r="K436" s="778">
        <v>-3427.35</v>
      </c>
      <c r="L436" s="778">
        <v>-2193.56</v>
      </c>
      <c r="M436" s="778">
        <v>-2168.2199999999998</v>
      </c>
      <c r="N436" s="778">
        <v>-3017.88</v>
      </c>
      <c r="O436" s="778">
        <v>-2613.8200000000002</v>
      </c>
      <c r="P436" s="778">
        <v>-4363.41</v>
      </c>
      <c r="Q436" s="778">
        <v>-6292.07</v>
      </c>
      <c r="R436" s="778">
        <v>-9882.26</v>
      </c>
      <c r="S436" s="618">
        <f t="shared" si="126"/>
        <v>-9882.26</v>
      </c>
      <c r="T436" s="779"/>
      <c r="U436" s="424"/>
      <c r="V436" s="424">
        <f t="shared" si="127"/>
        <v>-9882.26</v>
      </c>
      <c r="W436" s="424"/>
      <c r="X436" s="425"/>
      <c r="Y436" s="424"/>
      <c r="Z436" s="424"/>
      <c r="AA436" s="424"/>
      <c r="AB436" s="424"/>
      <c r="AC436" s="513"/>
      <c r="AD436" s="426">
        <f>+S436</f>
        <v>-9882.26</v>
      </c>
      <c r="AE436" s="779"/>
      <c r="AF436" s="781">
        <f t="shared" si="116"/>
        <v>0</v>
      </c>
    </row>
    <row r="437" spans="1:32">
      <c r="A437" s="779">
        <f t="shared" si="118"/>
        <v>423</v>
      </c>
      <c r="B437" s="423" t="s">
        <v>1066</v>
      </c>
      <c r="C437" s="423" t="s">
        <v>626</v>
      </c>
      <c r="D437" s="423" t="s">
        <v>497</v>
      </c>
      <c r="E437" s="763" t="s">
        <v>2017</v>
      </c>
      <c r="F437" s="778">
        <v>-866.16</v>
      </c>
      <c r="G437" s="778">
        <v>-1018.79</v>
      </c>
      <c r="H437" s="778">
        <v>-1665.18</v>
      </c>
      <c r="I437" s="778">
        <v>-2463.8200000000002</v>
      </c>
      <c r="J437" s="778">
        <v>-507.26</v>
      </c>
      <c r="K437" s="778">
        <v>-890.86</v>
      </c>
      <c r="L437" s="778">
        <v>-1206.9000000000001</v>
      </c>
      <c r="M437" s="778">
        <v>-259.62</v>
      </c>
      <c r="N437" s="778">
        <v>-518.08000000000004</v>
      </c>
      <c r="O437" s="778">
        <v>-750.21</v>
      </c>
      <c r="P437" s="778">
        <v>-310.23</v>
      </c>
      <c r="Q437" s="778">
        <v>-665</v>
      </c>
      <c r="R437" s="778">
        <v>-1344.79</v>
      </c>
      <c r="S437" s="618">
        <f t="shared" si="126"/>
        <v>-1344.79</v>
      </c>
      <c r="T437" s="779"/>
      <c r="U437" s="424"/>
      <c r="V437" s="424">
        <f t="shared" si="127"/>
        <v>-1344.79</v>
      </c>
      <c r="W437" s="424"/>
      <c r="X437" s="425"/>
      <c r="Y437" s="424"/>
      <c r="Z437" s="424"/>
      <c r="AA437" s="424"/>
      <c r="AB437" s="424"/>
      <c r="AC437" s="779"/>
      <c r="AD437" s="426">
        <f t="shared" ref="AD437:AD438" si="129">+S437</f>
        <v>-1344.79</v>
      </c>
      <c r="AE437" s="779"/>
      <c r="AF437" s="781">
        <f t="shared" si="116"/>
        <v>0</v>
      </c>
    </row>
    <row r="438" spans="1:32">
      <c r="A438" s="779">
        <f t="shared" si="118"/>
        <v>424</v>
      </c>
      <c r="B438" s="423" t="s">
        <v>1066</v>
      </c>
      <c r="C438" s="423" t="s">
        <v>626</v>
      </c>
      <c r="D438" s="423" t="s">
        <v>1315</v>
      </c>
      <c r="E438" s="763" t="s">
        <v>2018</v>
      </c>
      <c r="F438" s="778">
        <v>-471392.56</v>
      </c>
      <c r="G438" s="778">
        <v>-548095.99</v>
      </c>
      <c r="H438" s="778">
        <v>-604444.15</v>
      </c>
      <c r="I438" s="778">
        <v>-669260.92000000004</v>
      </c>
      <c r="J438" s="778">
        <v>-244427.13</v>
      </c>
      <c r="K438" s="778">
        <v>-275359.7</v>
      </c>
      <c r="L438" s="778">
        <v>-296175.59000000003</v>
      </c>
      <c r="M438" s="778">
        <v>-314158.63</v>
      </c>
      <c r="N438" s="778">
        <v>-331836.7</v>
      </c>
      <c r="O438" s="778">
        <v>-349500.05</v>
      </c>
      <c r="P438" s="778">
        <v>-374823.76</v>
      </c>
      <c r="Q438" s="778">
        <v>-408134.42</v>
      </c>
      <c r="R438" s="778">
        <v>-460550.9</v>
      </c>
      <c r="S438" s="618">
        <f t="shared" si="126"/>
        <v>-460550.9</v>
      </c>
      <c r="T438" s="779"/>
      <c r="U438" s="424"/>
      <c r="V438" s="424">
        <f t="shared" si="127"/>
        <v>-460550.9</v>
      </c>
      <c r="W438" s="424"/>
      <c r="X438" s="425"/>
      <c r="Y438" s="424"/>
      <c r="Z438" s="424"/>
      <c r="AA438" s="424"/>
      <c r="AB438" s="424"/>
      <c r="AC438" s="779"/>
      <c r="AD438" s="426">
        <f t="shared" si="129"/>
        <v>-460550.9</v>
      </c>
      <c r="AE438" s="779"/>
      <c r="AF438" s="781">
        <f t="shared" si="116"/>
        <v>0</v>
      </c>
    </row>
    <row r="439" spans="1:32">
      <c r="A439" s="779">
        <f t="shared" si="118"/>
        <v>425</v>
      </c>
      <c r="B439" s="423" t="s">
        <v>1066</v>
      </c>
      <c r="C439" s="423" t="s">
        <v>626</v>
      </c>
      <c r="D439" s="423" t="s">
        <v>1316</v>
      </c>
      <c r="E439" s="763" t="s">
        <v>2019</v>
      </c>
      <c r="F439" s="778">
        <v>-2048018.51</v>
      </c>
      <c r="G439" s="778">
        <v>-2227915.69</v>
      </c>
      <c r="H439" s="778">
        <v>-1940040.92</v>
      </c>
      <c r="I439" s="778">
        <v>-1856801.49</v>
      </c>
      <c r="J439" s="778">
        <v>-1324545.1399999999</v>
      </c>
      <c r="K439" s="778">
        <v>-838941.98</v>
      </c>
      <c r="L439" s="778">
        <v>-627624.84</v>
      </c>
      <c r="M439" s="778">
        <v>-571460.75</v>
      </c>
      <c r="N439" s="778">
        <v>-480681.23</v>
      </c>
      <c r="O439" s="778">
        <v>-539745.07999999996</v>
      </c>
      <c r="P439" s="778">
        <v>-833417.67</v>
      </c>
      <c r="Q439" s="778">
        <v>-1240207.42</v>
      </c>
      <c r="R439" s="778">
        <v>-1722879.56</v>
      </c>
      <c r="S439" s="618">
        <f t="shared" si="126"/>
        <v>-1722879.56</v>
      </c>
      <c r="T439" s="773"/>
      <c r="U439" s="424"/>
      <c r="V439" s="424">
        <f t="shared" si="127"/>
        <v>-1722879.56</v>
      </c>
      <c r="W439" s="424"/>
      <c r="X439" s="425"/>
      <c r="Y439" s="424"/>
      <c r="Z439" s="424"/>
      <c r="AA439" s="424"/>
      <c r="AB439" s="424"/>
      <c r="AC439" s="779"/>
      <c r="AD439" s="426">
        <f>+V439</f>
        <v>-1722879.56</v>
      </c>
      <c r="AE439" s="773"/>
      <c r="AF439" s="781">
        <f t="shared" si="116"/>
        <v>0</v>
      </c>
    </row>
    <row r="440" spans="1:32">
      <c r="A440" s="779">
        <f t="shared" si="118"/>
        <v>426</v>
      </c>
      <c r="B440" s="423" t="s">
        <v>1063</v>
      </c>
      <c r="C440" s="423" t="s">
        <v>627</v>
      </c>
      <c r="D440" s="779" t="s">
        <v>1229</v>
      </c>
      <c r="E440" s="763" t="s">
        <v>628</v>
      </c>
      <c r="F440" s="778">
        <v>-3300000</v>
      </c>
      <c r="G440" s="778">
        <v>0</v>
      </c>
      <c r="H440" s="778">
        <v>-2550000</v>
      </c>
      <c r="I440" s="778">
        <v>-2550000</v>
      </c>
      <c r="J440" s="778">
        <v>0</v>
      </c>
      <c r="K440" s="778">
        <v>-2550000</v>
      </c>
      <c r="L440" s="778">
        <v>-2550000</v>
      </c>
      <c r="M440" s="778">
        <v>0</v>
      </c>
      <c r="N440" s="778">
        <v>-2550000</v>
      </c>
      <c r="O440" s="778">
        <v>-2550000</v>
      </c>
      <c r="P440" s="778">
        <v>0</v>
      </c>
      <c r="Q440" s="778">
        <v>-2960000</v>
      </c>
      <c r="R440" s="778">
        <v>-2960000</v>
      </c>
      <c r="S440" s="618">
        <f t="shared" si="126"/>
        <v>-2960000</v>
      </c>
      <c r="T440" s="773"/>
      <c r="U440" s="424"/>
      <c r="V440" s="513"/>
      <c r="W440" s="424">
        <f>+S440</f>
        <v>-2960000</v>
      </c>
      <c r="X440" s="425"/>
      <c r="Y440" s="424"/>
      <c r="Z440" s="424"/>
      <c r="AA440" s="424"/>
      <c r="AB440" s="424"/>
      <c r="AC440" s="426">
        <f>+W440</f>
        <v>-2960000</v>
      </c>
      <c r="AD440" s="513"/>
      <c r="AE440" s="773"/>
      <c r="AF440" s="781">
        <f t="shared" si="116"/>
        <v>0</v>
      </c>
    </row>
    <row r="441" spans="1:32">
      <c r="A441" s="779">
        <f t="shared" si="118"/>
        <v>427</v>
      </c>
      <c r="B441" s="423" t="s">
        <v>1094</v>
      </c>
      <c r="C441" s="423" t="s">
        <v>629</v>
      </c>
      <c r="D441" s="779" t="s">
        <v>1303</v>
      </c>
      <c r="E441" s="763" t="s">
        <v>630</v>
      </c>
      <c r="F441" s="778">
        <v>-235100.39</v>
      </c>
      <c r="G441" s="778">
        <v>-238208.87</v>
      </c>
      <c r="H441" s="778">
        <v>-241336.77</v>
      </c>
      <c r="I441" s="778">
        <v>-237336.66</v>
      </c>
      <c r="J441" s="778">
        <v>-231940.19</v>
      </c>
      <c r="K441" s="778">
        <v>-227937.59</v>
      </c>
      <c r="L441" s="778">
        <v>-221373.89</v>
      </c>
      <c r="M441" s="778">
        <v>-215758.64</v>
      </c>
      <c r="N441" s="778">
        <v>-206727.98</v>
      </c>
      <c r="O441" s="778">
        <v>-203335.66</v>
      </c>
      <c r="P441" s="778">
        <v>-197426.09</v>
      </c>
      <c r="Q441" s="778">
        <v>-204019.20000000001</v>
      </c>
      <c r="R441" s="778">
        <v>-214551.55</v>
      </c>
      <c r="S441" s="618">
        <f t="shared" si="126"/>
        <v>-214551.55</v>
      </c>
      <c r="T441" s="773"/>
      <c r="U441" s="424"/>
      <c r="V441" s="513"/>
      <c r="W441" s="424"/>
      <c r="X441" s="424">
        <f>+S441</f>
        <v>-214551.55</v>
      </c>
      <c r="Y441" s="424"/>
      <c r="Z441" s="424"/>
      <c r="AA441" s="424"/>
      <c r="AB441" s="426">
        <f>+X441</f>
        <v>-214551.55</v>
      </c>
      <c r="AC441" s="779"/>
      <c r="AD441" s="513"/>
      <c r="AE441" s="773"/>
      <c r="AF441" s="781">
        <f t="shared" si="116"/>
        <v>0</v>
      </c>
    </row>
    <row r="442" spans="1:32">
      <c r="A442" s="779">
        <f t="shared" si="118"/>
        <v>428</v>
      </c>
      <c r="B442" s="423" t="s">
        <v>1066</v>
      </c>
      <c r="C442" s="423" t="s">
        <v>629</v>
      </c>
      <c r="D442" s="423" t="s">
        <v>1303</v>
      </c>
      <c r="E442" s="763" t="s">
        <v>630</v>
      </c>
      <c r="F442" s="778">
        <v>-669802.86</v>
      </c>
      <c r="G442" s="778">
        <v>-700520.54</v>
      </c>
      <c r="H442" s="778">
        <v>-725815.9</v>
      </c>
      <c r="I442" s="778">
        <v>-727468.53</v>
      </c>
      <c r="J442" s="778">
        <v>-748200.86</v>
      </c>
      <c r="K442" s="778">
        <v>-709722.11</v>
      </c>
      <c r="L442" s="778">
        <v>-689311</v>
      </c>
      <c r="M442" s="778">
        <v>-669259.64</v>
      </c>
      <c r="N442" s="778">
        <v>-650519.93999999994</v>
      </c>
      <c r="O442" s="778">
        <v>-660279.89</v>
      </c>
      <c r="P442" s="778">
        <v>-671034.37</v>
      </c>
      <c r="Q442" s="778">
        <v>-686346.34</v>
      </c>
      <c r="R442" s="778">
        <v>-678553.58</v>
      </c>
      <c r="S442" s="618">
        <f t="shared" si="126"/>
        <v>-678553.58</v>
      </c>
      <c r="T442" s="773"/>
      <c r="U442" s="424"/>
      <c r="V442" s="513"/>
      <c r="W442" s="424"/>
      <c r="X442" s="424">
        <f>+S442</f>
        <v>-678553.58</v>
      </c>
      <c r="Y442" s="424"/>
      <c r="Z442" s="424"/>
      <c r="AA442" s="424"/>
      <c r="AB442" s="426">
        <f>+X442</f>
        <v>-678553.58</v>
      </c>
      <c r="AC442" s="779"/>
      <c r="AD442" s="513"/>
      <c r="AE442" s="773"/>
      <c r="AF442" s="781">
        <f t="shared" si="116"/>
        <v>0</v>
      </c>
    </row>
    <row r="443" spans="1:32">
      <c r="A443" s="779">
        <f t="shared" si="118"/>
        <v>429</v>
      </c>
      <c r="B443" s="423" t="s">
        <v>1063</v>
      </c>
      <c r="C443" s="423" t="s">
        <v>631</v>
      </c>
      <c r="D443" s="423" t="s">
        <v>482</v>
      </c>
      <c r="E443" s="763" t="s">
        <v>1983</v>
      </c>
      <c r="F443" s="778">
        <v>-374000</v>
      </c>
      <c r="G443" s="778">
        <v>-498666.67</v>
      </c>
      <c r="H443" s="778">
        <v>-623333.34</v>
      </c>
      <c r="I443" s="778">
        <v>-748000</v>
      </c>
      <c r="J443" s="778">
        <v>-124666.67</v>
      </c>
      <c r="K443" s="778">
        <v>-249333.34</v>
      </c>
      <c r="L443" s="778">
        <v>-374000</v>
      </c>
      <c r="M443" s="778">
        <v>-498666.67</v>
      </c>
      <c r="N443" s="778">
        <v>-623333.34</v>
      </c>
      <c r="O443" s="778">
        <v>-748000</v>
      </c>
      <c r="P443" s="778">
        <v>-124666.67</v>
      </c>
      <c r="Q443" s="778">
        <v>-249333.34</v>
      </c>
      <c r="R443" s="778">
        <v>-374000</v>
      </c>
      <c r="S443" s="618">
        <f t="shared" si="126"/>
        <v>-374000</v>
      </c>
      <c r="T443" s="773"/>
      <c r="U443" s="424"/>
      <c r="V443" s="424">
        <f t="shared" ref="V443:V478" si="130">+S443</f>
        <v>-374000</v>
      </c>
      <c r="W443" s="424"/>
      <c r="X443" s="425"/>
      <c r="Y443" s="424"/>
      <c r="Z443" s="424"/>
      <c r="AA443" s="424"/>
      <c r="AB443" s="424"/>
      <c r="AC443" s="779"/>
      <c r="AD443" s="426">
        <f t="shared" ref="AD443:AD493" si="131">+V443</f>
        <v>-374000</v>
      </c>
      <c r="AE443" s="773"/>
      <c r="AF443" s="781">
        <f t="shared" si="116"/>
        <v>0</v>
      </c>
    </row>
    <row r="444" spans="1:32">
      <c r="A444" s="779">
        <f t="shared" si="118"/>
        <v>430</v>
      </c>
      <c r="B444" s="423" t="s">
        <v>1063</v>
      </c>
      <c r="C444" s="423" t="s">
        <v>631</v>
      </c>
      <c r="D444" s="423" t="s">
        <v>484</v>
      </c>
      <c r="E444" s="763" t="s">
        <v>1984</v>
      </c>
      <c r="F444" s="778">
        <v>-266175</v>
      </c>
      <c r="G444" s="778">
        <v>-354900</v>
      </c>
      <c r="H444" s="778">
        <v>-443625</v>
      </c>
      <c r="I444" s="778">
        <v>-532350</v>
      </c>
      <c r="J444" s="778">
        <v>-88725</v>
      </c>
      <c r="K444" s="778">
        <v>-177450</v>
      </c>
      <c r="L444" s="778">
        <v>-266175</v>
      </c>
      <c r="M444" s="778">
        <v>-354900</v>
      </c>
      <c r="N444" s="778">
        <v>-443625</v>
      </c>
      <c r="O444" s="778">
        <v>-532350</v>
      </c>
      <c r="P444" s="778">
        <v>-88725</v>
      </c>
      <c r="Q444" s="778">
        <v>-177450</v>
      </c>
      <c r="R444" s="778">
        <v>-266175</v>
      </c>
      <c r="S444" s="618">
        <f t="shared" si="126"/>
        <v>-266175</v>
      </c>
      <c r="T444" s="773"/>
      <c r="U444" s="424"/>
      <c r="V444" s="424">
        <f t="shared" si="130"/>
        <v>-266175</v>
      </c>
      <c r="W444" s="424"/>
      <c r="X444" s="425"/>
      <c r="Y444" s="424"/>
      <c r="Z444" s="424"/>
      <c r="AA444" s="424"/>
      <c r="AB444" s="424"/>
      <c r="AC444" s="779"/>
      <c r="AD444" s="426">
        <f t="shared" si="131"/>
        <v>-266175</v>
      </c>
      <c r="AE444" s="773"/>
      <c r="AF444" s="781">
        <f t="shared" si="116"/>
        <v>0</v>
      </c>
    </row>
    <row r="445" spans="1:32">
      <c r="A445" s="779">
        <f t="shared" si="118"/>
        <v>431</v>
      </c>
      <c r="B445" s="423" t="s">
        <v>1063</v>
      </c>
      <c r="C445" s="423" t="s">
        <v>631</v>
      </c>
      <c r="D445" s="423" t="s">
        <v>486</v>
      </c>
      <c r="E445" s="763" t="s">
        <v>1985</v>
      </c>
      <c r="F445" s="778">
        <v>-213771.26</v>
      </c>
      <c r="G445" s="778">
        <v>-320656.89</v>
      </c>
      <c r="H445" s="778">
        <v>-106776.25</v>
      </c>
      <c r="I445" s="778">
        <v>-213552.5</v>
      </c>
      <c r="J445" s="778">
        <v>-320328.75</v>
      </c>
      <c r="K445" s="778">
        <v>-106754.38</v>
      </c>
      <c r="L445" s="778">
        <v>-213508.76</v>
      </c>
      <c r="M445" s="778">
        <v>-320263.14</v>
      </c>
      <c r="N445" s="778">
        <v>-106754.38</v>
      </c>
      <c r="O445" s="778">
        <v>-213508.76</v>
      </c>
      <c r="P445" s="778">
        <v>-320263.13</v>
      </c>
      <c r="Q445" s="778">
        <v>-106579.38</v>
      </c>
      <c r="R445" s="778">
        <v>-213158.76</v>
      </c>
      <c r="S445" s="618">
        <f t="shared" si="126"/>
        <v>-213158.76</v>
      </c>
      <c r="T445" s="773"/>
      <c r="U445" s="424"/>
      <c r="V445" s="424">
        <f t="shared" si="130"/>
        <v>-213158.76</v>
      </c>
      <c r="W445" s="424"/>
      <c r="X445" s="425"/>
      <c r="Y445" s="424"/>
      <c r="Z445" s="424"/>
      <c r="AA445" s="424"/>
      <c r="AB445" s="424"/>
      <c r="AC445" s="779"/>
      <c r="AD445" s="426">
        <f t="shared" si="131"/>
        <v>-213158.76</v>
      </c>
      <c r="AE445" s="773"/>
      <c r="AF445" s="781">
        <f t="shared" si="116"/>
        <v>0</v>
      </c>
    </row>
    <row r="446" spans="1:32">
      <c r="A446" s="779">
        <f t="shared" si="118"/>
        <v>432</v>
      </c>
      <c r="B446" s="423" t="s">
        <v>1063</v>
      </c>
      <c r="C446" s="423" t="s">
        <v>631</v>
      </c>
      <c r="D446" s="423" t="s">
        <v>488</v>
      </c>
      <c r="E446" s="763" t="s">
        <v>1986</v>
      </c>
      <c r="F446" s="778">
        <v>-260500</v>
      </c>
      <c r="G446" s="778">
        <v>-325625</v>
      </c>
      <c r="H446" s="778">
        <v>-390750</v>
      </c>
      <c r="I446" s="778">
        <v>-65125</v>
      </c>
      <c r="J446" s="778">
        <v>-130250</v>
      </c>
      <c r="K446" s="778">
        <v>-195375</v>
      </c>
      <c r="L446" s="778">
        <v>-260500</v>
      </c>
      <c r="M446" s="778">
        <v>-325625</v>
      </c>
      <c r="N446" s="778">
        <v>-390750</v>
      </c>
      <c r="O446" s="778">
        <v>-65125</v>
      </c>
      <c r="P446" s="778">
        <v>-130250</v>
      </c>
      <c r="Q446" s="778">
        <v>-195375</v>
      </c>
      <c r="R446" s="778">
        <v>-260500</v>
      </c>
      <c r="S446" s="618">
        <f t="shared" si="126"/>
        <v>-260500</v>
      </c>
      <c r="T446" s="773"/>
      <c r="U446" s="424"/>
      <c r="V446" s="424">
        <f t="shared" si="130"/>
        <v>-260500</v>
      </c>
      <c r="W446" s="424"/>
      <c r="X446" s="425"/>
      <c r="Y446" s="424"/>
      <c r="Z446" s="424"/>
      <c r="AA446" s="424"/>
      <c r="AB446" s="424"/>
      <c r="AC446" s="779"/>
      <c r="AD446" s="426">
        <f t="shared" si="131"/>
        <v>-260500</v>
      </c>
      <c r="AE446" s="773"/>
      <c r="AF446" s="781">
        <f t="shared" si="116"/>
        <v>0</v>
      </c>
    </row>
    <row r="447" spans="1:32">
      <c r="A447" s="779">
        <f t="shared" si="118"/>
        <v>433</v>
      </c>
      <c r="B447" s="423" t="s">
        <v>1063</v>
      </c>
      <c r="C447" s="423" t="s">
        <v>631</v>
      </c>
      <c r="D447" s="423" t="s">
        <v>490</v>
      </c>
      <c r="E447" s="763" t="s">
        <v>1987</v>
      </c>
      <c r="F447" s="778">
        <v>-772000</v>
      </c>
      <c r="G447" s="778">
        <v>-965000</v>
      </c>
      <c r="H447" s="778">
        <v>-1158000</v>
      </c>
      <c r="I447" s="778">
        <v>-193000</v>
      </c>
      <c r="J447" s="778">
        <v>-386000</v>
      </c>
      <c r="K447" s="778">
        <v>-579000</v>
      </c>
      <c r="L447" s="778">
        <v>-772000</v>
      </c>
      <c r="M447" s="778">
        <v>-965000</v>
      </c>
      <c r="N447" s="778">
        <v>-1158000</v>
      </c>
      <c r="O447" s="778">
        <v>-193000</v>
      </c>
      <c r="P447" s="778">
        <v>-386000</v>
      </c>
      <c r="Q447" s="778">
        <v>-579000</v>
      </c>
      <c r="R447" s="778">
        <v>-772000</v>
      </c>
      <c r="S447" s="618">
        <f t="shared" si="126"/>
        <v>-772000</v>
      </c>
      <c r="T447" s="773"/>
      <c r="U447" s="424"/>
      <c r="V447" s="424">
        <f t="shared" si="130"/>
        <v>-772000</v>
      </c>
      <c r="W447" s="424"/>
      <c r="X447" s="425"/>
      <c r="Y447" s="424"/>
      <c r="Z447" s="424"/>
      <c r="AA447" s="424"/>
      <c r="AB447" s="424"/>
      <c r="AC447" s="779"/>
      <c r="AD447" s="426">
        <f t="shared" si="131"/>
        <v>-772000</v>
      </c>
      <c r="AE447" s="773"/>
      <c r="AF447" s="781">
        <f t="shared" si="116"/>
        <v>0</v>
      </c>
    </row>
    <row r="448" spans="1:32">
      <c r="A448" s="779">
        <f t="shared" si="118"/>
        <v>434</v>
      </c>
      <c r="B448" s="423" t="s">
        <v>1063</v>
      </c>
      <c r="C448" s="423" t="s">
        <v>631</v>
      </c>
      <c r="D448" s="423" t="s">
        <v>492</v>
      </c>
      <c r="E448" s="763" t="s">
        <v>1988</v>
      </c>
      <c r="F448" s="778">
        <v>-342500</v>
      </c>
      <c r="G448" s="778">
        <v>-428125</v>
      </c>
      <c r="H448" s="778">
        <v>0</v>
      </c>
      <c r="I448" s="778">
        <v>-85625</v>
      </c>
      <c r="J448" s="778">
        <v>-171250</v>
      </c>
      <c r="K448" s="778">
        <v>-256875</v>
      </c>
      <c r="L448" s="778">
        <v>-342500</v>
      </c>
      <c r="M448" s="778">
        <v>-428125</v>
      </c>
      <c r="N448" s="778">
        <v>0</v>
      </c>
      <c r="O448" s="778">
        <v>-85625</v>
      </c>
      <c r="P448" s="778">
        <v>-171250</v>
      </c>
      <c r="Q448" s="778">
        <v>-256875</v>
      </c>
      <c r="R448" s="778">
        <v>-342500</v>
      </c>
      <c r="S448" s="618">
        <f t="shared" si="126"/>
        <v>-342500</v>
      </c>
      <c r="T448" s="773"/>
      <c r="U448" s="424"/>
      <c r="V448" s="424">
        <f t="shared" si="130"/>
        <v>-342500</v>
      </c>
      <c r="W448" s="424"/>
      <c r="X448" s="425"/>
      <c r="Y448" s="424"/>
      <c r="Z448" s="424"/>
      <c r="AA448" s="424"/>
      <c r="AB448" s="424"/>
      <c r="AC448" s="779"/>
      <c r="AD448" s="426">
        <f t="shared" si="131"/>
        <v>-342500</v>
      </c>
      <c r="AE448" s="773"/>
      <c r="AF448" s="781">
        <f t="shared" si="116"/>
        <v>0</v>
      </c>
    </row>
    <row r="449" spans="1:32">
      <c r="A449" s="779">
        <f t="shared" si="118"/>
        <v>435</v>
      </c>
      <c r="B449" s="423" t="s">
        <v>1063</v>
      </c>
      <c r="C449" s="423" t="s">
        <v>631</v>
      </c>
      <c r="D449" s="423" t="s">
        <v>494</v>
      </c>
      <c r="E449" s="763" t="s">
        <v>1989</v>
      </c>
      <c r="F449" s="778">
        <v>-363333.33</v>
      </c>
      <c r="G449" s="778">
        <v>-454166.66</v>
      </c>
      <c r="H449" s="778">
        <v>-5.8207660913467401E-11</v>
      </c>
      <c r="I449" s="778">
        <v>-90833.330000000104</v>
      </c>
      <c r="J449" s="778">
        <v>-181666.66</v>
      </c>
      <c r="K449" s="778">
        <v>-272500</v>
      </c>
      <c r="L449" s="778">
        <v>-363333.33</v>
      </c>
      <c r="M449" s="778">
        <v>-454166.66</v>
      </c>
      <c r="N449" s="778">
        <v>-1.16415321826935E-10</v>
      </c>
      <c r="O449" s="778">
        <v>-90833.330000000104</v>
      </c>
      <c r="P449" s="778">
        <v>-181666.66</v>
      </c>
      <c r="Q449" s="778">
        <v>-272499.99</v>
      </c>
      <c r="R449" s="778">
        <v>-363333.33</v>
      </c>
      <c r="S449" s="618">
        <f t="shared" si="126"/>
        <v>-363333.33</v>
      </c>
      <c r="T449" s="773"/>
      <c r="U449" s="424"/>
      <c r="V449" s="424">
        <f t="shared" si="130"/>
        <v>-363333.33</v>
      </c>
      <c r="W449" s="424"/>
      <c r="X449" s="425"/>
      <c r="Y449" s="424"/>
      <c r="Z449" s="424"/>
      <c r="AA449" s="424"/>
      <c r="AB449" s="424"/>
      <c r="AC449" s="779"/>
      <c r="AD449" s="426">
        <f t="shared" si="131"/>
        <v>-363333.33</v>
      </c>
      <c r="AE449" s="773"/>
      <c r="AF449" s="781">
        <f t="shared" si="116"/>
        <v>0</v>
      </c>
    </row>
    <row r="450" spans="1:32">
      <c r="A450" s="779">
        <f t="shared" si="118"/>
        <v>436</v>
      </c>
      <c r="B450" s="423" t="s">
        <v>1063</v>
      </c>
      <c r="C450" s="423" t="s">
        <v>631</v>
      </c>
      <c r="D450" s="423" t="s">
        <v>497</v>
      </c>
      <c r="E450" s="763" t="s">
        <v>1990</v>
      </c>
      <c r="F450" s="778">
        <v>-42604.17</v>
      </c>
      <c r="G450" s="778">
        <v>-85208.34</v>
      </c>
      <c r="H450" s="778">
        <v>-127812.5</v>
      </c>
      <c r="I450" s="778">
        <v>-170416.67</v>
      </c>
      <c r="J450" s="778">
        <v>-213020.84</v>
      </c>
      <c r="K450" s="778">
        <v>2.91038304567337E-11</v>
      </c>
      <c r="L450" s="778">
        <v>-42604.17</v>
      </c>
      <c r="M450" s="778">
        <v>-85208.34</v>
      </c>
      <c r="N450" s="778">
        <v>-127812.5</v>
      </c>
      <c r="O450" s="778">
        <v>-170416.67</v>
      </c>
      <c r="P450" s="778">
        <v>-213020.84</v>
      </c>
      <c r="Q450" s="778">
        <v>2.91038304567337E-11</v>
      </c>
      <c r="R450" s="778">
        <v>-42604.17</v>
      </c>
      <c r="S450" s="618">
        <f t="shared" si="126"/>
        <v>-42604.17</v>
      </c>
      <c r="T450" s="773"/>
      <c r="U450" s="424"/>
      <c r="V450" s="424">
        <f t="shared" si="130"/>
        <v>-42604.17</v>
      </c>
      <c r="W450" s="424"/>
      <c r="X450" s="425"/>
      <c r="Y450" s="424"/>
      <c r="Z450" s="424"/>
      <c r="AA450" s="424"/>
      <c r="AB450" s="424"/>
      <c r="AC450" s="779"/>
      <c r="AD450" s="426">
        <f t="shared" si="131"/>
        <v>-42604.17</v>
      </c>
      <c r="AE450" s="773"/>
      <c r="AF450" s="781">
        <f t="shared" si="116"/>
        <v>0</v>
      </c>
    </row>
    <row r="451" spans="1:32">
      <c r="A451" s="779">
        <f t="shared" si="118"/>
        <v>437</v>
      </c>
      <c r="B451" s="423" t="s">
        <v>1063</v>
      </c>
      <c r="C451" s="423" t="s">
        <v>631</v>
      </c>
      <c r="D451" s="423" t="s">
        <v>499</v>
      </c>
      <c r="E451" s="763" t="s">
        <v>1991</v>
      </c>
      <c r="F451" s="778">
        <v>-44166.67</v>
      </c>
      <c r="G451" s="778">
        <v>-88333.34</v>
      </c>
      <c r="H451" s="778">
        <v>-132500</v>
      </c>
      <c r="I451" s="778">
        <v>-176666.67</v>
      </c>
      <c r="J451" s="778">
        <v>-220833.34</v>
      </c>
      <c r="K451" s="778">
        <v>2.91038304567337E-11</v>
      </c>
      <c r="L451" s="778">
        <v>-44166.67</v>
      </c>
      <c r="M451" s="778">
        <v>-88333.34</v>
      </c>
      <c r="N451" s="778">
        <v>-132500</v>
      </c>
      <c r="O451" s="778">
        <v>-176666.67</v>
      </c>
      <c r="P451" s="778">
        <v>-220833.34</v>
      </c>
      <c r="Q451" s="778">
        <v>2.91038304567337E-11</v>
      </c>
      <c r="R451" s="778">
        <v>-44166.67</v>
      </c>
      <c r="S451" s="618">
        <f t="shared" si="126"/>
        <v>-44166.67</v>
      </c>
      <c r="T451" s="773"/>
      <c r="U451" s="424"/>
      <c r="V451" s="424">
        <f t="shared" si="130"/>
        <v>-44166.67</v>
      </c>
      <c r="W451" s="424"/>
      <c r="X451" s="425"/>
      <c r="Y451" s="424"/>
      <c r="Z451" s="424"/>
      <c r="AA451" s="424"/>
      <c r="AB451" s="424"/>
      <c r="AC451" s="779"/>
      <c r="AD451" s="426">
        <f t="shared" si="131"/>
        <v>-44166.67</v>
      </c>
      <c r="AE451" s="773"/>
      <c r="AF451" s="781">
        <f t="shared" si="116"/>
        <v>0</v>
      </c>
    </row>
    <row r="452" spans="1:32">
      <c r="A452" s="779">
        <f t="shared" si="118"/>
        <v>438</v>
      </c>
      <c r="B452" s="423" t="s">
        <v>1063</v>
      </c>
      <c r="C452" s="423" t="s">
        <v>631</v>
      </c>
      <c r="D452" s="423" t="s">
        <v>501</v>
      </c>
      <c r="E452" s="763" t="s">
        <v>1992</v>
      </c>
      <c r="F452" s="778">
        <v>-213020.84</v>
      </c>
      <c r="G452" s="778">
        <v>0</v>
      </c>
      <c r="H452" s="778">
        <v>-42604.17</v>
      </c>
      <c r="I452" s="778">
        <v>-85208.34</v>
      </c>
      <c r="J452" s="778">
        <v>-127812.5</v>
      </c>
      <c r="K452" s="778">
        <v>-170416.67</v>
      </c>
      <c r="L452" s="778">
        <v>-213020.84</v>
      </c>
      <c r="M452" s="778">
        <v>2.91038304567337E-11</v>
      </c>
      <c r="N452" s="778">
        <v>-42604.17</v>
      </c>
      <c r="O452" s="778">
        <v>-85208.34</v>
      </c>
      <c r="P452" s="778">
        <v>-127812.5</v>
      </c>
      <c r="Q452" s="778">
        <v>-170416.66</v>
      </c>
      <c r="R452" s="778">
        <v>-213020.83</v>
      </c>
      <c r="S452" s="618">
        <f t="shared" si="126"/>
        <v>-213020.83</v>
      </c>
      <c r="T452" s="773"/>
      <c r="U452" s="424"/>
      <c r="V452" s="424">
        <f t="shared" si="130"/>
        <v>-213020.83</v>
      </c>
      <c r="W452" s="424"/>
      <c r="X452" s="425"/>
      <c r="Y452" s="424"/>
      <c r="Z452" s="424"/>
      <c r="AA452" s="424"/>
      <c r="AB452" s="424"/>
      <c r="AC452" s="779"/>
      <c r="AD452" s="426">
        <f t="shared" si="131"/>
        <v>-213020.83</v>
      </c>
      <c r="AE452" s="773"/>
      <c r="AF452" s="781">
        <f t="shared" si="116"/>
        <v>0</v>
      </c>
    </row>
    <row r="453" spans="1:32">
      <c r="A453" s="779">
        <f t="shared" si="118"/>
        <v>439</v>
      </c>
      <c r="B453" s="423" t="s">
        <v>1063</v>
      </c>
      <c r="C453" s="423" t="s">
        <v>631</v>
      </c>
      <c r="D453" s="423" t="s">
        <v>502</v>
      </c>
      <c r="E453" s="763" t="s">
        <v>1993</v>
      </c>
      <c r="F453" s="778">
        <v>-220833.34</v>
      </c>
      <c r="G453" s="778">
        <v>0</v>
      </c>
      <c r="H453" s="778">
        <v>-44166.67</v>
      </c>
      <c r="I453" s="778">
        <v>-88333.34</v>
      </c>
      <c r="J453" s="778">
        <v>-132500</v>
      </c>
      <c r="K453" s="778">
        <v>-176666.67</v>
      </c>
      <c r="L453" s="778">
        <v>-220833.34</v>
      </c>
      <c r="M453" s="778">
        <v>2.91038304567337E-11</v>
      </c>
      <c r="N453" s="778">
        <v>-44166.67</v>
      </c>
      <c r="O453" s="778">
        <v>-88333.34</v>
      </c>
      <c r="P453" s="778">
        <v>-132500</v>
      </c>
      <c r="Q453" s="778">
        <v>-176666.66</v>
      </c>
      <c r="R453" s="778">
        <v>-220833.33</v>
      </c>
      <c r="S453" s="618">
        <f t="shared" si="126"/>
        <v>-220833.33</v>
      </c>
      <c r="T453" s="773"/>
      <c r="U453" s="424"/>
      <c r="V453" s="424">
        <f t="shared" si="130"/>
        <v>-220833.33</v>
      </c>
      <c r="W453" s="424"/>
      <c r="X453" s="425"/>
      <c r="Y453" s="424"/>
      <c r="Z453" s="424"/>
      <c r="AA453" s="424"/>
      <c r="AB453" s="424"/>
      <c r="AC453" s="779"/>
      <c r="AD453" s="426">
        <f t="shared" si="131"/>
        <v>-220833.33</v>
      </c>
      <c r="AE453" s="773"/>
      <c r="AF453" s="781">
        <f t="shared" si="116"/>
        <v>0</v>
      </c>
    </row>
    <row r="454" spans="1:32">
      <c r="A454" s="779">
        <f t="shared" si="118"/>
        <v>440</v>
      </c>
      <c r="B454" s="423" t="s">
        <v>1063</v>
      </c>
      <c r="C454" s="423" t="s">
        <v>631</v>
      </c>
      <c r="D454" s="423" t="s">
        <v>1230</v>
      </c>
      <c r="E454" s="763" t="s">
        <v>1711</v>
      </c>
      <c r="F454" s="778">
        <v>-520.86000000000104</v>
      </c>
      <c r="G454" s="778">
        <v>-8593.7800000000007</v>
      </c>
      <c r="H454" s="778">
        <v>-15885.45</v>
      </c>
      <c r="I454" s="778">
        <v>-260.460000000001</v>
      </c>
      <c r="J454" s="778">
        <v>-8072.96</v>
      </c>
      <c r="K454" s="778">
        <v>-16145.88</v>
      </c>
      <c r="L454" s="778">
        <v>-260.460000000001</v>
      </c>
      <c r="M454" s="778">
        <v>-8333.3799999999992</v>
      </c>
      <c r="N454" s="778">
        <v>-16406.3</v>
      </c>
      <c r="O454" s="778">
        <v>-520.89000000000306</v>
      </c>
      <c r="P454" s="778">
        <v>-8593.81</v>
      </c>
      <c r="Q454" s="778">
        <v>-16406.310000000001</v>
      </c>
      <c r="R454" s="778">
        <v>-3.6379788070917101E-12</v>
      </c>
      <c r="S454" s="618">
        <f t="shared" si="126"/>
        <v>-3.6379788070917101E-12</v>
      </c>
      <c r="T454" s="773"/>
      <c r="U454" s="424"/>
      <c r="V454" s="424">
        <f t="shared" si="130"/>
        <v>-3.6379788070917101E-12</v>
      </c>
      <c r="W454" s="424"/>
      <c r="X454" s="425"/>
      <c r="Y454" s="424"/>
      <c r="Z454" s="424"/>
      <c r="AA454" s="424"/>
      <c r="AB454" s="424"/>
      <c r="AC454" s="779"/>
      <c r="AD454" s="426">
        <f t="shared" si="131"/>
        <v>-3.6379788070917101E-12</v>
      </c>
      <c r="AE454" s="773"/>
      <c r="AF454" s="781">
        <f t="shared" si="116"/>
        <v>0</v>
      </c>
    </row>
    <row r="455" spans="1:32">
      <c r="A455" s="779">
        <f t="shared" si="118"/>
        <v>441</v>
      </c>
      <c r="B455" s="423" t="s">
        <v>1063</v>
      </c>
      <c r="C455" s="423" t="s">
        <v>631</v>
      </c>
      <c r="D455" s="423" t="s">
        <v>1304</v>
      </c>
      <c r="E455" s="763" t="s">
        <v>1712</v>
      </c>
      <c r="F455" s="778">
        <v>-8531.5</v>
      </c>
      <c r="G455" s="778">
        <v>-50865.41</v>
      </c>
      <c r="H455" s="778">
        <v>-70517.460000000006</v>
      </c>
      <c r="I455" s="778">
        <v>-2303.4200000000101</v>
      </c>
      <c r="J455" s="778">
        <v>-8237.6600000000108</v>
      </c>
      <c r="K455" s="778">
        <v>-12870.55</v>
      </c>
      <c r="L455" s="778">
        <v>-1869.8600000000099</v>
      </c>
      <c r="M455" s="778">
        <v>-24613.01</v>
      </c>
      <c r="N455" s="778">
        <v>-89381.9</v>
      </c>
      <c r="O455" s="778">
        <v>-5304.6300000000201</v>
      </c>
      <c r="P455" s="778">
        <v>-33573.870000000003</v>
      </c>
      <c r="Q455" s="778">
        <v>-102685.22</v>
      </c>
      <c r="R455" s="778">
        <v>-43049.35</v>
      </c>
      <c r="S455" s="618">
        <f t="shared" si="126"/>
        <v>-43049.35</v>
      </c>
      <c r="T455" s="773"/>
      <c r="U455" s="424"/>
      <c r="V455" s="424">
        <f t="shared" si="130"/>
        <v>-43049.35</v>
      </c>
      <c r="W455" s="424"/>
      <c r="X455" s="425"/>
      <c r="Y455" s="424"/>
      <c r="Z455" s="424"/>
      <c r="AA455" s="424"/>
      <c r="AB455" s="424"/>
      <c r="AC455" s="779"/>
      <c r="AD455" s="426">
        <f t="shared" si="131"/>
        <v>-43049.35</v>
      </c>
      <c r="AE455" s="773"/>
      <c r="AF455" s="781">
        <f t="shared" si="116"/>
        <v>0</v>
      </c>
    </row>
    <row r="456" spans="1:32">
      <c r="A456" s="779">
        <f t="shared" si="118"/>
        <v>442</v>
      </c>
      <c r="B456" s="423" t="s">
        <v>1063</v>
      </c>
      <c r="C456" s="423" t="s">
        <v>632</v>
      </c>
      <c r="D456" s="423" t="s">
        <v>539</v>
      </c>
      <c r="E456" s="763" t="s">
        <v>1997</v>
      </c>
      <c r="F456" s="778">
        <v>-1360693.4</v>
      </c>
      <c r="G456" s="778">
        <v>-562804.01</v>
      </c>
      <c r="H456" s="778">
        <v>-571593.88</v>
      </c>
      <c r="I456" s="778">
        <v>-793186.23</v>
      </c>
      <c r="J456" s="778">
        <v>-946891.08</v>
      </c>
      <c r="K456" s="778">
        <v>-1224902.76</v>
      </c>
      <c r="L456" s="778">
        <v>-1461362.52</v>
      </c>
      <c r="M456" s="778">
        <v>-626453.24</v>
      </c>
      <c r="N456" s="778">
        <v>-1151382.69</v>
      </c>
      <c r="O456" s="778">
        <v>-1151219.03</v>
      </c>
      <c r="P456" s="778">
        <v>-1515025.98</v>
      </c>
      <c r="Q456" s="778">
        <v>-1769235.33</v>
      </c>
      <c r="R456" s="778">
        <v>-1772825.1</v>
      </c>
      <c r="S456" s="618">
        <f t="shared" si="126"/>
        <v>-1772825.1</v>
      </c>
      <c r="T456" s="773"/>
      <c r="U456" s="424"/>
      <c r="V456" s="424">
        <f t="shared" si="130"/>
        <v>-1772825.1</v>
      </c>
      <c r="W456" s="424"/>
      <c r="X456" s="425"/>
      <c r="Y456" s="424"/>
      <c r="Z456" s="424"/>
      <c r="AA456" s="424"/>
      <c r="AB456" s="424"/>
      <c r="AC456" s="779"/>
      <c r="AD456" s="426">
        <f t="shared" si="131"/>
        <v>-1772825.1</v>
      </c>
      <c r="AE456" s="773"/>
      <c r="AF456" s="781">
        <f t="shared" si="116"/>
        <v>0</v>
      </c>
    </row>
    <row r="457" spans="1:32">
      <c r="A457" s="779">
        <f t="shared" si="118"/>
        <v>443</v>
      </c>
      <c r="B457" s="423" t="s">
        <v>1063</v>
      </c>
      <c r="C457" s="423" t="s">
        <v>632</v>
      </c>
      <c r="D457" s="423" t="s">
        <v>575</v>
      </c>
      <c r="E457" s="763" t="s">
        <v>1998</v>
      </c>
      <c r="F457" s="778">
        <v>-1949366.41</v>
      </c>
      <c r="G457" s="778">
        <v>-2071341.73</v>
      </c>
      <c r="H457" s="778">
        <v>-69769.070000000094</v>
      </c>
      <c r="I457" s="778">
        <v>-298193.8</v>
      </c>
      <c r="J457" s="778">
        <v>-445913.7</v>
      </c>
      <c r="K457" s="778">
        <v>-543216.31999999995</v>
      </c>
      <c r="L457" s="778">
        <v>-663997.51</v>
      </c>
      <c r="M457" s="778">
        <v>-757989.65</v>
      </c>
      <c r="N457" s="778">
        <v>-886464.92</v>
      </c>
      <c r="O457" s="778">
        <v>-990138.77</v>
      </c>
      <c r="P457" s="778">
        <v>-1108535.76</v>
      </c>
      <c r="Q457" s="778">
        <v>-1224700.83</v>
      </c>
      <c r="R457" s="778">
        <v>-982534</v>
      </c>
      <c r="S457" s="618">
        <f t="shared" si="126"/>
        <v>-982534</v>
      </c>
      <c r="T457" s="773"/>
      <c r="U457" s="424"/>
      <c r="V457" s="424">
        <f t="shared" si="130"/>
        <v>-982534</v>
      </c>
      <c r="W457" s="424"/>
      <c r="X457" s="425"/>
      <c r="Y457" s="424"/>
      <c r="Z457" s="424"/>
      <c r="AA457" s="424"/>
      <c r="AB457" s="424"/>
      <c r="AC457" s="779"/>
      <c r="AD457" s="426">
        <f t="shared" si="131"/>
        <v>-982534</v>
      </c>
      <c r="AE457" s="773"/>
      <c r="AF457" s="781">
        <f t="shared" si="116"/>
        <v>0</v>
      </c>
    </row>
    <row r="458" spans="1:32">
      <c r="A458" s="779">
        <f t="shared" si="118"/>
        <v>444</v>
      </c>
      <c r="B458" s="423" t="s">
        <v>1063</v>
      </c>
      <c r="C458" s="423" t="s">
        <v>633</v>
      </c>
      <c r="D458" s="423" t="s">
        <v>1274</v>
      </c>
      <c r="E458" s="763" t="s">
        <v>1994</v>
      </c>
      <c r="F458" s="778">
        <v>-5605117.29</v>
      </c>
      <c r="G458" s="778">
        <v>-4037456.2</v>
      </c>
      <c r="H458" s="778">
        <v>-3470047.35</v>
      </c>
      <c r="I458" s="778">
        <v>-2709222.66</v>
      </c>
      <c r="J458" s="778">
        <v>-2601531</v>
      </c>
      <c r="K458" s="778">
        <v>-2997566.52</v>
      </c>
      <c r="L458" s="778">
        <v>-3651542.1</v>
      </c>
      <c r="M458" s="778">
        <v>-4572227.87</v>
      </c>
      <c r="N458" s="778">
        <v>-5716094.1799999997</v>
      </c>
      <c r="O458" s="778">
        <v>-6487400.5700000003</v>
      </c>
      <c r="P458" s="778">
        <v>-7458966.1299999999</v>
      </c>
      <c r="Q458" s="778">
        <v>-8070011.71</v>
      </c>
      <c r="R458" s="778">
        <v>-6948083.4400000004</v>
      </c>
      <c r="S458" s="618">
        <f t="shared" si="126"/>
        <v>-6948083.4400000004</v>
      </c>
      <c r="T458" s="773"/>
      <c r="U458" s="424"/>
      <c r="V458" s="424">
        <f t="shared" si="130"/>
        <v>-6948083.4400000004</v>
      </c>
      <c r="W458" s="424"/>
      <c r="X458" s="425"/>
      <c r="Y458" s="424"/>
      <c r="Z458" s="424"/>
      <c r="AA458" s="424"/>
      <c r="AB458" s="424"/>
      <c r="AC458" s="779"/>
      <c r="AD458" s="426">
        <f t="shared" si="131"/>
        <v>-6948083.4400000004</v>
      </c>
      <c r="AE458" s="773"/>
      <c r="AF458" s="781">
        <f t="shared" si="116"/>
        <v>0</v>
      </c>
    </row>
    <row r="459" spans="1:32">
      <c r="A459" s="779">
        <f t="shared" si="118"/>
        <v>445</v>
      </c>
      <c r="B459" s="423" t="s">
        <v>1063</v>
      </c>
      <c r="C459" s="423" t="s">
        <v>633</v>
      </c>
      <c r="D459" s="423" t="s">
        <v>1317</v>
      </c>
      <c r="E459" s="763" t="s">
        <v>1995</v>
      </c>
      <c r="F459" s="778">
        <v>-66033.08</v>
      </c>
      <c r="G459" s="778">
        <v>-26235</v>
      </c>
      <c r="H459" s="778">
        <v>-52470</v>
      </c>
      <c r="I459" s="778">
        <v>-70363.94</v>
      </c>
      <c r="J459" s="778">
        <v>-27395.41</v>
      </c>
      <c r="K459" s="778">
        <v>-53630.41</v>
      </c>
      <c r="L459" s="778">
        <v>-79865.41</v>
      </c>
      <c r="M459" s="778">
        <v>-38903.629999999997</v>
      </c>
      <c r="N459" s="778">
        <v>-58804.32</v>
      </c>
      <c r="O459" s="778">
        <v>-78705.009999999995</v>
      </c>
      <c r="P459" s="778">
        <v>-29402.17</v>
      </c>
      <c r="Q459" s="778">
        <v>-49302.86</v>
      </c>
      <c r="R459" s="778">
        <v>-69203.53</v>
      </c>
      <c r="S459" s="618">
        <f t="shared" si="126"/>
        <v>-69203.53</v>
      </c>
      <c r="T459" s="773"/>
      <c r="U459" s="424"/>
      <c r="V459" s="424">
        <f t="shared" si="130"/>
        <v>-69203.53</v>
      </c>
      <c r="W459" s="424"/>
      <c r="X459" s="425"/>
      <c r="Y459" s="424"/>
      <c r="Z459" s="424"/>
      <c r="AA459" s="424"/>
      <c r="AB459" s="424"/>
      <c r="AC459" s="779"/>
      <c r="AD459" s="426">
        <f t="shared" si="131"/>
        <v>-69203.53</v>
      </c>
      <c r="AE459" s="773"/>
      <c r="AF459" s="781">
        <f t="shared" si="116"/>
        <v>0</v>
      </c>
    </row>
    <row r="460" spans="1:32">
      <c r="A460" s="779">
        <f t="shared" si="118"/>
        <v>446</v>
      </c>
      <c r="B460" s="423" t="s">
        <v>1063</v>
      </c>
      <c r="C460" s="423" t="s">
        <v>633</v>
      </c>
      <c r="D460" s="423" t="s">
        <v>1318</v>
      </c>
      <c r="E460" s="763" t="s">
        <v>1996</v>
      </c>
      <c r="F460" s="778">
        <v>-580796</v>
      </c>
      <c r="G460" s="778">
        <v>-580796</v>
      </c>
      <c r="H460" s="778">
        <v>-580796</v>
      </c>
      <c r="I460" s="778">
        <v>-580796</v>
      </c>
      <c r="J460" s="778">
        <v>-580796</v>
      </c>
      <c r="K460" s="778">
        <v>-580796</v>
      </c>
      <c r="L460" s="778">
        <v>-580796</v>
      </c>
      <c r="M460" s="778">
        <v>-580796</v>
      </c>
      <c r="N460" s="778">
        <v>-580796</v>
      </c>
      <c r="O460" s="778">
        <v>-580796</v>
      </c>
      <c r="P460" s="778">
        <v>-580796</v>
      </c>
      <c r="Q460" s="778">
        <v>-580796</v>
      </c>
      <c r="R460" s="778">
        <v>-577471</v>
      </c>
      <c r="S460" s="618">
        <f t="shared" si="126"/>
        <v>-577471</v>
      </c>
      <c r="T460" s="773"/>
      <c r="U460" s="424"/>
      <c r="V460" s="424">
        <f t="shared" si="130"/>
        <v>-577471</v>
      </c>
      <c r="W460" s="424"/>
      <c r="X460" s="425"/>
      <c r="Y460" s="424"/>
      <c r="Z460" s="424"/>
      <c r="AA460" s="424"/>
      <c r="AB460" s="424"/>
      <c r="AC460" s="779"/>
      <c r="AD460" s="426">
        <f t="shared" si="131"/>
        <v>-577471</v>
      </c>
      <c r="AE460" s="773"/>
      <c r="AF460" s="781">
        <f t="shared" si="116"/>
        <v>0</v>
      </c>
    </row>
    <row r="461" spans="1:32">
      <c r="A461" s="779">
        <f t="shared" si="118"/>
        <v>447</v>
      </c>
      <c r="B461" s="423" t="s">
        <v>1063</v>
      </c>
      <c r="C461" s="423" t="s">
        <v>633</v>
      </c>
      <c r="D461" s="423" t="s">
        <v>1319</v>
      </c>
      <c r="E461" s="763" t="s">
        <v>460</v>
      </c>
      <c r="F461" s="778">
        <v>8.7311491370201098E-11</v>
      </c>
      <c r="G461" s="778">
        <v>0</v>
      </c>
      <c r="H461" s="778">
        <v>0</v>
      </c>
      <c r="I461" s="778">
        <v>0</v>
      </c>
      <c r="J461" s="778">
        <v>0</v>
      </c>
      <c r="K461" s="778">
        <v>0</v>
      </c>
      <c r="L461" s="778">
        <v>0</v>
      </c>
      <c r="M461" s="778">
        <v>0</v>
      </c>
      <c r="N461" s="778">
        <v>0</v>
      </c>
      <c r="O461" s="778">
        <v>0</v>
      </c>
      <c r="P461" s="778">
        <v>0</v>
      </c>
      <c r="Q461" s="778">
        <v>0</v>
      </c>
      <c r="R461" s="778">
        <v>0</v>
      </c>
      <c r="S461" s="618">
        <f t="shared" si="126"/>
        <v>0</v>
      </c>
      <c r="T461" s="773"/>
      <c r="U461" s="424"/>
      <c r="V461" s="424">
        <f t="shared" si="130"/>
        <v>0</v>
      </c>
      <c r="W461" s="424"/>
      <c r="X461" s="425"/>
      <c r="Y461" s="424"/>
      <c r="Z461" s="424"/>
      <c r="AA461" s="424"/>
      <c r="AB461" s="424"/>
      <c r="AC461" s="779"/>
      <c r="AD461" s="426">
        <f t="shared" si="131"/>
        <v>0</v>
      </c>
      <c r="AE461" s="773"/>
      <c r="AF461" s="781">
        <f t="shared" si="116"/>
        <v>0</v>
      </c>
    </row>
    <row r="462" spans="1:32">
      <c r="A462" s="779">
        <f t="shared" si="118"/>
        <v>448</v>
      </c>
      <c r="B462" s="423" t="s">
        <v>1063</v>
      </c>
      <c r="C462" s="423" t="s">
        <v>634</v>
      </c>
      <c r="D462" s="423" t="s">
        <v>539</v>
      </c>
      <c r="E462" s="763" t="s">
        <v>635</v>
      </c>
      <c r="F462" s="778">
        <v>-2092665.97</v>
      </c>
      <c r="G462" s="778">
        <v>-2092665.97</v>
      </c>
      <c r="H462" s="778">
        <v>-2092665.97</v>
      </c>
      <c r="I462" s="778">
        <v>-2092665.97</v>
      </c>
      <c r="J462" s="778">
        <v>-2092665.97</v>
      </c>
      <c r="K462" s="778">
        <v>-2092665.97</v>
      </c>
      <c r="L462" s="778">
        <v>-2078691.53</v>
      </c>
      <c r="M462" s="778">
        <v>-2078691.53</v>
      </c>
      <c r="N462" s="778">
        <v>-2078691.53</v>
      </c>
      <c r="O462" s="778">
        <v>-2159678.75</v>
      </c>
      <c r="P462" s="778">
        <v>-2159678.75</v>
      </c>
      <c r="Q462" s="778">
        <v>-2159678.75</v>
      </c>
      <c r="R462" s="778">
        <v>-2189962.41</v>
      </c>
      <c r="S462" s="618">
        <f t="shared" si="126"/>
        <v>-2189962.41</v>
      </c>
      <c r="T462" s="773"/>
      <c r="U462" s="424"/>
      <c r="V462" s="424">
        <f t="shared" si="130"/>
        <v>-2189962.41</v>
      </c>
      <c r="W462" s="424"/>
      <c r="X462" s="425"/>
      <c r="Y462" s="424"/>
      <c r="Z462" s="424"/>
      <c r="AA462" s="424"/>
      <c r="AB462" s="424"/>
      <c r="AC462" s="779"/>
      <c r="AD462" s="426">
        <f t="shared" si="131"/>
        <v>-2189962.41</v>
      </c>
      <c r="AE462" s="773"/>
      <c r="AF462" s="781">
        <f t="shared" si="116"/>
        <v>0</v>
      </c>
    </row>
    <row r="463" spans="1:32">
      <c r="A463" s="779">
        <f t="shared" si="118"/>
        <v>449</v>
      </c>
      <c r="B463" s="423" t="s">
        <v>1063</v>
      </c>
      <c r="C463" s="423" t="s">
        <v>1713</v>
      </c>
      <c r="D463" s="423" t="s">
        <v>382</v>
      </c>
      <c r="E463" s="763" t="s">
        <v>460</v>
      </c>
      <c r="F463" s="778">
        <v>-16277.030000000101</v>
      </c>
      <c r="G463" s="778">
        <v>-63577.5</v>
      </c>
      <c r="H463" s="778">
        <v>-179765.46</v>
      </c>
      <c r="I463" s="778">
        <v>-48756.55</v>
      </c>
      <c r="J463" s="778">
        <v>-79769.259999999995</v>
      </c>
      <c r="K463" s="778">
        <v>-1.45519152283669E-11</v>
      </c>
      <c r="L463" s="778">
        <v>-327123.71000000002</v>
      </c>
      <c r="M463" s="778">
        <v>-27648.45</v>
      </c>
      <c r="N463" s="778">
        <v>-1.09139364212751E-11</v>
      </c>
      <c r="O463" s="778">
        <v>-1.09139364212751E-11</v>
      </c>
      <c r="P463" s="778">
        <v>-1052717.67</v>
      </c>
      <c r="Q463" s="778">
        <v>-2697523.61</v>
      </c>
      <c r="R463" s="778">
        <v>-727822.38</v>
      </c>
      <c r="S463" s="618">
        <f t="shared" si="126"/>
        <v>-727822.38</v>
      </c>
      <c r="T463" s="773"/>
      <c r="U463" s="424"/>
      <c r="V463" s="424">
        <f t="shared" si="130"/>
        <v>-727822.38</v>
      </c>
      <c r="W463" s="424"/>
      <c r="X463" s="425"/>
      <c r="Y463" s="424"/>
      <c r="Z463" s="424"/>
      <c r="AA463" s="424"/>
      <c r="AB463" s="424"/>
      <c r="AC463" s="779"/>
      <c r="AD463" s="426">
        <f t="shared" si="131"/>
        <v>-727822.38</v>
      </c>
      <c r="AE463" s="773"/>
      <c r="AF463" s="781">
        <f t="shared" ref="AF463:AF526" si="132">+U463+V463-AD463</f>
        <v>0</v>
      </c>
    </row>
    <row r="464" spans="1:32">
      <c r="A464" s="779">
        <f t="shared" si="118"/>
        <v>450</v>
      </c>
      <c r="B464" s="423" t="s">
        <v>1063</v>
      </c>
      <c r="C464" s="423" t="s">
        <v>636</v>
      </c>
      <c r="D464" s="423" t="s">
        <v>1320</v>
      </c>
      <c r="E464" s="763" t="s">
        <v>2002</v>
      </c>
      <c r="F464" s="778">
        <v>-102879.03999999999</v>
      </c>
      <c r="G464" s="778">
        <v>-111356.94</v>
      </c>
      <c r="H464" s="778">
        <v>-117451.94</v>
      </c>
      <c r="I464" s="778">
        <v>-118720.15</v>
      </c>
      <c r="J464" s="778">
        <v>-116515.65</v>
      </c>
      <c r="K464" s="778">
        <v>-100822.19</v>
      </c>
      <c r="L464" s="778">
        <v>-93312.41</v>
      </c>
      <c r="M464" s="778">
        <v>-88320.65</v>
      </c>
      <c r="N464" s="778">
        <v>-89882.65</v>
      </c>
      <c r="O464" s="778">
        <v>-86586.62</v>
      </c>
      <c r="P464" s="778">
        <v>-96163.31</v>
      </c>
      <c r="Q464" s="778">
        <v>-101243.69</v>
      </c>
      <c r="R464" s="778">
        <v>-106849.59</v>
      </c>
      <c r="S464" s="618">
        <f t="shared" si="126"/>
        <v>-106849.59</v>
      </c>
      <c r="T464" s="773"/>
      <c r="U464" s="424"/>
      <c r="V464" s="424">
        <f t="shared" si="130"/>
        <v>-106849.59</v>
      </c>
      <c r="W464" s="424"/>
      <c r="X464" s="425"/>
      <c r="Y464" s="424"/>
      <c r="Z464" s="424"/>
      <c r="AA464" s="424"/>
      <c r="AB464" s="424"/>
      <c r="AC464" s="779"/>
      <c r="AD464" s="426">
        <f t="shared" si="131"/>
        <v>-106849.59</v>
      </c>
      <c r="AE464" s="773"/>
      <c r="AF464" s="781">
        <f t="shared" si="132"/>
        <v>0</v>
      </c>
    </row>
    <row r="465" spans="1:32">
      <c r="A465" s="779">
        <f t="shared" ref="A465:A528" si="133">+A464+1</f>
        <v>451</v>
      </c>
      <c r="B465" s="423" t="s">
        <v>1094</v>
      </c>
      <c r="C465" s="423" t="s">
        <v>636</v>
      </c>
      <c r="D465" s="779" t="s">
        <v>1229</v>
      </c>
      <c r="E465" s="763" t="s">
        <v>2005</v>
      </c>
      <c r="F465" s="778">
        <v>-455525.18</v>
      </c>
      <c r="G465" s="778">
        <v>-329659.74</v>
      </c>
      <c r="H465" s="778">
        <v>-310821.45</v>
      </c>
      <c r="I465" s="778">
        <v>-237025.65</v>
      </c>
      <c r="J465" s="778">
        <v>-172789.08</v>
      </c>
      <c r="K465" s="778">
        <v>-93608.35</v>
      </c>
      <c r="L465" s="778">
        <v>-82228.73</v>
      </c>
      <c r="M465" s="778">
        <v>-69890</v>
      </c>
      <c r="N465" s="778">
        <v>-45443.94</v>
      </c>
      <c r="O465" s="778">
        <v>-88488.31</v>
      </c>
      <c r="P465" s="778">
        <v>-173578.99</v>
      </c>
      <c r="Q465" s="778">
        <v>-276778.13</v>
      </c>
      <c r="R465" s="778">
        <v>-346866.55</v>
      </c>
      <c r="S465" s="618">
        <f t="shared" si="126"/>
        <v>-346866.55</v>
      </c>
      <c r="T465" s="773"/>
      <c r="U465" s="424"/>
      <c r="V465" s="424">
        <f t="shared" si="130"/>
        <v>-346866.55</v>
      </c>
      <c r="W465" s="424"/>
      <c r="X465" s="425"/>
      <c r="Y465" s="424"/>
      <c r="Z465" s="424"/>
      <c r="AA465" s="424"/>
      <c r="AB465" s="424"/>
      <c r="AC465" s="779"/>
      <c r="AD465" s="426">
        <f t="shared" si="131"/>
        <v>-346866.55</v>
      </c>
      <c r="AE465" s="773"/>
      <c r="AF465" s="781">
        <f t="shared" si="132"/>
        <v>0</v>
      </c>
    </row>
    <row r="466" spans="1:32">
      <c r="A466" s="779">
        <f t="shared" si="133"/>
        <v>452</v>
      </c>
      <c r="B466" s="423" t="s">
        <v>1094</v>
      </c>
      <c r="C466" s="423" t="s">
        <v>636</v>
      </c>
      <c r="D466" s="779" t="s">
        <v>472</v>
      </c>
      <c r="E466" s="763" t="s">
        <v>2006</v>
      </c>
      <c r="F466" s="778">
        <v>-398641.31</v>
      </c>
      <c r="G466" s="778">
        <v>-438142.11</v>
      </c>
      <c r="H466" s="778">
        <v>-463467.44</v>
      </c>
      <c r="I466" s="778">
        <v>-489257.52</v>
      </c>
      <c r="J466" s="778">
        <v>-514724.87</v>
      </c>
      <c r="K466" s="778">
        <v>-530201.36</v>
      </c>
      <c r="L466" s="778">
        <v>-540777.02</v>
      </c>
      <c r="M466" s="778">
        <v>-554114.22</v>
      </c>
      <c r="N466" s="778">
        <v>-563086.65</v>
      </c>
      <c r="O466" s="778">
        <v>-572686.96</v>
      </c>
      <c r="P466" s="778">
        <v>-605065.63</v>
      </c>
      <c r="Q466" s="778">
        <v>-656362.47</v>
      </c>
      <c r="R466" s="778">
        <v>-720197.02</v>
      </c>
      <c r="S466" s="618">
        <f t="shared" si="126"/>
        <v>-720197.02</v>
      </c>
      <c r="T466" s="773"/>
      <c r="U466" s="424"/>
      <c r="V466" s="424">
        <f t="shared" si="130"/>
        <v>-720197.02</v>
      </c>
      <c r="W466" s="424"/>
      <c r="X466" s="425"/>
      <c r="Y466" s="424"/>
      <c r="Z466" s="424"/>
      <c r="AA466" s="424"/>
      <c r="AB466" s="424"/>
      <c r="AC466" s="779"/>
      <c r="AD466" s="426">
        <f t="shared" si="131"/>
        <v>-720197.02</v>
      </c>
      <c r="AE466" s="773"/>
      <c r="AF466" s="781">
        <f t="shared" si="132"/>
        <v>0</v>
      </c>
    </row>
    <row r="467" spans="1:32">
      <c r="A467" s="779">
        <f t="shared" si="133"/>
        <v>453</v>
      </c>
      <c r="B467" s="423" t="s">
        <v>1094</v>
      </c>
      <c r="C467" s="423" t="s">
        <v>636</v>
      </c>
      <c r="D467" s="779" t="s">
        <v>459</v>
      </c>
      <c r="E467" s="763" t="s">
        <v>2007</v>
      </c>
      <c r="F467" s="778">
        <v>-41743.449999999997</v>
      </c>
      <c r="G467" s="778">
        <v>-41189.11</v>
      </c>
      <c r="H467" s="778">
        <v>-43335.9</v>
      </c>
      <c r="I467" s="778">
        <v>-41907.46</v>
      </c>
      <c r="J467" s="778">
        <v>-40455.26</v>
      </c>
      <c r="K467" s="778">
        <v>-39832.870000000003</v>
      </c>
      <c r="L467" s="778">
        <v>-40416.559999999998</v>
      </c>
      <c r="M467" s="778">
        <v>-40244.720000000001</v>
      </c>
      <c r="N467" s="778">
        <v>-39599.43</v>
      </c>
      <c r="O467" s="778">
        <v>-40925.279999999999</v>
      </c>
      <c r="P467" s="778">
        <v>-44430.38</v>
      </c>
      <c r="Q467" s="778">
        <v>-47685.16</v>
      </c>
      <c r="R467" s="778">
        <v>-48875.44</v>
      </c>
      <c r="S467" s="618">
        <f t="shared" si="126"/>
        <v>-48875.44</v>
      </c>
      <c r="T467" s="773"/>
      <c r="U467" s="424"/>
      <c r="V467" s="424">
        <f t="shared" si="130"/>
        <v>-48875.44</v>
      </c>
      <c r="W467" s="424"/>
      <c r="X467" s="425"/>
      <c r="Y467" s="424"/>
      <c r="Z467" s="424"/>
      <c r="AA467" s="424"/>
      <c r="AB467" s="424"/>
      <c r="AC467" s="779"/>
      <c r="AD467" s="426">
        <f t="shared" si="131"/>
        <v>-48875.44</v>
      </c>
      <c r="AE467" s="773"/>
      <c r="AF467" s="781">
        <f t="shared" si="132"/>
        <v>0</v>
      </c>
    </row>
    <row r="468" spans="1:32">
      <c r="A468" s="779">
        <f t="shared" si="133"/>
        <v>454</v>
      </c>
      <c r="B468" s="423" t="s">
        <v>1094</v>
      </c>
      <c r="C468" s="423" t="s">
        <v>636</v>
      </c>
      <c r="D468" s="779" t="s">
        <v>505</v>
      </c>
      <c r="E468" s="763" t="s">
        <v>2008</v>
      </c>
      <c r="F468" s="778">
        <v>403227.42</v>
      </c>
      <c r="G468" s="778">
        <v>403227.42</v>
      </c>
      <c r="H468" s="778">
        <v>421176.51</v>
      </c>
      <c r="I468" s="778">
        <v>446665.36</v>
      </c>
      <c r="J468" s="778">
        <v>454844.82</v>
      </c>
      <c r="K468" s="778">
        <v>456803.74</v>
      </c>
      <c r="L468" s="778">
        <v>465018.63</v>
      </c>
      <c r="M468" s="778">
        <v>465018.63</v>
      </c>
      <c r="N468" s="778">
        <v>465018.63</v>
      </c>
      <c r="O468" s="778">
        <v>473546.58</v>
      </c>
      <c r="P468" s="778">
        <v>473546.58</v>
      </c>
      <c r="Q468" s="778">
        <v>473546.58</v>
      </c>
      <c r="R468" s="778">
        <v>473546.58</v>
      </c>
      <c r="S468" s="618">
        <f t="shared" si="126"/>
        <v>473546.58</v>
      </c>
      <c r="T468" s="773"/>
      <c r="U468" s="424"/>
      <c r="V468" s="424">
        <f t="shared" si="130"/>
        <v>473546.58</v>
      </c>
      <c r="W468" s="424"/>
      <c r="X468" s="425"/>
      <c r="Y468" s="424"/>
      <c r="Z468" s="424"/>
      <c r="AA468" s="424"/>
      <c r="AB468" s="424"/>
      <c r="AC468" s="779"/>
      <c r="AD468" s="426">
        <f t="shared" si="131"/>
        <v>473546.58</v>
      </c>
      <c r="AE468" s="773"/>
      <c r="AF468" s="781">
        <f t="shared" si="132"/>
        <v>0</v>
      </c>
    </row>
    <row r="469" spans="1:32">
      <c r="A469" s="779">
        <f t="shared" si="133"/>
        <v>455</v>
      </c>
      <c r="B469" s="423" t="s">
        <v>1066</v>
      </c>
      <c r="C469" s="423" t="s">
        <v>636</v>
      </c>
      <c r="D469" s="779" t="s">
        <v>459</v>
      </c>
      <c r="E469" s="763" t="s">
        <v>2007</v>
      </c>
      <c r="F469" s="778">
        <v>-679958.24</v>
      </c>
      <c r="G469" s="778">
        <v>-649386.93999999994</v>
      </c>
      <c r="H469" s="778">
        <v>-657967.30000000005</v>
      </c>
      <c r="I469" s="778">
        <v>-637058.73</v>
      </c>
      <c r="J469" s="778">
        <v>-581935.12</v>
      </c>
      <c r="K469" s="778">
        <v>-523095.22</v>
      </c>
      <c r="L469" s="778">
        <v>-485005.71</v>
      </c>
      <c r="M469" s="778">
        <v>-469403.86</v>
      </c>
      <c r="N469" s="778">
        <v>-470756.34</v>
      </c>
      <c r="O469" s="778">
        <v>-520349.3</v>
      </c>
      <c r="P469" s="778">
        <v>-547799.32999999996</v>
      </c>
      <c r="Q469" s="778">
        <v>-510360.2</v>
      </c>
      <c r="R469" s="778">
        <v>-525935.19999999995</v>
      </c>
      <c r="S469" s="618">
        <f t="shared" si="126"/>
        <v>-525935.19999999995</v>
      </c>
      <c r="T469" s="773"/>
      <c r="U469" s="424"/>
      <c r="V469" s="424">
        <f t="shared" si="130"/>
        <v>-525935.19999999995</v>
      </c>
      <c r="W469" s="424"/>
      <c r="X469" s="425"/>
      <c r="Y469" s="424"/>
      <c r="Z469" s="424"/>
      <c r="AA469" s="424"/>
      <c r="AB469" s="424"/>
      <c r="AC469" s="779"/>
      <c r="AD469" s="426">
        <f t="shared" si="131"/>
        <v>-525935.19999999995</v>
      </c>
      <c r="AE469" s="773"/>
      <c r="AF469" s="781">
        <f t="shared" si="132"/>
        <v>0</v>
      </c>
    </row>
    <row r="470" spans="1:32">
      <c r="A470" s="779">
        <f t="shared" si="133"/>
        <v>456</v>
      </c>
      <c r="B470" s="423" t="s">
        <v>1063</v>
      </c>
      <c r="C470" s="423" t="s">
        <v>636</v>
      </c>
      <c r="D470" s="779" t="s">
        <v>1321</v>
      </c>
      <c r="E470" s="763" t="s">
        <v>1999</v>
      </c>
      <c r="F470" s="778">
        <v>-47530.65</v>
      </c>
      <c r="G470" s="778">
        <v>-43579.95</v>
      </c>
      <c r="H470" s="778">
        <v>-43550.84</v>
      </c>
      <c r="I470" s="778">
        <v>-49183.12</v>
      </c>
      <c r="J470" s="778">
        <v>-25951.200000000001</v>
      </c>
      <c r="K470" s="778">
        <v>-28529.41</v>
      </c>
      <c r="L470" s="778">
        <v>-32888.54</v>
      </c>
      <c r="M470" s="778">
        <v>-30804.94</v>
      </c>
      <c r="N470" s="778">
        <v>-52826.58</v>
      </c>
      <c r="O470" s="778">
        <v>-51930.46</v>
      </c>
      <c r="P470" s="778">
        <v>-59332.13</v>
      </c>
      <c r="Q470" s="778">
        <v>-37855.919999999998</v>
      </c>
      <c r="R470" s="778">
        <v>-57073.15</v>
      </c>
      <c r="S470" s="618">
        <f t="shared" si="126"/>
        <v>-57073.15</v>
      </c>
      <c r="T470" s="773"/>
      <c r="U470" s="424"/>
      <c r="V470" s="424">
        <f t="shared" si="130"/>
        <v>-57073.15</v>
      </c>
      <c r="W470" s="424"/>
      <c r="X470" s="425"/>
      <c r="Y470" s="424"/>
      <c r="Z470" s="424"/>
      <c r="AA470" s="424"/>
      <c r="AB470" s="424"/>
      <c r="AC470" s="779"/>
      <c r="AD470" s="426">
        <f t="shared" si="131"/>
        <v>-57073.15</v>
      </c>
      <c r="AE470" s="773"/>
      <c r="AF470" s="781">
        <f t="shared" si="132"/>
        <v>0</v>
      </c>
    </row>
    <row r="471" spans="1:32">
      <c r="A471" s="779">
        <f t="shared" si="133"/>
        <v>457</v>
      </c>
      <c r="B471" s="423" t="s">
        <v>1063</v>
      </c>
      <c r="C471" s="423" t="s">
        <v>636</v>
      </c>
      <c r="D471" s="779" t="s">
        <v>1322</v>
      </c>
      <c r="E471" s="763" t="s">
        <v>2000</v>
      </c>
      <c r="F471" s="778">
        <v>-1192988.49</v>
      </c>
      <c r="G471" s="778">
        <v>-1366295.6</v>
      </c>
      <c r="H471" s="778">
        <v>-429490.29</v>
      </c>
      <c r="I471" s="778">
        <v>-595602.67000000004</v>
      </c>
      <c r="J471" s="778">
        <v>-756113.45</v>
      </c>
      <c r="K471" s="778">
        <v>-915178.83</v>
      </c>
      <c r="L471" s="778">
        <v>-1065159.8899999999</v>
      </c>
      <c r="M471" s="778">
        <v>-1218225.3899999999</v>
      </c>
      <c r="N471" s="778">
        <v>-559619.32999999996</v>
      </c>
      <c r="O471" s="778">
        <v>-709835.13</v>
      </c>
      <c r="P471" s="778">
        <v>-886037.76</v>
      </c>
      <c r="Q471" s="778">
        <v>-1055260.47</v>
      </c>
      <c r="R471" s="778">
        <v>-1208196.57</v>
      </c>
      <c r="S471" s="618">
        <f t="shared" si="126"/>
        <v>-1208196.57</v>
      </c>
      <c r="T471" s="773"/>
      <c r="U471" s="424"/>
      <c r="V471" s="424">
        <f t="shared" si="130"/>
        <v>-1208196.57</v>
      </c>
      <c r="W471" s="424"/>
      <c r="X471" s="425"/>
      <c r="Y471" s="424"/>
      <c r="Z471" s="424"/>
      <c r="AA471" s="424"/>
      <c r="AB471" s="424"/>
      <c r="AC471" s="779"/>
      <c r="AD471" s="426">
        <f t="shared" si="131"/>
        <v>-1208196.57</v>
      </c>
      <c r="AE471" s="773"/>
      <c r="AF471" s="781">
        <f t="shared" si="132"/>
        <v>0</v>
      </c>
    </row>
    <row r="472" spans="1:32">
      <c r="A472" s="779">
        <f t="shared" si="133"/>
        <v>458</v>
      </c>
      <c r="B472" s="423" t="s">
        <v>1063</v>
      </c>
      <c r="C472" s="423" t="s">
        <v>636</v>
      </c>
      <c r="D472" s="779" t="s">
        <v>1714</v>
      </c>
      <c r="E472" s="763" t="s">
        <v>2001</v>
      </c>
      <c r="F472" s="778">
        <v>-166761</v>
      </c>
      <c r="G472" s="778">
        <v>-166761</v>
      </c>
      <c r="H472" s="778">
        <v>0</v>
      </c>
      <c r="I472" s="778">
        <v>0</v>
      </c>
      <c r="J472" s="778">
        <v>0</v>
      </c>
      <c r="K472" s="778">
        <v>0</v>
      </c>
      <c r="L472" s="778">
        <v>0</v>
      </c>
      <c r="M472" s="778">
        <v>0</v>
      </c>
      <c r="N472" s="778">
        <v>0</v>
      </c>
      <c r="O472" s="778">
        <v>0</v>
      </c>
      <c r="P472" s="778">
        <v>628.39</v>
      </c>
      <c r="Q472" s="778">
        <v>628.39</v>
      </c>
      <c r="R472" s="778">
        <v>628.39</v>
      </c>
      <c r="S472" s="618">
        <f t="shared" si="126"/>
        <v>628.39</v>
      </c>
      <c r="T472" s="773"/>
      <c r="U472" s="424"/>
      <c r="V472" s="424">
        <f t="shared" si="130"/>
        <v>628.39</v>
      </c>
      <c r="W472" s="424"/>
      <c r="X472" s="425"/>
      <c r="Y472" s="424"/>
      <c r="Z472" s="424"/>
      <c r="AA472" s="424"/>
      <c r="AB472" s="424"/>
      <c r="AC472" s="779"/>
      <c r="AD472" s="426">
        <f t="shared" si="131"/>
        <v>628.39</v>
      </c>
      <c r="AE472" s="773"/>
      <c r="AF472" s="781">
        <f t="shared" si="132"/>
        <v>0</v>
      </c>
    </row>
    <row r="473" spans="1:32">
      <c r="A473" s="779">
        <f t="shared" si="133"/>
        <v>459</v>
      </c>
      <c r="B473" s="423" t="s">
        <v>1063</v>
      </c>
      <c r="C473" s="423" t="s">
        <v>637</v>
      </c>
      <c r="D473" s="779" t="s">
        <v>472</v>
      </c>
      <c r="E473" s="763" t="s">
        <v>638</v>
      </c>
      <c r="F473" s="778">
        <v>-400000</v>
      </c>
      <c r="G473" s="778">
        <v>-379517.67</v>
      </c>
      <c r="H473" s="778">
        <v>-379517.67</v>
      </c>
      <c r="I473" s="778">
        <v>-379517.67</v>
      </c>
      <c r="J473" s="778">
        <v>-379517.67</v>
      </c>
      <c r="K473" s="778">
        <v>-379517.67</v>
      </c>
      <c r="L473" s="778">
        <v>-379517.67</v>
      </c>
      <c r="M473" s="778">
        <v>-379517.67</v>
      </c>
      <c r="N473" s="778">
        <v>-379517.67</v>
      </c>
      <c r="O473" s="778">
        <v>-379517.67</v>
      </c>
      <c r="P473" s="778">
        <v>-379517.67</v>
      </c>
      <c r="Q473" s="778">
        <v>-379517.67</v>
      </c>
      <c r="R473" s="778">
        <v>-379517.67</v>
      </c>
      <c r="S473" s="618">
        <f t="shared" si="126"/>
        <v>-379517.67</v>
      </c>
      <c r="T473" s="773"/>
      <c r="U473" s="424"/>
      <c r="V473" s="424">
        <f t="shared" si="130"/>
        <v>-379517.67</v>
      </c>
      <c r="W473" s="424"/>
      <c r="X473" s="425"/>
      <c r="Y473" s="424"/>
      <c r="Z473" s="424"/>
      <c r="AA473" s="424"/>
      <c r="AB473" s="424"/>
      <c r="AC473" s="779"/>
      <c r="AD473" s="426">
        <f t="shared" si="131"/>
        <v>-379517.67</v>
      </c>
      <c r="AE473" s="773"/>
      <c r="AF473" s="781">
        <f t="shared" si="132"/>
        <v>0</v>
      </c>
    </row>
    <row r="474" spans="1:32">
      <c r="A474" s="779">
        <f t="shared" si="133"/>
        <v>460</v>
      </c>
      <c r="B474" s="423" t="s">
        <v>1066</v>
      </c>
      <c r="C474" s="423" t="s">
        <v>637</v>
      </c>
      <c r="D474" s="779" t="s">
        <v>472</v>
      </c>
      <c r="E474" s="763" t="s">
        <v>638</v>
      </c>
      <c r="F474" s="778">
        <v>0</v>
      </c>
      <c r="G474" s="778">
        <v>0</v>
      </c>
      <c r="H474" s="778">
        <v>0</v>
      </c>
      <c r="I474" s="778">
        <v>0</v>
      </c>
      <c r="J474" s="778">
        <v>0</v>
      </c>
      <c r="K474" s="778">
        <v>0</v>
      </c>
      <c r="L474" s="778">
        <v>0</v>
      </c>
      <c r="M474" s="778">
        <v>0</v>
      </c>
      <c r="N474" s="778">
        <v>0</v>
      </c>
      <c r="O474" s="778">
        <v>0</v>
      </c>
      <c r="P474" s="778">
        <v>0</v>
      </c>
      <c r="Q474" s="778">
        <v>0</v>
      </c>
      <c r="R474" s="778">
        <v>0</v>
      </c>
      <c r="S474" s="618">
        <f t="shared" si="126"/>
        <v>0</v>
      </c>
      <c r="T474" s="773"/>
      <c r="U474" s="424"/>
      <c r="V474" s="424">
        <f t="shared" si="130"/>
        <v>0</v>
      </c>
      <c r="W474" s="424"/>
      <c r="X474" s="425"/>
      <c r="Y474" s="424"/>
      <c r="Z474" s="424"/>
      <c r="AA474" s="424"/>
      <c r="AB474" s="424"/>
      <c r="AC474" s="779"/>
      <c r="AD474" s="426">
        <f t="shared" si="131"/>
        <v>0</v>
      </c>
      <c r="AE474" s="773"/>
      <c r="AF474" s="781">
        <f t="shared" si="132"/>
        <v>0</v>
      </c>
    </row>
    <row r="475" spans="1:32">
      <c r="A475" s="779">
        <f t="shared" si="133"/>
        <v>461</v>
      </c>
      <c r="B475" s="423" t="s">
        <v>1094</v>
      </c>
      <c r="C475" s="423" t="s">
        <v>639</v>
      </c>
      <c r="D475" s="423" t="s">
        <v>459</v>
      </c>
      <c r="E475" s="763" t="s">
        <v>640</v>
      </c>
      <c r="F475" s="778">
        <v>0</v>
      </c>
      <c r="G475" s="778">
        <v>0</v>
      </c>
      <c r="H475" s="778">
        <v>0</v>
      </c>
      <c r="I475" s="778">
        <v>0</v>
      </c>
      <c r="J475" s="778">
        <v>0</v>
      </c>
      <c r="K475" s="778">
        <v>0</v>
      </c>
      <c r="L475" s="778">
        <v>0</v>
      </c>
      <c r="M475" s="778">
        <v>0</v>
      </c>
      <c r="N475" s="778">
        <v>0</v>
      </c>
      <c r="O475" s="778">
        <v>0</v>
      </c>
      <c r="P475" s="778">
        <v>0</v>
      </c>
      <c r="Q475" s="778">
        <v>0</v>
      </c>
      <c r="R475" s="778">
        <v>0</v>
      </c>
      <c r="S475" s="618">
        <f t="shared" si="126"/>
        <v>0</v>
      </c>
      <c r="T475" s="773"/>
      <c r="U475" s="424"/>
      <c r="V475" s="424">
        <f t="shared" si="130"/>
        <v>0</v>
      </c>
      <c r="W475" s="424"/>
      <c r="X475" s="425"/>
      <c r="Y475" s="424"/>
      <c r="Z475" s="424"/>
      <c r="AA475" s="424"/>
      <c r="AB475" s="424"/>
      <c r="AC475" s="779"/>
      <c r="AD475" s="426">
        <f t="shared" si="131"/>
        <v>0</v>
      </c>
      <c r="AE475" s="773"/>
      <c r="AF475" s="781">
        <f t="shared" si="132"/>
        <v>0</v>
      </c>
    </row>
    <row r="476" spans="1:32">
      <c r="A476" s="779">
        <f t="shared" si="133"/>
        <v>462</v>
      </c>
      <c r="B476" s="423" t="s">
        <v>1063</v>
      </c>
      <c r="C476" s="423" t="s">
        <v>639</v>
      </c>
      <c r="D476" s="423" t="s">
        <v>505</v>
      </c>
      <c r="E476" s="763" t="s">
        <v>641</v>
      </c>
      <c r="F476" s="778">
        <v>-48270</v>
      </c>
      <c r="G476" s="778">
        <v>-48270</v>
      </c>
      <c r="H476" s="778">
        <v>-48270</v>
      </c>
      <c r="I476" s="778">
        <v>-24135</v>
      </c>
      <c r="J476" s="778">
        <v>-24135</v>
      </c>
      <c r="K476" s="778">
        <v>-24135</v>
      </c>
      <c r="L476" s="778">
        <v>-24135</v>
      </c>
      <c r="M476" s="778">
        <v>-24135</v>
      </c>
      <c r="N476" s="778">
        <v>-24135</v>
      </c>
      <c r="O476" s="778">
        <v>-48270</v>
      </c>
      <c r="P476" s="778">
        <v>-24135</v>
      </c>
      <c r="Q476" s="778">
        <v>-24135</v>
      </c>
      <c r="R476" s="778">
        <v>-24135</v>
      </c>
      <c r="S476" s="618">
        <f t="shared" si="126"/>
        <v>-24135</v>
      </c>
      <c r="T476" s="773"/>
      <c r="U476" s="424"/>
      <c r="V476" s="424">
        <f t="shared" si="130"/>
        <v>-24135</v>
      </c>
      <c r="W476" s="424"/>
      <c r="X476" s="425"/>
      <c r="Y476" s="424"/>
      <c r="Z476" s="424"/>
      <c r="AA476" s="424"/>
      <c r="AB476" s="424"/>
      <c r="AC476" s="779"/>
      <c r="AD476" s="426">
        <f t="shared" si="131"/>
        <v>-24135</v>
      </c>
      <c r="AE476" s="773"/>
      <c r="AF476" s="781">
        <f t="shared" si="132"/>
        <v>0</v>
      </c>
    </row>
    <row r="477" spans="1:32">
      <c r="A477" s="779">
        <f t="shared" si="133"/>
        <v>463</v>
      </c>
      <c r="B477" s="423" t="s">
        <v>1094</v>
      </c>
      <c r="C477" s="423" t="s">
        <v>642</v>
      </c>
      <c r="D477" s="423" t="s">
        <v>382</v>
      </c>
      <c r="E477" s="763" t="s">
        <v>2003</v>
      </c>
      <c r="F477" s="778">
        <v>0</v>
      </c>
      <c r="G477" s="778">
        <v>-249016.3</v>
      </c>
      <c r="H477" s="778">
        <v>-450949.83</v>
      </c>
      <c r="I477" s="778">
        <v>-621635.15</v>
      </c>
      <c r="J477" s="778">
        <v>-740311.19</v>
      </c>
      <c r="K477" s="778">
        <v>-821857.22</v>
      </c>
      <c r="L477" s="778">
        <v>-876559.9</v>
      </c>
      <c r="M477" s="778">
        <v>-1060867.32</v>
      </c>
      <c r="N477" s="778">
        <v>-1113807.72</v>
      </c>
      <c r="O477" s="778">
        <v>-1180527.78</v>
      </c>
      <c r="P477" s="778">
        <v>-1310366.54</v>
      </c>
      <c r="Q477" s="778">
        <v>-1529920.87</v>
      </c>
      <c r="R477" s="778">
        <v>-1558019.97</v>
      </c>
      <c r="S477" s="618">
        <f t="shared" si="126"/>
        <v>-1558019.97</v>
      </c>
      <c r="T477" s="773"/>
      <c r="U477" s="424"/>
      <c r="V477" s="424">
        <f t="shared" si="130"/>
        <v>-1558019.97</v>
      </c>
      <c r="W477" s="424"/>
      <c r="X477" s="425"/>
      <c r="Y477" s="424"/>
      <c r="Z477" s="424"/>
      <c r="AA477" s="424"/>
      <c r="AB477" s="424"/>
      <c r="AC477" s="779"/>
      <c r="AD477" s="426">
        <f t="shared" si="131"/>
        <v>-1558019.97</v>
      </c>
      <c r="AE477" s="773"/>
      <c r="AF477" s="781">
        <f t="shared" si="132"/>
        <v>0</v>
      </c>
    </row>
    <row r="478" spans="1:32">
      <c r="A478" s="779">
        <f t="shared" si="133"/>
        <v>464</v>
      </c>
      <c r="B478" s="423" t="s">
        <v>1066</v>
      </c>
      <c r="C478" s="423" t="s">
        <v>642</v>
      </c>
      <c r="D478" s="423" t="s">
        <v>382</v>
      </c>
      <c r="E478" s="763" t="s">
        <v>2003</v>
      </c>
      <c r="F478" s="778">
        <v>0</v>
      </c>
      <c r="G478" s="778">
        <v>0</v>
      </c>
      <c r="H478" s="778">
        <v>0</v>
      </c>
      <c r="I478" s="778">
        <v>0</v>
      </c>
      <c r="J478" s="778">
        <v>0</v>
      </c>
      <c r="K478" s="778">
        <v>-1024987.67</v>
      </c>
      <c r="L478" s="778">
        <v>-2562445.35</v>
      </c>
      <c r="M478" s="778">
        <v>-2823417.12</v>
      </c>
      <c r="N478" s="778">
        <v>0</v>
      </c>
      <c r="O478" s="778">
        <v>0</v>
      </c>
      <c r="P478" s="778">
        <v>0</v>
      </c>
      <c r="Q478" s="778">
        <v>0</v>
      </c>
      <c r="R478" s="778">
        <v>0</v>
      </c>
      <c r="S478" s="618">
        <f t="shared" si="126"/>
        <v>0</v>
      </c>
      <c r="T478" s="773"/>
      <c r="U478" s="424"/>
      <c r="V478" s="424">
        <f t="shared" si="130"/>
        <v>0</v>
      </c>
      <c r="W478" s="424"/>
      <c r="X478" s="425"/>
      <c r="Y478" s="424"/>
      <c r="Z478" s="424"/>
      <c r="AA478" s="424"/>
      <c r="AB478" s="424"/>
      <c r="AC478" s="779"/>
      <c r="AD478" s="426">
        <f t="shared" si="131"/>
        <v>0</v>
      </c>
      <c r="AE478" s="773"/>
      <c r="AF478" s="781">
        <f t="shared" si="132"/>
        <v>0</v>
      </c>
    </row>
    <row r="479" spans="1:32">
      <c r="A479" s="779">
        <f t="shared" si="133"/>
        <v>465</v>
      </c>
      <c r="B479" s="423" t="s">
        <v>1094</v>
      </c>
      <c r="C479" s="423" t="s">
        <v>643</v>
      </c>
      <c r="D479" s="779" t="s">
        <v>1323</v>
      </c>
      <c r="E479" s="763" t="s">
        <v>2009</v>
      </c>
      <c r="F479" s="778">
        <v>337685.11</v>
      </c>
      <c r="G479" s="778">
        <v>912302.41</v>
      </c>
      <c r="H479" s="778">
        <v>1078706.5900000001</v>
      </c>
      <c r="I479" s="778">
        <v>748237.59</v>
      </c>
      <c r="J479" s="778">
        <v>515166.04</v>
      </c>
      <c r="K479" s="778">
        <v>250391.87</v>
      </c>
      <c r="L479" s="778">
        <v>-1105.5199999998999</v>
      </c>
      <c r="M479" s="778">
        <v>-169673.67</v>
      </c>
      <c r="N479" s="778">
        <v>-157659.34</v>
      </c>
      <c r="O479" s="778">
        <v>-413495.63</v>
      </c>
      <c r="P479" s="778">
        <v>-554613.27</v>
      </c>
      <c r="Q479" s="778">
        <v>968161.04</v>
      </c>
      <c r="R479" s="778">
        <v>3704804.32</v>
      </c>
      <c r="S479" s="618">
        <f t="shared" si="126"/>
        <v>3704804.32</v>
      </c>
      <c r="T479" s="773"/>
      <c r="U479" s="424"/>
      <c r="V479" s="513"/>
      <c r="W479" s="424"/>
      <c r="X479" s="424">
        <f>+S479</f>
        <v>3704804.32</v>
      </c>
      <c r="Y479" s="424"/>
      <c r="Z479" s="424"/>
      <c r="AA479" s="424"/>
      <c r="AB479" s="426">
        <f>+X479</f>
        <v>3704804.32</v>
      </c>
      <c r="AC479" s="779"/>
      <c r="AD479" s="513"/>
      <c r="AE479" s="773"/>
      <c r="AF479" s="781">
        <f t="shared" si="132"/>
        <v>0</v>
      </c>
    </row>
    <row r="480" spans="1:32">
      <c r="A480" s="779">
        <f t="shared" si="133"/>
        <v>466</v>
      </c>
      <c r="B480" s="423" t="s">
        <v>1094</v>
      </c>
      <c r="C480" s="423" t="s">
        <v>643</v>
      </c>
      <c r="D480" s="423" t="s">
        <v>1324</v>
      </c>
      <c r="E480" s="763" t="s">
        <v>2010</v>
      </c>
      <c r="F480" s="778">
        <v>-1361798.66</v>
      </c>
      <c r="G480" s="778">
        <v>-2254482.94</v>
      </c>
      <c r="H480" s="778">
        <v>-2961451.38</v>
      </c>
      <c r="I480" s="778">
        <v>-3423434.88</v>
      </c>
      <c r="J480" s="778">
        <v>-3371596.26</v>
      </c>
      <c r="K480" s="778">
        <v>-3239659.11</v>
      </c>
      <c r="L480" s="778">
        <v>-3042773.38</v>
      </c>
      <c r="M480" s="778">
        <v>-2742326.01</v>
      </c>
      <c r="N480" s="778">
        <v>-2299616.7799999998</v>
      </c>
      <c r="O480" s="778">
        <v>-2138421.85</v>
      </c>
      <c r="P480" s="778">
        <v>-2487346.0299999998</v>
      </c>
      <c r="Q480" s="778">
        <v>66550.100000000093</v>
      </c>
      <c r="R480" s="778">
        <v>-1108593.69</v>
      </c>
      <c r="S480" s="618">
        <f t="shared" si="126"/>
        <v>-1108593.69</v>
      </c>
      <c r="T480" s="779"/>
      <c r="U480" s="424"/>
      <c r="V480" s="424"/>
      <c r="W480" s="424"/>
      <c r="X480" s="425">
        <f>+S480</f>
        <v>-1108593.69</v>
      </c>
      <c r="Y480" s="424"/>
      <c r="Z480" s="424"/>
      <c r="AA480" s="424"/>
      <c r="AB480" s="424">
        <f t="shared" ref="AB480:AB484" si="134">+X480</f>
        <v>-1108593.69</v>
      </c>
      <c r="AC480" s="779"/>
      <c r="AD480" s="426">
        <f t="shared" si="131"/>
        <v>0</v>
      </c>
      <c r="AE480" s="779"/>
      <c r="AF480" s="781">
        <f t="shared" si="132"/>
        <v>0</v>
      </c>
    </row>
    <row r="481" spans="1:32">
      <c r="A481" s="779">
        <f t="shared" si="133"/>
        <v>467</v>
      </c>
      <c r="B481" s="423" t="s">
        <v>1094</v>
      </c>
      <c r="C481" s="423" t="s">
        <v>643</v>
      </c>
      <c r="D481" s="423" t="s">
        <v>1325</v>
      </c>
      <c r="E481" s="763" t="s">
        <v>644</v>
      </c>
      <c r="F481" s="778">
        <v>0</v>
      </c>
      <c r="G481" s="778">
        <v>0</v>
      </c>
      <c r="H481" s="778">
        <v>0</v>
      </c>
      <c r="I481" s="778">
        <v>0</v>
      </c>
      <c r="J481" s="778">
        <v>0</v>
      </c>
      <c r="K481" s="778">
        <v>0</v>
      </c>
      <c r="L481" s="778">
        <v>0</v>
      </c>
      <c r="M481" s="778">
        <v>0</v>
      </c>
      <c r="N481" s="778">
        <v>0</v>
      </c>
      <c r="O481" s="778">
        <v>0</v>
      </c>
      <c r="P481" s="778">
        <v>0</v>
      </c>
      <c r="Q481" s="778">
        <v>0</v>
      </c>
      <c r="R481" s="778">
        <v>0</v>
      </c>
      <c r="S481" s="618">
        <f t="shared" si="126"/>
        <v>0</v>
      </c>
      <c r="T481" s="779"/>
      <c r="U481" s="424"/>
      <c r="V481" s="424"/>
      <c r="W481" s="424"/>
      <c r="X481" s="425">
        <f t="shared" ref="X481:X493" si="135">+S481</f>
        <v>0</v>
      </c>
      <c r="Y481" s="424"/>
      <c r="Z481" s="424"/>
      <c r="AA481" s="424"/>
      <c r="AB481" s="424">
        <f t="shared" si="134"/>
        <v>0</v>
      </c>
      <c r="AC481" s="779"/>
      <c r="AD481" s="426">
        <f t="shared" si="131"/>
        <v>0</v>
      </c>
      <c r="AE481" s="779"/>
      <c r="AF481" s="781">
        <f t="shared" si="132"/>
        <v>0</v>
      </c>
    </row>
    <row r="482" spans="1:32">
      <c r="A482" s="779">
        <f t="shared" si="133"/>
        <v>468</v>
      </c>
      <c r="B482" s="423" t="s">
        <v>1094</v>
      </c>
      <c r="C482" s="423" t="s">
        <v>643</v>
      </c>
      <c r="D482" s="423" t="s">
        <v>1326</v>
      </c>
      <c r="E482" s="763" t="s">
        <v>2011</v>
      </c>
      <c r="F482" s="778">
        <v>-1016276.3</v>
      </c>
      <c r="G482" s="778">
        <v>-739755.6</v>
      </c>
      <c r="H482" s="778">
        <v>-551534.93000000005</v>
      </c>
      <c r="I482" s="778">
        <v>-321162.83</v>
      </c>
      <c r="J482" s="778">
        <v>-164656.32999999999</v>
      </c>
      <c r="K482" s="778">
        <v>-65410.780000000101</v>
      </c>
      <c r="L482" s="778">
        <v>-8323.2700000000696</v>
      </c>
      <c r="M482" s="778">
        <v>37913.369999999901</v>
      </c>
      <c r="N482" s="778">
        <v>80622.809999999896</v>
      </c>
      <c r="O482" s="778">
        <v>124944.61</v>
      </c>
      <c r="P482" s="778">
        <v>206024.81</v>
      </c>
      <c r="Q482" s="778">
        <v>-2758873.65</v>
      </c>
      <c r="R482" s="778">
        <v>-2335027.88</v>
      </c>
      <c r="S482" s="618">
        <f t="shared" ref="S482:S493" si="136">+R482</f>
        <v>-2335027.88</v>
      </c>
      <c r="T482" s="779"/>
      <c r="U482" s="424"/>
      <c r="V482" s="424"/>
      <c r="W482" s="424"/>
      <c r="X482" s="425">
        <f t="shared" si="135"/>
        <v>-2335027.88</v>
      </c>
      <c r="Y482" s="424"/>
      <c r="Z482" s="424"/>
      <c r="AA482" s="424"/>
      <c r="AB482" s="424">
        <f t="shared" si="134"/>
        <v>-2335027.88</v>
      </c>
      <c r="AC482" s="779"/>
      <c r="AD482" s="426">
        <f t="shared" si="131"/>
        <v>0</v>
      </c>
      <c r="AE482" s="779"/>
      <c r="AF482" s="781">
        <f t="shared" si="132"/>
        <v>0</v>
      </c>
    </row>
    <row r="483" spans="1:32">
      <c r="A483" s="779">
        <f t="shared" si="133"/>
        <v>469</v>
      </c>
      <c r="B483" s="423" t="s">
        <v>1094</v>
      </c>
      <c r="C483" s="423" t="s">
        <v>643</v>
      </c>
      <c r="D483" s="423" t="s">
        <v>1327</v>
      </c>
      <c r="E483" s="763" t="s">
        <v>2012</v>
      </c>
      <c r="F483" s="778">
        <v>866372.03</v>
      </c>
      <c r="G483" s="778">
        <v>638800.75</v>
      </c>
      <c r="H483" s="778">
        <v>705179.24</v>
      </c>
      <c r="I483" s="778">
        <v>499741.13</v>
      </c>
      <c r="J483" s="778">
        <v>333592.8</v>
      </c>
      <c r="K483" s="778">
        <v>166798.72</v>
      </c>
      <c r="L483" s="778">
        <v>148101.29</v>
      </c>
      <c r="M483" s="778">
        <v>137527.70000000001</v>
      </c>
      <c r="N483" s="778">
        <v>64172.160000000098</v>
      </c>
      <c r="O483" s="778">
        <v>122319.91</v>
      </c>
      <c r="P483" s="778">
        <v>289325.53999999998</v>
      </c>
      <c r="Q483" s="778">
        <v>276435.09000000003</v>
      </c>
      <c r="R483" s="778">
        <v>332004.03999999998</v>
      </c>
      <c r="S483" s="618">
        <f t="shared" si="136"/>
        <v>332004.03999999998</v>
      </c>
      <c r="T483" s="779"/>
      <c r="U483" s="424"/>
      <c r="V483" s="424"/>
      <c r="W483" s="424"/>
      <c r="X483" s="425">
        <f t="shared" si="135"/>
        <v>332004.03999999998</v>
      </c>
      <c r="Y483" s="424"/>
      <c r="Z483" s="424"/>
      <c r="AA483" s="424"/>
      <c r="AB483" s="424">
        <f t="shared" si="134"/>
        <v>332004.03999999998</v>
      </c>
      <c r="AC483" s="779"/>
      <c r="AD483" s="426">
        <f t="shared" si="131"/>
        <v>0</v>
      </c>
      <c r="AE483" s="779"/>
      <c r="AF483" s="781">
        <f t="shared" si="132"/>
        <v>0</v>
      </c>
    </row>
    <row r="484" spans="1:32">
      <c r="A484" s="779">
        <f t="shared" si="133"/>
        <v>470</v>
      </c>
      <c r="B484" s="423" t="s">
        <v>1715</v>
      </c>
      <c r="C484" s="423" t="s">
        <v>643</v>
      </c>
      <c r="D484" s="423" t="s">
        <v>472</v>
      </c>
      <c r="E484" s="763" t="s">
        <v>644</v>
      </c>
      <c r="F484" s="778">
        <v>0</v>
      </c>
      <c r="G484" s="778">
        <v>0</v>
      </c>
      <c r="H484" s="778">
        <v>0</v>
      </c>
      <c r="I484" s="778">
        <v>0</v>
      </c>
      <c r="J484" s="778">
        <v>0</v>
      </c>
      <c r="K484" s="778">
        <v>0</v>
      </c>
      <c r="L484" s="778">
        <v>0</v>
      </c>
      <c r="M484" s="778">
        <v>0</v>
      </c>
      <c r="N484" s="778">
        <v>0</v>
      </c>
      <c r="O484" s="778">
        <v>0</v>
      </c>
      <c r="P484" s="778">
        <v>0</v>
      </c>
      <c r="Q484" s="778">
        <v>0</v>
      </c>
      <c r="R484" s="778">
        <v>-593186.79</v>
      </c>
      <c r="S484" s="618">
        <f t="shared" si="136"/>
        <v>-593186.79</v>
      </c>
      <c r="T484" s="779"/>
      <c r="U484" s="424"/>
      <c r="V484" s="424"/>
      <c r="W484" s="424"/>
      <c r="X484" s="425">
        <f t="shared" si="135"/>
        <v>-593186.79</v>
      </c>
      <c r="Y484" s="424"/>
      <c r="Z484" s="424"/>
      <c r="AA484" s="424"/>
      <c r="AB484" s="424">
        <f t="shared" si="134"/>
        <v>-593186.79</v>
      </c>
      <c r="AC484" s="779"/>
      <c r="AD484" s="426">
        <f t="shared" si="131"/>
        <v>0</v>
      </c>
      <c r="AE484" s="779"/>
      <c r="AF484" s="781">
        <f t="shared" si="132"/>
        <v>0</v>
      </c>
    </row>
    <row r="485" spans="1:32">
      <c r="A485" s="779">
        <f t="shared" si="133"/>
        <v>471</v>
      </c>
      <c r="B485" s="423" t="s">
        <v>1066</v>
      </c>
      <c r="C485" s="423" t="s">
        <v>643</v>
      </c>
      <c r="D485" s="423" t="s">
        <v>472</v>
      </c>
      <c r="E485" s="763" t="s">
        <v>2020</v>
      </c>
      <c r="F485" s="778">
        <v>-11596330.1</v>
      </c>
      <c r="G485" s="778">
        <v>-7748798.7199999997</v>
      </c>
      <c r="H485" s="778">
        <v>-4221637.78</v>
      </c>
      <c r="I485" s="778">
        <v>-1021757.96</v>
      </c>
      <c r="J485" s="778">
        <v>4.65661287307739E-10</v>
      </c>
      <c r="K485" s="778">
        <v>-122870.05</v>
      </c>
      <c r="L485" s="778">
        <v>-1144930</v>
      </c>
      <c r="M485" s="778">
        <v>-2804968.14</v>
      </c>
      <c r="N485" s="778">
        <v>-5871938.7599999998</v>
      </c>
      <c r="O485" s="778">
        <v>-6859993.6600000001</v>
      </c>
      <c r="P485" s="778">
        <v>-7376195.8399999999</v>
      </c>
      <c r="Q485" s="778">
        <v>-17507602.550000001</v>
      </c>
      <c r="R485" s="778">
        <v>-40887966.869999997</v>
      </c>
      <c r="S485" s="618">
        <f t="shared" si="136"/>
        <v>-40887966.869999997</v>
      </c>
      <c r="T485" s="779"/>
      <c r="U485" s="424"/>
      <c r="V485" s="424"/>
      <c r="W485" s="424"/>
      <c r="X485" s="425">
        <f t="shared" si="135"/>
        <v>-40887966.869999997</v>
      </c>
      <c r="Y485" s="424"/>
      <c r="Z485" s="424"/>
      <c r="AA485" s="424"/>
      <c r="AB485" s="424">
        <f>+X485</f>
        <v>-40887966.869999997</v>
      </c>
      <c r="AC485" s="779"/>
      <c r="AD485" s="426">
        <f t="shared" si="131"/>
        <v>0</v>
      </c>
      <c r="AE485" s="779"/>
      <c r="AF485" s="781">
        <f t="shared" si="132"/>
        <v>0</v>
      </c>
    </row>
    <row r="486" spans="1:32">
      <c r="A486" s="779">
        <f t="shared" si="133"/>
        <v>472</v>
      </c>
      <c r="B486" s="423" t="s">
        <v>1066</v>
      </c>
      <c r="C486" s="423" t="s">
        <v>643</v>
      </c>
      <c r="D486" s="423" t="s">
        <v>1328</v>
      </c>
      <c r="E486" s="763" t="s">
        <v>2009</v>
      </c>
      <c r="F486" s="778">
        <v>1111553.6399999999</v>
      </c>
      <c r="G486" s="778">
        <v>1767404.06</v>
      </c>
      <c r="H486" s="778">
        <v>2112541.7999999998</v>
      </c>
      <c r="I486" s="778">
        <v>1113387.8500000001</v>
      </c>
      <c r="J486" s="778">
        <v>-134333.76999999999</v>
      </c>
      <c r="K486" s="778">
        <v>-851710.67</v>
      </c>
      <c r="L486" s="778">
        <v>-1403431.98</v>
      </c>
      <c r="M486" s="778">
        <v>-1760637.68</v>
      </c>
      <c r="N486" s="778">
        <v>-1289390.9099999999</v>
      </c>
      <c r="O486" s="778">
        <v>-1875277</v>
      </c>
      <c r="P486" s="778">
        <v>-1284500.8899999999</v>
      </c>
      <c r="Q486" s="778">
        <v>11978995.550000001</v>
      </c>
      <c r="R486" s="778">
        <v>38253031.32</v>
      </c>
      <c r="S486" s="618">
        <f t="shared" si="136"/>
        <v>38253031.32</v>
      </c>
      <c r="T486" s="779"/>
      <c r="U486" s="424"/>
      <c r="V486" s="424"/>
      <c r="W486" s="424"/>
      <c r="X486" s="425">
        <f t="shared" si="135"/>
        <v>38253031.32</v>
      </c>
      <c r="Y486" s="424"/>
      <c r="Z486" s="424"/>
      <c r="AA486" s="424"/>
      <c r="AB486" s="424">
        <f t="shared" ref="AB486:AB490" si="137">+X486</f>
        <v>38253031.32</v>
      </c>
      <c r="AC486" s="779"/>
      <c r="AD486" s="426">
        <f t="shared" si="131"/>
        <v>0</v>
      </c>
      <c r="AE486" s="779"/>
      <c r="AF486" s="781">
        <f t="shared" si="132"/>
        <v>0</v>
      </c>
    </row>
    <row r="487" spans="1:32">
      <c r="A487" s="779">
        <f t="shared" si="133"/>
        <v>473</v>
      </c>
      <c r="B487" s="423" t="s">
        <v>1066</v>
      </c>
      <c r="C487" s="423" t="s">
        <v>643</v>
      </c>
      <c r="D487" s="423" t="s">
        <v>1329</v>
      </c>
      <c r="E487" s="763" t="s">
        <v>2010</v>
      </c>
      <c r="F487" s="778">
        <v>1725477.15</v>
      </c>
      <c r="G487" s="778">
        <v>-956758.97</v>
      </c>
      <c r="H487" s="778">
        <v>-3097239.98</v>
      </c>
      <c r="I487" s="778">
        <v>-3892210.01</v>
      </c>
      <c r="J487" s="778">
        <v>-3425732.68</v>
      </c>
      <c r="K487" s="778">
        <v>-1389520.67</v>
      </c>
      <c r="L487" s="778">
        <v>624784.85</v>
      </c>
      <c r="M487" s="778">
        <v>3004583.93</v>
      </c>
      <c r="N487" s="778">
        <v>5796006.46</v>
      </c>
      <c r="O487" s="778">
        <v>7816534.25</v>
      </c>
      <c r="P487" s="778">
        <v>8580438.8800000008</v>
      </c>
      <c r="Q487" s="778">
        <v>4203387.03</v>
      </c>
      <c r="R487" s="778">
        <v>1569192.42</v>
      </c>
      <c r="S487" s="618">
        <f t="shared" si="136"/>
        <v>1569192.42</v>
      </c>
      <c r="T487" s="779"/>
      <c r="U487" s="424"/>
      <c r="V487" s="424"/>
      <c r="W487" s="424"/>
      <c r="X487" s="425">
        <f t="shared" si="135"/>
        <v>1569192.42</v>
      </c>
      <c r="Y487" s="424"/>
      <c r="Z487" s="424"/>
      <c r="AA487" s="424"/>
      <c r="AB487" s="424">
        <f t="shared" si="137"/>
        <v>1569192.42</v>
      </c>
      <c r="AC487" s="779"/>
      <c r="AD487" s="426">
        <f t="shared" si="131"/>
        <v>0</v>
      </c>
      <c r="AE487" s="779"/>
      <c r="AF487" s="781">
        <f t="shared" si="132"/>
        <v>0</v>
      </c>
    </row>
    <row r="488" spans="1:32">
      <c r="A488" s="779">
        <f t="shared" si="133"/>
        <v>474</v>
      </c>
      <c r="B488" s="423" t="s">
        <v>1066</v>
      </c>
      <c r="C488" s="423" t="s">
        <v>643</v>
      </c>
      <c r="D488" s="423" t="s">
        <v>1330</v>
      </c>
      <c r="E488" s="763" t="s">
        <v>644</v>
      </c>
      <c r="F488" s="778">
        <v>0</v>
      </c>
      <c r="G488" s="778">
        <v>0</v>
      </c>
      <c r="H488" s="778">
        <v>0</v>
      </c>
      <c r="I488" s="778">
        <v>0</v>
      </c>
      <c r="J488" s="778">
        <v>0</v>
      </c>
      <c r="K488" s="778">
        <v>0</v>
      </c>
      <c r="L488" s="778">
        <v>0</v>
      </c>
      <c r="M488" s="778">
        <v>0</v>
      </c>
      <c r="N488" s="778">
        <v>0</v>
      </c>
      <c r="O488" s="778">
        <v>0</v>
      </c>
      <c r="P488" s="778">
        <v>0</v>
      </c>
      <c r="Q488" s="778">
        <v>0</v>
      </c>
      <c r="R488" s="778">
        <v>0</v>
      </c>
      <c r="S488" s="618">
        <f t="shared" si="136"/>
        <v>0</v>
      </c>
      <c r="T488" s="779"/>
      <c r="U488" s="424"/>
      <c r="V488" s="424"/>
      <c r="W488" s="424"/>
      <c r="X488" s="425">
        <f t="shared" si="135"/>
        <v>0</v>
      </c>
      <c r="Y488" s="424"/>
      <c r="Z488" s="424"/>
      <c r="AA488" s="424"/>
      <c r="AB488" s="424">
        <f t="shared" si="137"/>
        <v>0</v>
      </c>
      <c r="AC488" s="779"/>
      <c r="AD488" s="426">
        <f t="shared" si="131"/>
        <v>0</v>
      </c>
      <c r="AE488" s="779"/>
      <c r="AF488" s="781">
        <f t="shared" si="132"/>
        <v>0</v>
      </c>
    </row>
    <row r="489" spans="1:32">
      <c r="A489" s="779">
        <f t="shared" si="133"/>
        <v>475</v>
      </c>
      <c r="B489" s="423" t="s">
        <v>1066</v>
      </c>
      <c r="C489" s="423" t="s">
        <v>643</v>
      </c>
      <c r="D489" s="423" t="s">
        <v>1331</v>
      </c>
      <c r="E489" s="763" t="s">
        <v>2011</v>
      </c>
      <c r="F489" s="778">
        <v>10618422.25</v>
      </c>
      <c r="G489" s="778">
        <v>8444739.4800000004</v>
      </c>
      <c r="H489" s="778">
        <v>6889923</v>
      </c>
      <c r="I489" s="778">
        <v>5064195.5599999996</v>
      </c>
      <c r="J489" s="778">
        <v>3806969.44</v>
      </c>
      <c r="K489" s="778">
        <v>3027976.04</v>
      </c>
      <c r="L489" s="778">
        <v>2563723.63</v>
      </c>
      <c r="M489" s="778">
        <v>2184801.2599999998</v>
      </c>
      <c r="N489" s="778">
        <v>1830894.64</v>
      </c>
      <c r="O489" s="778">
        <v>1466160.73</v>
      </c>
      <c r="P489" s="778">
        <v>837951.06</v>
      </c>
      <c r="Q489" s="778">
        <v>1472643.65</v>
      </c>
      <c r="R489" s="778">
        <v>1242631.18</v>
      </c>
      <c r="S489" s="618">
        <f t="shared" si="136"/>
        <v>1242631.18</v>
      </c>
      <c r="T489" s="779"/>
      <c r="U489" s="424"/>
      <c r="V489" s="424"/>
      <c r="W489" s="424"/>
      <c r="X489" s="425">
        <f t="shared" si="135"/>
        <v>1242631.18</v>
      </c>
      <c r="Y489" s="424"/>
      <c r="Z489" s="424"/>
      <c r="AA489" s="424"/>
      <c r="AB489" s="424">
        <f t="shared" si="137"/>
        <v>1242631.18</v>
      </c>
      <c r="AC489" s="779"/>
      <c r="AD489" s="426">
        <f t="shared" si="131"/>
        <v>0</v>
      </c>
      <c r="AE489" s="779"/>
      <c r="AF489" s="781">
        <f t="shared" si="132"/>
        <v>0</v>
      </c>
    </row>
    <row r="490" spans="1:32">
      <c r="A490" s="779">
        <f t="shared" si="133"/>
        <v>476</v>
      </c>
      <c r="B490" s="423" t="s">
        <v>1066</v>
      </c>
      <c r="C490" s="423" t="s">
        <v>643</v>
      </c>
      <c r="D490" s="423" t="s">
        <v>1327</v>
      </c>
      <c r="E490" s="763" t="s">
        <v>2012</v>
      </c>
      <c r="F490" s="778">
        <v>-1859122.94</v>
      </c>
      <c r="G490" s="778">
        <v>-1506585.85</v>
      </c>
      <c r="H490" s="778">
        <v>-1683587.04</v>
      </c>
      <c r="I490" s="778">
        <v>-1263615.44</v>
      </c>
      <c r="J490" s="778">
        <v>-970087.04</v>
      </c>
      <c r="K490" s="778">
        <v>-663874.65</v>
      </c>
      <c r="L490" s="778">
        <v>-640146.5</v>
      </c>
      <c r="M490" s="778">
        <v>-623779.37</v>
      </c>
      <c r="N490" s="778">
        <v>-465571.43</v>
      </c>
      <c r="O490" s="778">
        <v>-547424.31999999995</v>
      </c>
      <c r="P490" s="778">
        <v>-757693.21</v>
      </c>
      <c r="Q490" s="778">
        <v>-147423.67999999999</v>
      </c>
      <c r="R490" s="778">
        <v>-176888.05</v>
      </c>
      <c r="S490" s="618">
        <f t="shared" si="136"/>
        <v>-176888.05</v>
      </c>
      <c r="T490" s="779"/>
      <c r="U490" s="424"/>
      <c r="V490" s="424"/>
      <c r="W490" s="424"/>
      <c r="X490" s="425">
        <f t="shared" si="135"/>
        <v>-176888.05</v>
      </c>
      <c r="Y490" s="424"/>
      <c r="Z490" s="424"/>
      <c r="AA490" s="424"/>
      <c r="AB490" s="424">
        <f t="shared" si="137"/>
        <v>-176888.05</v>
      </c>
      <c r="AC490" s="779"/>
      <c r="AD490" s="426">
        <f t="shared" si="131"/>
        <v>0</v>
      </c>
      <c r="AE490" s="380"/>
      <c r="AF490" s="781">
        <f t="shared" si="132"/>
        <v>0</v>
      </c>
    </row>
    <row r="491" spans="1:32">
      <c r="A491" s="779">
        <f t="shared" si="133"/>
        <v>477</v>
      </c>
      <c r="B491" s="423" t="s">
        <v>1094</v>
      </c>
      <c r="C491" s="423" t="s">
        <v>643</v>
      </c>
      <c r="D491" s="423" t="s">
        <v>1332</v>
      </c>
      <c r="E491" s="763" t="s">
        <v>645</v>
      </c>
      <c r="F491" s="778">
        <v>0</v>
      </c>
      <c r="G491" s="778">
        <v>0</v>
      </c>
      <c r="H491" s="778">
        <v>0</v>
      </c>
      <c r="I491" s="778">
        <v>0</v>
      </c>
      <c r="J491" s="778">
        <v>0</v>
      </c>
      <c r="K491" s="778">
        <v>0</v>
      </c>
      <c r="L491" s="778">
        <v>0</v>
      </c>
      <c r="M491" s="778">
        <v>0</v>
      </c>
      <c r="N491" s="778">
        <v>0</v>
      </c>
      <c r="O491" s="778">
        <v>0</v>
      </c>
      <c r="P491" s="778">
        <v>0</v>
      </c>
      <c r="Q491" s="778">
        <v>0</v>
      </c>
      <c r="R491" s="778">
        <v>0</v>
      </c>
      <c r="S491" s="618">
        <f t="shared" si="136"/>
        <v>0</v>
      </c>
      <c r="T491" s="773"/>
      <c r="U491" s="424"/>
      <c r="V491" s="424"/>
      <c r="W491" s="424"/>
      <c r="X491" s="425">
        <f t="shared" si="135"/>
        <v>0</v>
      </c>
      <c r="Y491" s="424"/>
      <c r="Z491" s="424"/>
      <c r="AA491" s="424"/>
      <c r="AB491" s="424"/>
      <c r="AC491" s="779"/>
      <c r="AD491" s="426">
        <f t="shared" si="131"/>
        <v>0</v>
      </c>
      <c r="AE491" s="384"/>
      <c r="AF491" s="781">
        <f t="shared" si="132"/>
        <v>0</v>
      </c>
    </row>
    <row r="492" spans="1:32">
      <c r="A492" s="779">
        <f t="shared" si="133"/>
        <v>478</v>
      </c>
      <c r="B492" s="423" t="s">
        <v>1066</v>
      </c>
      <c r="C492" s="423" t="s">
        <v>643</v>
      </c>
      <c r="D492" s="423" t="s">
        <v>1333</v>
      </c>
      <c r="E492" s="763" t="s">
        <v>645</v>
      </c>
      <c r="F492" s="778">
        <v>0</v>
      </c>
      <c r="G492" s="778">
        <v>0</v>
      </c>
      <c r="H492" s="778">
        <v>0</v>
      </c>
      <c r="I492" s="778">
        <v>0</v>
      </c>
      <c r="J492" s="778">
        <v>0</v>
      </c>
      <c r="K492" s="778">
        <v>0</v>
      </c>
      <c r="L492" s="778">
        <v>0</v>
      </c>
      <c r="M492" s="778">
        <v>0</v>
      </c>
      <c r="N492" s="778">
        <v>0</v>
      </c>
      <c r="O492" s="778">
        <v>0</v>
      </c>
      <c r="P492" s="778">
        <v>0</v>
      </c>
      <c r="Q492" s="778">
        <v>0</v>
      </c>
      <c r="R492" s="778">
        <v>0</v>
      </c>
      <c r="S492" s="618">
        <f t="shared" si="136"/>
        <v>0</v>
      </c>
      <c r="T492" s="773"/>
      <c r="U492" s="424"/>
      <c r="V492" s="424"/>
      <c r="W492" s="424"/>
      <c r="X492" s="425">
        <f t="shared" si="135"/>
        <v>0</v>
      </c>
      <c r="Y492" s="424"/>
      <c r="Z492" s="424"/>
      <c r="AA492" s="424"/>
      <c r="AB492" s="424"/>
      <c r="AC492" s="779"/>
      <c r="AD492" s="426">
        <f t="shared" si="131"/>
        <v>0</v>
      </c>
      <c r="AE492" s="417"/>
      <c r="AF492" s="781">
        <f t="shared" si="132"/>
        <v>0</v>
      </c>
    </row>
    <row r="493" spans="1:32">
      <c r="A493" s="779">
        <f t="shared" si="133"/>
        <v>479</v>
      </c>
      <c r="B493" s="423" t="s">
        <v>1063</v>
      </c>
      <c r="C493" s="423" t="s">
        <v>646</v>
      </c>
      <c r="D493" s="423" t="s">
        <v>539</v>
      </c>
      <c r="E493" s="763" t="s">
        <v>473</v>
      </c>
      <c r="F493" s="778">
        <v>0</v>
      </c>
      <c r="G493" s="778">
        <v>0</v>
      </c>
      <c r="H493" s="778">
        <v>0</v>
      </c>
      <c r="I493" s="778">
        <v>0</v>
      </c>
      <c r="J493" s="778">
        <v>0</v>
      </c>
      <c r="K493" s="778">
        <v>0</v>
      </c>
      <c r="L493" s="778">
        <v>0</v>
      </c>
      <c r="M493" s="778">
        <v>0</v>
      </c>
      <c r="N493" s="778">
        <v>0</v>
      </c>
      <c r="O493" s="778">
        <v>0</v>
      </c>
      <c r="P493" s="778">
        <v>0</v>
      </c>
      <c r="Q493" s="778">
        <v>0</v>
      </c>
      <c r="R493" s="778">
        <v>0</v>
      </c>
      <c r="S493" s="618">
        <f t="shared" si="136"/>
        <v>0</v>
      </c>
      <c r="T493" s="773"/>
      <c r="U493" s="424"/>
      <c r="V493" s="424"/>
      <c r="W493" s="424"/>
      <c r="X493" s="425">
        <f t="shared" si="135"/>
        <v>0</v>
      </c>
      <c r="Y493" s="424"/>
      <c r="Z493" s="424"/>
      <c r="AA493" s="424"/>
      <c r="AB493" s="424"/>
      <c r="AC493" s="779"/>
      <c r="AD493" s="426">
        <f t="shared" si="131"/>
        <v>0</v>
      </c>
      <c r="AE493" s="773"/>
      <c r="AF493" s="781">
        <f t="shared" si="132"/>
        <v>0</v>
      </c>
    </row>
    <row r="494" spans="1:32">
      <c r="A494" s="779">
        <f t="shared" si="133"/>
        <v>480</v>
      </c>
      <c r="B494" s="779"/>
      <c r="C494" s="779"/>
      <c r="D494" s="779"/>
      <c r="E494" s="763" t="s">
        <v>647</v>
      </c>
      <c r="F494" s="394">
        <f>SUM(F419:F493)</f>
        <v>-31305191.20999999</v>
      </c>
      <c r="G494" s="394">
        <f t="shared" ref="G494:S494" si="138">SUM(G419:G493)</f>
        <v>-29916427.679999996</v>
      </c>
      <c r="H494" s="394">
        <f t="shared" si="138"/>
        <v>-31050749.560000002</v>
      </c>
      <c r="I494" s="394">
        <f t="shared" si="138"/>
        <v>-32926628.370000012</v>
      </c>
      <c r="J494" s="394">
        <f t="shared" si="138"/>
        <v>-26026564.849999998</v>
      </c>
      <c r="K494" s="394">
        <f t="shared" si="138"/>
        <v>-29297527.000000007</v>
      </c>
      <c r="L494" s="394">
        <f t="shared" si="138"/>
        <v>-32497909.800000001</v>
      </c>
      <c r="M494" s="394">
        <f t="shared" si="138"/>
        <v>-29147546.230000008</v>
      </c>
      <c r="N494" s="394">
        <f t="shared" si="138"/>
        <v>-26761465.989999995</v>
      </c>
      <c r="O494" s="394">
        <f t="shared" si="138"/>
        <v>-27148964.500000011</v>
      </c>
      <c r="P494" s="394">
        <f t="shared" si="138"/>
        <v>-28096571.479999993</v>
      </c>
      <c r="Q494" s="394">
        <f t="shared" si="138"/>
        <v>-33838947.650000006</v>
      </c>
      <c r="R494" s="394">
        <f t="shared" si="138"/>
        <v>-32063005.899999995</v>
      </c>
      <c r="S494" s="394">
        <f t="shared" si="138"/>
        <v>-32063005.899999995</v>
      </c>
      <c r="T494" s="779"/>
      <c r="U494" s="424"/>
      <c r="V494" s="424"/>
      <c r="W494" s="424"/>
      <c r="X494" s="425"/>
      <c r="Y494" s="424"/>
      <c r="Z494" s="424"/>
      <c r="AA494" s="424"/>
      <c r="AB494" s="424"/>
      <c r="AC494" s="779"/>
      <c r="AD494" s="779"/>
      <c r="AE494" s="779"/>
      <c r="AF494" s="781">
        <f t="shared" si="132"/>
        <v>0</v>
      </c>
    </row>
    <row r="495" spans="1:32">
      <c r="A495" s="779">
        <f t="shared" si="133"/>
        <v>481</v>
      </c>
      <c r="B495" s="779"/>
      <c r="C495" s="779"/>
      <c r="D495" s="779"/>
      <c r="E495" s="763"/>
      <c r="F495" s="778"/>
      <c r="G495" s="420"/>
      <c r="H495" s="408"/>
      <c r="I495" s="408"/>
      <c r="J495" s="409"/>
      <c r="K495" s="410"/>
      <c r="L495" s="411"/>
      <c r="M495" s="412"/>
      <c r="N495" s="413"/>
      <c r="O495" s="764"/>
      <c r="P495" s="415"/>
      <c r="Q495" s="421"/>
      <c r="R495" s="778"/>
      <c r="S495" s="392"/>
      <c r="T495" s="773"/>
      <c r="U495" s="424"/>
      <c r="V495" s="424"/>
      <c r="W495" s="424"/>
      <c r="X495" s="425"/>
      <c r="Y495" s="424"/>
      <c r="Z495" s="424"/>
      <c r="AA495" s="424"/>
      <c r="AB495" s="424"/>
      <c r="AC495" s="779"/>
      <c r="AD495" s="779"/>
      <c r="AE495" s="773"/>
      <c r="AF495" s="781">
        <f t="shared" si="132"/>
        <v>0</v>
      </c>
    </row>
    <row r="496" spans="1:32">
      <c r="A496" s="779">
        <f t="shared" si="133"/>
        <v>482</v>
      </c>
      <c r="B496" s="423" t="s">
        <v>1066</v>
      </c>
      <c r="C496" s="423" t="s">
        <v>637</v>
      </c>
      <c r="D496" s="423" t="s">
        <v>459</v>
      </c>
      <c r="E496" s="763" t="s">
        <v>2037</v>
      </c>
      <c r="F496" s="778">
        <v>-12302478.710000001</v>
      </c>
      <c r="G496" s="778">
        <v>-12314013.720000001</v>
      </c>
      <c r="H496" s="778">
        <v>-12214194.050000001</v>
      </c>
      <c r="I496" s="778">
        <v>-12214194.050000001</v>
      </c>
      <c r="J496" s="778">
        <v>-12028510.41</v>
      </c>
      <c r="K496" s="778">
        <v>-11942065.01</v>
      </c>
      <c r="L496" s="778">
        <v>-11832844.279999999</v>
      </c>
      <c r="M496" s="778">
        <v>-11736163.92</v>
      </c>
      <c r="N496" s="778">
        <v>-11308909.35</v>
      </c>
      <c r="O496" s="778">
        <v>-11223482.380000001</v>
      </c>
      <c r="P496" s="778">
        <v>-11132875.869999999</v>
      </c>
      <c r="Q496" s="778">
        <v>-11001018.83</v>
      </c>
      <c r="R496" s="778">
        <v>-10840395.23</v>
      </c>
      <c r="S496" s="618">
        <f t="shared" ref="S496:S527" si="139">+R496</f>
        <v>-10840395.23</v>
      </c>
      <c r="T496" s="773"/>
      <c r="U496" s="424"/>
      <c r="V496" s="424">
        <f>+S496</f>
        <v>-10840395.23</v>
      </c>
      <c r="W496" s="424"/>
      <c r="X496" s="425"/>
      <c r="Y496" s="424"/>
      <c r="Z496" s="424"/>
      <c r="AA496" s="424"/>
      <c r="AB496" s="424"/>
      <c r="AC496" s="779"/>
      <c r="AD496" s="426">
        <f>+V496</f>
        <v>-10840395.23</v>
      </c>
      <c r="AE496" s="773"/>
      <c r="AF496" s="781">
        <f t="shared" si="132"/>
        <v>0</v>
      </c>
    </row>
    <row r="497" spans="1:32">
      <c r="A497" s="779">
        <f t="shared" si="133"/>
        <v>483</v>
      </c>
      <c r="B497" s="423" t="s">
        <v>1066</v>
      </c>
      <c r="C497" s="423" t="s">
        <v>637</v>
      </c>
      <c r="D497" s="423" t="s">
        <v>505</v>
      </c>
      <c r="E497" s="763" t="s">
        <v>2038</v>
      </c>
      <c r="F497" s="778">
        <v>0</v>
      </c>
      <c r="G497" s="778">
        <v>0</v>
      </c>
      <c r="H497" s="778">
        <v>0</v>
      </c>
      <c r="I497" s="778">
        <v>0</v>
      </c>
      <c r="J497" s="778">
        <v>0</v>
      </c>
      <c r="K497" s="778">
        <v>0</v>
      </c>
      <c r="L497" s="778">
        <v>-466500</v>
      </c>
      <c r="M497" s="778">
        <v>-466500</v>
      </c>
      <c r="N497" s="778">
        <v>-466500</v>
      </c>
      <c r="O497" s="778">
        <v>-466500</v>
      </c>
      <c r="P497" s="778">
        <v>-466500</v>
      </c>
      <c r="Q497" s="778">
        <v>-466500</v>
      </c>
      <c r="R497" s="778">
        <v>-466500</v>
      </c>
      <c r="S497" s="618">
        <f t="shared" si="139"/>
        <v>-466500</v>
      </c>
      <c r="T497" s="773"/>
      <c r="U497" s="424"/>
      <c r="V497" s="424">
        <f t="shared" ref="V497:V501" si="140">+S497</f>
        <v>-466500</v>
      </c>
      <c r="W497" s="424"/>
      <c r="X497" s="425"/>
      <c r="Y497" s="424"/>
      <c r="Z497" s="424"/>
      <c r="AA497" s="424"/>
      <c r="AB497" s="424"/>
      <c r="AC497" s="779"/>
      <c r="AD497" s="426">
        <f t="shared" ref="AD497:AD501" si="141">+V497</f>
        <v>-466500</v>
      </c>
      <c r="AE497" s="773"/>
      <c r="AF497" s="781">
        <f t="shared" si="132"/>
        <v>0</v>
      </c>
    </row>
    <row r="498" spans="1:32">
      <c r="A498" s="779">
        <f t="shared" si="133"/>
        <v>484</v>
      </c>
      <c r="B498" s="423" t="s">
        <v>1094</v>
      </c>
      <c r="C498" s="423" t="s">
        <v>637</v>
      </c>
      <c r="D498" s="423" t="s">
        <v>505</v>
      </c>
      <c r="E498" s="763" t="s">
        <v>2035</v>
      </c>
      <c r="F498" s="778">
        <v>-1558863.99</v>
      </c>
      <c r="G498" s="778">
        <v>-1558863.99</v>
      </c>
      <c r="H498" s="778">
        <v>-1558863.99</v>
      </c>
      <c r="I498" s="778">
        <v>-1557753.99</v>
      </c>
      <c r="J498" s="778">
        <v>-1557753.99</v>
      </c>
      <c r="K498" s="778">
        <v>-1553616.16</v>
      </c>
      <c r="L498" s="778">
        <v>-1553616.16</v>
      </c>
      <c r="M498" s="778">
        <v>-1553616.16</v>
      </c>
      <c r="N498" s="778">
        <v>-1553616.16</v>
      </c>
      <c r="O498" s="778">
        <v>-1553616.16</v>
      </c>
      <c r="P498" s="778">
        <v>-1553616.16</v>
      </c>
      <c r="Q498" s="778">
        <v>-1553616.16</v>
      </c>
      <c r="R498" s="778">
        <v>-1545967.84</v>
      </c>
      <c r="S498" s="618">
        <f t="shared" si="139"/>
        <v>-1545967.84</v>
      </c>
      <c r="T498" s="773"/>
      <c r="U498" s="424"/>
      <c r="V498" s="424">
        <f t="shared" si="140"/>
        <v>-1545967.84</v>
      </c>
      <c r="W498" s="424"/>
      <c r="X498" s="425"/>
      <c r="Y498" s="424"/>
      <c r="Z498" s="424"/>
      <c r="AA498" s="424"/>
      <c r="AB498" s="424"/>
      <c r="AC498" s="779"/>
      <c r="AD498" s="426">
        <f t="shared" si="141"/>
        <v>-1545967.84</v>
      </c>
      <c r="AE498" s="773"/>
      <c r="AF498" s="781">
        <f t="shared" si="132"/>
        <v>0</v>
      </c>
    </row>
    <row r="499" spans="1:32">
      <c r="A499" s="779">
        <f t="shared" si="133"/>
        <v>485</v>
      </c>
      <c r="B499" s="423" t="s">
        <v>1063</v>
      </c>
      <c r="C499" s="423" t="s">
        <v>648</v>
      </c>
      <c r="D499" s="423" t="s">
        <v>459</v>
      </c>
      <c r="E499" s="763" t="s">
        <v>2021</v>
      </c>
      <c r="F499" s="778">
        <v>-7969990.1299999999</v>
      </c>
      <c r="G499" s="778">
        <v>-8027230.71</v>
      </c>
      <c r="H499" s="778">
        <v>-8084471.29</v>
      </c>
      <c r="I499" s="778">
        <v>-8141711.8700000001</v>
      </c>
      <c r="J499" s="778">
        <v>-8198952.46</v>
      </c>
      <c r="K499" s="778">
        <v>-8262087.6299999999</v>
      </c>
      <c r="L499" s="778">
        <v>-8320507.1299999999</v>
      </c>
      <c r="M499" s="778">
        <v>-8378926.6299999999</v>
      </c>
      <c r="N499" s="778">
        <v>-8437346.1300000008</v>
      </c>
      <c r="O499" s="778">
        <v>-8495765.6300000008</v>
      </c>
      <c r="P499" s="778">
        <v>-8554185.1300000008</v>
      </c>
      <c r="Q499" s="778">
        <v>-8612604.6300000008</v>
      </c>
      <c r="R499" s="778">
        <v>-5590044.1200000001</v>
      </c>
      <c r="S499" s="618">
        <f t="shared" si="139"/>
        <v>-5590044.1200000001</v>
      </c>
      <c r="T499" s="773"/>
      <c r="U499" s="424"/>
      <c r="V499" s="424">
        <f t="shared" si="140"/>
        <v>-5590044.1200000001</v>
      </c>
      <c r="W499" s="424"/>
      <c r="X499" s="425"/>
      <c r="Y499" s="424"/>
      <c r="Z499" s="424"/>
      <c r="AA499" s="424"/>
      <c r="AB499" s="424"/>
      <c r="AC499" s="779"/>
      <c r="AD499" s="426">
        <f t="shared" si="141"/>
        <v>-5590044.1200000001</v>
      </c>
      <c r="AE499" s="773"/>
      <c r="AF499" s="781">
        <f t="shared" si="132"/>
        <v>0</v>
      </c>
    </row>
    <row r="500" spans="1:32">
      <c r="A500" s="779">
        <f t="shared" si="133"/>
        <v>486</v>
      </c>
      <c r="B500" s="423" t="s">
        <v>1063</v>
      </c>
      <c r="C500" s="423" t="s">
        <v>648</v>
      </c>
      <c r="D500" s="423" t="s">
        <v>594</v>
      </c>
      <c r="E500" s="763" t="s">
        <v>2022</v>
      </c>
      <c r="F500" s="778">
        <v>-94311.08</v>
      </c>
      <c r="G500" s="778">
        <v>-94311.08</v>
      </c>
      <c r="H500" s="778">
        <v>-94311.08</v>
      </c>
      <c r="I500" s="778">
        <v>-94311.08</v>
      </c>
      <c r="J500" s="778">
        <v>-94311.08</v>
      </c>
      <c r="K500" s="778">
        <v>-94311.08</v>
      </c>
      <c r="L500" s="778">
        <v>-94311.08</v>
      </c>
      <c r="M500" s="778">
        <v>-94311.08</v>
      </c>
      <c r="N500" s="778">
        <v>-94311.08</v>
      </c>
      <c r="O500" s="778">
        <v>-94311.08</v>
      </c>
      <c r="P500" s="778">
        <v>-94311.08</v>
      </c>
      <c r="Q500" s="778">
        <v>-94311.08</v>
      </c>
      <c r="R500" s="778">
        <v>-112904.15</v>
      </c>
      <c r="S500" s="618">
        <f t="shared" si="139"/>
        <v>-112904.15</v>
      </c>
      <c r="T500" s="773"/>
      <c r="U500" s="424"/>
      <c r="V500" s="424">
        <f t="shared" si="140"/>
        <v>-112904.15</v>
      </c>
      <c r="W500" s="424"/>
      <c r="X500" s="425"/>
      <c r="Y500" s="424"/>
      <c r="Z500" s="424"/>
      <c r="AA500" s="424"/>
      <c r="AB500" s="424"/>
      <c r="AC500" s="779"/>
      <c r="AD500" s="426">
        <f t="shared" si="141"/>
        <v>-112904.15</v>
      </c>
      <c r="AE500" s="773"/>
      <c r="AF500" s="781">
        <f t="shared" si="132"/>
        <v>0</v>
      </c>
    </row>
    <row r="501" spans="1:32">
      <c r="A501" s="779">
        <f t="shared" si="133"/>
        <v>487</v>
      </c>
      <c r="B501" s="423" t="s">
        <v>1063</v>
      </c>
      <c r="C501" s="423" t="s">
        <v>648</v>
      </c>
      <c r="D501" s="423" t="s">
        <v>595</v>
      </c>
      <c r="E501" s="763" t="s">
        <v>2023</v>
      </c>
      <c r="F501" s="778">
        <v>-343412</v>
      </c>
      <c r="G501" s="778">
        <v>-343412</v>
      </c>
      <c r="H501" s="778">
        <v>-343412</v>
      </c>
      <c r="I501" s="778">
        <v>-343412</v>
      </c>
      <c r="J501" s="778">
        <v>-343412</v>
      </c>
      <c r="K501" s="778">
        <v>-343412</v>
      </c>
      <c r="L501" s="778">
        <v>-343412</v>
      </c>
      <c r="M501" s="778">
        <v>-343412</v>
      </c>
      <c r="N501" s="778">
        <v>-343412</v>
      </c>
      <c r="O501" s="778">
        <v>-343412</v>
      </c>
      <c r="P501" s="778">
        <v>-343412</v>
      </c>
      <c r="Q501" s="778">
        <v>-343412</v>
      </c>
      <c r="R501" s="778">
        <v>-108832</v>
      </c>
      <c r="S501" s="618">
        <f t="shared" si="139"/>
        <v>-108832</v>
      </c>
      <c r="T501" s="773"/>
      <c r="U501" s="424"/>
      <c r="V501" s="424">
        <f t="shared" si="140"/>
        <v>-108832</v>
      </c>
      <c r="W501" s="424"/>
      <c r="X501" s="425"/>
      <c r="Y501" s="424"/>
      <c r="Z501" s="424"/>
      <c r="AA501" s="424"/>
      <c r="AB501" s="424"/>
      <c r="AC501" s="779"/>
      <c r="AD501" s="426">
        <f t="shared" si="141"/>
        <v>-108832</v>
      </c>
      <c r="AE501" s="773"/>
      <c r="AF501" s="781">
        <f t="shared" si="132"/>
        <v>0</v>
      </c>
    </row>
    <row r="502" spans="1:32">
      <c r="A502" s="779">
        <f t="shared" si="133"/>
        <v>488</v>
      </c>
      <c r="B502" s="423" t="s">
        <v>1063</v>
      </c>
      <c r="C502" s="423" t="s">
        <v>649</v>
      </c>
      <c r="D502" s="423" t="s">
        <v>1334</v>
      </c>
      <c r="E502" s="763" t="s">
        <v>2024</v>
      </c>
      <c r="F502" s="778">
        <v>-61208025.729999997</v>
      </c>
      <c r="G502" s="778">
        <v>-61488477.130000003</v>
      </c>
      <c r="H502" s="778">
        <v>-61770218.670000002</v>
      </c>
      <c r="I502" s="778">
        <v>-62053256.390000001</v>
      </c>
      <c r="J502" s="778">
        <v>-62337596.329999998</v>
      </c>
      <c r="K502" s="778">
        <v>-62623244.380000003</v>
      </c>
      <c r="L502" s="778">
        <v>-62910206.68</v>
      </c>
      <c r="M502" s="778">
        <v>-63198489.299999997</v>
      </c>
      <c r="N502" s="778">
        <v>-63488098.350000001</v>
      </c>
      <c r="O502" s="778">
        <v>-63779039.810000002</v>
      </c>
      <c r="P502" s="778">
        <v>-64071319.920000002</v>
      </c>
      <c r="Q502" s="778">
        <v>-64364944.859999999</v>
      </c>
      <c r="R502" s="778">
        <v>-66788045.990000002</v>
      </c>
      <c r="S502" s="618">
        <f t="shared" si="139"/>
        <v>-66788045.990000002</v>
      </c>
      <c r="T502" s="773"/>
      <c r="U502" s="424"/>
      <c r="V502" s="424"/>
      <c r="W502" s="424"/>
      <c r="X502" s="425">
        <f>+S502</f>
        <v>-66788045.990000002</v>
      </c>
      <c r="Y502" s="424">
        <f>+X502*Z7</f>
        <v>-49990852.423515007</v>
      </c>
      <c r="Z502" s="424">
        <f>+X502*Z8</f>
        <v>-16794967.298285335</v>
      </c>
      <c r="AA502" s="424">
        <f>+S502</f>
        <v>-66788045.990000002</v>
      </c>
      <c r="AB502" s="424"/>
      <c r="AC502" s="779"/>
      <c r="AD502" s="426"/>
      <c r="AE502" s="773"/>
      <c r="AF502" s="781">
        <f t="shared" si="132"/>
        <v>0</v>
      </c>
    </row>
    <row r="503" spans="1:32">
      <c r="A503" s="779">
        <f t="shared" si="133"/>
        <v>489</v>
      </c>
      <c r="B503" s="423" t="s">
        <v>1063</v>
      </c>
      <c r="C503" s="423" t="s">
        <v>646</v>
      </c>
      <c r="D503" s="423" t="s">
        <v>573</v>
      </c>
      <c r="E503" s="763" t="s">
        <v>508</v>
      </c>
      <c r="F503" s="778">
        <v>0</v>
      </c>
      <c r="G503" s="778">
        <v>0</v>
      </c>
      <c r="H503" s="778">
        <v>0</v>
      </c>
      <c r="I503" s="778">
        <v>0</v>
      </c>
      <c r="J503" s="778">
        <v>0</v>
      </c>
      <c r="K503" s="778">
        <v>0</v>
      </c>
      <c r="L503" s="778">
        <v>0</v>
      </c>
      <c r="M503" s="778">
        <v>0</v>
      </c>
      <c r="N503" s="778">
        <v>0</v>
      </c>
      <c r="O503" s="778">
        <v>0</v>
      </c>
      <c r="P503" s="778">
        <v>0</v>
      </c>
      <c r="Q503" s="778">
        <v>0</v>
      </c>
      <c r="R503" s="778">
        <v>0</v>
      </c>
      <c r="S503" s="618">
        <f t="shared" si="139"/>
        <v>0</v>
      </c>
      <c r="T503" s="773"/>
      <c r="U503" s="424"/>
      <c r="V503" s="424"/>
      <c r="W503" s="424"/>
      <c r="X503" s="425"/>
      <c r="Y503" s="424"/>
      <c r="Z503" s="424"/>
      <c r="AA503" s="424"/>
      <c r="AB503" s="424"/>
      <c r="AC503" s="779"/>
      <c r="AD503" s="426"/>
      <c r="AE503" s="773"/>
      <c r="AF503" s="781">
        <f t="shared" si="132"/>
        <v>0</v>
      </c>
    </row>
    <row r="504" spans="1:32">
      <c r="A504" s="779">
        <f t="shared" si="133"/>
        <v>490</v>
      </c>
      <c r="B504" s="423" t="s">
        <v>1063</v>
      </c>
      <c r="C504" s="423" t="s">
        <v>650</v>
      </c>
      <c r="D504" s="423" t="s">
        <v>757</v>
      </c>
      <c r="E504" s="763" t="s">
        <v>2025</v>
      </c>
      <c r="F504" s="778">
        <v>-2795077.3</v>
      </c>
      <c r="G504" s="778">
        <v>-3373786.93</v>
      </c>
      <c r="H504" s="778">
        <v>-3373786.93</v>
      </c>
      <c r="I504" s="778">
        <v>-3373786.93</v>
      </c>
      <c r="J504" s="778">
        <v>-3373786.93</v>
      </c>
      <c r="K504" s="778">
        <v>-3373786.93</v>
      </c>
      <c r="L504" s="778">
        <v>-3373786.93</v>
      </c>
      <c r="M504" s="778">
        <v>-3373786.93</v>
      </c>
      <c r="N504" s="778">
        <v>-3373786.93</v>
      </c>
      <c r="O504" s="778">
        <v>-3373786.93</v>
      </c>
      <c r="P504" s="778">
        <v>-3373786.93</v>
      </c>
      <c r="Q504" s="778">
        <v>-3373786.93</v>
      </c>
      <c r="R504" s="778">
        <v>-3373786.93</v>
      </c>
      <c r="S504" s="618">
        <f t="shared" si="139"/>
        <v>-3373786.93</v>
      </c>
      <c r="T504" s="773"/>
      <c r="U504" s="424"/>
      <c r="V504" s="424"/>
      <c r="W504" s="424"/>
      <c r="X504" s="425">
        <f>+S504</f>
        <v>-3373786.93</v>
      </c>
      <c r="Y504" s="424">
        <f>+'Adv for Const. &amp; Def Tax'!AU18</f>
        <v>-3255123.44</v>
      </c>
      <c r="Z504" s="424">
        <f>+'Adv for Const. &amp; Def Tax'!AV18</f>
        <v>-163823.79999999999</v>
      </c>
      <c r="AA504" s="424"/>
      <c r="AB504" s="424"/>
      <c r="AC504" s="779"/>
      <c r="AD504" s="426"/>
      <c r="AE504" s="773" t="s">
        <v>1729</v>
      </c>
      <c r="AF504" s="781">
        <f t="shared" si="132"/>
        <v>0</v>
      </c>
    </row>
    <row r="505" spans="1:32">
      <c r="A505" s="779">
        <f t="shared" si="133"/>
        <v>491</v>
      </c>
      <c r="B505" s="423" t="s">
        <v>1063</v>
      </c>
      <c r="C505" s="423" t="s">
        <v>650</v>
      </c>
      <c r="D505" s="423" t="s">
        <v>1230</v>
      </c>
      <c r="E505" s="763" t="s">
        <v>2026</v>
      </c>
      <c r="F505" s="778">
        <v>-703928.77</v>
      </c>
      <c r="G505" s="778">
        <v>-9240.8200000000706</v>
      </c>
      <c r="H505" s="778">
        <v>-10739.5100000001</v>
      </c>
      <c r="I505" s="778">
        <v>-13635.6500000001</v>
      </c>
      <c r="J505" s="778">
        <v>-14985.880000000099</v>
      </c>
      <c r="K505" s="778">
        <v>-16545.300000000101</v>
      </c>
      <c r="L505" s="778">
        <v>-30615.840000000098</v>
      </c>
      <c r="M505" s="778">
        <v>-55167.110000000102</v>
      </c>
      <c r="N505" s="778">
        <v>-61805.460000000101</v>
      </c>
      <c r="O505" s="778">
        <v>-69511.050000000105</v>
      </c>
      <c r="P505" s="778">
        <v>-47101.050000000097</v>
      </c>
      <c r="Q505" s="778">
        <v>-47101.050000000097</v>
      </c>
      <c r="R505" s="778">
        <v>-48360.090000000098</v>
      </c>
      <c r="S505" s="618">
        <f t="shared" si="139"/>
        <v>-48360.090000000098</v>
      </c>
      <c r="T505" s="773"/>
      <c r="U505" s="424"/>
      <c r="V505" s="424"/>
      <c r="W505" s="424"/>
      <c r="X505" s="425">
        <f t="shared" ref="X505:X508" si="142">+S505</f>
        <v>-48360.090000000098</v>
      </c>
      <c r="Y505" s="424"/>
      <c r="Z505" s="424"/>
      <c r="AA505" s="424"/>
      <c r="AB505" s="424"/>
      <c r="AC505" s="779"/>
      <c r="AD505" s="426"/>
      <c r="AE505" s="773"/>
      <c r="AF505" s="781">
        <f t="shared" si="132"/>
        <v>0</v>
      </c>
    </row>
    <row r="506" spans="1:32">
      <c r="A506" s="779">
        <f t="shared" si="133"/>
        <v>492</v>
      </c>
      <c r="B506" s="423" t="s">
        <v>1063</v>
      </c>
      <c r="C506" s="423" t="s">
        <v>650</v>
      </c>
      <c r="D506" s="423" t="s">
        <v>1335</v>
      </c>
      <c r="E506" s="763" t="s">
        <v>2027</v>
      </c>
      <c r="F506" s="778">
        <v>10595.79</v>
      </c>
      <c r="G506" s="778">
        <v>0</v>
      </c>
      <c r="H506" s="778">
        <v>0</v>
      </c>
      <c r="I506" s="778">
        <v>0</v>
      </c>
      <c r="J506" s="778">
        <v>0</v>
      </c>
      <c r="K506" s="778">
        <v>0</v>
      </c>
      <c r="L506" s="778">
        <v>0</v>
      </c>
      <c r="M506" s="778">
        <v>2611.7800000000002</v>
      </c>
      <c r="N506" s="778">
        <v>3199.78</v>
      </c>
      <c r="O506" s="778">
        <v>3199.78</v>
      </c>
      <c r="P506" s="778">
        <v>3199.78</v>
      </c>
      <c r="Q506" s="778">
        <v>3199.78</v>
      </c>
      <c r="R506" s="778">
        <v>3199.78</v>
      </c>
      <c r="S506" s="618">
        <f t="shared" si="139"/>
        <v>3199.78</v>
      </c>
      <c r="T506" s="773"/>
      <c r="U506" s="424"/>
      <c r="V506" s="424"/>
      <c r="W506" s="424"/>
      <c r="X506" s="425">
        <f t="shared" si="142"/>
        <v>3199.78</v>
      </c>
      <c r="Y506" s="424"/>
      <c r="Z506" s="424"/>
      <c r="AA506" s="424"/>
      <c r="AB506" s="424"/>
      <c r="AC506" s="779"/>
      <c r="AD506" s="426"/>
      <c r="AE506" s="773"/>
      <c r="AF506" s="781">
        <f t="shared" si="132"/>
        <v>0</v>
      </c>
    </row>
    <row r="507" spans="1:32">
      <c r="A507" s="779">
        <f t="shared" si="133"/>
        <v>493</v>
      </c>
      <c r="B507" s="423" t="s">
        <v>1063</v>
      </c>
      <c r="C507" s="423" t="s">
        <v>650</v>
      </c>
      <c r="D507" s="423" t="s">
        <v>1071</v>
      </c>
      <c r="E507" s="763" t="s">
        <v>2029</v>
      </c>
      <c r="F507" s="778">
        <v>105195.79</v>
      </c>
      <c r="G507" s="778">
        <v>0</v>
      </c>
      <c r="H507" s="778">
        <v>0</v>
      </c>
      <c r="I507" s="778">
        <v>0</v>
      </c>
      <c r="J507" s="778">
        <v>99992.08</v>
      </c>
      <c r="K507" s="778">
        <v>99992.08</v>
      </c>
      <c r="L507" s="778">
        <v>99992.08</v>
      </c>
      <c r="M507" s="778">
        <v>99992.08</v>
      </c>
      <c r="N507" s="778">
        <v>103023.82</v>
      </c>
      <c r="O507" s="778">
        <v>103023.82</v>
      </c>
      <c r="P507" s="778">
        <v>117299.85</v>
      </c>
      <c r="Q507" s="778">
        <v>117299.85</v>
      </c>
      <c r="R507" s="778">
        <v>117299.85</v>
      </c>
      <c r="S507" s="618">
        <f t="shared" si="139"/>
        <v>117299.85</v>
      </c>
      <c r="T507" s="773"/>
      <c r="U507" s="424"/>
      <c r="V507" s="424"/>
      <c r="W507" s="424"/>
      <c r="X507" s="425">
        <f t="shared" si="142"/>
        <v>117299.85</v>
      </c>
      <c r="Y507" s="424">
        <f>+'Adv for Const. &amp; Def Tax'!AU19</f>
        <v>108675.06</v>
      </c>
      <c r="Z507" s="424">
        <f>+'Adv for Const. &amp; Def Tax'!AV19</f>
        <v>8624.7900000000009</v>
      </c>
      <c r="AA507" s="424"/>
      <c r="AB507" s="424"/>
      <c r="AC507" s="779"/>
      <c r="AD507" s="426"/>
      <c r="AE507" s="773" t="s">
        <v>1730</v>
      </c>
      <c r="AF507" s="781">
        <f t="shared" si="132"/>
        <v>0</v>
      </c>
    </row>
    <row r="508" spans="1:32">
      <c r="A508" s="779">
        <f t="shared" si="133"/>
        <v>494</v>
      </c>
      <c r="B508" s="423" t="s">
        <v>1063</v>
      </c>
      <c r="C508" s="423" t="s">
        <v>650</v>
      </c>
      <c r="D508" s="423" t="s">
        <v>1075</v>
      </c>
      <c r="E508" s="763" t="s">
        <v>2028</v>
      </c>
      <c r="F508" s="778">
        <v>-1104303.6499999999</v>
      </c>
      <c r="G508" s="778">
        <v>-1079956.68</v>
      </c>
      <c r="H508" s="778">
        <v>-1079956.68</v>
      </c>
      <c r="I508" s="778">
        <v>-1079452.97</v>
      </c>
      <c r="J508" s="778">
        <v>-1079452.97</v>
      </c>
      <c r="K508" s="778">
        <v>-1079452.97</v>
      </c>
      <c r="L508" s="778">
        <v>-1082136.3</v>
      </c>
      <c r="M508" s="778">
        <v>-1080347.08</v>
      </c>
      <c r="N508" s="778">
        <v>-1072375.83</v>
      </c>
      <c r="O508" s="778">
        <v>-1091726.19</v>
      </c>
      <c r="P508" s="778">
        <v>-1015519.5</v>
      </c>
      <c r="Q508" s="778">
        <v>-1015519.5</v>
      </c>
      <c r="R508" s="778">
        <v>-1014253.48</v>
      </c>
      <c r="S508" s="618">
        <f t="shared" si="139"/>
        <v>-1014253.48</v>
      </c>
      <c r="T508" s="773"/>
      <c r="U508" s="424"/>
      <c r="V508" s="424"/>
      <c r="W508" s="424"/>
      <c r="X508" s="425">
        <f t="shared" si="142"/>
        <v>-1014253.48</v>
      </c>
      <c r="Y508" s="424">
        <f>+'Adv for Const. &amp; Def Tax'!AU21</f>
        <v>-758934.52</v>
      </c>
      <c r="Z508" s="424">
        <f>+'Adv for Const. &amp; Def Tax'!AV21</f>
        <v>-255318.96</v>
      </c>
      <c r="AA508" s="424"/>
      <c r="AB508" s="424"/>
      <c r="AC508" s="779"/>
      <c r="AD508" s="426"/>
      <c r="AE508" s="773" t="s">
        <v>1731</v>
      </c>
      <c r="AF508" s="781">
        <f t="shared" si="132"/>
        <v>0</v>
      </c>
    </row>
    <row r="509" spans="1:32">
      <c r="A509" s="779">
        <f t="shared" si="133"/>
        <v>495</v>
      </c>
      <c r="B509" s="423" t="s">
        <v>1063</v>
      </c>
      <c r="C509" s="423" t="s">
        <v>651</v>
      </c>
      <c r="D509" s="423" t="s">
        <v>1336</v>
      </c>
      <c r="E509" s="763" t="s">
        <v>2030</v>
      </c>
      <c r="F509" s="778">
        <v>-1009.5</v>
      </c>
      <c r="G509" s="778">
        <v>-1016.83</v>
      </c>
      <c r="H509" s="778">
        <v>-1005.26</v>
      </c>
      <c r="I509" s="778">
        <v>-1011.66</v>
      </c>
      <c r="J509" s="778">
        <v>-911.04</v>
      </c>
      <c r="K509" s="778">
        <v>-1014.1</v>
      </c>
      <c r="L509" s="778">
        <v>-682.52</v>
      </c>
      <c r="M509" s="778">
        <v>-1030.43</v>
      </c>
      <c r="N509" s="778">
        <v>-1036.6600000000001</v>
      </c>
      <c r="O509" s="778">
        <v>-1043.72</v>
      </c>
      <c r="P509" s="778">
        <v>92.559999999999903</v>
      </c>
      <c r="Q509" s="778">
        <v>129.22999999999999</v>
      </c>
      <c r="R509" s="778">
        <v>121.7</v>
      </c>
      <c r="S509" s="618">
        <f t="shared" si="139"/>
        <v>121.7</v>
      </c>
      <c r="T509" s="773"/>
      <c r="U509" s="424"/>
      <c r="V509" s="424">
        <f t="shared" ref="V509:V513" si="143">+S509</f>
        <v>121.7</v>
      </c>
      <c r="W509" s="424"/>
      <c r="X509" s="425"/>
      <c r="Y509" s="424"/>
      <c r="Z509" s="424"/>
      <c r="AA509" s="424"/>
      <c r="AB509" s="424"/>
      <c r="AC509" s="779"/>
      <c r="AD509" s="426">
        <f t="shared" ref="AD509:AD517" si="144">+V509</f>
        <v>121.7</v>
      </c>
      <c r="AE509" s="773"/>
      <c r="AF509" s="781">
        <f t="shared" si="132"/>
        <v>0</v>
      </c>
    </row>
    <row r="510" spans="1:32">
      <c r="A510" s="779">
        <f t="shared" si="133"/>
        <v>496</v>
      </c>
      <c r="B510" s="423" t="s">
        <v>1063</v>
      </c>
      <c r="C510" s="423" t="s">
        <v>651</v>
      </c>
      <c r="D510" s="423" t="s">
        <v>1337</v>
      </c>
      <c r="E510" s="763" t="s">
        <v>2032</v>
      </c>
      <c r="F510" s="778">
        <v>-72405</v>
      </c>
      <c r="G510" s="778">
        <v>-72405</v>
      </c>
      <c r="H510" s="778">
        <v>-72405</v>
      </c>
      <c r="I510" s="778">
        <v>-72405</v>
      </c>
      <c r="J510" s="778">
        <v>-72405</v>
      </c>
      <c r="K510" s="778">
        <v>-72405</v>
      </c>
      <c r="L510" s="778">
        <v>-72405</v>
      </c>
      <c r="M510" s="778">
        <v>-72405</v>
      </c>
      <c r="N510" s="778">
        <v>-72405</v>
      </c>
      <c r="O510" s="778">
        <v>-48270</v>
      </c>
      <c r="P510" s="778">
        <v>-48270</v>
      </c>
      <c r="Q510" s="778">
        <v>-48270</v>
      </c>
      <c r="R510" s="778">
        <v>-48270</v>
      </c>
      <c r="S510" s="618">
        <f t="shared" si="139"/>
        <v>-48270</v>
      </c>
      <c r="T510" s="773"/>
      <c r="U510" s="424"/>
      <c r="V510" s="424">
        <f t="shared" si="143"/>
        <v>-48270</v>
      </c>
      <c r="W510" s="424"/>
      <c r="X510" s="425"/>
      <c r="Y510" s="424"/>
      <c r="Z510" s="424"/>
      <c r="AA510" s="424"/>
      <c r="AB510" s="424"/>
      <c r="AC510" s="779"/>
      <c r="AD510" s="426">
        <f t="shared" si="144"/>
        <v>-48270</v>
      </c>
      <c r="AE510" s="773"/>
      <c r="AF510" s="781">
        <f t="shared" si="132"/>
        <v>0</v>
      </c>
    </row>
    <row r="511" spans="1:32">
      <c r="A511" s="779">
        <f t="shared" si="133"/>
        <v>497</v>
      </c>
      <c r="B511" s="423" t="s">
        <v>1063</v>
      </c>
      <c r="C511" s="423" t="s">
        <v>651</v>
      </c>
      <c r="D511" s="423" t="s">
        <v>1338</v>
      </c>
      <c r="E511" s="763" t="s">
        <v>2031</v>
      </c>
      <c r="F511" s="778">
        <v>-8438376.6899999995</v>
      </c>
      <c r="G511" s="778">
        <v>-8462195.1099999994</v>
      </c>
      <c r="H511" s="778">
        <v>-8479869.4800000004</v>
      </c>
      <c r="I511" s="778">
        <v>-8499122.9299999997</v>
      </c>
      <c r="J511" s="778">
        <v>-8510386.5500000007</v>
      </c>
      <c r="K511" s="778">
        <v>-8323671.0800000001</v>
      </c>
      <c r="L511" s="778">
        <v>-8300660.7699999996</v>
      </c>
      <c r="M511" s="778">
        <v>-8277660.8499999996</v>
      </c>
      <c r="N511" s="778">
        <v>-8254660.9299999997</v>
      </c>
      <c r="O511" s="778">
        <v>-8231377.4400000004</v>
      </c>
      <c r="P511" s="778">
        <v>-8208377.5199999996</v>
      </c>
      <c r="Q511" s="778">
        <v>-8185377.5999999996</v>
      </c>
      <c r="R511" s="778">
        <v>-9444729.6899999995</v>
      </c>
      <c r="S511" s="618">
        <f t="shared" si="139"/>
        <v>-9444729.6899999995</v>
      </c>
      <c r="T511" s="773"/>
      <c r="U511" s="424"/>
      <c r="V511" s="424">
        <f t="shared" si="143"/>
        <v>-9444729.6899999995</v>
      </c>
      <c r="W511" s="424"/>
      <c r="X511" s="425"/>
      <c r="Y511" s="424"/>
      <c r="Z511" s="424"/>
      <c r="AA511" s="424"/>
      <c r="AB511" s="424"/>
      <c r="AC511" s="779"/>
      <c r="AD511" s="426">
        <f t="shared" si="144"/>
        <v>-9444729.6899999995</v>
      </c>
      <c r="AE511" s="773"/>
      <c r="AF511" s="781">
        <f t="shared" si="132"/>
        <v>0</v>
      </c>
    </row>
    <row r="512" spans="1:32">
      <c r="A512" s="779">
        <f t="shared" si="133"/>
        <v>498</v>
      </c>
      <c r="B512" s="423" t="s">
        <v>1063</v>
      </c>
      <c r="C512" s="423" t="s">
        <v>651</v>
      </c>
      <c r="D512" s="423" t="s">
        <v>1339</v>
      </c>
      <c r="E512" s="763" t="s">
        <v>2033</v>
      </c>
      <c r="F512" s="778">
        <v>-930129</v>
      </c>
      <c r="G512" s="778">
        <v>-930129</v>
      </c>
      <c r="H512" s="778">
        <v>-930129</v>
      </c>
      <c r="I512" s="778">
        <v>-930129</v>
      </c>
      <c r="J512" s="778">
        <v>-930129</v>
      </c>
      <c r="K512" s="778">
        <v>-930129</v>
      </c>
      <c r="L512" s="778">
        <v>-930129</v>
      </c>
      <c r="M512" s="778">
        <v>-930129</v>
      </c>
      <c r="N512" s="778">
        <v>-930129</v>
      </c>
      <c r="O512" s="778">
        <v>-930129</v>
      </c>
      <c r="P512" s="778">
        <v>-930129</v>
      </c>
      <c r="Q512" s="778">
        <v>-930129</v>
      </c>
      <c r="R512" s="778">
        <v>-974030</v>
      </c>
      <c r="S512" s="618">
        <f t="shared" si="139"/>
        <v>-974030</v>
      </c>
      <c r="T512" s="773"/>
      <c r="U512" s="424"/>
      <c r="V512" s="424">
        <f t="shared" si="143"/>
        <v>-974030</v>
      </c>
      <c r="W512" s="424"/>
      <c r="X512" s="425"/>
      <c r="Y512" s="424"/>
      <c r="Z512" s="424"/>
      <c r="AA512" s="424"/>
      <c r="AB512" s="424"/>
      <c r="AC512" s="779"/>
      <c r="AD512" s="426">
        <f t="shared" si="144"/>
        <v>-974030</v>
      </c>
      <c r="AE512" s="762"/>
      <c r="AF512" s="781">
        <f t="shared" si="132"/>
        <v>0</v>
      </c>
    </row>
    <row r="513" spans="1:32">
      <c r="A513" s="779">
        <f t="shared" si="133"/>
        <v>499</v>
      </c>
      <c r="B513" s="423" t="s">
        <v>1063</v>
      </c>
      <c r="C513" s="423" t="s">
        <v>652</v>
      </c>
      <c r="D513" s="423" t="s">
        <v>653</v>
      </c>
      <c r="E513" s="763" t="s">
        <v>654</v>
      </c>
      <c r="F513" s="778">
        <v>-2333957</v>
      </c>
      <c r="G513" s="778">
        <v>-2333957</v>
      </c>
      <c r="H513" s="778">
        <v>-2333957</v>
      </c>
      <c r="I513" s="778">
        <v>-2333957</v>
      </c>
      <c r="J513" s="778">
        <v>-2333957</v>
      </c>
      <c r="K513" s="778">
        <v>-2333957</v>
      </c>
      <c r="L513" s="778">
        <v>-2333957</v>
      </c>
      <c r="M513" s="778">
        <v>-2333957</v>
      </c>
      <c r="N513" s="778">
        <v>-2333957</v>
      </c>
      <c r="O513" s="778">
        <v>-2333957</v>
      </c>
      <c r="P513" s="778">
        <v>-2333957</v>
      </c>
      <c r="Q513" s="778">
        <v>-2333957</v>
      </c>
      <c r="R513" s="778">
        <v>-2706980</v>
      </c>
      <c r="S513" s="618">
        <f t="shared" si="139"/>
        <v>-2706980</v>
      </c>
      <c r="T513" s="773"/>
      <c r="U513" s="424"/>
      <c r="V513" s="424">
        <f t="shared" si="143"/>
        <v>-2706980</v>
      </c>
      <c r="W513" s="424"/>
      <c r="X513" s="425"/>
      <c r="Y513" s="424"/>
      <c r="Z513" s="424"/>
      <c r="AA513" s="424"/>
      <c r="AB513" s="424"/>
      <c r="AC513" s="779"/>
      <c r="AD513" s="426">
        <f t="shared" si="144"/>
        <v>-2706980</v>
      </c>
      <c r="AE513" s="773"/>
      <c r="AF513" s="781">
        <f t="shared" si="132"/>
        <v>0</v>
      </c>
    </row>
    <row r="514" spans="1:32">
      <c r="A514" s="779">
        <f t="shared" si="133"/>
        <v>500</v>
      </c>
      <c r="B514" s="423" t="s">
        <v>1066</v>
      </c>
      <c r="C514" s="423" t="s">
        <v>652</v>
      </c>
      <c r="D514" s="423" t="s">
        <v>1340</v>
      </c>
      <c r="E514" s="763" t="s">
        <v>655</v>
      </c>
      <c r="F514" s="778">
        <v>-52094122.640000001</v>
      </c>
      <c r="G514" s="778">
        <v>-51923199.700000003</v>
      </c>
      <c r="H514" s="778">
        <v>-51751811.369999997</v>
      </c>
      <c r="I514" s="778">
        <v>-51579612.490000002</v>
      </c>
      <c r="J514" s="778">
        <v>-51412594.920000002</v>
      </c>
      <c r="K514" s="778">
        <v>-51245545</v>
      </c>
      <c r="L514" s="778">
        <v>-51078484.880000003</v>
      </c>
      <c r="M514" s="778">
        <v>-50661037.229999997</v>
      </c>
      <c r="N514" s="778">
        <v>-50458292.700000003</v>
      </c>
      <c r="O514" s="778">
        <v>-50255544.689999998</v>
      </c>
      <c r="P514" s="778">
        <v>-50052796.68</v>
      </c>
      <c r="Q514" s="778">
        <v>-49713089.740000002</v>
      </c>
      <c r="R514" s="778">
        <v>-49624464.960000001</v>
      </c>
      <c r="S514" s="618">
        <f t="shared" si="139"/>
        <v>-49624464.960000001</v>
      </c>
      <c r="T514" s="773"/>
      <c r="U514" s="424"/>
      <c r="V514" s="424"/>
      <c r="W514" s="424"/>
      <c r="X514" s="425">
        <f>+S514</f>
        <v>-49624464.960000001</v>
      </c>
      <c r="Y514" s="424"/>
      <c r="Z514" s="424"/>
      <c r="AA514" s="424"/>
      <c r="AB514" s="424">
        <f>+S514</f>
        <v>-49624464.960000001</v>
      </c>
      <c r="AC514" s="779"/>
      <c r="AD514" s="426">
        <f t="shared" si="144"/>
        <v>0</v>
      </c>
      <c r="AE514" s="773"/>
      <c r="AF514" s="781">
        <f t="shared" si="132"/>
        <v>0</v>
      </c>
    </row>
    <row r="515" spans="1:32">
      <c r="A515" s="779">
        <f t="shared" si="133"/>
        <v>501</v>
      </c>
      <c r="B515" s="423" t="s">
        <v>1063</v>
      </c>
      <c r="C515" s="423" t="s">
        <v>652</v>
      </c>
      <c r="D515" s="423" t="s">
        <v>1341</v>
      </c>
      <c r="E515" s="763" t="s">
        <v>2034</v>
      </c>
      <c r="F515" s="778">
        <v>-10293340.66</v>
      </c>
      <c r="G515" s="778">
        <v>-10209770.48</v>
      </c>
      <c r="H515" s="778">
        <v>-10126200.310000001</v>
      </c>
      <c r="I515" s="778">
        <v>-10042630.24</v>
      </c>
      <c r="J515" s="778">
        <v>-9959060.0600000005</v>
      </c>
      <c r="K515" s="778">
        <v>-9875489.9100000001</v>
      </c>
      <c r="L515" s="778">
        <v>-9791919.7200000007</v>
      </c>
      <c r="M515" s="778">
        <v>-9708349.5600000005</v>
      </c>
      <c r="N515" s="778">
        <v>-9624779.5</v>
      </c>
      <c r="O515" s="778">
        <v>-9541209.3100000005</v>
      </c>
      <c r="P515" s="778">
        <v>-9457639.2200000007</v>
      </c>
      <c r="Q515" s="778">
        <v>-9386469.9000000004</v>
      </c>
      <c r="R515" s="778">
        <v>-9124558.2599999998</v>
      </c>
      <c r="S515" s="618">
        <f t="shared" si="139"/>
        <v>-9124558.2599999998</v>
      </c>
      <c r="T515" s="773"/>
      <c r="U515" s="424"/>
      <c r="V515" s="424"/>
      <c r="W515" s="424"/>
      <c r="X515" s="425">
        <f>+S515</f>
        <v>-9124558.2599999998</v>
      </c>
      <c r="Y515" s="424"/>
      <c r="Z515" s="424"/>
      <c r="AA515" s="424"/>
      <c r="AB515" s="424">
        <f>+S515</f>
        <v>-9124558.2599999998</v>
      </c>
      <c r="AC515" s="779"/>
      <c r="AD515" s="426">
        <f t="shared" si="144"/>
        <v>0</v>
      </c>
      <c r="AE515" s="762"/>
      <c r="AF515" s="781">
        <f t="shared" si="132"/>
        <v>0</v>
      </c>
    </row>
    <row r="516" spans="1:32">
      <c r="A516" s="779">
        <f t="shared" si="133"/>
        <v>502</v>
      </c>
      <c r="B516" s="423" t="s">
        <v>1094</v>
      </c>
      <c r="C516" s="423" t="s">
        <v>652</v>
      </c>
      <c r="D516" s="423" t="s">
        <v>1289</v>
      </c>
      <c r="E516" s="763" t="s">
        <v>2036</v>
      </c>
      <c r="F516" s="778">
        <v>-4059966.67</v>
      </c>
      <c r="G516" s="778">
        <v>-3212318.44</v>
      </c>
      <c r="H516" s="778">
        <v>-2505235.73</v>
      </c>
      <c r="I516" s="778">
        <v>-2507308.9</v>
      </c>
      <c r="J516" s="778">
        <v>-2418602.59</v>
      </c>
      <c r="K516" s="778">
        <v>-1964038.5</v>
      </c>
      <c r="L516" s="778">
        <v>-1892252.25</v>
      </c>
      <c r="M516" s="778">
        <v>-1770213.93</v>
      </c>
      <c r="N516" s="778">
        <v>-1346690.53</v>
      </c>
      <c r="O516" s="778">
        <v>-1062416.03</v>
      </c>
      <c r="P516" s="778">
        <v>-921734.44</v>
      </c>
      <c r="Q516" s="778">
        <v>-624129.18000000005</v>
      </c>
      <c r="R516" s="778">
        <v>-444461.68</v>
      </c>
      <c r="S516" s="618">
        <f t="shared" si="139"/>
        <v>-444461.68</v>
      </c>
      <c r="T516" s="773"/>
      <c r="U516" s="424"/>
      <c r="V516" s="424"/>
      <c r="W516" s="424"/>
      <c r="X516" s="425">
        <f>+S516</f>
        <v>-444461.68</v>
      </c>
      <c r="Y516" s="424"/>
      <c r="Z516" s="424"/>
      <c r="AA516" s="424"/>
      <c r="AB516" s="424">
        <f>+S516</f>
        <v>-444461.68</v>
      </c>
      <c r="AC516" s="779"/>
      <c r="AD516" s="426">
        <f t="shared" si="144"/>
        <v>0</v>
      </c>
      <c r="AE516" s="762"/>
      <c r="AF516" s="781">
        <f t="shared" si="132"/>
        <v>0</v>
      </c>
    </row>
    <row r="517" spans="1:32">
      <c r="A517" s="779">
        <f t="shared" si="133"/>
        <v>503</v>
      </c>
      <c r="B517" s="423" t="s">
        <v>1066</v>
      </c>
      <c r="C517" s="423" t="s">
        <v>652</v>
      </c>
      <c r="D517" s="423" t="s">
        <v>1701</v>
      </c>
      <c r="E517" s="763" t="s">
        <v>2036</v>
      </c>
      <c r="F517" s="778">
        <v>-1511249.09</v>
      </c>
      <c r="G517" s="778">
        <v>-5791633.3700000001</v>
      </c>
      <c r="H517" s="778">
        <v>-6596943.9699999997</v>
      </c>
      <c r="I517" s="778">
        <v>-7038725.3099999996</v>
      </c>
      <c r="J517" s="778">
        <v>-7592820.75</v>
      </c>
      <c r="K517" s="778">
        <v>-7057777.9500000002</v>
      </c>
      <c r="L517" s="778">
        <v>-7165590.7300000004</v>
      </c>
      <c r="M517" s="778">
        <v>-7161984.4100000001</v>
      </c>
      <c r="N517" s="778">
        <v>-6731976.25</v>
      </c>
      <c r="O517" s="778">
        <v>-6834231.7400000002</v>
      </c>
      <c r="P517" s="778">
        <v>-6546122.6100000003</v>
      </c>
      <c r="Q517" s="778">
        <v>-6026089.79</v>
      </c>
      <c r="R517" s="778">
        <v>-4075395.82</v>
      </c>
      <c r="S517" s="618">
        <f t="shared" si="139"/>
        <v>-4075395.82</v>
      </c>
      <c r="T517" s="773"/>
      <c r="U517" s="424"/>
      <c r="V517" s="424"/>
      <c r="W517" s="424"/>
      <c r="X517" s="425">
        <f>+S517</f>
        <v>-4075395.82</v>
      </c>
      <c r="Y517" s="424"/>
      <c r="Z517" s="424"/>
      <c r="AA517" s="424"/>
      <c r="AB517" s="424">
        <f>+S517</f>
        <v>-4075395.82</v>
      </c>
      <c r="AC517" s="779"/>
      <c r="AD517" s="426">
        <f t="shared" si="144"/>
        <v>0</v>
      </c>
      <c r="AE517" s="773"/>
      <c r="AF517" s="781">
        <f t="shared" si="132"/>
        <v>0</v>
      </c>
    </row>
    <row r="518" spans="1:32">
      <c r="A518" s="779">
        <f t="shared" si="133"/>
        <v>504</v>
      </c>
      <c r="B518" s="423" t="s">
        <v>1066</v>
      </c>
      <c r="C518" s="423" t="s">
        <v>652</v>
      </c>
      <c r="D518" s="423" t="s">
        <v>1700</v>
      </c>
      <c r="E518" s="777" t="s">
        <v>2040</v>
      </c>
      <c r="F518" s="778">
        <v>0</v>
      </c>
      <c r="G518" s="778">
        <v>0</v>
      </c>
      <c r="H518" s="778">
        <v>0</v>
      </c>
      <c r="I518" s="778">
        <v>0</v>
      </c>
      <c r="J518" s="778">
        <v>0</v>
      </c>
      <c r="K518" s="778">
        <v>0</v>
      </c>
      <c r="L518" s="778">
        <v>0</v>
      </c>
      <c r="M518" s="778">
        <v>0</v>
      </c>
      <c r="N518" s="778">
        <v>-858309.76</v>
      </c>
      <c r="O518" s="778">
        <v>-916217.48</v>
      </c>
      <c r="P518" s="778">
        <v>-961358.19</v>
      </c>
      <c r="Q518" s="778">
        <v>-986505.5</v>
      </c>
      <c r="R518" s="778">
        <v>-1000748.3</v>
      </c>
      <c r="S518" s="618">
        <f t="shared" si="139"/>
        <v>-1000748.3</v>
      </c>
      <c r="T518" s="773"/>
      <c r="U518" s="424"/>
      <c r="V518" s="424"/>
      <c r="W518" s="424"/>
      <c r="X518" s="425">
        <f t="shared" ref="X518:X524" si="145">+S518</f>
        <v>-1000748.3</v>
      </c>
      <c r="Y518" s="424"/>
      <c r="Z518" s="424"/>
      <c r="AA518" s="424"/>
      <c r="AB518" s="424">
        <f t="shared" ref="AB518:AB524" si="146">+S518</f>
        <v>-1000748.3</v>
      </c>
      <c r="AC518" s="779"/>
      <c r="AD518" s="426"/>
      <c r="AE518" s="773"/>
      <c r="AF518" s="781">
        <f t="shared" si="132"/>
        <v>0</v>
      </c>
    </row>
    <row r="519" spans="1:32">
      <c r="A519" s="779">
        <f t="shared" si="133"/>
        <v>505</v>
      </c>
      <c r="B519" s="423" t="s">
        <v>1066</v>
      </c>
      <c r="C519" s="423" t="s">
        <v>652</v>
      </c>
      <c r="D519" s="423" t="s">
        <v>1716</v>
      </c>
      <c r="E519" s="763" t="s">
        <v>2041</v>
      </c>
      <c r="F519" s="778">
        <v>0</v>
      </c>
      <c r="G519" s="778">
        <v>0</v>
      </c>
      <c r="H519" s="778">
        <v>0</v>
      </c>
      <c r="I519" s="778">
        <v>0</v>
      </c>
      <c r="J519" s="778">
        <v>0</v>
      </c>
      <c r="K519" s="778">
        <v>0</v>
      </c>
      <c r="L519" s="778">
        <v>0</v>
      </c>
      <c r="M519" s="778">
        <v>0</v>
      </c>
      <c r="N519" s="778">
        <v>-246851.96</v>
      </c>
      <c r="O519" s="778">
        <v>-261633.62</v>
      </c>
      <c r="P519" s="778">
        <v>-272259.65000000002</v>
      </c>
      <c r="Q519" s="778">
        <v>-276551.38</v>
      </c>
      <c r="R519" s="778">
        <v>-274816.11</v>
      </c>
      <c r="S519" s="618">
        <f t="shared" si="139"/>
        <v>-274816.11</v>
      </c>
      <c r="T519" s="773"/>
      <c r="U519" s="424"/>
      <c r="V519" s="424"/>
      <c r="W519" s="424"/>
      <c r="X519" s="425">
        <f t="shared" si="145"/>
        <v>-274816.11</v>
      </c>
      <c r="Y519" s="424"/>
      <c r="Z519" s="424"/>
      <c r="AA519" s="424"/>
      <c r="AB519" s="424">
        <f t="shared" si="146"/>
        <v>-274816.11</v>
      </c>
      <c r="AC519" s="779"/>
      <c r="AD519" s="426"/>
      <c r="AE519" s="773"/>
      <c r="AF519" s="781">
        <f t="shared" si="132"/>
        <v>0</v>
      </c>
    </row>
    <row r="520" spans="1:32">
      <c r="A520" s="779">
        <f t="shared" si="133"/>
        <v>506</v>
      </c>
      <c r="B520" s="423" t="s">
        <v>1066</v>
      </c>
      <c r="C520" s="423" t="s">
        <v>652</v>
      </c>
      <c r="D520" s="423" t="s">
        <v>1717</v>
      </c>
      <c r="E520" s="763" t="s">
        <v>2042</v>
      </c>
      <c r="F520" s="778">
        <v>0</v>
      </c>
      <c r="G520" s="778">
        <v>0</v>
      </c>
      <c r="H520" s="778">
        <v>0</v>
      </c>
      <c r="I520" s="778">
        <v>0</v>
      </c>
      <c r="J520" s="778">
        <v>0</v>
      </c>
      <c r="K520" s="778">
        <v>0</v>
      </c>
      <c r="L520" s="778">
        <v>0</v>
      </c>
      <c r="M520" s="778">
        <v>0</v>
      </c>
      <c r="N520" s="778">
        <v>-377538.87</v>
      </c>
      <c r="O520" s="778">
        <v>-401387.21</v>
      </c>
      <c r="P520" s="778">
        <v>-419012.45</v>
      </c>
      <c r="Q520" s="778">
        <v>-427436.94</v>
      </c>
      <c r="R520" s="778">
        <v>-463561.43</v>
      </c>
      <c r="S520" s="618">
        <f t="shared" si="139"/>
        <v>-463561.43</v>
      </c>
      <c r="T520" s="773"/>
      <c r="U520" s="424"/>
      <c r="V520" s="424"/>
      <c r="W520" s="424"/>
      <c r="X520" s="425">
        <f t="shared" si="145"/>
        <v>-463561.43</v>
      </c>
      <c r="Y520" s="424"/>
      <c r="Z520" s="424"/>
      <c r="AA520" s="424"/>
      <c r="AB520" s="424">
        <f t="shared" si="146"/>
        <v>-463561.43</v>
      </c>
      <c r="AC520" s="779"/>
      <c r="AD520" s="426"/>
      <c r="AE520" s="773"/>
      <c r="AF520" s="781">
        <f t="shared" si="132"/>
        <v>0</v>
      </c>
    </row>
    <row r="521" spans="1:32">
      <c r="A521" s="779">
        <f t="shared" si="133"/>
        <v>507</v>
      </c>
      <c r="B521" s="423" t="s">
        <v>1066</v>
      </c>
      <c r="C521" s="423" t="s">
        <v>652</v>
      </c>
      <c r="D521" s="423" t="s">
        <v>1718</v>
      </c>
      <c r="E521" s="763" t="s">
        <v>2043</v>
      </c>
      <c r="F521" s="778">
        <v>0</v>
      </c>
      <c r="G521" s="778">
        <v>0</v>
      </c>
      <c r="H521" s="778">
        <v>0</v>
      </c>
      <c r="I521" s="778">
        <v>0</v>
      </c>
      <c r="J521" s="778">
        <v>0</v>
      </c>
      <c r="K521" s="778">
        <v>0</v>
      </c>
      <c r="L521" s="778">
        <v>0</v>
      </c>
      <c r="M521" s="778">
        <v>0</v>
      </c>
      <c r="N521" s="778">
        <v>-108262.59</v>
      </c>
      <c r="O521" s="778">
        <v>-113951.25</v>
      </c>
      <c r="P521" s="778">
        <v>-117707.81</v>
      </c>
      <c r="Q521" s="778">
        <v>-118729.06</v>
      </c>
      <c r="R521" s="778">
        <v>-126336.78</v>
      </c>
      <c r="S521" s="618">
        <f t="shared" si="139"/>
        <v>-126336.78</v>
      </c>
      <c r="T521" s="773"/>
      <c r="U521" s="424"/>
      <c r="V521" s="424"/>
      <c r="W521" s="424"/>
      <c r="X521" s="425">
        <f t="shared" si="145"/>
        <v>-126336.78</v>
      </c>
      <c r="Y521" s="424"/>
      <c r="Z521" s="424"/>
      <c r="AA521" s="424"/>
      <c r="AB521" s="424">
        <f t="shared" si="146"/>
        <v>-126336.78</v>
      </c>
      <c r="AC521" s="779"/>
      <c r="AD521" s="426"/>
      <c r="AE521" s="773"/>
      <c r="AF521" s="781">
        <f t="shared" si="132"/>
        <v>0</v>
      </c>
    </row>
    <row r="522" spans="1:32">
      <c r="A522" s="779">
        <f t="shared" si="133"/>
        <v>508</v>
      </c>
      <c r="B522" s="423" t="s">
        <v>1066</v>
      </c>
      <c r="C522" s="423" t="s">
        <v>652</v>
      </c>
      <c r="D522" s="423" t="s">
        <v>1719</v>
      </c>
      <c r="E522" s="763" t="s">
        <v>2044</v>
      </c>
      <c r="F522" s="778">
        <v>0</v>
      </c>
      <c r="G522" s="778">
        <v>0</v>
      </c>
      <c r="H522" s="778">
        <v>0</v>
      </c>
      <c r="I522" s="778">
        <v>0</v>
      </c>
      <c r="J522" s="778">
        <v>0</v>
      </c>
      <c r="K522" s="778">
        <v>0</v>
      </c>
      <c r="L522" s="778">
        <v>0</v>
      </c>
      <c r="M522" s="778">
        <v>0</v>
      </c>
      <c r="N522" s="778">
        <v>-1200598.94</v>
      </c>
      <c r="O522" s="778">
        <v>-1149597.23</v>
      </c>
      <c r="P522" s="778">
        <v>-1086605.03</v>
      </c>
      <c r="Q522" s="778">
        <v>-1008650.4</v>
      </c>
      <c r="R522" s="778">
        <v>-863199.97</v>
      </c>
      <c r="S522" s="618">
        <f t="shared" si="139"/>
        <v>-863199.97</v>
      </c>
      <c r="T522" s="773"/>
      <c r="U522" s="424"/>
      <c r="V522" s="424"/>
      <c r="W522" s="424"/>
      <c r="X522" s="425">
        <f t="shared" si="145"/>
        <v>-863199.97</v>
      </c>
      <c r="Y522" s="424"/>
      <c r="Z522" s="424"/>
      <c r="AA522" s="424"/>
      <c r="AB522" s="424">
        <f t="shared" si="146"/>
        <v>-863199.97</v>
      </c>
      <c r="AC522" s="779"/>
      <c r="AD522" s="426"/>
      <c r="AE522" s="773"/>
      <c r="AF522" s="781">
        <f t="shared" si="132"/>
        <v>0</v>
      </c>
    </row>
    <row r="523" spans="1:32">
      <c r="A523" s="779">
        <f t="shared" si="133"/>
        <v>509</v>
      </c>
      <c r="B523" s="423" t="s">
        <v>1066</v>
      </c>
      <c r="C523" s="423" t="s">
        <v>652</v>
      </c>
      <c r="D523" s="423" t="s">
        <v>1720</v>
      </c>
      <c r="E523" s="763" t="s">
        <v>2045</v>
      </c>
      <c r="F523" s="778">
        <v>0</v>
      </c>
      <c r="G523" s="778">
        <v>0</v>
      </c>
      <c r="H523" s="778">
        <v>0</v>
      </c>
      <c r="I523" s="778">
        <v>0</v>
      </c>
      <c r="J523" s="778">
        <v>0</v>
      </c>
      <c r="K523" s="778">
        <v>0</v>
      </c>
      <c r="L523" s="778">
        <v>0</v>
      </c>
      <c r="M523" s="778">
        <v>0</v>
      </c>
      <c r="N523" s="778">
        <v>-346075.1</v>
      </c>
      <c r="O523" s="778">
        <v>-329693.3</v>
      </c>
      <c r="P523" s="778">
        <v>-309356.06</v>
      </c>
      <c r="Q523" s="778">
        <v>-284086.08</v>
      </c>
      <c r="R523" s="778">
        <v>-236935.84</v>
      </c>
      <c r="S523" s="618">
        <f t="shared" si="139"/>
        <v>-236935.84</v>
      </c>
      <c r="T523" s="773"/>
      <c r="U523" s="424"/>
      <c r="V523" s="424"/>
      <c r="W523" s="424"/>
      <c r="X523" s="425">
        <f t="shared" si="145"/>
        <v>-236935.84</v>
      </c>
      <c r="Y523" s="424"/>
      <c r="Z523" s="424"/>
      <c r="AA523" s="424"/>
      <c r="AB523" s="424">
        <f t="shared" si="146"/>
        <v>-236935.84</v>
      </c>
      <c r="AC523" s="779"/>
      <c r="AD523" s="426"/>
      <c r="AE523" s="773"/>
      <c r="AF523" s="781">
        <f t="shared" si="132"/>
        <v>0</v>
      </c>
    </row>
    <row r="524" spans="1:32">
      <c r="A524" s="779">
        <f t="shared" si="133"/>
        <v>510</v>
      </c>
      <c r="B524" s="423" t="s">
        <v>1066</v>
      </c>
      <c r="C524" s="423" t="s">
        <v>652</v>
      </c>
      <c r="D524" s="423" t="s">
        <v>1721</v>
      </c>
      <c r="E524" s="769" t="s">
        <v>2046</v>
      </c>
      <c r="F524" s="778">
        <v>0</v>
      </c>
      <c r="G524" s="778">
        <v>0</v>
      </c>
      <c r="H524" s="778">
        <v>0</v>
      </c>
      <c r="I524" s="778">
        <v>0</v>
      </c>
      <c r="J524" s="778">
        <v>0</v>
      </c>
      <c r="K524" s="778">
        <v>0</v>
      </c>
      <c r="L524" s="778">
        <v>0</v>
      </c>
      <c r="M524" s="778">
        <v>0</v>
      </c>
      <c r="N524" s="778">
        <v>536279.92000000004</v>
      </c>
      <c r="O524" s="778">
        <v>536279.92000000004</v>
      </c>
      <c r="P524" s="778">
        <v>536279.92000000004</v>
      </c>
      <c r="Q524" s="778">
        <v>536279.92000000004</v>
      </c>
      <c r="R524" s="778">
        <v>367551.32</v>
      </c>
      <c r="S524" s="618">
        <f t="shared" si="139"/>
        <v>367551.32</v>
      </c>
      <c r="T524" s="773"/>
      <c r="U524" s="424"/>
      <c r="V524" s="424"/>
      <c r="W524" s="424"/>
      <c r="X524" s="425">
        <f t="shared" si="145"/>
        <v>367551.32</v>
      </c>
      <c r="Y524" s="424"/>
      <c r="Z524" s="424"/>
      <c r="AA524" s="424"/>
      <c r="AB524" s="424">
        <f t="shared" si="146"/>
        <v>367551.32</v>
      </c>
      <c r="AC524" s="779"/>
      <c r="AD524" s="426"/>
      <c r="AE524" s="773"/>
      <c r="AF524" s="781">
        <f t="shared" si="132"/>
        <v>0</v>
      </c>
    </row>
    <row r="525" spans="1:32">
      <c r="A525" s="779">
        <f t="shared" si="133"/>
        <v>511</v>
      </c>
      <c r="B525" s="423" t="s">
        <v>1094</v>
      </c>
      <c r="C525" s="423" t="s">
        <v>652</v>
      </c>
      <c r="D525" s="423" t="s">
        <v>1327</v>
      </c>
      <c r="E525" s="763" t="s">
        <v>2039</v>
      </c>
      <c r="F525" s="778">
        <v>0</v>
      </c>
      <c r="G525" s="778">
        <v>0</v>
      </c>
      <c r="H525" s="778">
        <v>0</v>
      </c>
      <c r="I525" s="778">
        <v>0</v>
      </c>
      <c r="J525" s="778">
        <v>0</v>
      </c>
      <c r="K525" s="778">
        <v>0</v>
      </c>
      <c r="L525" s="778">
        <v>0</v>
      </c>
      <c r="M525" s="778">
        <v>0</v>
      </c>
      <c r="N525" s="778">
        <v>0</v>
      </c>
      <c r="O525" s="778">
        <v>0</v>
      </c>
      <c r="P525" s="778">
        <v>0</v>
      </c>
      <c r="Q525" s="778">
        <v>125885.39</v>
      </c>
      <c r="R525" s="778">
        <v>151304.69</v>
      </c>
      <c r="S525" s="618">
        <f t="shared" si="139"/>
        <v>151304.69</v>
      </c>
      <c r="T525" s="773"/>
      <c r="U525" s="424"/>
      <c r="V525" s="424">
        <f t="shared" ref="V525:V526" si="147">+S525</f>
        <v>151304.69</v>
      </c>
      <c r="W525" s="424"/>
      <c r="X525" s="425"/>
      <c r="Y525" s="424"/>
      <c r="Z525" s="424"/>
      <c r="AA525" s="424"/>
      <c r="AB525" s="424"/>
      <c r="AC525" s="779"/>
      <c r="AD525" s="426">
        <f t="shared" ref="AD525:AD526" si="148">+V525</f>
        <v>151304.69</v>
      </c>
      <c r="AE525" s="773"/>
      <c r="AF525" s="781">
        <f t="shared" si="132"/>
        <v>0</v>
      </c>
    </row>
    <row r="526" spans="1:32">
      <c r="A526" s="779">
        <f t="shared" si="133"/>
        <v>512</v>
      </c>
      <c r="B526" s="423" t="s">
        <v>1066</v>
      </c>
      <c r="C526" s="423" t="s">
        <v>652</v>
      </c>
      <c r="D526" s="423" t="s">
        <v>1327</v>
      </c>
      <c r="E526" s="769" t="s">
        <v>2039</v>
      </c>
      <c r="F526" s="778">
        <v>0</v>
      </c>
      <c r="G526" s="778">
        <v>0</v>
      </c>
      <c r="H526" s="778">
        <v>0</v>
      </c>
      <c r="I526" s="778">
        <v>0</v>
      </c>
      <c r="J526" s="778">
        <v>0</v>
      </c>
      <c r="K526" s="778">
        <v>0</v>
      </c>
      <c r="L526" s="778">
        <v>0</v>
      </c>
      <c r="M526" s="778">
        <v>0</v>
      </c>
      <c r="N526" s="778">
        <v>0</v>
      </c>
      <c r="O526" s="778">
        <v>0</v>
      </c>
      <c r="P526" s="778">
        <v>0</v>
      </c>
      <c r="Q526" s="778">
        <v>779370.75</v>
      </c>
      <c r="R526" s="778">
        <v>934952.23</v>
      </c>
      <c r="S526" s="618">
        <f t="shared" si="139"/>
        <v>934952.23</v>
      </c>
      <c r="T526" s="773"/>
      <c r="U526" s="424"/>
      <c r="V526" s="424">
        <f t="shared" si="147"/>
        <v>934952.23</v>
      </c>
      <c r="W526" s="424"/>
      <c r="X526" s="425"/>
      <c r="Y526" s="424"/>
      <c r="Z526" s="424"/>
      <c r="AA526" s="424"/>
      <c r="AB526" s="424"/>
      <c r="AC526" s="779"/>
      <c r="AD526" s="426">
        <f t="shared" si="148"/>
        <v>934952.23</v>
      </c>
      <c r="AE526" s="773"/>
      <c r="AF526" s="781">
        <f t="shared" si="132"/>
        <v>0</v>
      </c>
    </row>
    <row r="527" spans="1:32">
      <c r="A527" s="779">
        <f t="shared" si="133"/>
        <v>513</v>
      </c>
      <c r="B527" s="423" t="s">
        <v>1063</v>
      </c>
      <c r="C527" s="423" t="s">
        <v>468</v>
      </c>
      <c r="D527" s="423" t="s">
        <v>758</v>
      </c>
      <c r="E527" s="777" t="s">
        <v>759</v>
      </c>
      <c r="F527" s="778">
        <v>45360249.719999999</v>
      </c>
      <c r="G527" s="778">
        <v>45663734.560000002</v>
      </c>
      <c r="H527" s="778">
        <v>45968509.560000002</v>
      </c>
      <c r="I527" s="778">
        <v>46274580.75</v>
      </c>
      <c r="J527" s="778">
        <v>46581954.18</v>
      </c>
      <c r="K527" s="778">
        <v>46890635.719999999</v>
      </c>
      <c r="L527" s="778">
        <v>47200631.520000003</v>
      </c>
      <c r="M527" s="778">
        <v>47511947.549999997</v>
      </c>
      <c r="N527" s="778">
        <v>47824590.049999997</v>
      </c>
      <c r="O527" s="778">
        <v>48138564.990000002</v>
      </c>
      <c r="P527" s="778">
        <v>48453878.57</v>
      </c>
      <c r="Q527" s="778">
        <v>48770536.939999998</v>
      </c>
      <c r="R527" s="778">
        <v>49007788.119999997</v>
      </c>
      <c r="S527" s="618">
        <f t="shared" si="139"/>
        <v>49007788.119999997</v>
      </c>
      <c r="T527" s="773"/>
      <c r="U527" s="424"/>
      <c r="V527" s="513"/>
      <c r="W527" s="424"/>
      <c r="X527" s="424">
        <f>+S527</f>
        <v>49007788.119999997</v>
      </c>
      <c r="Y527" s="665">
        <f>+AA527*Z7</f>
        <v>36682329.407820001</v>
      </c>
      <c r="Z527" s="424">
        <f>+AA527*Z8</f>
        <v>12323825.119242666</v>
      </c>
      <c r="AA527" s="424">
        <f>+S527</f>
        <v>49007788.119999997</v>
      </c>
      <c r="AB527" s="424"/>
      <c r="AC527" s="779"/>
      <c r="AD527" s="426"/>
      <c r="AE527" s="773"/>
      <c r="AF527" s="781">
        <f t="shared" ref="AF527:AF590" si="149">+U527+V527-AD527</f>
        <v>0</v>
      </c>
    </row>
    <row r="528" spans="1:32">
      <c r="A528" s="779">
        <f t="shared" si="133"/>
        <v>514</v>
      </c>
      <c r="B528" s="779"/>
      <c r="C528" s="779"/>
      <c r="D528" s="779"/>
      <c r="E528" s="768" t="s">
        <v>656</v>
      </c>
      <c r="F528" s="394">
        <f t="shared" ref="F528:S528" si="150">SUM(F496:F527)</f>
        <v>-122338906.30999997</v>
      </c>
      <c r="G528" s="394">
        <f t="shared" si="150"/>
        <v>-125562183.42999998</v>
      </c>
      <c r="H528" s="394">
        <f t="shared" si="150"/>
        <v>-125359001.76000002</v>
      </c>
      <c r="I528" s="394">
        <f t="shared" si="150"/>
        <v>-125601836.71000004</v>
      </c>
      <c r="J528" s="394">
        <f t="shared" si="150"/>
        <v>-125577682.70000002</v>
      </c>
      <c r="K528" s="394">
        <f t="shared" si="150"/>
        <v>-124101921.19999999</v>
      </c>
      <c r="L528" s="394">
        <f t="shared" si="150"/>
        <v>-124273394.66999999</v>
      </c>
      <c r="M528" s="394">
        <f t="shared" si="150"/>
        <v>-123582936.21000002</v>
      </c>
      <c r="N528" s="394">
        <f t="shared" si="150"/>
        <v>-124624632.51000004</v>
      </c>
      <c r="O528" s="394">
        <f t="shared" si="150"/>
        <v>-124120741.74000004</v>
      </c>
      <c r="P528" s="394">
        <f t="shared" si="150"/>
        <v>-123207202.62000003</v>
      </c>
      <c r="Q528" s="394">
        <f t="shared" si="150"/>
        <v>-120889584.75000006</v>
      </c>
      <c r="R528" s="394">
        <f t="shared" si="150"/>
        <v>-118715360.98000005</v>
      </c>
      <c r="S528" s="620">
        <f t="shared" si="150"/>
        <v>-118715360.98000005</v>
      </c>
      <c r="T528" s="773"/>
      <c r="U528" s="424"/>
      <c r="V528" s="424"/>
      <c r="W528" s="424"/>
      <c r="X528" s="425"/>
      <c r="Y528" s="424"/>
      <c r="Z528" s="424"/>
      <c r="AA528" s="424"/>
      <c r="AB528" s="424"/>
      <c r="AC528" s="779"/>
      <c r="AD528" s="779"/>
      <c r="AE528" s="773"/>
      <c r="AF528" s="781">
        <f t="shared" si="149"/>
        <v>0</v>
      </c>
    </row>
    <row r="529" spans="1:32">
      <c r="A529" s="779">
        <f t="shared" ref="A529:A592" si="151">+A528+1</f>
        <v>515</v>
      </c>
      <c r="B529" s="779"/>
      <c r="C529" s="779"/>
      <c r="D529" s="779"/>
      <c r="E529" s="763"/>
      <c r="F529" s="778"/>
      <c r="G529" s="420"/>
      <c r="H529" s="408"/>
      <c r="I529" s="408"/>
      <c r="J529" s="409"/>
      <c r="K529" s="410"/>
      <c r="L529" s="411"/>
      <c r="M529" s="412"/>
      <c r="N529" s="413"/>
      <c r="O529" s="764"/>
      <c r="P529" s="415"/>
      <c r="Q529" s="421"/>
      <c r="R529" s="778"/>
      <c r="S529" s="392"/>
      <c r="T529" s="773"/>
      <c r="U529" s="424"/>
      <c r="V529" s="424"/>
      <c r="W529" s="424"/>
      <c r="X529" s="425"/>
      <c r="Y529" s="424"/>
      <c r="Z529" s="424"/>
      <c r="AA529" s="424"/>
      <c r="AB529" s="424"/>
      <c r="AC529" s="779"/>
      <c r="AD529" s="779"/>
      <c r="AE529" s="773"/>
      <c r="AF529" s="781">
        <f t="shared" si="149"/>
        <v>0</v>
      </c>
    </row>
    <row r="530" spans="1:32">
      <c r="A530" s="779">
        <f t="shared" si="151"/>
        <v>516</v>
      </c>
      <c r="B530" s="423" t="s">
        <v>1063</v>
      </c>
      <c r="C530" s="423" t="s">
        <v>657</v>
      </c>
      <c r="D530" s="423" t="s">
        <v>539</v>
      </c>
      <c r="E530" s="763" t="s">
        <v>658</v>
      </c>
      <c r="F530" s="778">
        <v>-286113</v>
      </c>
      <c r="G530" s="778">
        <v>-282546.17</v>
      </c>
      <c r="H530" s="778">
        <v>-278979.33</v>
      </c>
      <c r="I530" s="778">
        <v>-275412.5</v>
      </c>
      <c r="J530" s="778">
        <v>-271845.67</v>
      </c>
      <c r="K530" s="778">
        <v>-268278.83</v>
      </c>
      <c r="L530" s="778">
        <v>-264712</v>
      </c>
      <c r="M530" s="778">
        <v>-261145.17</v>
      </c>
      <c r="N530" s="778">
        <v>-257578.33</v>
      </c>
      <c r="O530" s="778">
        <v>-254011.5</v>
      </c>
      <c r="P530" s="778">
        <v>-250444.67</v>
      </c>
      <c r="Q530" s="778">
        <v>-247430.58</v>
      </c>
      <c r="R530" s="778">
        <v>-243929</v>
      </c>
      <c r="S530" s="618">
        <f t="shared" ref="S530:S550" si="152">+R530</f>
        <v>-243929</v>
      </c>
      <c r="T530" s="773"/>
      <c r="U530" s="424"/>
      <c r="V530" s="424"/>
      <c r="W530" s="424"/>
      <c r="X530" s="425">
        <f>+S530</f>
        <v>-243929</v>
      </c>
      <c r="Y530" s="424">
        <f>+AA530*$Z$7</f>
        <v>-182580.85650000002</v>
      </c>
      <c r="Z530" s="424">
        <f>+AA530*$Z$8</f>
        <v>-61340.012533333334</v>
      </c>
      <c r="AA530" s="424">
        <f>+S530</f>
        <v>-243929</v>
      </c>
      <c r="AB530" s="424"/>
      <c r="AC530" s="779"/>
      <c r="AD530" s="779"/>
      <c r="AE530" s="773"/>
      <c r="AF530" s="781">
        <f t="shared" si="149"/>
        <v>0</v>
      </c>
    </row>
    <row r="531" spans="1:32">
      <c r="A531" s="779">
        <f t="shared" si="151"/>
        <v>517</v>
      </c>
      <c r="B531" s="423" t="s">
        <v>1063</v>
      </c>
      <c r="C531" s="423" t="s">
        <v>659</v>
      </c>
      <c r="D531" s="423" t="s">
        <v>1098</v>
      </c>
      <c r="E531" s="763" t="s">
        <v>2047</v>
      </c>
      <c r="F531" s="778">
        <v>10739349.869999999</v>
      </c>
      <c r="G531" s="778">
        <v>10704140.869999999</v>
      </c>
      <c r="H531" s="778">
        <v>10668835.9</v>
      </c>
      <c r="I531" s="778">
        <v>10633363.82</v>
      </c>
      <c r="J531" s="778">
        <v>10598960.15</v>
      </c>
      <c r="K531" s="778">
        <v>10564549.82</v>
      </c>
      <c r="L531" s="778">
        <v>10530137.380000001</v>
      </c>
      <c r="M531" s="778">
        <v>10444092.59</v>
      </c>
      <c r="N531" s="778">
        <v>10402321.68</v>
      </c>
      <c r="O531" s="778">
        <v>10360550.029999999</v>
      </c>
      <c r="P531" s="778">
        <v>10318778.42</v>
      </c>
      <c r="Q531" s="778">
        <v>10248758.779999999</v>
      </c>
      <c r="R531" s="778">
        <v>10230519.77</v>
      </c>
      <c r="S531" s="618">
        <f t="shared" si="152"/>
        <v>10230519.77</v>
      </c>
      <c r="T531" s="773"/>
      <c r="U531" s="424"/>
      <c r="V531" s="424"/>
      <c r="W531" s="424"/>
      <c r="X531" s="425">
        <f t="shared" ref="X531:X540" si="153">+S531</f>
        <v>10230519.77</v>
      </c>
      <c r="Y531" s="424"/>
      <c r="Z531" s="424"/>
      <c r="AA531" s="424"/>
      <c r="AB531" s="424">
        <f>+S531</f>
        <v>10230519.77</v>
      </c>
      <c r="AC531" s="779"/>
      <c r="AD531" s="779"/>
      <c r="AE531" s="773"/>
      <c r="AF531" s="781">
        <f t="shared" si="149"/>
        <v>0</v>
      </c>
    </row>
    <row r="532" spans="1:32">
      <c r="A532" s="779">
        <f t="shared" si="151"/>
        <v>518</v>
      </c>
      <c r="B532" s="423" t="s">
        <v>1063</v>
      </c>
      <c r="C532" s="423" t="s">
        <v>659</v>
      </c>
      <c r="D532" s="423" t="s">
        <v>1099</v>
      </c>
      <c r="E532" s="763" t="s">
        <v>2048</v>
      </c>
      <c r="F532" s="778">
        <v>41264063.450000003</v>
      </c>
      <c r="G532" s="778">
        <v>41127242.270000003</v>
      </c>
      <c r="H532" s="778">
        <v>40990089.109999999</v>
      </c>
      <c r="I532" s="778">
        <v>40852357.780000001</v>
      </c>
      <c r="J532" s="778">
        <v>40718322.310000002</v>
      </c>
      <c r="K532" s="778">
        <v>40584263.780000001</v>
      </c>
      <c r="L532" s="778">
        <v>40450197.969999999</v>
      </c>
      <c r="M532" s="778">
        <v>40128359.039999999</v>
      </c>
      <c r="N532" s="778">
        <v>39967529.289999999</v>
      </c>
      <c r="O532" s="778">
        <v>39806697.079999998</v>
      </c>
      <c r="P532" s="778">
        <v>39645864.850000001</v>
      </c>
      <c r="Q532" s="778">
        <v>39378116.229999997</v>
      </c>
      <c r="R532" s="778">
        <v>39297042.920000002</v>
      </c>
      <c r="S532" s="618">
        <f t="shared" si="152"/>
        <v>39297042.920000002</v>
      </c>
      <c r="T532" s="773"/>
      <c r="U532" s="424"/>
      <c r="V532" s="424"/>
      <c r="W532" s="424"/>
      <c r="X532" s="425">
        <f t="shared" si="153"/>
        <v>39297042.920000002</v>
      </c>
      <c r="Y532" s="424"/>
      <c r="Z532" s="424"/>
      <c r="AA532" s="424"/>
      <c r="AB532" s="424">
        <f>+S532</f>
        <v>39297042.920000002</v>
      </c>
      <c r="AC532" s="779"/>
      <c r="AD532" s="779"/>
      <c r="AE532" s="773"/>
      <c r="AF532" s="781">
        <f t="shared" si="149"/>
        <v>0</v>
      </c>
    </row>
    <row r="533" spans="1:32">
      <c r="A533" s="779">
        <f t="shared" si="151"/>
        <v>519</v>
      </c>
      <c r="B533" s="423" t="s">
        <v>1063</v>
      </c>
      <c r="C533" s="423" t="s">
        <v>659</v>
      </c>
      <c r="D533" s="423" t="s">
        <v>1080</v>
      </c>
      <c r="E533" s="763" t="s">
        <v>2049</v>
      </c>
      <c r="F533" s="778">
        <v>-100214084.3</v>
      </c>
      <c r="G533" s="778">
        <v>-100072681.7</v>
      </c>
      <c r="H533" s="778">
        <v>-99929507.170000002</v>
      </c>
      <c r="I533" s="778">
        <v>-99642303.599999994</v>
      </c>
      <c r="J533" s="778">
        <v>-99483213.659999996</v>
      </c>
      <c r="K533" s="778">
        <v>-99324123.709999993</v>
      </c>
      <c r="L533" s="778">
        <v>-99165033.769999996</v>
      </c>
      <c r="M533" s="778">
        <v>-99080207.829999998</v>
      </c>
      <c r="N533" s="778">
        <v>-98931727.030000001</v>
      </c>
      <c r="O533" s="778">
        <v>-98783246.230000004</v>
      </c>
      <c r="P533" s="778">
        <v>-98634765.430000007</v>
      </c>
      <c r="Q533" s="778">
        <v>-98558812.739999995</v>
      </c>
      <c r="R533" s="778">
        <v>-99638867.390000001</v>
      </c>
      <c r="S533" s="618">
        <f t="shared" si="152"/>
        <v>-99638867.390000001</v>
      </c>
      <c r="T533" s="773"/>
      <c r="U533" s="424"/>
      <c r="V533" s="424"/>
      <c r="W533" s="424"/>
      <c r="X533" s="425">
        <f t="shared" si="153"/>
        <v>-99638867.390000001</v>
      </c>
      <c r="Y533" s="424">
        <f>+'Adv for Const. &amp; Def Tax'!AU26</f>
        <v>-76751819.560000002</v>
      </c>
      <c r="Z533" s="424">
        <f>+'Adv for Const. &amp; Def Tax'!AV26</f>
        <v>-22887047.829999998</v>
      </c>
      <c r="AA533" s="424">
        <f t="shared" ref="AA533:AA534" si="154">+S533</f>
        <v>-99638867.390000001</v>
      </c>
      <c r="AB533" s="424"/>
      <c r="AC533" s="779"/>
      <c r="AD533" s="779"/>
      <c r="AE533" s="773" t="s">
        <v>1732</v>
      </c>
      <c r="AF533" s="781">
        <f t="shared" si="149"/>
        <v>0</v>
      </c>
    </row>
    <row r="534" spans="1:32">
      <c r="A534" s="779">
        <f t="shared" si="151"/>
        <v>520</v>
      </c>
      <c r="B534" s="423" t="s">
        <v>1063</v>
      </c>
      <c r="C534" s="423" t="s">
        <v>659</v>
      </c>
      <c r="D534" s="423" t="s">
        <v>1100</v>
      </c>
      <c r="E534" s="763" t="s">
        <v>2050</v>
      </c>
      <c r="F534" s="778">
        <v>-140309.65</v>
      </c>
      <c r="G534" s="778">
        <v>-140309.65</v>
      </c>
      <c r="H534" s="778">
        <v>-140309.65</v>
      </c>
      <c r="I534" s="778">
        <v>-118468.96</v>
      </c>
      <c r="J534" s="778">
        <v>-93051.35</v>
      </c>
      <c r="K534" s="778">
        <v>-123983.44</v>
      </c>
      <c r="L534" s="778">
        <v>-128794.44</v>
      </c>
      <c r="M534" s="778">
        <v>-115754.06</v>
      </c>
      <c r="N534" s="778">
        <v>4813.8100000000104</v>
      </c>
      <c r="O534" s="778">
        <v>-214221.45</v>
      </c>
      <c r="P534" s="778">
        <v>-198993.98</v>
      </c>
      <c r="Q534" s="778">
        <v>130178.89</v>
      </c>
      <c r="R534" s="778">
        <v>347877.73</v>
      </c>
      <c r="S534" s="618">
        <f t="shared" si="152"/>
        <v>347877.73</v>
      </c>
      <c r="T534" s="773"/>
      <c r="U534" s="424"/>
      <c r="V534" s="424"/>
      <c r="W534" s="424"/>
      <c r="X534" s="425">
        <f t="shared" si="153"/>
        <v>347877.73</v>
      </c>
      <c r="Y534" s="424">
        <f t="shared" ref="Y534" si="155">+AA534*$Z$7</f>
        <v>260386.480905</v>
      </c>
      <c r="Z534" s="424">
        <f t="shared" ref="Z534" si="156">+AA534*$Z$8</f>
        <v>87479.653170666657</v>
      </c>
      <c r="AA534" s="424">
        <f t="shared" si="154"/>
        <v>347877.73</v>
      </c>
      <c r="AB534" s="424"/>
      <c r="AC534" s="779"/>
      <c r="AD534" s="779"/>
      <c r="AE534" s="773"/>
      <c r="AF534" s="781">
        <f t="shared" si="149"/>
        <v>0</v>
      </c>
    </row>
    <row r="535" spans="1:32">
      <c r="A535" s="779">
        <f t="shared" si="151"/>
        <v>521</v>
      </c>
      <c r="B535" s="423" t="s">
        <v>1066</v>
      </c>
      <c r="C535" s="423" t="s">
        <v>659</v>
      </c>
      <c r="D535" s="423" t="s">
        <v>1564</v>
      </c>
      <c r="E535" s="763" t="s">
        <v>2058</v>
      </c>
      <c r="F535" s="778">
        <v>-48616.4</v>
      </c>
      <c r="G535" s="778">
        <v>-48616.4</v>
      </c>
      <c r="H535" s="778">
        <v>-48616.4</v>
      </c>
      <c r="I535" s="778">
        <v>0</v>
      </c>
      <c r="J535" s="778">
        <v>0</v>
      </c>
      <c r="K535" s="778">
        <v>0</v>
      </c>
      <c r="L535" s="778">
        <v>0</v>
      </c>
      <c r="M535" s="778">
        <v>0</v>
      </c>
      <c r="N535" s="778">
        <v>0</v>
      </c>
      <c r="O535" s="778">
        <v>0</v>
      </c>
      <c r="P535" s="778">
        <v>0</v>
      </c>
      <c r="Q535" s="778">
        <v>0</v>
      </c>
      <c r="R535" s="778">
        <v>0</v>
      </c>
      <c r="S535" s="618">
        <f t="shared" si="152"/>
        <v>0</v>
      </c>
      <c r="T535" s="773"/>
      <c r="U535" s="424"/>
      <c r="V535" s="424"/>
      <c r="W535" s="424"/>
      <c r="X535" s="425">
        <f t="shared" si="153"/>
        <v>0</v>
      </c>
      <c r="Y535" s="424">
        <f>+'Adv for Const. &amp; Def Tax'!AU29</f>
        <v>0</v>
      </c>
      <c r="Z535" s="424"/>
      <c r="AA535" s="424"/>
      <c r="AB535" s="424"/>
      <c r="AC535" s="779"/>
      <c r="AD535" s="779"/>
      <c r="AE535" s="773" t="s">
        <v>1733</v>
      </c>
      <c r="AF535" s="781">
        <f t="shared" si="149"/>
        <v>0</v>
      </c>
    </row>
    <row r="536" spans="1:32">
      <c r="A536" s="779">
        <f t="shared" si="151"/>
        <v>522</v>
      </c>
      <c r="B536" s="423" t="s">
        <v>1094</v>
      </c>
      <c r="C536" s="423" t="s">
        <v>659</v>
      </c>
      <c r="D536" s="423" t="s">
        <v>1095</v>
      </c>
      <c r="E536" s="763" t="s">
        <v>2054</v>
      </c>
      <c r="F536" s="778">
        <v>939972</v>
      </c>
      <c r="G536" s="778">
        <v>936890.3</v>
      </c>
      <c r="H536" s="778">
        <v>933800.21</v>
      </c>
      <c r="I536" s="778">
        <v>930695.46</v>
      </c>
      <c r="J536" s="778">
        <v>927684.27</v>
      </c>
      <c r="K536" s="778">
        <v>924672.45</v>
      </c>
      <c r="L536" s="778">
        <v>921660.48</v>
      </c>
      <c r="M536" s="778">
        <v>914129.32</v>
      </c>
      <c r="N536" s="778">
        <v>910473.28</v>
      </c>
      <c r="O536" s="778">
        <v>906817.18</v>
      </c>
      <c r="P536" s="778">
        <v>903161.07</v>
      </c>
      <c r="Q536" s="778">
        <v>897032.55</v>
      </c>
      <c r="R536" s="778">
        <v>895436.16</v>
      </c>
      <c r="S536" s="618">
        <f t="shared" si="152"/>
        <v>895436.16</v>
      </c>
      <c r="T536" s="773"/>
      <c r="U536" s="424"/>
      <c r="V536" s="424"/>
      <c r="W536" s="424"/>
      <c r="X536" s="425">
        <f t="shared" si="153"/>
        <v>895436.16</v>
      </c>
      <c r="Y536" s="424"/>
      <c r="Z536" s="424">
        <f>+X536</f>
        <v>895436.16</v>
      </c>
      <c r="AA536" s="424"/>
      <c r="AB536" s="424"/>
      <c r="AC536" s="779"/>
      <c r="AD536" s="779"/>
      <c r="AE536" s="773"/>
      <c r="AF536" s="781">
        <f t="shared" si="149"/>
        <v>0</v>
      </c>
    </row>
    <row r="537" spans="1:32">
      <c r="A537" s="779">
        <f t="shared" si="151"/>
        <v>523</v>
      </c>
      <c r="B537" s="423" t="s">
        <v>1094</v>
      </c>
      <c r="C537" s="423" t="s">
        <v>659</v>
      </c>
      <c r="D537" s="423" t="s">
        <v>1096</v>
      </c>
      <c r="E537" s="763" t="s">
        <v>2055</v>
      </c>
      <c r="F537" s="778">
        <v>-849262.69</v>
      </c>
      <c r="G537" s="778">
        <v>-845073.75</v>
      </c>
      <c r="H537" s="778">
        <v>-840913.86</v>
      </c>
      <c r="I537" s="778">
        <v>-836804.57</v>
      </c>
      <c r="J537" s="778">
        <v>-832371.81</v>
      </c>
      <c r="K537" s="778">
        <v>-827941.05</v>
      </c>
      <c r="L537" s="778">
        <v>-823510.95</v>
      </c>
      <c r="M537" s="778">
        <v>-825543.72</v>
      </c>
      <c r="N537" s="778">
        <v>-822031.55</v>
      </c>
      <c r="O537" s="778">
        <v>-818519.6</v>
      </c>
      <c r="P537" s="778">
        <v>-815007.66</v>
      </c>
      <c r="Q537" s="778">
        <v>-810817.82</v>
      </c>
      <c r="R537" s="778">
        <v>-798533.89</v>
      </c>
      <c r="S537" s="618">
        <f t="shared" si="152"/>
        <v>-798533.89</v>
      </c>
      <c r="T537" s="773"/>
      <c r="U537" s="424"/>
      <c r="V537" s="424"/>
      <c r="W537" s="424"/>
      <c r="X537" s="425">
        <f t="shared" si="153"/>
        <v>-798533.89</v>
      </c>
      <c r="Y537" s="424"/>
      <c r="Z537" s="424">
        <f>+X537</f>
        <v>-798533.89</v>
      </c>
      <c r="AA537" s="424"/>
      <c r="AB537" s="424"/>
      <c r="AC537" s="779"/>
      <c r="AD537" s="779"/>
      <c r="AE537" s="773"/>
      <c r="AF537" s="781">
        <f t="shared" si="149"/>
        <v>0</v>
      </c>
    </row>
    <row r="538" spans="1:32">
      <c r="A538" s="779">
        <f t="shared" si="151"/>
        <v>524</v>
      </c>
      <c r="B538" s="423" t="s">
        <v>1094</v>
      </c>
      <c r="C538" s="423" t="s">
        <v>659</v>
      </c>
      <c r="D538" s="423" t="s">
        <v>1084</v>
      </c>
      <c r="E538" s="763" t="s">
        <v>2056</v>
      </c>
      <c r="F538" s="778">
        <v>-4259635.7699999996</v>
      </c>
      <c r="G538" s="778">
        <v>-4264098.26</v>
      </c>
      <c r="H538" s="778">
        <v>-4268405.67</v>
      </c>
      <c r="I538" s="778">
        <v>-4260106.82</v>
      </c>
      <c r="J538" s="778">
        <v>-4263021.22</v>
      </c>
      <c r="K538" s="778">
        <v>-4265935.62</v>
      </c>
      <c r="L538" s="778">
        <v>-4268850.0199999996</v>
      </c>
      <c r="M538" s="778">
        <v>-4288249.96</v>
      </c>
      <c r="N538" s="778">
        <v>-4293519.4400000004</v>
      </c>
      <c r="O538" s="778">
        <v>-4298788.92</v>
      </c>
      <c r="P538" s="778">
        <v>-4304058.3899999997</v>
      </c>
      <c r="Q538" s="778">
        <v>-4313894.84</v>
      </c>
      <c r="R538" s="778">
        <v>-4420542.34</v>
      </c>
      <c r="S538" s="618">
        <f t="shared" si="152"/>
        <v>-4420542.34</v>
      </c>
      <c r="T538" s="773"/>
      <c r="U538" s="424"/>
      <c r="V538" s="424"/>
      <c r="W538" s="424"/>
      <c r="X538" s="425">
        <f t="shared" si="153"/>
        <v>-4420542.34</v>
      </c>
      <c r="Y538" s="424"/>
      <c r="Z538" s="424">
        <f>+'Adv for Const. &amp; Def Tax'!AV33</f>
        <v>-4420542.34</v>
      </c>
      <c r="AA538" s="424"/>
      <c r="AB538" s="424"/>
      <c r="AC538" s="779"/>
      <c r="AD538" s="779"/>
      <c r="AE538" s="773" t="s">
        <v>1734</v>
      </c>
      <c r="AF538" s="781">
        <f t="shared" si="149"/>
        <v>0</v>
      </c>
    </row>
    <row r="539" spans="1:32">
      <c r="A539" s="779">
        <f t="shared" si="151"/>
        <v>525</v>
      </c>
      <c r="B539" s="423" t="s">
        <v>1094</v>
      </c>
      <c r="C539" s="423" t="s">
        <v>659</v>
      </c>
      <c r="D539" s="423" t="s">
        <v>1097</v>
      </c>
      <c r="E539" s="763" t="s">
        <v>2057</v>
      </c>
      <c r="F539" s="778">
        <v>503976.85</v>
      </c>
      <c r="G539" s="778">
        <v>503976.85</v>
      </c>
      <c r="H539" s="778">
        <v>503976.85</v>
      </c>
      <c r="I539" s="778">
        <v>511403.25</v>
      </c>
      <c r="J539" s="778">
        <v>513627.95</v>
      </c>
      <c r="K539" s="778">
        <v>510920.59</v>
      </c>
      <c r="L539" s="778">
        <v>510499.49</v>
      </c>
      <c r="M539" s="778">
        <v>511640.88</v>
      </c>
      <c r="N539" s="778">
        <v>522193.7</v>
      </c>
      <c r="O539" s="778">
        <v>503022.42</v>
      </c>
      <c r="P539" s="778">
        <v>504355.22</v>
      </c>
      <c r="Q539" s="778">
        <v>521350.27</v>
      </c>
      <c r="R539" s="778">
        <v>492728.47</v>
      </c>
      <c r="S539" s="618">
        <f t="shared" si="152"/>
        <v>492728.47</v>
      </c>
      <c r="T539" s="773"/>
      <c r="U539" s="424"/>
      <c r="V539" s="424"/>
      <c r="W539" s="424"/>
      <c r="X539" s="425">
        <f t="shared" si="153"/>
        <v>492728.47</v>
      </c>
      <c r="Y539" s="424"/>
      <c r="Z539" s="424">
        <f>+X539</f>
        <v>492728.47</v>
      </c>
      <c r="AA539" s="424"/>
      <c r="AB539" s="424"/>
      <c r="AC539" s="779"/>
      <c r="AD539" s="779"/>
      <c r="AE539" s="773"/>
      <c r="AF539" s="781">
        <f t="shared" si="149"/>
        <v>0</v>
      </c>
    </row>
    <row r="540" spans="1:32">
      <c r="A540" s="779">
        <f t="shared" si="151"/>
        <v>526</v>
      </c>
      <c r="B540" s="423" t="s">
        <v>1094</v>
      </c>
      <c r="C540" s="423" t="s">
        <v>659</v>
      </c>
      <c r="D540" s="423" t="s">
        <v>1564</v>
      </c>
      <c r="E540" s="763" t="s">
        <v>2058</v>
      </c>
      <c r="F540" s="778">
        <v>-14390.85</v>
      </c>
      <c r="G540" s="778">
        <v>-14390.85</v>
      </c>
      <c r="H540" s="778">
        <v>-14390.85</v>
      </c>
      <c r="I540" s="778">
        <v>0</v>
      </c>
      <c r="J540" s="778">
        <v>0</v>
      </c>
      <c r="K540" s="778">
        <v>0</v>
      </c>
      <c r="L540" s="778">
        <v>0</v>
      </c>
      <c r="M540" s="778">
        <v>0</v>
      </c>
      <c r="N540" s="778">
        <v>0</v>
      </c>
      <c r="O540" s="778">
        <v>0</v>
      </c>
      <c r="P540" s="778">
        <v>0</v>
      </c>
      <c r="Q540" s="778">
        <v>0</v>
      </c>
      <c r="R540" s="778">
        <v>0</v>
      </c>
      <c r="S540" s="618">
        <f t="shared" si="152"/>
        <v>0</v>
      </c>
      <c r="T540" s="773"/>
      <c r="U540" s="424"/>
      <c r="V540" s="424"/>
      <c r="W540" s="424"/>
      <c r="X540" s="425">
        <f t="shared" si="153"/>
        <v>0</v>
      </c>
      <c r="Y540" s="424"/>
      <c r="Z540" s="424">
        <f>+'Adv for Const. &amp; Def Tax'!AV32</f>
        <v>0</v>
      </c>
      <c r="AA540" s="424"/>
      <c r="AB540" s="424"/>
      <c r="AC540" s="779"/>
      <c r="AD540" s="779"/>
      <c r="AE540" s="773" t="s">
        <v>1735</v>
      </c>
      <c r="AF540" s="781">
        <f t="shared" si="149"/>
        <v>0</v>
      </c>
    </row>
    <row r="541" spans="1:32">
      <c r="A541" s="779">
        <f t="shared" si="151"/>
        <v>527</v>
      </c>
      <c r="B541" s="423" t="s">
        <v>1063</v>
      </c>
      <c r="C541" s="423" t="s">
        <v>660</v>
      </c>
      <c r="D541" s="423" t="s">
        <v>1098</v>
      </c>
      <c r="E541" s="763" t="s">
        <v>2047</v>
      </c>
      <c r="F541" s="778">
        <v>2162401.16</v>
      </c>
      <c r="G541" s="778">
        <v>2144381.14</v>
      </c>
      <c r="H541" s="778">
        <v>2126361.12</v>
      </c>
      <c r="I541" s="778">
        <v>2108341.12</v>
      </c>
      <c r="J541" s="778">
        <v>2090321.11</v>
      </c>
      <c r="K541" s="778">
        <v>2072301.1</v>
      </c>
      <c r="L541" s="778">
        <v>2054281.07</v>
      </c>
      <c r="M541" s="778">
        <v>2036261.06</v>
      </c>
      <c r="N541" s="778">
        <v>2018241.05</v>
      </c>
      <c r="O541" s="778">
        <v>2000221.05</v>
      </c>
      <c r="P541" s="778">
        <v>1982201.05</v>
      </c>
      <c r="Q541" s="778">
        <v>1966738.21</v>
      </c>
      <c r="R541" s="778">
        <v>1913970.3</v>
      </c>
      <c r="S541" s="618">
        <f t="shared" si="152"/>
        <v>1913970.3</v>
      </c>
      <c r="T541" s="773"/>
      <c r="U541" s="424"/>
      <c r="V541" s="424"/>
      <c r="W541" s="424"/>
      <c r="X541" s="425">
        <f>+S541</f>
        <v>1913970.3</v>
      </c>
      <c r="Y541" s="424"/>
      <c r="Z541" s="424"/>
      <c r="AA541" s="424"/>
      <c r="AB541" s="424">
        <f>+S541</f>
        <v>1913970.3</v>
      </c>
      <c r="AC541" s="779"/>
      <c r="AD541" s="426"/>
      <c r="AE541" s="773"/>
      <c r="AF541" s="781">
        <f t="shared" si="149"/>
        <v>0</v>
      </c>
    </row>
    <row r="542" spans="1:32">
      <c r="A542" s="779">
        <f t="shared" si="151"/>
        <v>528</v>
      </c>
      <c r="B542" s="423" t="s">
        <v>1063</v>
      </c>
      <c r="C542" s="423" t="s">
        <v>660</v>
      </c>
      <c r="D542" s="423" t="s">
        <v>1099</v>
      </c>
      <c r="E542" s="763" t="s">
        <v>2048</v>
      </c>
      <c r="F542" s="778">
        <v>8252880.6200000001</v>
      </c>
      <c r="G542" s="778">
        <v>8184106.5700000003</v>
      </c>
      <c r="H542" s="778">
        <v>8115332.5499999998</v>
      </c>
      <c r="I542" s="778">
        <v>8046558.5999999996</v>
      </c>
      <c r="J542" s="778">
        <v>7977784.54</v>
      </c>
      <c r="K542" s="778">
        <v>7909010.5599999996</v>
      </c>
      <c r="L542" s="778">
        <v>7840236.5199999996</v>
      </c>
      <c r="M542" s="778">
        <v>7771462.5</v>
      </c>
      <c r="N542" s="778">
        <v>7702688.5300000003</v>
      </c>
      <c r="O542" s="778">
        <v>7633914.46</v>
      </c>
      <c r="P542" s="778">
        <v>7565140.4800000004</v>
      </c>
      <c r="Q542" s="778">
        <v>7505986.2999999998</v>
      </c>
      <c r="R542" s="778">
        <v>7294680.6500000004</v>
      </c>
      <c r="S542" s="618">
        <f t="shared" si="152"/>
        <v>7294680.6500000004</v>
      </c>
      <c r="T542" s="773"/>
      <c r="U542" s="424"/>
      <c r="V542" s="424"/>
      <c r="W542" s="424"/>
      <c r="X542" s="425">
        <f>+S542</f>
        <v>7294680.6500000004</v>
      </c>
      <c r="Y542" s="424"/>
      <c r="Z542" s="424"/>
      <c r="AA542" s="424"/>
      <c r="AB542" s="424">
        <f>+S542</f>
        <v>7294680.6500000004</v>
      </c>
      <c r="AC542" s="779"/>
      <c r="AD542" s="426"/>
      <c r="AE542" s="773"/>
      <c r="AF542" s="781">
        <f t="shared" si="149"/>
        <v>0</v>
      </c>
    </row>
    <row r="543" spans="1:32">
      <c r="A543" s="779">
        <f t="shared" si="151"/>
        <v>529</v>
      </c>
      <c r="B543" s="423" t="s">
        <v>1063</v>
      </c>
      <c r="C543" s="423" t="s">
        <v>660</v>
      </c>
      <c r="D543" s="423" t="s">
        <v>1082</v>
      </c>
      <c r="E543" s="763" t="s">
        <v>2051</v>
      </c>
      <c r="F543" s="778">
        <v>-161930.57</v>
      </c>
      <c r="G543" s="778">
        <v>-161226.51999999999</v>
      </c>
      <c r="H543" s="778">
        <v>-160522.47</v>
      </c>
      <c r="I543" s="778">
        <v>-159818.42000000001</v>
      </c>
      <c r="J543" s="778">
        <v>-159114.37</v>
      </c>
      <c r="K543" s="778">
        <v>-158410.32</v>
      </c>
      <c r="L543" s="778">
        <v>-157706.26999999999</v>
      </c>
      <c r="M543" s="778">
        <v>-157002.22</v>
      </c>
      <c r="N543" s="778">
        <v>-156298.17000000001</v>
      </c>
      <c r="O543" s="778">
        <v>-155594.12</v>
      </c>
      <c r="P543" s="778">
        <v>-154890.07</v>
      </c>
      <c r="Q543" s="778">
        <v>-154186.01999999999</v>
      </c>
      <c r="R543" s="778">
        <v>-153482.01</v>
      </c>
      <c r="S543" s="618">
        <f t="shared" si="152"/>
        <v>-153482.01</v>
      </c>
      <c r="T543" s="773"/>
      <c r="U543" s="424"/>
      <c r="V543" s="513"/>
      <c r="W543" s="424"/>
      <c r="X543" s="424">
        <f>+S543</f>
        <v>-153482.01</v>
      </c>
      <c r="Y543" s="424">
        <f>+'Adv for Const. &amp; Def Tax'!AU27</f>
        <v>-118227.19</v>
      </c>
      <c r="Z543" s="424">
        <f>+'Adv for Const. &amp; Def Tax'!AV27</f>
        <v>-35254.82</v>
      </c>
      <c r="AA543" s="424">
        <f>+X543</f>
        <v>-153482.01</v>
      </c>
      <c r="AB543" s="424"/>
      <c r="AC543" s="779"/>
      <c r="AD543" s="779"/>
      <c r="AE543" s="773" t="s">
        <v>1736</v>
      </c>
      <c r="AF543" s="781">
        <f t="shared" si="149"/>
        <v>0</v>
      </c>
    </row>
    <row r="544" spans="1:32">
      <c r="A544" s="779">
        <f t="shared" si="151"/>
        <v>530</v>
      </c>
      <c r="B544" s="423" t="s">
        <v>1063</v>
      </c>
      <c r="C544" s="423" t="s">
        <v>660</v>
      </c>
      <c r="D544" s="423" t="s">
        <v>1667</v>
      </c>
      <c r="E544" s="763" t="s">
        <v>2052</v>
      </c>
      <c r="F544" s="778">
        <v>-481335.67</v>
      </c>
      <c r="G544" s="778">
        <v>-481335.67</v>
      </c>
      <c r="H544" s="778">
        <v>-481335.67</v>
      </c>
      <c r="I544" s="778">
        <v>-481335.67</v>
      </c>
      <c r="J544" s="778">
        <v>-481335.67</v>
      </c>
      <c r="K544" s="778">
        <v>-481335.67</v>
      </c>
      <c r="L544" s="778">
        <v>-481335.67</v>
      </c>
      <c r="M544" s="778">
        <v>-481335.67</v>
      </c>
      <c r="N544" s="778">
        <v>-481335.67</v>
      </c>
      <c r="O544" s="778">
        <v>-481335.67</v>
      </c>
      <c r="P544" s="778">
        <v>-481335.67</v>
      </c>
      <c r="Q544" s="778">
        <v>-481335.67</v>
      </c>
      <c r="R544" s="778">
        <v>-638740.75</v>
      </c>
      <c r="S544" s="618">
        <f t="shared" si="152"/>
        <v>-638740.75</v>
      </c>
      <c r="T544" s="773"/>
      <c r="U544" s="424"/>
      <c r="V544" s="424">
        <f t="shared" ref="V544:V547" si="157">+S544</f>
        <v>-638740.75</v>
      </c>
      <c r="W544" s="424"/>
      <c r="X544" s="425"/>
      <c r="Y544" s="424"/>
      <c r="Z544" s="424"/>
      <c r="AA544" s="424"/>
      <c r="AB544" s="424"/>
      <c r="AC544" s="779"/>
      <c r="AD544" s="426">
        <f t="shared" ref="AD544:AD547" si="158">+V544</f>
        <v>-638740.75</v>
      </c>
      <c r="AE544" s="773"/>
      <c r="AF544" s="781">
        <f t="shared" si="149"/>
        <v>0</v>
      </c>
    </row>
    <row r="545" spans="1:32">
      <c r="A545" s="779">
        <f t="shared" si="151"/>
        <v>531</v>
      </c>
      <c r="B545" s="423" t="s">
        <v>1063</v>
      </c>
      <c r="C545" s="423" t="s">
        <v>660</v>
      </c>
      <c r="D545" s="423" t="s">
        <v>1100</v>
      </c>
      <c r="E545" s="763" t="s">
        <v>2053</v>
      </c>
      <c r="F545" s="778">
        <v>-32833635.199999999</v>
      </c>
      <c r="G545" s="778">
        <v>-31943946.600000001</v>
      </c>
      <c r="H545" s="778">
        <v>-31136329.219999999</v>
      </c>
      <c r="I545" s="778">
        <v>-30469392.350000001</v>
      </c>
      <c r="J545" s="778">
        <v>-30175970.079999998</v>
      </c>
      <c r="K545" s="778">
        <v>-29991402.34</v>
      </c>
      <c r="L545" s="778">
        <v>-30267951.260000002</v>
      </c>
      <c r="M545" s="778">
        <v>-30569378.079999998</v>
      </c>
      <c r="N545" s="778">
        <v>-31103198.75</v>
      </c>
      <c r="O545" s="778">
        <v>-31443179.859999999</v>
      </c>
      <c r="P545" s="778">
        <v>-31302928.609999999</v>
      </c>
      <c r="Q545" s="778">
        <v>-33386829.190000001</v>
      </c>
      <c r="R545" s="778">
        <v>-40255923.640000001</v>
      </c>
      <c r="S545" s="618">
        <f t="shared" si="152"/>
        <v>-40255923.640000001</v>
      </c>
      <c r="T545" s="773"/>
      <c r="U545" s="424"/>
      <c r="V545" s="424">
        <f t="shared" si="157"/>
        <v>-40255923.640000001</v>
      </c>
      <c r="W545" s="424"/>
      <c r="X545" s="425"/>
      <c r="Y545" s="424"/>
      <c r="Z545" s="424"/>
      <c r="AA545" s="424"/>
      <c r="AB545" s="424"/>
      <c r="AC545" s="779"/>
      <c r="AD545" s="426">
        <f t="shared" si="158"/>
        <v>-40255923.640000001</v>
      </c>
      <c r="AE545" s="773"/>
      <c r="AF545" s="781">
        <f t="shared" si="149"/>
        <v>0</v>
      </c>
    </row>
    <row r="546" spans="1:32">
      <c r="A546" s="779">
        <f t="shared" si="151"/>
        <v>532</v>
      </c>
      <c r="B546" s="423" t="s">
        <v>1094</v>
      </c>
      <c r="C546" s="423" t="s">
        <v>660</v>
      </c>
      <c r="D546" s="657" t="s">
        <v>1095</v>
      </c>
      <c r="E546" s="763" t="s">
        <v>2054</v>
      </c>
      <c r="F546" s="778">
        <v>189266.26</v>
      </c>
      <c r="G546" s="778">
        <v>187689.04</v>
      </c>
      <c r="H546" s="778">
        <v>186111.82</v>
      </c>
      <c r="I546" s="778">
        <v>184534.6</v>
      </c>
      <c r="J546" s="778">
        <v>182957.38</v>
      </c>
      <c r="K546" s="778">
        <v>181380.15</v>
      </c>
      <c r="L546" s="778">
        <v>179802.94</v>
      </c>
      <c r="M546" s="778">
        <v>178225.72</v>
      </c>
      <c r="N546" s="778">
        <v>176648.51</v>
      </c>
      <c r="O546" s="778">
        <v>175071.29</v>
      </c>
      <c r="P546" s="778">
        <v>173494.07</v>
      </c>
      <c r="Q546" s="778">
        <v>172140.66</v>
      </c>
      <c r="R546" s="778">
        <v>167522.1</v>
      </c>
      <c r="S546" s="618">
        <f t="shared" si="152"/>
        <v>167522.1</v>
      </c>
      <c r="T546" s="773"/>
      <c r="U546" s="424"/>
      <c r="V546" s="424">
        <f t="shared" si="157"/>
        <v>167522.1</v>
      </c>
      <c r="W546" s="424"/>
      <c r="X546" s="425"/>
      <c r="Y546" s="424"/>
      <c r="Z546" s="424"/>
      <c r="AA546" s="424"/>
      <c r="AB546" s="424"/>
      <c r="AC546" s="779"/>
      <c r="AD546" s="426">
        <f t="shared" si="158"/>
        <v>167522.1</v>
      </c>
      <c r="AE546" s="773"/>
      <c r="AF546" s="781">
        <f t="shared" si="149"/>
        <v>0</v>
      </c>
    </row>
    <row r="547" spans="1:32">
      <c r="A547" s="779">
        <f t="shared" si="151"/>
        <v>533</v>
      </c>
      <c r="B547" s="423" t="s">
        <v>1094</v>
      </c>
      <c r="C547" s="423" t="s">
        <v>660</v>
      </c>
      <c r="D547" s="423" t="s">
        <v>1096</v>
      </c>
      <c r="E547" s="763" t="s">
        <v>2055</v>
      </c>
      <c r="F547" s="778">
        <v>-118133.35</v>
      </c>
      <c r="G547" s="778">
        <v>-117148.9</v>
      </c>
      <c r="H547" s="778">
        <v>-116164.48</v>
      </c>
      <c r="I547" s="778">
        <v>-115179.99</v>
      </c>
      <c r="J547" s="778">
        <v>-114195.55</v>
      </c>
      <c r="K547" s="778">
        <v>-113211.11</v>
      </c>
      <c r="L547" s="778">
        <v>-112226.67</v>
      </c>
      <c r="M547" s="778">
        <v>-111242.23</v>
      </c>
      <c r="N547" s="778">
        <v>-110257.76</v>
      </c>
      <c r="O547" s="778">
        <v>-109273.33</v>
      </c>
      <c r="P547" s="778">
        <v>-108288.89</v>
      </c>
      <c r="Q547" s="778">
        <v>-107304.4</v>
      </c>
      <c r="R547" s="778">
        <v>-94506.66</v>
      </c>
      <c r="S547" s="618">
        <f t="shared" si="152"/>
        <v>-94506.66</v>
      </c>
      <c r="T547" s="773"/>
      <c r="U547" s="424"/>
      <c r="V547" s="424">
        <f t="shared" si="157"/>
        <v>-94506.66</v>
      </c>
      <c r="W547" s="424"/>
      <c r="X547" s="425"/>
      <c r="Y547" s="424"/>
      <c r="Z547" s="424"/>
      <c r="AA547" s="424"/>
      <c r="AB547" s="424"/>
      <c r="AC547" s="779"/>
      <c r="AD547" s="426">
        <f t="shared" si="158"/>
        <v>-94506.66</v>
      </c>
      <c r="AE547" s="773"/>
      <c r="AF547" s="781">
        <f t="shared" si="149"/>
        <v>0</v>
      </c>
    </row>
    <row r="548" spans="1:32">
      <c r="A548" s="779">
        <f t="shared" si="151"/>
        <v>534</v>
      </c>
      <c r="B548" s="423" t="s">
        <v>1094</v>
      </c>
      <c r="C548" s="423" t="s">
        <v>660</v>
      </c>
      <c r="D548" s="423" t="s">
        <v>1086</v>
      </c>
      <c r="E548" s="763" t="s">
        <v>2059</v>
      </c>
      <c r="F548" s="778">
        <v>-14173.13</v>
      </c>
      <c r="G548" s="778">
        <v>-14111.51</v>
      </c>
      <c r="H548" s="778">
        <v>-14049.89</v>
      </c>
      <c r="I548" s="778">
        <v>-13988.27</v>
      </c>
      <c r="J548" s="778">
        <v>-13926.65</v>
      </c>
      <c r="K548" s="778">
        <v>-13865.03</v>
      </c>
      <c r="L548" s="778">
        <v>-13803.41</v>
      </c>
      <c r="M548" s="778">
        <v>-13741.79</v>
      </c>
      <c r="N548" s="778">
        <v>-13680.17</v>
      </c>
      <c r="O548" s="778">
        <v>-13618.55</v>
      </c>
      <c r="P548" s="778">
        <v>-13556.93</v>
      </c>
      <c r="Q548" s="778">
        <v>-13495.31</v>
      </c>
      <c r="R548" s="778">
        <v>-13433.67</v>
      </c>
      <c r="S548" s="618">
        <f t="shared" si="152"/>
        <v>-13433.67</v>
      </c>
      <c r="T548" s="779"/>
      <c r="U548" s="424"/>
      <c r="V548" s="424">
        <f>+S548</f>
        <v>-13433.67</v>
      </c>
      <c r="W548" s="424"/>
      <c r="X548" s="425"/>
      <c r="Y548" s="424"/>
      <c r="Z548" s="424"/>
      <c r="AA548" s="424"/>
      <c r="AB548" s="424">
        <f>+X548</f>
        <v>0</v>
      </c>
      <c r="AC548" s="779"/>
      <c r="AD548" s="426">
        <f>+V548</f>
        <v>-13433.67</v>
      </c>
      <c r="AE548" s="779"/>
      <c r="AF548" s="781">
        <f t="shared" si="149"/>
        <v>0</v>
      </c>
    </row>
    <row r="549" spans="1:32">
      <c r="A549" s="779">
        <f t="shared" si="151"/>
        <v>535</v>
      </c>
      <c r="B549" s="423" t="s">
        <v>1094</v>
      </c>
      <c r="C549" s="423" t="s">
        <v>660</v>
      </c>
      <c r="D549" s="423" t="s">
        <v>1666</v>
      </c>
      <c r="E549" s="763" t="s">
        <v>2060</v>
      </c>
      <c r="F549" s="778">
        <v>-42129.37</v>
      </c>
      <c r="G549" s="778">
        <v>-42129.37</v>
      </c>
      <c r="H549" s="778">
        <v>-42129.37</v>
      </c>
      <c r="I549" s="778">
        <v>-42129.37</v>
      </c>
      <c r="J549" s="778">
        <v>-42129.37</v>
      </c>
      <c r="K549" s="778">
        <v>-42129.37</v>
      </c>
      <c r="L549" s="778">
        <v>-42129.37</v>
      </c>
      <c r="M549" s="778">
        <v>-42129.37</v>
      </c>
      <c r="N549" s="778">
        <v>-42129.37</v>
      </c>
      <c r="O549" s="778">
        <v>-42129.37</v>
      </c>
      <c r="P549" s="778">
        <v>-42129.37</v>
      </c>
      <c r="Q549" s="778">
        <v>-42129.37</v>
      </c>
      <c r="R549" s="778">
        <v>-55906.400000000001</v>
      </c>
      <c r="S549" s="618">
        <f t="shared" si="152"/>
        <v>-55906.400000000001</v>
      </c>
      <c r="T549" s="773"/>
      <c r="U549" s="424"/>
      <c r="V549" s="424">
        <f>+S549</f>
        <v>-55906.400000000001</v>
      </c>
      <c r="W549" s="424"/>
      <c r="X549" s="425"/>
      <c r="Y549" s="424"/>
      <c r="Z549" s="424"/>
      <c r="AA549" s="424"/>
      <c r="AB549" s="424"/>
      <c r="AC549" s="779"/>
      <c r="AD549" s="426">
        <f>+V549</f>
        <v>-55906.400000000001</v>
      </c>
      <c r="AE549" s="773"/>
      <c r="AF549" s="781">
        <f t="shared" si="149"/>
        <v>0</v>
      </c>
    </row>
    <row r="550" spans="1:32">
      <c r="A550" s="779">
        <f t="shared" si="151"/>
        <v>536</v>
      </c>
      <c r="B550" s="423" t="s">
        <v>1094</v>
      </c>
      <c r="C550" s="423" t="s">
        <v>660</v>
      </c>
      <c r="D550" s="423" t="s">
        <v>1097</v>
      </c>
      <c r="E550" s="763" t="s">
        <v>2061</v>
      </c>
      <c r="F550" s="778">
        <v>-2331587.4300000002</v>
      </c>
      <c r="G550" s="778">
        <v>-2260720.52</v>
      </c>
      <c r="H550" s="778">
        <v>-2197036.9700000002</v>
      </c>
      <c r="I550" s="778">
        <v>-2145666.65</v>
      </c>
      <c r="J550" s="778">
        <v>-2126988.5299999998</v>
      </c>
      <c r="K550" s="778">
        <v>-2117838.02</v>
      </c>
      <c r="L550" s="778">
        <v>-2149047.1800000002</v>
      </c>
      <c r="M550" s="778">
        <v>-2182433.81</v>
      </c>
      <c r="N550" s="778">
        <v>-2236160.96</v>
      </c>
      <c r="O550" s="778">
        <v>-2272922.08</v>
      </c>
      <c r="P550" s="778">
        <v>-2267650.4</v>
      </c>
      <c r="Q550" s="778">
        <v>-2456207.8199999998</v>
      </c>
      <c r="R550" s="778">
        <v>-3065780.91</v>
      </c>
      <c r="S550" s="618">
        <f t="shared" si="152"/>
        <v>-3065780.91</v>
      </c>
      <c r="T550" s="779"/>
      <c r="U550" s="424"/>
      <c r="V550" s="424">
        <f>+S550</f>
        <v>-3065780.91</v>
      </c>
      <c r="W550" s="424"/>
      <c r="X550" s="425"/>
      <c r="Y550" s="424"/>
      <c r="Z550" s="424"/>
      <c r="AA550" s="424"/>
      <c r="AB550" s="424"/>
      <c r="AC550" s="779"/>
      <c r="AD550" s="426">
        <f>+V550</f>
        <v>-3065780.91</v>
      </c>
      <c r="AE550" s="779"/>
      <c r="AF550" s="781">
        <f t="shared" si="149"/>
        <v>0</v>
      </c>
    </row>
    <row r="551" spans="1:32">
      <c r="A551" s="779">
        <f t="shared" si="151"/>
        <v>537</v>
      </c>
      <c r="B551" s="779"/>
      <c r="C551" s="779"/>
      <c r="D551" s="779"/>
      <c r="E551" s="763" t="s">
        <v>661</v>
      </c>
      <c r="F551" s="394">
        <f t="shared" ref="F551:S551" si="159">SUM(F530:F550)</f>
        <v>-77743427.170000002</v>
      </c>
      <c r="G551" s="394">
        <f t="shared" si="159"/>
        <v>-76899908.830000013</v>
      </c>
      <c r="H551" s="394">
        <f t="shared" si="159"/>
        <v>-76144183.440000027</v>
      </c>
      <c r="I551" s="394">
        <f t="shared" si="159"/>
        <v>-75293352.540000007</v>
      </c>
      <c r="J551" s="394">
        <f t="shared" si="159"/>
        <v>-75047506.219999999</v>
      </c>
      <c r="K551" s="394">
        <f t="shared" si="159"/>
        <v>-74981356.059999973</v>
      </c>
      <c r="L551" s="394">
        <f t="shared" si="159"/>
        <v>-75388285.160000011</v>
      </c>
      <c r="M551" s="394">
        <f t="shared" si="159"/>
        <v>-76143992.800000012</v>
      </c>
      <c r="N551" s="394">
        <f t="shared" si="159"/>
        <v>-76743007.349999994</v>
      </c>
      <c r="O551" s="394">
        <f t="shared" si="159"/>
        <v>-77500547.170000002</v>
      </c>
      <c r="P551" s="394">
        <f t="shared" si="159"/>
        <v>-77481054.910000041</v>
      </c>
      <c r="Q551" s="394">
        <f t="shared" si="159"/>
        <v>-79752141.87000002</v>
      </c>
      <c r="R551" s="394">
        <f t="shared" si="159"/>
        <v>-88739868.560000017</v>
      </c>
      <c r="S551" s="620">
        <f t="shared" si="159"/>
        <v>-88739868.560000017</v>
      </c>
      <c r="T551" s="773"/>
      <c r="U551" s="424"/>
      <c r="V551" s="424"/>
      <c r="W551" s="424"/>
      <c r="X551" s="425"/>
      <c r="Y551" s="424"/>
      <c r="Z551" s="424"/>
      <c r="AA551" s="424"/>
      <c r="AB551" s="424"/>
      <c r="AC551" s="779"/>
      <c r="AD551" s="779"/>
      <c r="AE551" s="773"/>
      <c r="AF551" s="781">
        <f t="shared" si="149"/>
        <v>0</v>
      </c>
    </row>
    <row r="552" spans="1:32">
      <c r="A552" s="779">
        <f t="shared" si="151"/>
        <v>538</v>
      </c>
      <c r="B552" s="779"/>
      <c r="C552" s="779"/>
      <c r="D552" s="779"/>
      <c r="E552" s="763"/>
      <c r="F552" s="778"/>
      <c r="G552" s="420"/>
      <c r="H552" s="408"/>
      <c r="I552" s="408"/>
      <c r="J552" s="409"/>
      <c r="K552" s="410"/>
      <c r="L552" s="411"/>
      <c r="M552" s="412"/>
      <c r="N552" s="413"/>
      <c r="O552" s="764"/>
      <c r="P552" s="415"/>
      <c r="Q552" s="421"/>
      <c r="R552" s="778"/>
      <c r="S552" s="392"/>
      <c r="T552" s="773"/>
      <c r="U552" s="424"/>
      <c r="V552" s="424"/>
      <c r="W552" s="424"/>
      <c r="X552" s="425"/>
      <c r="Y552" s="424"/>
      <c r="Z552" s="424"/>
      <c r="AA552" s="424"/>
      <c r="AB552" s="424"/>
      <c r="AC552" s="779"/>
      <c r="AD552" s="779"/>
      <c r="AE552" s="773"/>
      <c r="AF552" s="781">
        <f t="shared" si="149"/>
        <v>0</v>
      </c>
    </row>
    <row r="553" spans="1:32">
      <c r="A553" s="779">
        <f t="shared" si="151"/>
        <v>539</v>
      </c>
      <c r="B553" s="423" t="s">
        <v>1094</v>
      </c>
      <c r="C553" s="423" t="s">
        <v>662</v>
      </c>
      <c r="D553" s="423" t="s">
        <v>1342</v>
      </c>
      <c r="E553" s="763" t="s">
        <v>2063</v>
      </c>
      <c r="F553" s="776">
        <v>-38525635.439999998</v>
      </c>
      <c r="G553" s="776">
        <v>-6502729.3600000003</v>
      </c>
      <c r="H553" s="776">
        <v>-11011061.289999999</v>
      </c>
      <c r="I553" s="776">
        <v>-16455572.23</v>
      </c>
      <c r="J553" s="776">
        <v>-20263105.09</v>
      </c>
      <c r="K553" s="776">
        <v>-22687866.84</v>
      </c>
      <c r="L553" s="776">
        <v>-24068154.120000001</v>
      </c>
      <c r="M553" s="776">
        <v>-25177819.079999998</v>
      </c>
      <c r="N553" s="776">
        <v>-26178062.280000001</v>
      </c>
      <c r="O553" s="776">
        <v>-27219934.800000001</v>
      </c>
      <c r="P553" s="776">
        <v>-29128213.239999998</v>
      </c>
      <c r="Q553" s="776">
        <v>-31993484.010000002</v>
      </c>
      <c r="R553" s="776">
        <v>-36899838.780000001</v>
      </c>
      <c r="S553" s="618">
        <f t="shared" ref="S553:S616" si="160">+R553</f>
        <v>-36899838.780000001</v>
      </c>
      <c r="T553" s="773"/>
      <c r="U553" s="424"/>
      <c r="V553" s="424"/>
      <c r="W553" s="424">
        <f t="shared" ref="W553:W618" si="161">+S553</f>
        <v>-36899838.780000001</v>
      </c>
      <c r="X553" s="425"/>
      <c r="Y553" s="424"/>
      <c r="Z553" s="424"/>
      <c r="AA553" s="424"/>
      <c r="AB553" s="424"/>
      <c r="AC553" s="426">
        <f>+S553</f>
        <v>-36899838.780000001</v>
      </c>
      <c r="AD553" s="779"/>
      <c r="AE553" s="773"/>
      <c r="AF553" s="781">
        <f t="shared" si="149"/>
        <v>0</v>
      </c>
    </row>
    <row r="554" spans="1:32">
      <c r="A554" s="779">
        <f t="shared" si="151"/>
        <v>540</v>
      </c>
      <c r="B554" s="423" t="s">
        <v>1094</v>
      </c>
      <c r="C554" s="423" t="s">
        <v>662</v>
      </c>
      <c r="D554" s="423" t="s">
        <v>1343</v>
      </c>
      <c r="E554" s="763" t="s">
        <v>2064</v>
      </c>
      <c r="F554" s="776">
        <v>2015887.62</v>
      </c>
      <c r="G554" s="776">
        <v>-25224.95</v>
      </c>
      <c r="H554" s="776">
        <v>-133465.35999999999</v>
      </c>
      <c r="I554" s="776">
        <v>323205.58</v>
      </c>
      <c r="J554" s="776">
        <v>594333.87</v>
      </c>
      <c r="K554" s="776">
        <v>482085.92</v>
      </c>
      <c r="L554" s="776">
        <v>525493.9</v>
      </c>
      <c r="M554" s="776">
        <v>514461</v>
      </c>
      <c r="N554" s="776">
        <v>305869.93</v>
      </c>
      <c r="O554" s="776">
        <v>148578.79999999999</v>
      </c>
      <c r="P554" s="776">
        <v>172108.95</v>
      </c>
      <c r="Q554" s="776">
        <v>210011.63</v>
      </c>
      <c r="R554" s="776">
        <v>164849.44</v>
      </c>
      <c r="S554" s="618">
        <f t="shared" si="160"/>
        <v>164849.44</v>
      </c>
      <c r="T554" s="773"/>
      <c r="U554" s="424"/>
      <c r="V554" s="424"/>
      <c r="W554" s="424">
        <f t="shared" si="161"/>
        <v>164849.44</v>
      </c>
      <c r="X554" s="425"/>
      <c r="Y554" s="424"/>
      <c r="Z554" s="424"/>
      <c r="AA554" s="424"/>
      <c r="AB554" s="424"/>
      <c r="AC554" s="426">
        <f t="shared" ref="AC554:AC617" si="162">+S554</f>
        <v>164849.44</v>
      </c>
      <c r="AD554" s="779"/>
      <c r="AE554" s="773"/>
      <c r="AF554" s="781">
        <f t="shared" si="149"/>
        <v>0</v>
      </c>
    </row>
    <row r="555" spans="1:32">
      <c r="A555" s="779">
        <f t="shared" si="151"/>
        <v>541</v>
      </c>
      <c r="B555" s="423" t="s">
        <v>1094</v>
      </c>
      <c r="C555" s="423" t="s">
        <v>662</v>
      </c>
      <c r="D555" s="423" t="s">
        <v>1344</v>
      </c>
      <c r="E555" s="763" t="s">
        <v>2065</v>
      </c>
      <c r="F555" s="776">
        <v>-2687820.79</v>
      </c>
      <c r="G555" s="776">
        <v>-410140.69</v>
      </c>
      <c r="H555" s="776">
        <v>-697623.9</v>
      </c>
      <c r="I555" s="776">
        <v>-1029777.19</v>
      </c>
      <c r="J555" s="776">
        <v>-1292645.02</v>
      </c>
      <c r="K555" s="776">
        <v>-1481540.75</v>
      </c>
      <c r="L555" s="776">
        <v>-1621765.01</v>
      </c>
      <c r="M555" s="776">
        <v>-1741768.59</v>
      </c>
      <c r="N555" s="776">
        <v>-1875859.82</v>
      </c>
      <c r="O555" s="776">
        <v>-1998145.64</v>
      </c>
      <c r="P555" s="776">
        <v>-2227112.87</v>
      </c>
      <c r="Q555" s="776">
        <v>-2471160.5499999998</v>
      </c>
      <c r="R555" s="776">
        <v>-2767726.57</v>
      </c>
      <c r="S555" s="618">
        <f t="shared" si="160"/>
        <v>-2767726.57</v>
      </c>
      <c r="T555" s="773"/>
      <c r="U555" s="424"/>
      <c r="V555" s="424"/>
      <c r="W555" s="424">
        <f t="shared" si="161"/>
        <v>-2767726.57</v>
      </c>
      <c r="X555" s="425"/>
      <c r="Y555" s="424"/>
      <c r="Z555" s="424"/>
      <c r="AA555" s="424"/>
      <c r="AB555" s="424"/>
      <c r="AC555" s="426">
        <f t="shared" si="162"/>
        <v>-2767726.57</v>
      </c>
      <c r="AD555" s="779"/>
      <c r="AE555" s="773"/>
      <c r="AF555" s="781">
        <f t="shared" si="149"/>
        <v>0</v>
      </c>
    </row>
    <row r="556" spans="1:32">
      <c r="A556" s="779">
        <f t="shared" si="151"/>
        <v>542</v>
      </c>
      <c r="B556" s="423" t="s">
        <v>1094</v>
      </c>
      <c r="C556" s="423" t="s">
        <v>662</v>
      </c>
      <c r="D556" s="423" t="s">
        <v>1345</v>
      </c>
      <c r="E556" s="763" t="s">
        <v>2066</v>
      </c>
      <c r="F556" s="776">
        <v>-114831.49</v>
      </c>
      <c r="G556" s="776">
        <v>0</v>
      </c>
      <c r="H556" s="776">
        <v>0</v>
      </c>
      <c r="I556" s="776">
        <v>0</v>
      </c>
      <c r="J556" s="776">
        <v>0</v>
      </c>
      <c r="K556" s="776">
        <v>-49348.01</v>
      </c>
      <c r="L556" s="776">
        <v>-49348.01</v>
      </c>
      <c r="M556" s="776">
        <v>-49982.23</v>
      </c>
      <c r="N556" s="776">
        <v>-49982.23</v>
      </c>
      <c r="O556" s="776">
        <v>-49982.23</v>
      </c>
      <c r="P556" s="776">
        <v>-49982.23</v>
      </c>
      <c r="Q556" s="776">
        <v>-49982.23</v>
      </c>
      <c r="R556" s="776">
        <v>-49982.23</v>
      </c>
      <c r="S556" s="618">
        <f t="shared" si="160"/>
        <v>-49982.23</v>
      </c>
      <c r="T556" s="773"/>
      <c r="U556" s="424"/>
      <c r="V556" s="424"/>
      <c r="W556" s="424">
        <f t="shared" si="161"/>
        <v>-49982.23</v>
      </c>
      <c r="X556" s="425"/>
      <c r="Y556" s="424"/>
      <c r="Z556" s="424"/>
      <c r="AA556" s="424"/>
      <c r="AB556" s="424"/>
      <c r="AC556" s="426">
        <f t="shared" si="162"/>
        <v>-49982.23</v>
      </c>
      <c r="AD556" s="779"/>
      <c r="AE556" s="773"/>
      <c r="AF556" s="781">
        <f t="shared" si="149"/>
        <v>0</v>
      </c>
    </row>
    <row r="557" spans="1:32">
      <c r="A557" s="779">
        <f t="shared" si="151"/>
        <v>543</v>
      </c>
      <c r="B557" s="423" t="s">
        <v>1094</v>
      </c>
      <c r="C557" s="423" t="s">
        <v>662</v>
      </c>
      <c r="D557" s="423" t="s">
        <v>1346</v>
      </c>
      <c r="E557" s="763" t="s">
        <v>2067</v>
      </c>
      <c r="F557" s="776">
        <v>-21805013.989999998</v>
      </c>
      <c r="G557" s="776">
        <v>-3669187.03</v>
      </c>
      <c r="H557" s="776">
        <v>-6135145.0700000003</v>
      </c>
      <c r="I557" s="776">
        <v>-9198063.7799999993</v>
      </c>
      <c r="J557" s="776">
        <v>-11230416.050000001</v>
      </c>
      <c r="K557" s="776">
        <v>-12573124.91</v>
      </c>
      <c r="L557" s="776">
        <v>-13404697.5</v>
      </c>
      <c r="M557" s="776">
        <v>-14114682.75</v>
      </c>
      <c r="N557" s="776">
        <v>-14778230.98</v>
      </c>
      <c r="O557" s="776">
        <v>-15464092.67</v>
      </c>
      <c r="P557" s="776">
        <v>-16519263.98</v>
      </c>
      <c r="Q557" s="776">
        <v>-17968097.09</v>
      </c>
      <c r="R557" s="776">
        <v>-20625012.760000002</v>
      </c>
      <c r="S557" s="618">
        <f t="shared" si="160"/>
        <v>-20625012.760000002</v>
      </c>
      <c r="T557" s="773"/>
      <c r="U557" s="424"/>
      <c r="V557" s="424"/>
      <c r="W557" s="424">
        <f t="shared" si="161"/>
        <v>-20625012.760000002</v>
      </c>
      <c r="X557" s="425"/>
      <c r="Y557" s="424"/>
      <c r="Z557" s="424"/>
      <c r="AA557" s="424"/>
      <c r="AB557" s="424"/>
      <c r="AC557" s="426">
        <f t="shared" si="162"/>
        <v>-20625012.760000002</v>
      </c>
      <c r="AD557" s="779"/>
      <c r="AE557" s="773"/>
      <c r="AF557" s="781">
        <f t="shared" si="149"/>
        <v>0</v>
      </c>
    </row>
    <row r="558" spans="1:32">
      <c r="A558" s="779">
        <f t="shared" si="151"/>
        <v>544</v>
      </c>
      <c r="B558" s="423" t="s">
        <v>1094</v>
      </c>
      <c r="C558" s="423" t="s">
        <v>662</v>
      </c>
      <c r="D558" s="423" t="s">
        <v>1347</v>
      </c>
      <c r="E558" s="763" t="s">
        <v>2068</v>
      </c>
      <c r="F558" s="776">
        <v>1183833.25</v>
      </c>
      <c r="G558" s="776">
        <v>34051.199999999997</v>
      </c>
      <c r="H558" s="776">
        <v>12299.71</v>
      </c>
      <c r="I558" s="776">
        <v>270393.38</v>
      </c>
      <c r="J558" s="776">
        <v>389620.87</v>
      </c>
      <c r="K558" s="776">
        <v>340816.15</v>
      </c>
      <c r="L558" s="776">
        <v>385296.03</v>
      </c>
      <c r="M558" s="776">
        <v>398661.33</v>
      </c>
      <c r="N558" s="776">
        <v>294975.03000000003</v>
      </c>
      <c r="O558" s="776">
        <v>286842.45</v>
      </c>
      <c r="P558" s="776">
        <v>350637.76</v>
      </c>
      <c r="Q558" s="776">
        <v>289894.07</v>
      </c>
      <c r="R558" s="776">
        <v>340736.39</v>
      </c>
      <c r="S558" s="618">
        <f t="shared" si="160"/>
        <v>340736.39</v>
      </c>
      <c r="T558" s="773"/>
      <c r="U558" s="424"/>
      <c r="V558" s="424"/>
      <c r="W558" s="424">
        <f t="shared" si="161"/>
        <v>340736.39</v>
      </c>
      <c r="X558" s="425"/>
      <c r="Y558" s="424"/>
      <c r="Z558" s="424"/>
      <c r="AA558" s="424"/>
      <c r="AB558" s="424"/>
      <c r="AC558" s="426">
        <f t="shared" si="162"/>
        <v>340736.39</v>
      </c>
      <c r="AD558" s="779"/>
      <c r="AE558" s="773"/>
      <c r="AF558" s="781">
        <f t="shared" si="149"/>
        <v>0</v>
      </c>
    </row>
    <row r="559" spans="1:32">
      <c r="A559" s="779">
        <f t="shared" si="151"/>
        <v>545</v>
      </c>
      <c r="B559" s="423" t="s">
        <v>1094</v>
      </c>
      <c r="C559" s="423" t="s">
        <v>662</v>
      </c>
      <c r="D559" s="423" t="s">
        <v>1348</v>
      </c>
      <c r="E559" s="763" t="s">
        <v>2069</v>
      </c>
      <c r="F559" s="776">
        <v>-896.77</v>
      </c>
      <c r="G559" s="776">
        <v>0</v>
      </c>
      <c r="H559" s="776">
        <v>0</v>
      </c>
      <c r="I559" s="776">
        <v>0</v>
      </c>
      <c r="J559" s="776">
        <v>0</v>
      </c>
      <c r="K559" s="776">
        <v>0</v>
      </c>
      <c r="L559" s="776">
        <v>0</v>
      </c>
      <c r="M559" s="776">
        <v>0</v>
      </c>
      <c r="N559" s="776">
        <v>0</v>
      </c>
      <c r="O559" s="776">
        <v>-1216.5999999999999</v>
      </c>
      <c r="P559" s="776">
        <v>-1216.5999999999999</v>
      </c>
      <c r="Q559" s="776">
        <v>-1216.5999999999999</v>
      </c>
      <c r="R559" s="776">
        <v>-1216.5999999999999</v>
      </c>
      <c r="S559" s="618">
        <f t="shared" si="160"/>
        <v>-1216.5999999999999</v>
      </c>
      <c r="T559" s="773"/>
      <c r="U559" s="424"/>
      <c r="V559" s="424"/>
      <c r="W559" s="424">
        <f t="shared" si="161"/>
        <v>-1216.5999999999999</v>
      </c>
      <c r="X559" s="425"/>
      <c r="Y559" s="424"/>
      <c r="Z559" s="424"/>
      <c r="AA559" s="424"/>
      <c r="AB559" s="424"/>
      <c r="AC559" s="426">
        <f t="shared" si="162"/>
        <v>-1216.5999999999999</v>
      </c>
      <c r="AD559" s="779"/>
      <c r="AE559" s="773"/>
      <c r="AF559" s="781">
        <f t="shared" si="149"/>
        <v>0</v>
      </c>
    </row>
    <row r="560" spans="1:32">
      <c r="A560" s="779">
        <f t="shared" si="151"/>
        <v>546</v>
      </c>
      <c r="B560" s="423" t="s">
        <v>1094</v>
      </c>
      <c r="C560" s="423" t="s">
        <v>662</v>
      </c>
      <c r="D560" s="423" t="s">
        <v>1349</v>
      </c>
      <c r="E560" s="763" t="s">
        <v>2070</v>
      </c>
      <c r="F560" s="776">
        <v>-1368657.13</v>
      </c>
      <c r="G560" s="776">
        <v>-199956.17</v>
      </c>
      <c r="H560" s="776">
        <v>-373032.29</v>
      </c>
      <c r="I560" s="776">
        <v>-524372.75</v>
      </c>
      <c r="J560" s="776">
        <v>-664086.97</v>
      </c>
      <c r="K560" s="776">
        <v>-763977.58</v>
      </c>
      <c r="L560" s="776">
        <v>-832382.59</v>
      </c>
      <c r="M560" s="776">
        <v>-893639.8</v>
      </c>
      <c r="N560" s="776">
        <v>-951739.55</v>
      </c>
      <c r="O560" s="776">
        <v>-1009665.59</v>
      </c>
      <c r="P560" s="776">
        <v>-1072217.06</v>
      </c>
      <c r="Q560" s="776">
        <v>-1166245.83</v>
      </c>
      <c r="R560" s="776">
        <v>-1293851.8600000001</v>
      </c>
      <c r="S560" s="618">
        <f t="shared" si="160"/>
        <v>-1293851.8600000001</v>
      </c>
      <c r="T560" s="773"/>
      <c r="U560" s="424"/>
      <c r="V560" s="424"/>
      <c r="W560" s="424">
        <f t="shared" si="161"/>
        <v>-1293851.8600000001</v>
      </c>
      <c r="X560" s="425"/>
      <c r="Y560" s="424"/>
      <c r="Z560" s="424"/>
      <c r="AA560" s="424"/>
      <c r="AB560" s="424"/>
      <c r="AC560" s="426">
        <f t="shared" si="162"/>
        <v>-1293851.8600000001</v>
      </c>
      <c r="AD560" s="779"/>
      <c r="AE560" s="773"/>
      <c r="AF560" s="781">
        <f t="shared" si="149"/>
        <v>0</v>
      </c>
    </row>
    <row r="561" spans="1:32">
      <c r="A561" s="779">
        <f t="shared" si="151"/>
        <v>547</v>
      </c>
      <c r="B561" s="423" t="s">
        <v>1066</v>
      </c>
      <c r="C561" s="423" t="s">
        <v>662</v>
      </c>
      <c r="D561" s="423" t="s">
        <v>1342</v>
      </c>
      <c r="E561" s="763" t="s">
        <v>2063</v>
      </c>
      <c r="F561" s="776">
        <v>-115896385.3</v>
      </c>
      <c r="G561" s="776">
        <v>-20328294.23</v>
      </c>
      <c r="H561" s="776">
        <v>-34880101.329999998</v>
      </c>
      <c r="I561" s="776">
        <v>-51973179.57</v>
      </c>
      <c r="J561" s="776">
        <v>-63604711.270000003</v>
      </c>
      <c r="K561" s="776">
        <v>-70793144.920000002</v>
      </c>
      <c r="L561" s="776">
        <v>-75060488.730000004</v>
      </c>
      <c r="M561" s="776">
        <v>-78556747.480000004</v>
      </c>
      <c r="N561" s="776">
        <v>-81738512.280000001</v>
      </c>
      <c r="O561" s="776">
        <v>-85062013.930000007</v>
      </c>
      <c r="P561" s="776">
        <v>-90314956.849999994</v>
      </c>
      <c r="Q561" s="776">
        <v>-98394770.980000004</v>
      </c>
      <c r="R561" s="776">
        <v>-112178476.55</v>
      </c>
      <c r="S561" s="618">
        <f t="shared" si="160"/>
        <v>-112178476.55</v>
      </c>
      <c r="T561" s="773"/>
      <c r="U561" s="424"/>
      <c r="V561" s="424"/>
      <c r="W561" s="424">
        <f t="shared" si="161"/>
        <v>-112178476.55</v>
      </c>
      <c r="X561" s="425"/>
      <c r="Y561" s="424"/>
      <c r="Z561" s="424"/>
      <c r="AA561" s="424"/>
      <c r="AB561" s="424"/>
      <c r="AC561" s="426">
        <f t="shared" si="162"/>
        <v>-112178476.55</v>
      </c>
      <c r="AD561" s="779"/>
      <c r="AE561" s="773"/>
      <c r="AF561" s="781">
        <f t="shared" si="149"/>
        <v>0</v>
      </c>
    </row>
    <row r="562" spans="1:32">
      <c r="A562" s="779">
        <f t="shared" si="151"/>
        <v>548</v>
      </c>
      <c r="B562" s="423" t="s">
        <v>1066</v>
      </c>
      <c r="C562" s="423" t="s">
        <v>662</v>
      </c>
      <c r="D562" s="423" t="s">
        <v>1343</v>
      </c>
      <c r="E562" s="763" t="s">
        <v>2084</v>
      </c>
      <c r="F562" s="776">
        <v>2792827.86</v>
      </c>
      <c r="G562" s="776">
        <v>-251521.9</v>
      </c>
      <c r="H562" s="776">
        <v>224372.28</v>
      </c>
      <c r="I562" s="776">
        <v>503748.42</v>
      </c>
      <c r="J562" s="776">
        <v>719289.44</v>
      </c>
      <c r="K562" s="776">
        <v>290184.62</v>
      </c>
      <c r="L562" s="776">
        <v>261621.37</v>
      </c>
      <c r="M562" s="776">
        <v>214240.51</v>
      </c>
      <c r="N562" s="776">
        <v>-73127.339999999895</v>
      </c>
      <c r="O562" s="776">
        <v>-27851.7599999999</v>
      </c>
      <c r="P562" s="776">
        <v>-275706.71999999997</v>
      </c>
      <c r="Q562" s="776">
        <v>-629157.6</v>
      </c>
      <c r="R562" s="776">
        <v>-1439586.55</v>
      </c>
      <c r="S562" s="618">
        <f t="shared" si="160"/>
        <v>-1439586.55</v>
      </c>
      <c r="T562" s="773"/>
      <c r="U562" s="424"/>
      <c r="V562" s="424"/>
      <c r="W562" s="424">
        <f t="shared" si="161"/>
        <v>-1439586.55</v>
      </c>
      <c r="X562" s="425"/>
      <c r="Y562" s="424"/>
      <c r="Z562" s="424"/>
      <c r="AA562" s="424"/>
      <c r="AB562" s="424"/>
      <c r="AC562" s="426">
        <f t="shared" si="162"/>
        <v>-1439586.55</v>
      </c>
      <c r="AD562" s="779"/>
      <c r="AE562" s="773"/>
      <c r="AF562" s="781">
        <f t="shared" si="149"/>
        <v>0</v>
      </c>
    </row>
    <row r="563" spans="1:32">
      <c r="A563" s="779">
        <f t="shared" si="151"/>
        <v>549</v>
      </c>
      <c r="B563" s="423" t="s">
        <v>1066</v>
      </c>
      <c r="C563" s="423" t="s">
        <v>662</v>
      </c>
      <c r="D563" s="423" t="s">
        <v>1722</v>
      </c>
      <c r="E563" s="763" t="s">
        <v>2085</v>
      </c>
      <c r="F563" s="776">
        <v>0</v>
      </c>
      <c r="G563" s="776">
        <v>-308842.57</v>
      </c>
      <c r="H563" s="776">
        <v>-526318.81000000006</v>
      </c>
      <c r="I563" s="776">
        <v>-784045.57</v>
      </c>
      <c r="J563" s="776">
        <v>-955430.94</v>
      </c>
      <c r="K563" s="776">
        <v>-1056541.6599999999</v>
      </c>
      <c r="L563" s="776">
        <v>-1111377.23</v>
      </c>
      <c r="M563" s="776">
        <v>-1153968.6599999999</v>
      </c>
      <c r="N563" s="776">
        <v>-1190941.94</v>
      </c>
      <c r="O563" s="776">
        <v>-1229250.68</v>
      </c>
      <c r="P563" s="776">
        <v>-1301681.71</v>
      </c>
      <c r="Q563" s="776">
        <v>-1468984.38</v>
      </c>
      <c r="R563" s="776">
        <v>-2144806.7000000002</v>
      </c>
      <c r="S563" s="618">
        <f t="shared" si="160"/>
        <v>-2144806.7000000002</v>
      </c>
      <c r="T563" s="773"/>
      <c r="U563" s="424"/>
      <c r="V563" s="424"/>
      <c r="W563" s="424">
        <f t="shared" si="161"/>
        <v>-2144806.7000000002</v>
      </c>
      <c r="X563" s="425"/>
      <c r="Y563" s="424"/>
      <c r="Z563" s="424"/>
      <c r="AA563" s="424"/>
      <c r="AB563" s="424"/>
      <c r="AC563" s="426">
        <f t="shared" si="162"/>
        <v>-2144806.7000000002</v>
      </c>
      <c r="AD563" s="779"/>
      <c r="AE563" s="773"/>
      <c r="AF563" s="781">
        <f t="shared" si="149"/>
        <v>0</v>
      </c>
    </row>
    <row r="564" spans="1:32">
      <c r="A564" s="779">
        <f t="shared" si="151"/>
        <v>550</v>
      </c>
      <c r="B564" s="423" t="s">
        <v>1066</v>
      </c>
      <c r="C564" s="423" t="s">
        <v>662</v>
      </c>
      <c r="D564" s="423" t="s">
        <v>1344</v>
      </c>
      <c r="E564" s="763" t="s">
        <v>2065</v>
      </c>
      <c r="F564" s="776">
        <v>-10130050.810000001</v>
      </c>
      <c r="G564" s="776">
        <v>-1358737.42</v>
      </c>
      <c r="H564" s="776">
        <v>-2427648.9500000002</v>
      </c>
      <c r="I564" s="776">
        <v>-3610940.46</v>
      </c>
      <c r="J564" s="776">
        <v>-4626184.05</v>
      </c>
      <c r="K564" s="776">
        <v>-5410093.3300000001</v>
      </c>
      <c r="L564" s="776">
        <v>-6019339.4900000002</v>
      </c>
      <c r="M564" s="776">
        <v>-6574662.3200000003</v>
      </c>
      <c r="N564" s="776">
        <v>-7140819.2000000002</v>
      </c>
      <c r="O564" s="776">
        <v>-7762638.6299999999</v>
      </c>
      <c r="P564" s="776">
        <v>-8751809.4700000007</v>
      </c>
      <c r="Q564" s="776">
        <v>-9534676.5999999996</v>
      </c>
      <c r="R564" s="776">
        <v>-10628565.26</v>
      </c>
      <c r="S564" s="618">
        <f t="shared" si="160"/>
        <v>-10628565.26</v>
      </c>
      <c r="T564" s="773"/>
      <c r="U564" s="424"/>
      <c r="V564" s="424"/>
      <c r="W564" s="424">
        <f t="shared" si="161"/>
        <v>-10628565.26</v>
      </c>
      <c r="X564" s="425"/>
      <c r="Y564" s="424"/>
      <c r="Z564" s="424"/>
      <c r="AA564" s="424"/>
      <c r="AB564" s="424"/>
      <c r="AC564" s="426">
        <f t="shared" si="162"/>
        <v>-10628565.26</v>
      </c>
      <c r="AD564" s="779"/>
      <c r="AE564" s="773"/>
      <c r="AF564" s="781">
        <f t="shared" si="149"/>
        <v>0</v>
      </c>
    </row>
    <row r="565" spans="1:32">
      <c r="A565" s="779">
        <f t="shared" si="151"/>
        <v>551</v>
      </c>
      <c r="B565" s="423" t="s">
        <v>1066</v>
      </c>
      <c r="C565" s="423" t="s">
        <v>662</v>
      </c>
      <c r="D565" s="423" t="s">
        <v>1350</v>
      </c>
      <c r="E565" s="763" t="s">
        <v>2086</v>
      </c>
      <c r="F565" s="776">
        <v>255892.89</v>
      </c>
      <c r="G565" s="776">
        <v>45797.33</v>
      </c>
      <c r="H565" s="776">
        <v>5430.22</v>
      </c>
      <c r="I565" s="776">
        <v>33356.85</v>
      </c>
      <c r="J565" s="776">
        <v>86927.9</v>
      </c>
      <c r="K565" s="776">
        <v>111493.55</v>
      </c>
      <c r="L565" s="776">
        <v>128684.34</v>
      </c>
      <c r="M565" s="776">
        <v>143094.87</v>
      </c>
      <c r="N565" s="776">
        <v>172413.68</v>
      </c>
      <c r="O565" s="776">
        <v>189161.72</v>
      </c>
      <c r="P565" s="776">
        <v>212564.94</v>
      </c>
      <c r="Q565" s="776">
        <v>223616.72</v>
      </c>
      <c r="R565" s="776">
        <v>247687.63</v>
      </c>
      <c r="S565" s="618">
        <f t="shared" si="160"/>
        <v>247687.63</v>
      </c>
      <c r="T565" s="773"/>
      <c r="U565" s="424"/>
      <c r="V565" s="424"/>
      <c r="W565" s="424">
        <f t="shared" si="161"/>
        <v>247687.63</v>
      </c>
      <c r="X565" s="425"/>
      <c r="Y565" s="424"/>
      <c r="Z565" s="424"/>
      <c r="AA565" s="424"/>
      <c r="AB565" s="424"/>
      <c r="AC565" s="426">
        <f t="shared" si="162"/>
        <v>247687.63</v>
      </c>
      <c r="AD565" s="779"/>
      <c r="AE565" s="773"/>
      <c r="AF565" s="781">
        <f t="shared" si="149"/>
        <v>0</v>
      </c>
    </row>
    <row r="566" spans="1:32">
      <c r="A566" s="779">
        <f t="shared" si="151"/>
        <v>552</v>
      </c>
      <c r="B566" s="423" t="s">
        <v>1066</v>
      </c>
      <c r="C566" s="423" t="s">
        <v>662</v>
      </c>
      <c r="D566" s="423" t="s">
        <v>1723</v>
      </c>
      <c r="E566" s="763" t="s">
        <v>2087</v>
      </c>
      <c r="F566" s="776">
        <v>0</v>
      </c>
      <c r="G566" s="776">
        <v>-27340.05</v>
      </c>
      <c r="H566" s="776">
        <v>-48053.919999999998</v>
      </c>
      <c r="I566" s="776">
        <v>-71062.509999999995</v>
      </c>
      <c r="J566" s="776">
        <v>-90833.2</v>
      </c>
      <c r="K566" s="776">
        <v>-106099.49</v>
      </c>
      <c r="L566" s="776">
        <v>-117831.61</v>
      </c>
      <c r="M566" s="776">
        <v>-128495.82</v>
      </c>
      <c r="N566" s="776">
        <v>-139398.17000000001</v>
      </c>
      <c r="O566" s="776">
        <v>-151533.25</v>
      </c>
      <c r="P566" s="776">
        <v>-171717.58</v>
      </c>
      <c r="Q566" s="776">
        <v>-193516.58</v>
      </c>
      <c r="R566" s="776">
        <v>-241595.26</v>
      </c>
      <c r="S566" s="618">
        <f t="shared" si="160"/>
        <v>-241595.26</v>
      </c>
      <c r="T566" s="773"/>
      <c r="U566" s="424"/>
      <c r="V566" s="424"/>
      <c r="W566" s="424">
        <f t="shared" si="161"/>
        <v>-241595.26</v>
      </c>
      <c r="X566" s="425"/>
      <c r="Y566" s="424"/>
      <c r="Z566" s="424"/>
      <c r="AA566" s="424"/>
      <c r="AB566" s="424"/>
      <c r="AC566" s="426">
        <f t="shared" si="162"/>
        <v>-241595.26</v>
      </c>
      <c r="AD566" s="779"/>
      <c r="AE566" s="773"/>
      <c r="AF566" s="781">
        <f t="shared" si="149"/>
        <v>0</v>
      </c>
    </row>
    <row r="567" spans="1:32">
      <c r="A567" s="779">
        <f t="shared" si="151"/>
        <v>553</v>
      </c>
      <c r="B567" s="423" t="s">
        <v>1066</v>
      </c>
      <c r="C567" s="423" t="s">
        <v>662</v>
      </c>
      <c r="D567" s="423" t="s">
        <v>1345</v>
      </c>
      <c r="E567" s="763" t="s">
        <v>2066</v>
      </c>
      <c r="F567" s="776">
        <v>-43948.58</v>
      </c>
      <c r="G567" s="776">
        <v>0</v>
      </c>
      <c r="H567" s="776">
        <v>0</v>
      </c>
      <c r="I567" s="776">
        <v>-2201.4899999999998</v>
      </c>
      <c r="J567" s="776">
        <v>-2201.4899999999998</v>
      </c>
      <c r="K567" s="776">
        <v>-2201.4899999999998</v>
      </c>
      <c r="L567" s="776">
        <v>-4334.79</v>
      </c>
      <c r="M567" s="776">
        <v>-29548.43</v>
      </c>
      <c r="N567" s="776">
        <v>-29548.43</v>
      </c>
      <c r="O567" s="776">
        <v>-29548.43</v>
      </c>
      <c r="P567" s="776">
        <v>-29548.43</v>
      </c>
      <c r="Q567" s="776">
        <v>-29548.43</v>
      </c>
      <c r="R567" s="776">
        <v>-29548.43</v>
      </c>
      <c r="S567" s="618">
        <f t="shared" si="160"/>
        <v>-29548.43</v>
      </c>
      <c r="T567" s="773"/>
      <c r="U567" s="424"/>
      <c r="V567" s="424"/>
      <c r="W567" s="424">
        <f t="shared" si="161"/>
        <v>-29548.43</v>
      </c>
      <c r="X567" s="425"/>
      <c r="Y567" s="424"/>
      <c r="Z567" s="424"/>
      <c r="AA567" s="424"/>
      <c r="AB567" s="424"/>
      <c r="AC567" s="426">
        <f t="shared" si="162"/>
        <v>-29548.43</v>
      </c>
      <c r="AD567" s="779"/>
      <c r="AE567" s="773"/>
      <c r="AF567" s="781">
        <f t="shared" si="149"/>
        <v>0</v>
      </c>
    </row>
    <row r="568" spans="1:32">
      <c r="A568" s="779">
        <f t="shared" si="151"/>
        <v>554</v>
      </c>
      <c r="B568" s="423" t="s">
        <v>1066</v>
      </c>
      <c r="C568" s="423" t="s">
        <v>662</v>
      </c>
      <c r="D568" s="423" t="s">
        <v>1346</v>
      </c>
      <c r="E568" s="763" t="s">
        <v>2067</v>
      </c>
      <c r="F568" s="776">
        <v>-80692032.799999997</v>
      </c>
      <c r="G568" s="776">
        <v>-13693324.16</v>
      </c>
      <c r="H568" s="776">
        <v>-23594507.23</v>
      </c>
      <c r="I568" s="776">
        <v>-35023151.920000002</v>
      </c>
      <c r="J568" s="776">
        <v>-43089710.409999996</v>
      </c>
      <c r="K568" s="776">
        <v>-48336768.460000001</v>
      </c>
      <c r="L568" s="776">
        <v>-51751666.369999997</v>
      </c>
      <c r="M568" s="776">
        <v>-54656981.509999998</v>
      </c>
      <c r="N568" s="776">
        <v>-57487141.060000002</v>
      </c>
      <c r="O568" s="776">
        <v>-60307775.899999999</v>
      </c>
      <c r="P568" s="776">
        <v>-64371226.829999998</v>
      </c>
      <c r="Q568" s="776">
        <v>-69872369.930000007</v>
      </c>
      <c r="R568" s="776">
        <v>-79180712.310000002</v>
      </c>
      <c r="S568" s="618">
        <f t="shared" si="160"/>
        <v>-79180712.310000002</v>
      </c>
      <c r="T568" s="773"/>
      <c r="U568" s="424"/>
      <c r="V568" s="424"/>
      <c r="W568" s="424">
        <f t="shared" si="161"/>
        <v>-79180712.310000002</v>
      </c>
      <c r="X568" s="425"/>
      <c r="Y568" s="424"/>
      <c r="Z568" s="424"/>
      <c r="AA568" s="424"/>
      <c r="AB568" s="424"/>
      <c r="AC568" s="426">
        <f t="shared" si="162"/>
        <v>-79180712.310000002</v>
      </c>
      <c r="AD568" s="779"/>
      <c r="AE568" s="773"/>
      <c r="AF568" s="781">
        <f t="shared" si="149"/>
        <v>0</v>
      </c>
    </row>
    <row r="569" spans="1:32">
      <c r="A569" s="779">
        <f t="shared" si="151"/>
        <v>555</v>
      </c>
      <c r="B569" s="423" t="s">
        <v>1066</v>
      </c>
      <c r="C569" s="423" t="s">
        <v>662</v>
      </c>
      <c r="D569" s="423" t="s">
        <v>1347</v>
      </c>
      <c r="E569" s="763" t="s">
        <v>2088</v>
      </c>
      <c r="F569" s="776">
        <v>2791782.24</v>
      </c>
      <c r="G569" s="776">
        <v>-43080.77</v>
      </c>
      <c r="H569" s="776">
        <v>340170.43</v>
      </c>
      <c r="I569" s="776">
        <v>485150.18</v>
      </c>
      <c r="J569" s="776">
        <v>772917.89</v>
      </c>
      <c r="K569" s="776">
        <v>636729.82999999996</v>
      </c>
      <c r="L569" s="776">
        <v>745597.8</v>
      </c>
      <c r="M569" s="776">
        <v>758521.48</v>
      </c>
      <c r="N569" s="776">
        <v>569597.81000000006</v>
      </c>
      <c r="O569" s="776">
        <v>590871.17000000004</v>
      </c>
      <c r="P569" s="776">
        <v>511489.39</v>
      </c>
      <c r="Q569" s="776">
        <v>508094.51</v>
      </c>
      <c r="R569" s="776">
        <v>188923.97</v>
      </c>
      <c r="S569" s="618">
        <f t="shared" si="160"/>
        <v>188923.97</v>
      </c>
      <c r="T569" s="773"/>
      <c r="U569" s="424"/>
      <c r="V569" s="424"/>
      <c r="W569" s="424">
        <f t="shared" si="161"/>
        <v>188923.97</v>
      </c>
      <c r="X569" s="425"/>
      <c r="Y569" s="424"/>
      <c r="Z569" s="424"/>
      <c r="AA569" s="424"/>
      <c r="AB569" s="424"/>
      <c r="AC569" s="426">
        <f t="shared" si="162"/>
        <v>188923.97</v>
      </c>
      <c r="AD569" s="779"/>
      <c r="AE569" s="773"/>
      <c r="AF569" s="781">
        <f t="shared" si="149"/>
        <v>0</v>
      </c>
    </row>
    <row r="570" spans="1:32">
      <c r="A570" s="779">
        <f t="shared" si="151"/>
        <v>556</v>
      </c>
      <c r="B570" s="423" t="s">
        <v>1066</v>
      </c>
      <c r="C570" s="423" t="s">
        <v>662</v>
      </c>
      <c r="D570" s="423" t="s">
        <v>1724</v>
      </c>
      <c r="E570" s="763" t="s">
        <v>2089</v>
      </c>
      <c r="F570" s="776">
        <v>0</v>
      </c>
      <c r="G570" s="776">
        <v>-230934.36</v>
      </c>
      <c r="H570" s="776">
        <v>-395488.05</v>
      </c>
      <c r="I570" s="776">
        <v>-586172.88</v>
      </c>
      <c r="J570" s="776">
        <v>-719645.75</v>
      </c>
      <c r="K570" s="776">
        <v>-804870.26</v>
      </c>
      <c r="L570" s="776">
        <v>-858617.73</v>
      </c>
      <c r="M570" s="776">
        <v>-903657.01</v>
      </c>
      <c r="N570" s="776">
        <v>-947293.54</v>
      </c>
      <c r="O570" s="776">
        <v>-990538.73</v>
      </c>
      <c r="P570" s="776">
        <v>-1057896.24</v>
      </c>
      <c r="Q570" s="776">
        <v>-1186387.45</v>
      </c>
      <c r="R570" s="776">
        <v>-1689706.2</v>
      </c>
      <c r="S570" s="618">
        <f t="shared" si="160"/>
        <v>-1689706.2</v>
      </c>
      <c r="T570" s="773"/>
      <c r="U570" s="424"/>
      <c r="V570" s="424"/>
      <c r="W570" s="424">
        <f t="shared" si="161"/>
        <v>-1689706.2</v>
      </c>
      <c r="X570" s="425"/>
      <c r="Y570" s="424"/>
      <c r="Z570" s="424"/>
      <c r="AA570" s="424"/>
      <c r="AB570" s="424"/>
      <c r="AC570" s="426">
        <f t="shared" si="162"/>
        <v>-1689706.2</v>
      </c>
      <c r="AD570" s="779"/>
      <c r="AE570" s="773"/>
      <c r="AF570" s="781">
        <f t="shared" si="149"/>
        <v>0</v>
      </c>
    </row>
    <row r="571" spans="1:32">
      <c r="A571" s="779">
        <f t="shared" si="151"/>
        <v>557</v>
      </c>
      <c r="B571" s="423" t="s">
        <v>1066</v>
      </c>
      <c r="C571" s="423" t="s">
        <v>662</v>
      </c>
      <c r="D571" s="423" t="s">
        <v>1348</v>
      </c>
      <c r="E571" s="763" t="s">
        <v>2069</v>
      </c>
      <c r="F571" s="776">
        <v>-27995.1</v>
      </c>
      <c r="G571" s="776">
        <v>-10030.18</v>
      </c>
      <c r="H571" s="776">
        <v>-13029.64</v>
      </c>
      <c r="I571" s="776">
        <v>-15950.38</v>
      </c>
      <c r="J571" s="776">
        <v>-16989.91</v>
      </c>
      <c r="K571" s="776">
        <v>-16989.91</v>
      </c>
      <c r="L571" s="776">
        <v>-16989.91</v>
      </c>
      <c r="M571" s="776">
        <v>-16989.91</v>
      </c>
      <c r="N571" s="776">
        <v>-30265.360000000001</v>
      </c>
      <c r="O571" s="776">
        <v>-31949.33</v>
      </c>
      <c r="P571" s="776">
        <v>-35124.75</v>
      </c>
      <c r="Q571" s="776">
        <v>-35124.75</v>
      </c>
      <c r="R571" s="776">
        <v>-54452.09</v>
      </c>
      <c r="S571" s="618">
        <f t="shared" si="160"/>
        <v>-54452.09</v>
      </c>
      <c r="T571" s="773"/>
      <c r="U571" s="424"/>
      <c r="V571" s="424"/>
      <c r="W571" s="424">
        <f t="shared" si="161"/>
        <v>-54452.09</v>
      </c>
      <c r="X571" s="425"/>
      <c r="Y571" s="424"/>
      <c r="Z571" s="424"/>
      <c r="AA571" s="424"/>
      <c r="AB571" s="424"/>
      <c r="AC571" s="426">
        <f t="shared" si="162"/>
        <v>-54452.09</v>
      </c>
      <c r="AD571" s="779"/>
      <c r="AE571" s="773"/>
      <c r="AF571" s="781">
        <f t="shared" si="149"/>
        <v>0</v>
      </c>
    </row>
    <row r="572" spans="1:32">
      <c r="A572" s="779">
        <f t="shared" si="151"/>
        <v>558</v>
      </c>
      <c r="B572" s="423" t="s">
        <v>1066</v>
      </c>
      <c r="C572" s="423" t="s">
        <v>662</v>
      </c>
      <c r="D572" s="423" t="s">
        <v>1351</v>
      </c>
      <c r="E572" s="763" t="s">
        <v>2090</v>
      </c>
      <c r="F572" s="776">
        <v>-1568.92</v>
      </c>
      <c r="G572" s="776">
        <v>-331.65</v>
      </c>
      <c r="H572" s="776">
        <v>-1244.31</v>
      </c>
      <c r="I572" s="776">
        <v>-1291.9000000000001</v>
      </c>
      <c r="J572" s="776">
        <v>-1375.83</v>
      </c>
      <c r="K572" s="776">
        <v>-1423.83</v>
      </c>
      <c r="L572" s="776">
        <v>-1470.49</v>
      </c>
      <c r="M572" s="776">
        <v>-1636.16</v>
      </c>
      <c r="N572" s="776">
        <v>-1681.27</v>
      </c>
      <c r="O572" s="776">
        <v>-1988.98</v>
      </c>
      <c r="P572" s="776">
        <v>-2172.96</v>
      </c>
      <c r="Q572" s="776">
        <v>-2247.1</v>
      </c>
      <c r="R572" s="776">
        <v>-2345.14</v>
      </c>
      <c r="S572" s="618">
        <f t="shared" si="160"/>
        <v>-2345.14</v>
      </c>
      <c r="T572" s="773"/>
      <c r="U572" s="424"/>
      <c r="V572" s="424"/>
      <c r="W572" s="424">
        <f t="shared" si="161"/>
        <v>-2345.14</v>
      </c>
      <c r="X572" s="425"/>
      <c r="Y572" s="424"/>
      <c r="Z572" s="424"/>
      <c r="AA572" s="424"/>
      <c r="AB572" s="424"/>
      <c r="AC572" s="426">
        <f t="shared" si="162"/>
        <v>-2345.14</v>
      </c>
      <c r="AD572" s="779"/>
      <c r="AE572" s="773"/>
      <c r="AF572" s="781">
        <f t="shared" si="149"/>
        <v>0</v>
      </c>
    </row>
    <row r="573" spans="1:32">
      <c r="A573" s="779">
        <f t="shared" si="151"/>
        <v>559</v>
      </c>
      <c r="B573" s="423" t="s">
        <v>1066</v>
      </c>
      <c r="C573" s="423" t="s">
        <v>662</v>
      </c>
      <c r="D573" s="423" t="s">
        <v>1352</v>
      </c>
      <c r="E573" s="763" t="s">
        <v>2091</v>
      </c>
      <c r="F573" s="776">
        <v>-3761.64</v>
      </c>
      <c r="G573" s="776">
        <v>-253.36</v>
      </c>
      <c r="H573" s="776">
        <v>-776.69</v>
      </c>
      <c r="I573" s="776">
        <v>-1183.52</v>
      </c>
      <c r="J573" s="776">
        <v>-1488.16</v>
      </c>
      <c r="K573" s="776">
        <v>-1749.04</v>
      </c>
      <c r="L573" s="776">
        <v>-1928.32</v>
      </c>
      <c r="M573" s="776">
        <v>-2127.8200000000002</v>
      </c>
      <c r="N573" s="776">
        <v>-2225.16</v>
      </c>
      <c r="O573" s="776">
        <v>-2401.3000000000002</v>
      </c>
      <c r="P573" s="776">
        <v>-2754.82</v>
      </c>
      <c r="Q573" s="776">
        <v>-3051.6</v>
      </c>
      <c r="R573" s="776">
        <v>-3467.93</v>
      </c>
      <c r="S573" s="618">
        <f t="shared" si="160"/>
        <v>-3467.93</v>
      </c>
      <c r="T573" s="773"/>
      <c r="U573" s="424"/>
      <c r="V573" s="424"/>
      <c r="W573" s="424">
        <f t="shared" si="161"/>
        <v>-3467.93</v>
      </c>
      <c r="X573" s="425"/>
      <c r="Y573" s="424"/>
      <c r="Z573" s="424"/>
      <c r="AA573" s="424"/>
      <c r="AB573" s="424"/>
      <c r="AC573" s="426">
        <f t="shared" si="162"/>
        <v>-3467.93</v>
      </c>
      <c r="AD573" s="779"/>
      <c r="AE573" s="773"/>
      <c r="AF573" s="781">
        <f t="shared" si="149"/>
        <v>0</v>
      </c>
    </row>
    <row r="574" spans="1:32">
      <c r="A574" s="779">
        <f t="shared" si="151"/>
        <v>560</v>
      </c>
      <c r="B574" s="779" t="s">
        <v>1066</v>
      </c>
      <c r="C574" s="423" t="s">
        <v>662</v>
      </c>
      <c r="D574" s="423" t="s">
        <v>1725</v>
      </c>
      <c r="E574" s="763" t="s">
        <v>2092</v>
      </c>
      <c r="F574" s="776">
        <v>0</v>
      </c>
      <c r="G574" s="776">
        <v>-5.69</v>
      </c>
      <c r="H574" s="776">
        <v>-22.98</v>
      </c>
      <c r="I574" s="776">
        <v>-22.98</v>
      </c>
      <c r="J574" s="776">
        <v>-23.68</v>
      </c>
      <c r="K574" s="776">
        <v>-23.68</v>
      </c>
      <c r="L574" s="776">
        <v>-23.68</v>
      </c>
      <c r="M574" s="776">
        <v>-25.96</v>
      </c>
      <c r="N574" s="776">
        <v>-25.96</v>
      </c>
      <c r="O574" s="776">
        <v>-30.86</v>
      </c>
      <c r="P574" s="776">
        <v>-33.43</v>
      </c>
      <c r="Q574" s="776">
        <v>-33.72</v>
      </c>
      <c r="R574" s="776">
        <v>-35.46</v>
      </c>
      <c r="S574" s="618">
        <f t="shared" si="160"/>
        <v>-35.46</v>
      </c>
      <c r="T574" s="773"/>
      <c r="U574" s="424"/>
      <c r="V574" s="424"/>
      <c r="W574" s="424">
        <f t="shared" si="161"/>
        <v>-35.46</v>
      </c>
      <c r="X574" s="425"/>
      <c r="Y574" s="424"/>
      <c r="Z574" s="424"/>
      <c r="AA574" s="424"/>
      <c r="AB574" s="424"/>
      <c r="AC574" s="426">
        <f t="shared" si="162"/>
        <v>-35.46</v>
      </c>
      <c r="AD574" s="779"/>
      <c r="AE574" s="773"/>
      <c r="AF574" s="781">
        <f t="shared" si="149"/>
        <v>0</v>
      </c>
    </row>
    <row r="575" spans="1:32">
      <c r="A575" s="779">
        <f t="shared" si="151"/>
        <v>561</v>
      </c>
      <c r="B575" s="779" t="s">
        <v>1066</v>
      </c>
      <c r="C575" s="423" t="s">
        <v>662</v>
      </c>
      <c r="D575" s="423" t="s">
        <v>1353</v>
      </c>
      <c r="E575" s="763" t="s">
        <v>2093</v>
      </c>
      <c r="F575" s="776">
        <v>0</v>
      </c>
      <c r="G575" s="776">
        <v>0</v>
      </c>
      <c r="H575" s="776">
        <v>0</v>
      </c>
      <c r="I575" s="776">
        <v>0</v>
      </c>
      <c r="J575" s="776">
        <v>0</v>
      </c>
      <c r="K575" s="776">
        <v>0</v>
      </c>
      <c r="L575" s="776">
        <v>0</v>
      </c>
      <c r="M575" s="776">
        <v>-3266.14</v>
      </c>
      <c r="N575" s="776">
        <v>-3266.14</v>
      </c>
      <c r="O575" s="776">
        <v>-3266.14</v>
      </c>
      <c r="P575" s="776">
        <v>-3266.14</v>
      </c>
      <c r="Q575" s="776">
        <v>-3266.14</v>
      </c>
      <c r="R575" s="776">
        <v>-3266.14</v>
      </c>
      <c r="S575" s="618">
        <f t="shared" si="160"/>
        <v>-3266.14</v>
      </c>
      <c r="T575" s="773"/>
      <c r="U575" s="424"/>
      <c r="V575" s="424"/>
      <c r="W575" s="424">
        <f t="shared" si="161"/>
        <v>-3266.14</v>
      </c>
      <c r="X575" s="425"/>
      <c r="Y575" s="424"/>
      <c r="Z575" s="424"/>
      <c r="AA575" s="424"/>
      <c r="AB575" s="424"/>
      <c r="AC575" s="426">
        <f t="shared" si="162"/>
        <v>-3266.14</v>
      </c>
      <c r="AD575" s="779"/>
      <c r="AE575" s="773"/>
      <c r="AF575" s="781">
        <f t="shared" si="149"/>
        <v>0</v>
      </c>
    </row>
    <row r="576" spans="1:32">
      <c r="A576" s="779">
        <f t="shared" si="151"/>
        <v>562</v>
      </c>
      <c r="B576" s="779" t="s">
        <v>1066</v>
      </c>
      <c r="C576" s="423" t="s">
        <v>662</v>
      </c>
      <c r="D576" s="423" t="s">
        <v>1349</v>
      </c>
      <c r="E576" s="763" t="s">
        <v>2070</v>
      </c>
      <c r="F576" s="776">
        <v>-1583873.47</v>
      </c>
      <c r="G576" s="776">
        <v>-143751.82</v>
      </c>
      <c r="H576" s="776">
        <v>-282194.45</v>
      </c>
      <c r="I576" s="776">
        <v>-416658.17</v>
      </c>
      <c r="J576" s="776">
        <v>-549955.4</v>
      </c>
      <c r="K576" s="776">
        <v>-661803.12</v>
      </c>
      <c r="L576" s="776">
        <v>-743755.35</v>
      </c>
      <c r="M576" s="776">
        <v>-810397.27</v>
      </c>
      <c r="N576" s="776">
        <v>-880430.6</v>
      </c>
      <c r="O576" s="776">
        <v>-934253.44</v>
      </c>
      <c r="P576" s="776">
        <v>-1001088.27</v>
      </c>
      <c r="Q576" s="776">
        <v>-1109017.75</v>
      </c>
      <c r="R576" s="776">
        <v>-1213225.9099999999</v>
      </c>
      <c r="S576" s="618">
        <f t="shared" si="160"/>
        <v>-1213225.9099999999</v>
      </c>
      <c r="T576" s="773"/>
      <c r="U576" s="424"/>
      <c r="V576" s="424"/>
      <c r="W576" s="424">
        <f t="shared" si="161"/>
        <v>-1213225.9099999999</v>
      </c>
      <c r="X576" s="425"/>
      <c r="Y576" s="424"/>
      <c r="Z576" s="424"/>
      <c r="AA576" s="424"/>
      <c r="AB576" s="424"/>
      <c r="AC576" s="426">
        <f t="shared" si="162"/>
        <v>-1213225.9099999999</v>
      </c>
      <c r="AD576" s="779"/>
      <c r="AE576" s="773"/>
      <c r="AF576" s="781">
        <f t="shared" si="149"/>
        <v>0</v>
      </c>
    </row>
    <row r="577" spans="1:32">
      <c r="A577" s="779">
        <f t="shared" si="151"/>
        <v>563</v>
      </c>
      <c r="B577" s="423" t="s">
        <v>1066</v>
      </c>
      <c r="C577" s="423" t="s">
        <v>662</v>
      </c>
      <c r="D577" s="423" t="s">
        <v>1354</v>
      </c>
      <c r="E577" s="763" t="s">
        <v>2094</v>
      </c>
      <c r="F577" s="776">
        <v>-25156.560000000001</v>
      </c>
      <c r="G577" s="776">
        <v>-5862.44</v>
      </c>
      <c r="H577" s="776">
        <v>-12318.01</v>
      </c>
      <c r="I577" s="776">
        <v>-15841.13</v>
      </c>
      <c r="J577" s="776">
        <v>-20061.89</v>
      </c>
      <c r="K577" s="776">
        <v>-25813.38</v>
      </c>
      <c r="L577" s="776">
        <v>-30355.94</v>
      </c>
      <c r="M577" s="776">
        <v>-33380.639999999999</v>
      </c>
      <c r="N577" s="776">
        <v>-36767.769999999997</v>
      </c>
      <c r="O577" s="776">
        <v>-36585.25</v>
      </c>
      <c r="P577" s="776">
        <v>-34437.96</v>
      </c>
      <c r="Q577" s="776">
        <v>-35905.9</v>
      </c>
      <c r="R577" s="776">
        <v>-37768.239999999998</v>
      </c>
      <c r="S577" s="618">
        <f t="shared" si="160"/>
        <v>-37768.239999999998</v>
      </c>
      <c r="T577" s="773"/>
      <c r="U577" s="424"/>
      <c r="V577" s="424"/>
      <c r="W577" s="424">
        <f t="shared" si="161"/>
        <v>-37768.239999999998</v>
      </c>
      <c r="X577" s="425"/>
      <c r="Y577" s="424"/>
      <c r="Z577" s="424"/>
      <c r="AA577" s="424"/>
      <c r="AB577" s="424"/>
      <c r="AC577" s="426">
        <f t="shared" si="162"/>
        <v>-37768.239999999998</v>
      </c>
      <c r="AD577" s="779"/>
      <c r="AE577" s="773"/>
      <c r="AF577" s="781">
        <f t="shared" si="149"/>
        <v>0</v>
      </c>
    </row>
    <row r="578" spans="1:32">
      <c r="A578" s="779">
        <f t="shared" si="151"/>
        <v>564</v>
      </c>
      <c r="B578" s="423" t="s">
        <v>1066</v>
      </c>
      <c r="C578" s="423" t="s">
        <v>662</v>
      </c>
      <c r="D578" s="423" t="s">
        <v>1726</v>
      </c>
      <c r="E578" s="763" t="s">
        <v>2095</v>
      </c>
      <c r="F578" s="776">
        <v>0</v>
      </c>
      <c r="G578" s="776">
        <v>-3522.58</v>
      </c>
      <c r="H578" s="776">
        <v>-6919.57</v>
      </c>
      <c r="I578" s="776">
        <v>-10225.040000000001</v>
      </c>
      <c r="J578" s="776">
        <v>-13504.85</v>
      </c>
      <c r="K578" s="776">
        <v>-16237.37</v>
      </c>
      <c r="L578" s="776">
        <v>-18210.16</v>
      </c>
      <c r="M578" s="776">
        <v>-19792.419999999998</v>
      </c>
      <c r="N578" s="776">
        <v>-21432.45</v>
      </c>
      <c r="O578" s="776">
        <v>-22707.24</v>
      </c>
      <c r="P578" s="776">
        <v>-24326.75</v>
      </c>
      <c r="Q578" s="776">
        <v>-27025.919999999998</v>
      </c>
      <c r="R578" s="776">
        <v>-33021.06</v>
      </c>
      <c r="S578" s="618">
        <f t="shared" si="160"/>
        <v>-33021.06</v>
      </c>
      <c r="T578" s="773"/>
      <c r="U578" s="424"/>
      <c r="V578" s="424"/>
      <c r="W578" s="424">
        <f t="shared" si="161"/>
        <v>-33021.06</v>
      </c>
      <c r="X578" s="425"/>
      <c r="Y578" s="424"/>
      <c r="Z578" s="424"/>
      <c r="AA578" s="424"/>
      <c r="AB578" s="424"/>
      <c r="AC578" s="426">
        <f t="shared" si="162"/>
        <v>-33021.06</v>
      </c>
      <c r="AD578" s="779"/>
      <c r="AE578" s="773"/>
      <c r="AF578" s="781">
        <f t="shared" si="149"/>
        <v>0</v>
      </c>
    </row>
    <row r="579" spans="1:32">
      <c r="A579" s="779">
        <f t="shared" si="151"/>
        <v>565</v>
      </c>
      <c r="B579" s="423" t="s">
        <v>1094</v>
      </c>
      <c r="C579" s="423" t="s">
        <v>663</v>
      </c>
      <c r="D579" s="423" t="s">
        <v>1342</v>
      </c>
      <c r="E579" s="763" t="s">
        <v>2071</v>
      </c>
      <c r="F579" s="776">
        <v>984536.71</v>
      </c>
      <c r="G579" s="776">
        <v>1309874.1499999999</v>
      </c>
      <c r="H579" s="776">
        <v>919446.62</v>
      </c>
      <c r="I579" s="776">
        <v>2076507.3</v>
      </c>
      <c r="J579" s="776">
        <v>2952922.32</v>
      </c>
      <c r="K579" s="776">
        <v>3905130</v>
      </c>
      <c r="L579" s="776">
        <v>4059013.42</v>
      </c>
      <c r="M579" s="776">
        <v>4148049.51</v>
      </c>
      <c r="N579" s="776">
        <v>4507690.91</v>
      </c>
      <c r="O579" s="776">
        <v>4233401.93</v>
      </c>
      <c r="P579" s="776">
        <v>3256759.53</v>
      </c>
      <c r="Q579" s="776">
        <v>1562114.16</v>
      </c>
      <c r="R579" s="776">
        <v>999034.86</v>
      </c>
      <c r="S579" s="618">
        <f t="shared" si="160"/>
        <v>999034.86</v>
      </c>
      <c r="T579" s="773"/>
      <c r="U579" s="424"/>
      <c r="V579" s="424"/>
      <c r="W579" s="424">
        <f t="shared" si="161"/>
        <v>999034.86</v>
      </c>
      <c r="X579" s="425"/>
      <c r="Y579" s="424"/>
      <c r="Z579" s="424"/>
      <c r="AA579" s="424"/>
      <c r="AB579" s="424"/>
      <c r="AC579" s="426">
        <f t="shared" si="162"/>
        <v>999034.86</v>
      </c>
      <c r="AD579" s="779"/>
      <c r="AE579" s="773"/>
      <c r="AF579" s="781">
        <f t="shared" si="149"/>
        <v>0</v>
      </c>
    </row>
    <row r="580" spans="1:32">
      <c r="A580" s="779">
        <f t="shared" si="151"/>
        <v>566</v>
      </c>
      <c r="B580" s="423" t="s">
        <v>1094</v>
      </c>
      <c r="C580" s="423" t="s">
        <v>663</v>
      </c>
      <c r="D580" s="423" t="s">
        <v>1346</v>
      </c>
      <c r="E580" s="763" t="s">
        <v>2072</v>
      </c>
      <c r="F580" s="776">
        <v>411891.88</v>
      </c>
      <c r="G580" s="776">
        <v>665315.51</v>
      </c>
      <c r="H580" s="776">
        <v>478389.37</v>
      </c>
      <c r="I580" s="776">
        <v>1100687.95</v>
      </c>
      <c r="J580" s="776">
        <v>1654628.06</v>
      </c>
      <c r="K580" s="776">
        <v>2148948.83</v>
      </c>
      <c r="L580" s="776">
        <v>2164132.11</v>
      </c>
      <c r="M580" s="776">
        <v>2171000.25</v>
      </c>
      <c r="N580" s="776">
        <v>2438866.4900000002</v>
      </c>
      <c r="O580" s="776">
        <v>2217322.87</v>
      </c>
      <c r="P580" s="776">
        <v>1742196.42</v>
      </c>
      <c r="Q580" s="776">
        <v>970985.7</v>
      </c>
      <c r="R580" s="776">
        <v>550202.9</v>
      </c>
      <c r="S580" s="618">
        <f t="shared" si="160"/>
        <v>550202.9</v>
      </c>
      <c r="T580" s="773"/>
      <c r="U580" s="424"/>
      <c r="V580" s="424"/>
      <c r="W580" s="424">
        <f t="shared" si="161"/>
        <v>550202.9</v>
      </c>
      <c r="X580" s="425"/>
      <c r="Y580" s="424"/>
      <c r="Z580" s="424"/>
      <c r="AA580" s="424"/>
      <c r="AB580" s="424"/>
      <c r="AC580" s="426">
        <f t="shared" si="162"/>
        <v>550202.9</v>
      </c>
      <c r="AD580" s="779"/>
      <c r="AE580" s="773"/>
      <c r="AF580" s="781">
        <f t="shared" si="149"/>
        <v>0</v>
      </c>
    </row>
    <row r="581" spans="1:32">
      <c r="A581" s="779">
        <f t="shared" si="151"/>
        <v>567</v>
      </c>
      <c r="B581" s="779" t="s">
        <v>1094</v>
      </c>
      <c r="C581" s="423" t="s">
        <v>663</v>
      </c>
      <c r="D581" s="423" t="s">
        <v>1349</v>
      </c>
      <c r="E581" s="763" t="s">
        <v>2073</v>
      </c>
      <c r="F581" s="776">
        <v>11512.21</v>
      </c>
      <c r="G581" s="776">
        <v>26948.83</v>
      </c>
      <c r="H581" s="776">
        <v>56654.21</v>
      </c>
      <c r="I581" s="776">
        <v>60414.400000000001</v>
      </c>
      <c r="J581" s="776">
        <v>100311.96</v>
      </c>
      <c r="K581" s="776">
        <v>131814.34</v>
      </c>
      <c r="L581" s="776">
        <v>138969.51</v>
      </c>
      <c r="M581" s="776">
        <v>142127.32</v>
      </c>
      <c r="N581" s="776">
        <v>142289.97</v>
      </c>
      <c r="O581" s="776">
        <v>137590.82</v>
      </c>
      <c r="P581" s="776">
        <v>106168.57</v>
      </c>
      <c r="Q581" s="776">
        <v>72558.570000000007</v>
      </c>
      <c r="R581" s="776">
        <v>47343.45</v>
      </c>
      <c r="S581" s="618">
        <f t="shared" si="160"/>
        <v>47343.45</v>
      </c>
      <c r="T581" s="773"/>
      <c r="U581" s="424"/>
      <c r="V581" s="424"/>
      <c r="W581" s="424">
        <f t="shared" si="161"/>
        <v>47343.45</v>
      </c>
      <c r="X581" s="425"/>
      <c r="Y581" s="424"/>
      <c r="Z581" s="424"/>
      <c r="AA581" s="424"/>
      <c r="AB581" s="424"/>
      <c r="AC581" s="426">
        <f t="shared" si="162"/>
        <v>47343.45</v>
      </c>
      <c r="AD581" s="779"/>
      <c r="AE581" s="773"/>
      <c r="AF581" s="781">
        <f t="shared" si="149"/>
        <v>0</v>
      </c>
    </row>
    <row r="582" spans="1:32">
      <c r="A582" s="779">
        <f t="shared" si="151"/>
        <v>568</v>
      </c>
      <c r="B582" s="779" t="s">
        <v>1066</v>
      </c>
      <c r="C582" s="423" t="s">
        <v>663</v>
      </c>
      <c r="D582" s="423" t="s">
        <v>1342</v>
      </c>
      <c r="E582" s="763" t="s">
        <v>2071</v>
      </c>
      <c r="F582" s="776">
        <v>718744.25000000198</v>
      </c>
      <c r="G582" s="776">
        <v>3172870.44</v>
      </c>
      <c r="H582" s="776">
        <v>1668165.1</v>
      </c>
      <c r="I582" s="776">
        <v>5369439.7800000003</v>
      </c>
      <c r="J582" s="776">
        <v>8173514.5999999996</v>
      </c>
      <c r="K582" s="776">
        <v>10989508.439999999</v>
      </c>
      <c r="L582" s="776">
        <v>11351906.970000001</v>
      </c>
      <c r="M582" s="776">
        <v>11562664.68</v>
      </c>
      <c r="N582" s="776">
        <v>12692159.050000001</v>
      </c>
      <c r="O582" s="776">
        <v>11947574.4</v>
      </c>
      <c r="P582" s="776">
        <v>9721624.8399999999</v>
      </c>
      <c r="Q582" s="776">
        <v>4916884.71</v>
      </c>
      <c r="R582" s="776">
        <v>3374622.68</v>
      </c>
      <c r="S582" s="618">
        <f t="shared" si="160"/>
        <v>3374622.68</v>
      </c>
      <c r="T582" s="773"/>
      <c r="U582" s="424"/>
      <c r="V582" s="424"/>
      <c r="W582" s="424">
        <f t="shared" si="161"/>
        <v>3374622.68</v>
      </c>
      <c r="X582" s="425"/>
      <c r="Y582" s="424"/>
      <c r="Z582" s="424"/>
      <c r="AA582" s="424"/>
      <c r="AB582" s="424"/>
      <c r="AC582" s="426">
        <f t="shared" si="162"/>
        <v>3374622.68</v>
      </c>
      <c r="AD582" s="779"/>
      <c r="AE582" s="773"/>
      <c r="AF582" s="781">
        <f t="shared" si="149"/>
        <v>0</v>
      </c>
    </row>
    <row r="583" spans="1:32">
      <c r="A583" s="779">
        <f t="shared" si="151"/>
        <v>569</v>
      </c>
      <c r="B583" s="423" t="s">
        <v>1066</v>
      </c>
      <c r="C583" s="423" t="s">
        <v>663</v>
      </c>
      <c r="D583" s="423" t="s">
        <v>1346</v>
      </c>
      <c r="E583" s="763" t="s">
        <v>2072</v>
      </c>
      <c r="F583" s="776">
        <v>-151146.229999998</v>
      </c>
      <c r="G583" s="776">
        <v>2071107.37</v>
      </c>
      <c r="H583" s="776">
        <v>891614.99</v>
      </c>
      <c r="I583" s="776">
        <v>3581373.34</v>
      </c>
      <c r="J583" s="776">
        <v>5280684.9400000004</v>
      </c>
      <c r="K583" s="776">
        <v>7139258.21</v>
      </c>
      <c r="L583" s="776">
        <v>7160396.6399999997</v>
      </c>
      <c r="M583" s="776">
        <v>7204652.4699999997</v>
      </c>
      <c r="N583" s="776">
        <v>8162604.4699999997</v>
      </c>
      <c r="O583" s="776">
        <v>7430742.0199999996</v>
      </c>
      <c r="P583" s="776">
        <v>5816245.8399999999</v>
      </c>
      <c r="Q583" s="776">
        <v>3041124.89</v>
      </c>
      <c r="R583" s="776">
        <v>2090238.1</v>
      </c>
      <c r="S583" s="618">
        <f t="shared" si="160"/>
        <v>2090238.1</v>
      </c>
      <c r="T583" s="773"/>
      <c r="U583" s="424"/>
      <c r="V583" s="424"/>
      <c r="W583" s="424">
        <f t="shared" si="161"/>
        <v>2090238.1</v>
      </c>
      <c r="X583" s="425"/>
      <c r="Y583" s="424"/>
      <c r="Z583" s="424"/>
      <c r="AA583" s="424"/>
      <c r="AB583" s="424"/>
      <c r="AC583" s="426">
        <f t="shared" si="162"/>
        <v>2090238.1</v>
      </c>
      <c r="AD583" s="779"/>
      <c r="AE583" s="773"/>
      <c r="AF583" s="781">
        <f t="shared" si="149"/>
        <v>0</v>
      </c>
    </row>
    <row r="584" spans="1:32">
      <c r="A584" s="779">
        <f t="shared" si="151"/>
        <v>570</v>
      </c>
      <c r="B584" s="423" t="s">
        <v>1066</v>
      </c>
      <c r="C584" s="423" t="s">
        <v>663</v>
      </c>
      <c r="D584" s="423" t="s">
        <v>1351</v>
      </c>
      <c r="E584" s="763" t="s">
        <v>2096</v>
      </c>
      <c r="F584" s="776">
        <v>-103.16</v>
      </c>
      <c r="G584" s="776">
        <v>-582.35</v>
      </c>
      <c r="H584" s="776">
        <v>299.51</v>
      </c>
      <c r="I584" s="776">
        <v>262.88</v>
      </c>
      <c r="J584" s="776">
        <v>299.51</v>
      </c>
      <c r="K584" s="776">
        <v>299.51</v>
      </c>
      <c r="L584" s="776">
        <v>179.57</v>
      </c>
      <c r="M584" s="776">
        <v>299.51</v>
      </c>
      <c r="N584" s="776">
        <v>37.58</v>
      </c>
      <c r="O584" s="776">
        <v>156.63</v>
      </c>
      <c r="P584" s="776">
        <v>272.88</v>
      </c>
      <c r="Q584" s="776">
        <v>247.48</v>
      </c>
      <c r="R584" s="776">
        <v>237.33</v>
      </c>
      <c r="S584" s="618">
        <f t="shared" si="160"/>
        <v>237.33</v>
      </c>
      <c r="T584" s="773"/>
      <c r="U584" s="424"/>
      <c r="V584" s="424"/>
      <c r="W584" s="424">
        <f t="shared" si="161"/>
        <v>237.33</v>
      </c>
      <c r="X584" s="425"/>
      <c r="Y584" s="424"/>
      <c r="Z584" s="424"/>
      <c r="AA584" s="424"/>
      <c r="AB584" s="424"/>
      <c r="AC584" s="426">
        <f t="shared" si="162"/>
        <v>237.33</v>
      </c>
      <c r="AD584" s="779"/>
      <c r="AE584" s="773"/>
      <c r="AF584" s="781">
        <f t="shared" si="149"/>
        <v>0</v>
      </c>
    </row>
    <row r="585" spans="1:32">
      <c r="A585" s="779">
        <f t="shared" si="151"/>
        <v>571</v>
      </c>
      <c r="B585" s="423" t="s">
        <v>1066</v>
      </c>
      <c r="C585" s="423" t="s">
        <v>663</v>
      </c>
      <c r="D585" s="423" t="s">
        <v>1349</v>
      </c>
      <c r="E585" s="763" t="s">
        <v>2073</v>
      </c>
      <c r="F585" s="776">
        <v>136834.07</v>
      </c>
      <c r="G585" s="776">
        <v>5414.4</v>
      </c>
      <c r="H585" s="776">
        <v>9479</v>
      </c>
      <c r="I585" s="776">
        <v>10531.76</v>
      </c>
      <c r="J585" s="776">
        <v>32330.560000000001</v>
      </c>
      <c r="K585" s="776">
        <v>62879.29</v>
      </c>
      <c r="L585" s="776">
        <v>78587.59</v>
      </c>
      <c r="M585" s="776">
        <v>78425.899999999994</v>
      </c>
      <c r="N585" s="776">
        <v>92013.84</v>
      </c>
      <c r="O585" s="776">
        <v>78184.73</v>
      </c>
      <c r="P585" s="776">
        <v>34133.47</v>
      </c>
      <c r="Q585" s="776">
        <v>34237.83</v>
      </c>
      <c r="R585" s="776">
        <v>13073.21</v>
      </c>
      <c r="S585" s="618">
        <f t="shared" si="160"/>
        <v>13073.21</v>
      </c>
      <c r="T585" s="773"/>
      <c r="U585" s="424"/>
      <c r="V585" s="424"/>
      <c r="W585" s="424">
        <f t="shared" si="161"/>
        <v>13073.21</v>
      </c>
      <c r="X585" s="425"/>
      <c r="Y585" s="424"/>
      <c r="Z585" s="424"/>
      <c r="AA585" s="424"/>
      <c r="AB585" s="424"/>
      <c r="AC585" s="426">
        <f t="shared" si="162"/>
        <v>13073.21</v>
      </c>
      <c r="AD585" s="779"/>
      <c r="AE585" s="773"/>
      <c r="AF585" s="781">
        <f t="shared" si="149"/>
        <v>0</v>
      </c>
    </row>
    <row r="586" spans="1:32">
      <c r="A586" s="779">
        <f t="shared" si="151"/>
        <v>572</v>
      </c>
      <c r="B586" s="423" t="s">
        <v>1094</v>
      </c>
      <c r="C586" s="423" t="s">
        <v>664</v>
      </c>
      <c r="D586" s="423" t="s">
        <v>1355</v>
      </c>
      <c r="E586" s="763" t="s">
        <v>2074</v>
      </c>
      <c r="F586" s="776">
        <v>-163902.19</v>
      </c>
      <c r="G586" s="776">
        <v>-16393.88</v>
      </c>
      <c r="H586" s="776">
        <v>-31657.01</v>
      </c>
      <c r="I586" s="776">
        <v>-46527.15</v>
      </c>
      <c r="J586" s="776">
        <v>-67766.509999999995</v>
      </c>
      <c r="K586" s="776">
        <v>-79898.13</v>
      </c>
      <c r="L586" s="776">
        <v>-89749.09</v>
      </c>
      <c r="M586" s="776">
        <v>-100132.33</v>
      </c>
      <c r="N586" s="776">
        <v>-107954.29</v>
      </c>
      <c r="O586" s="776">
        <v>-116528.37</v>
      </c>
      <c r="P586" s="776">
        <v>-125968.82</v>
      </c>
      <c r="Q586" s="776">
        <v>-132620.89000000001</v>
      </c>
      <c r="R586" s="776">
        <v>-140982.17000000001</v>
      </c>
      <c r="S586" s="618">
        <f t="shared" si="160"/>
        <v>-140982.17000000001</v>
      </c>
      <c r="T586" s="773"/>
      <c r="U586" s="424"/>
      <c r="V586" s="424"/>
      <c r="W586" s="424">
        <f t="shared" si="161"/>
        <v>-140982.17000000001</v>
      </c>
      <c r="X586" s="425"/>
      <c r="Y586" s="424"/>
      <c r="Z586" s="424"/>
      <c r="AA586" s="424"/>
      <c r="AB586" s="424"/>
      <c r="AC586" s="426">
        <f t="shared" si="162"/>
        <v>-140982.17000000001</v>
      </c>
      <c r="AD586" s="779"/>
      <c r="AE586" s="773"/>
      <c r="AF586" s="781">
        <f t="shared" si="149"/>
        <v>0</v>
      </c>
    </row>
    <row r="587" spans="1:32">
      <c r="A587" s="779">
        <f t="shared" si="151"/>
        <v>573</v>
      </c>
      <c r="B587" s="779" t="s">
        <v>1094</v>
      </c>
      <c r="C587" s="423" t="s">
        <v>664</v>
      </c>
      <c r="D587" s="423" t="s">
        <v>1356</v>
      </c>
      <c r="E587" s="763" t="s">
        <v>2075</v>
      </c>
      <c r="F587" s="776">
        <v>-18894.68</v>
      </c>
      <c r="G587" s="776">
        <v>0</v>
      </c>
      <c r="H587" s="776">
        <v>0</v>
      </c>
      <c r="I587" s="776">
        <v>0</v>
      </c>
      <c r="J587" s="776">
        <v>0</v>
      </c>
      <c r="K587" s="776">
        <v>0</v>
      </c>
      <c r="L587" s="776">
        <v>0</v>
      </c>
      <c r="M587" s="776">
        <v>0</v>
      </c>
      <c r="N587" s="776">
        <v>0</v>
      </c>
      <c r="O587" s="776">
        <v>-5487.69</v>
      </c>
      <c r="P587" s="776">
        <v>-5487.69</v>
      </c>
      <c r="Q587" s="776">
        <v>-5487.69</v>
      </c>
      <c r="R587" s="776">
        <v>-5487.69</v>
      </c>
      <c r="S587" s="618">
        <f t="shared" si="160"/>
        <v>-5487.69</v>
      </c>
      <c r="T587" s="773"/>
      <c r="U587" s="424"/>
      <c r="V587" s="424"/>
      <c r="W587" s="424">
        <f t="shared" si="161"/>
        <v>-5487.69</v>
      </c>
      <c r="X587" s="425"/>
      <c r="Y587" s="424"/>
      <c r="Z587" s="424"/>
      <c r="AA587" s="424"/>
      <c r="AB587" s="424"/>
      <c r="AC587" s="426">
        <f t="shared" si="162"/>
        <v>-5487.69</v>
      </c>
      <c r="AD587" s="779"/>
      <c r="AE587" s="773"/>
      <c r="AF587" s="781">
        <f t="shared" si="149"/>
        <v>0</v>
      </c>
    </row>
    <row r="588" spans="1:32">
      <c r="A588" s="779">
        <f t="shared" si="151"/>
        <v>574</v>
      </c>
      <c r="B588" s="779" t="s">
        <v>1066</v>
      </c>
      <c r="C588" s="423" t="s">
        <v>664</v>
      </c>
      <c r="D588" s="423" t="s">
        <v>1363</v>
      </c>
      <c r="E588" s="763" t="s">
        <v>2097</v>
      </c>
      <c r="F588" s="776">
        <v>-6137.5</v>
      </c>
      <c r="G588" s="776">
        <v>-3532.72</v>
      </c>
      <c r="H588" s="776">
        <v>-3532.72</v>
      </c>
      <c r="I588" s="776">
        <v>-3532.72</v>
      </c>
      <c r="J588" s="776">
        <v>-3532.72</v>
      </c>
      <c r="K588" s="776">
        <v>-3532.72</v>
      </c>
      <c r="L588" s="776">
        <v>-13181.58</v>
      </c>
      <c r="M588" s="776">
        <v>-13181.58</v>
      </c>
      <c r="N588" s="776">
        <v>-5275.18</v>
      </c>
      <c r="O588" s="776">
        <v>-5275.18</v>
      </c>
      <c r="P588" s="776">
        <v>-8767.18</v>
      </c>
      <c r="Q588" s="776">
        <v>-8767.18</v>
      </c>
      <c r="R588" s="776">
        <v>-11067.2</v>
      </c>
      <c r="S588" s="618">
        <f t="shared" si="160"/>
        <v>-11067.2</v>
      </c>
      <c r="T588" s="773"/>
      <c r="U588" s="424"/>
      <c r="V588" s="424"/>
      <c r="W588" s="424">
        <f t="shared" si="161"/>
        <v>-11067.2</v>
      </c>
      <c r="X588" s="425"/>
      <c r="Y588" s="424"/>
      <c r="Z588" s="424"/>
      <c r="AA588" s="424"/>
      <c r="AB588" s="424"/>
      <c r="AC588" s="426">
        <f t="shared" si="162"/>
        <v>-11067.2</v>
      </c>
      <c r="AD588" s="779"/>
      <c r="AE588" s="773"/>
      <c r="AF588" s="781">
        <f t="shared" si="149"/>
        <v>0</v>
      </c>
    </row>
    <row r="589" spans="1:32">
      <c r="A589" s="779">
        <f t="shared" si="151"/>
        <v>575</v>
      </c>
      <c r="B589" s="423" t="s">
        <v>1066</v>
      </c>
      <c r="C589" s="423" t="s">
        <v>664</v>
      </c>
      <c r="D589" s="423" t="s">
        <v>1357</v>
      </c>
      <c r="E589" s="763" t="s">
        <v>2098</v>
      </c>
      <c r="F589" s="776">
        <v>-156.63999999999999</v>
      </c>
      <c r="G589" s="776">
        <v>0</v>
      </c>
      <c r="H589" s="776">
        <v>0</v>
      </c>
      <c r="I589" s="776">
        <v>-329.89</v>
      </c>
      <c r="J589" s="776">
        <v>-329.89</v>
      </c>
      <c r="K589" s="776">
        <v>-329.89</v>
      </c>
      <c r="L589" s="776">
        <v>-329.89</v>
      </c>
      <c r="M589" s="776">
        <v>-329.89</v>
      </c>
      <c r="N589" s="776">
        <v>-329.89</v>
      </c>
      <c r="O589" s="776">
        <v>-329.89</v>
      </c>
      <c r="P589" s="776">
        <v>-658.89</v>
      </c>
      <c r="Q589" s="776">
        <v>-658.89</v>
      </c>
      <c r="R589" s="776">
        <v>-658.89</v>
      </c>
      <c r="S589" s="618">
        <f t="shared" si="160"/>
        <v>-658.89</v>
      </c>
      <c r="T589" s="773"/>
      <c r="U589" s="424"/>
      <c r="V589" s="424"/>
      <c r="W589" s="424">
        <f t="shared" si="161"/>
        <v>-658.89</v>
      </c>
      <c r="X589" s="425"/>
      <c r="Y589" s="424"/>
      <c r="Z589" s="424"/>
      <c r="AA589" s="424"/>
      <c r="AB589" s="424"/>
      <c r="AC589" s="426">
        <f t="shared" si="162"/>
        <v>-658.89</v>
      </c>
      <c r="AD589" s="779"/>
      <c r="AE589" s="773"/>
      <c r="AF589" s="781">
        <f t="shared" si="149"/>
        <v>0</v>
      </c>
    </row>
    <row r="590" spans="1:32">
      <c r="A590" s="779">
        <f t="shared" si="151"/>
        <v>576</v>
      </c>
      <c r="B590" s="423" t="s">
        <v>1066</v>
      </c>
      <c r="C590" s="423" t="s">
        <v>664</v>
      </c>
      <c r="D590" s="423" t="s">
        <v>1355</v>
      </c>
      <c r="E590" s="763" t="s">
        <v>2074</v>
      </c>
      <c r="F590" s="776">
        <v>-740516.44</v>
      </c>
      <c r="G590" s="776">
        <v>-65882.55</v>
      </c>
      <c r="H590" s="776">
        <v>-144303.18</v>
      </c>
      <c r="I590" s="776">
        <v>-217864.52</v>
      </c>
      <c r="J590" s="776">
        <v>-285530.39</v>
      </c>
      <c r="K590" s="776">
        <v>-343671.4</v>
      </c>
      <c r="L590" s="776">
        <v>-393966.74</v>
      </c>
      <c r="M590" s="776">
        <v>-436317.27</v>
      </c>
      <c r="N590" s="776">
        <v>-483738.23</v>
      </c>
      <c r="O590" s="776">
        <v>-526231.4</v>
      </c>
      <c r="P590" s="776">
        <v>-585707.54</v>
      </c>
      <c r="Q590" s="776">
        <v>-636017.18000000005</v>
      </c>
      <c r="R590" s="776">
        <v>-686266.72</v>
      </c>
      <c r="S590" s="618">
        <f t="shared" si="160"/>
        <v>-686266.72</v>
      </c>
      <c r="T590" s="773"/>
      <c r="U590" s="424"/>
      <c r="V590" s="424"/>
      <c r="W590" s="424">
        <f t="shared" si="161"/>
        <v>-686266.72</v>
      </c>
      <c r="X590" s="425"/>
      <c r="Y590" s="424"/>
      <c r="Z590" s="424"/>
      <c r="AA590" s="424"/>
      <c r="AB590" s="424"/>
      <c r="AC590" s="426">
        <f t="shared" si="162"/>
        <v>-686266.72</v>
      </c>
      <c r="AD590" s="779"/>
      <c r="AE590" s="773"/>
      <c r="AF590" s="781">
        <f t="shared" si="149"/>
        <v>0</v>
      </c>
    </row>
    <row r="591" spans="1:32">
      <c r="A591" s="779">
        <f t="shared" si="151"/>
        <v>577</v>
      </c>
      <c r="B591" s="423" t="s">
        <v>1066</v>
      </c>
      <c r="C591" s="423" t="s">
        <v>664</v>
      </c>
      <c r="D591" s="423" t="s">
        <v>1356</v>
      </c>
      <c r="E591" s="763" t="s">
        <v>2099</v>
      </c>
      <c r="F591" s="776">
        <v>-70225.66</v>
      </c>
      <c r="G591" s="776">
        <v>-2927.7</v>
      </c>
      <c r="H591" s="776">
        <v>-37554.959999999999</v>
      </c>
      <c r="I591" s="776">
        <v>-39551.919999999998</v>
      </c>
      <c r="J591" s="776">
        <v>-38248.97</v>
      </c>
      <c r="K591" s="776">
        <v>-40010.410000000003</v>
      </c>
      <c r="L591" s="776">
        <v>-7718.97</v>
      </c>
      <c r="M591" s="776">
        <v>-10427.64</v>
      </c>
      <c r="N591" s="776">
        <v>-67116.38</v>
      </c>
      <c r="O591" s="776">
        <v>-68067.62</v>
      </c>
      <c r="P591" s="776">
        <v>-69530.17</v>
      </c>
      <c r="Q591" s="776">
        <v>-79630.06</v>
      </c>
      <c r="R591" s="776">
        <v>-80723.89</v>
      </c>
      <c r="S591" s="618">
        <f t="shared" si="160"/>
        <v>-80723.89</v>
      </c>
      <c r="T591" s="773"/>
      <c r="U591" s="424"/>
      <c r="V591" s="424"/>
      <c r="W591" s="424">
        <f t="shared" si="161"/>
        <v>-80723.89</v>
      </c>
      <c r="X591" s="425"/>
      <c r="Y591" s="424"/>
      <c r="Z591" s="424"/>
      <c r="AA591" s="424"/>
      <c r="AB591" s="424"/>
      <c r="AC591" s="426">
        <f t="shared" si="162"/>
        <v>-80723.89</v>
      </c>
      <c r="AD591" s="779"/>
      <c r="AE591" s="773"/>
      <c r="AF591" s="781">
        <f t="shared" ref="AF591:AF630" si="163">+U591+V591-AD591</f>
        <v>0</v>
      </c>
    </row>
    <row r="592" spans="1:32">
      <c r="A592" s="779">
        <f t="shared" si="151"/>
        <v>578</v>
      </c>
      <c r="B592" s="779" t="s">
        <v>1066</v>
      </c>
      <c r="C592" s="423" t="s">
        <v>664</v>
      </c>
      <c r="D592" s="423" t="s">
        <v>1358</v>
      </c>
      <c r="E592" s="763" t="s">
        <v>665</v>
      </c>
      <c r="F592" s="776">
        <v>0</v>
      </c>
      <c r="G592" s="776">
        <v>0</v>
      </c>
      <c r="H592" s="776">
        <v>0</v>
      </c>
      <c r="I592" s="776">
        <v>0</v>
      </c>
      <c r="J592" s="776">
        <v>0</v>
      </c>
      <c r="K592" s="776">
        <v>0</v>
      </c>
      <c r="L592" s="776">
        <v>0</v>
      </c>
      <c r="M592" s="776">
        <v>0</v>
      </c>
      <c r="N592" s="776">
        <v>0</v>
      </c>
      <c r="O592" s="776">
        <v>0</v>
      </c>
      <c r="P592" s="776">
        <v>0</v>
      </c>
      <c r="Q592" s="776">
        <v>0</v>
      </c>
      <c r="R592" s="776">
        <v>0</v>
      </c>
      <c r="S592" s="618">
        <f t="shared" si="160"/>
        <v>0</v>
      </c>
      <c r="T592" s="773"/>
      <c r="U592" s="424"/>
      <c r="V592" s="424"/>
      <c r="W592" s="424">
        <f t="shared" si="161"/>
        <v>0</v>
      </c>
      <c r="X592" s="425"/>
      <c r="Y592" s="424"/>
      <c r="Z592" s="424"/>
      <c r="AA592" s="424"/>
      <c r="AB592" s="424"/>
      <c r="AC592" s="426">
        <f t="shared" si="162"/>
        <v>0</v>
      </c>
      <c r="AD592" s="779"/>
      <c r="AE592" s="773"/>
      <c r="AF592" s="781">
        <f t="shared" si="163"/>
        <v>0</v>
      </c>
    </row>
    <row r="593" spans="1:32">
      <c r="A593" s="779">
        <f t="shared" ref="A593:A642" si="164">+A592+1</f>
        <v>579</v>
      </c>
      <c r="B593" s="779" t="s">
        <v>1094</v>
      </c>
      <c r="C593" s="423" t="s">
        <v>136</v>
      </c>
      <c r="D593" s="423" t="s">
        <v>1359</v>
      </c>
      <c r="E593" s="763" t="s">
        <v>2076</v>
      </c>
      <c r="F593" s="776">
        <v>-2778048.72</v>
      </c>
      <c r="G593" s="776">
        <v>-229406.92</v>
      </c>
      <c r="H593" s="776">
        <v>-467039.48</v>
      </c>
      <c r="I593" s="776">
        <v>-681228.32</v>
      </c>
      <c r="J593" s="776">
        <v>-925529.04</v>
      </c>
      <c r="K593" s="776">
        <v>-1146149.8799999999</v>
      </c>
      <c r="L593" s="776">
        <v>-1354781.87</v>
      </c>
      <c r="M593" s="776">
        <v>-1587018.59</v>
      </c>
      <c r="N593" s="776">
        <v>-1801700.4</v>
      </c>
      <c r="O593" s="776">
        <v>-2013304.46</v>
      </c>
      <c r="P593" s="776">
        <v>-2241309.0299999998</v>
      </c>
      <c r="Q593" s="776">
        <v>-2485934.63</v>
      </c>
      <c r="R593" s="776">
        <v>-2711571.86</v>
      </c>
      <c r="S593" s="618">
        <f t="shared" si="160"/>
        <v>-2711571.86</v>
      </c>
      <c r="T593" s="773"/>
      <c r="U593" s="424"/>
      <c r="V593" s="424"/>
      <c r="W593" s="424">
        <f t="shared" si="161"/>
        <v>-2711571.86</v>
      </c>
      <c r="X593" s="425"/>
      <c r="Y593" s="424"/>
      <c r="Z593" s="424"/>
      <c r="AA593" s="424"/>
      <c r="AB593" s="424"/>
      <c r="AC593" s="426">
        <f t="shared" si="162"/>
        <v>-2711571.86</v>
      </c>
      <c r="AD593" s="779"/>
      <c r="AE593" s="773"/>
      <c r="AF593" s="781">
        <f t="shared" si="163"/>
        <v>0</v>
      </c>
    </row>
    <row r="594" spans="1:32">
      <c r="A594" s="779">
        <f t="shared" si="164"/>
        <v>580</v>
      </c>
      <c r="B594" s="423" t="s">
        <v>1094</v>
      </c>
      <c r="C594" s="423" t="s">
        <v>136</v>
      </c>
      <c r="D594" s="423" t="s">
        <v>1360</v>
      </c>
      <c r="E594" s="763" t="s">
        <v>2077</v>
      </c>
      <c r="F594" s="776">
        <v>-1330806.24</v>
      </c>
      <c r="G594" s="776">
        <v>-125987.21</v>
      </c>
      <c r="H594" s="776">
        <v>-238040.8</v>
      </c>
      <c r="I594" s="776">
        <v>-349941.51</v>
      </c>
      <c r="J594" s="776">
        <v>-461660.46</v>
      </c>
      <c r="K594" s="776">
        <v>-576220.35</v>
      </c>
      <c r="L594" s="776">
        <v>-680236.43</v>
      </c>
      <c r="M594" s="776">
        <v>-782803.18</v>
      </c>
      <c r="N594" s="776">
        <v>-910580.12</v>
      </c>
      <c r="O594" s="776">
        <v>-1040911.8</v>
      </c>
      <c r="P594" s="776">
        <v>-1171761.24</v>
      </c>
      <c r="Q594" s="776">
        <v>-1296738.67</v>
      </c>
      <c r="R594" s="776">
        <v>-1423332.79</v>
      </c>
      <c r="S594" s="618">
        <f t="shared" si="160"/>
        <v>-1423332.79</v>
      </c>
      <c r="T594" s="773"/>
      <c r="U594" s="424"/>
      <c r="V594" s="424"/>
      <c r="W594" s="424">
        <f t="shared" si="161"/>
        <v>-1423332.79</v>
      </c>
      <c r="X594" s="425"/>
      <c r="Y594" s="424"/>
      <c r="Z594" s="424"/>
      <c r="AA594" s="424"/>
      <c r="AB594" s="424"/>
      <c r="AC594" s="426">
        <f t="shared" si="162"/>
        <v>-1423332.79</v>
      </c>
      <c r="AD594" s="779"/>
      <c r="AE594" s="773"/>
      <c r="AF594" s="781">
        <f t="shared" si="163"/>
        <v>0</v>
      </c>
    </row>
    <row r="595" spans="1:32">
      <c r="A595" s="779">
        <f t="shared" si="164"/>
        <v>581</v>
      </c>
      <c r="B595" s="423" t="s">
        <v>1066</v>
      </c>
      <c r="C595" s="423" t="s">
        <v>136</v>
      </c>
      <c r="D595" s="423" t="s">
        <v>1359</v>
      </c>
      <c r="E595" s="763" t="s">
        <v>2076</v>
      </c>
      <c r="F595" s="776">
        <v>-15382401.83</v>
      </c>
      <c r="G595" s="776">
        <v>-1396996.68</v>
      </c>
      <c r="H595" s="776">
        <v>-2791081.95</v>
      </c>
      <c r="I595" s="776">
        <v>-4117761.08</v>
      </c>
      <c r="J595" s="776">
        <v>-5462306</v>
      </c>
      <c r="K595" s="776">
        <v>-6725802.7999999998</v>
      </c>
      <c r="L595" s="776">
        <v>-7951643.6299999999</v>
      </c>
      <c r="M595" s="776">
        <v>-9173851.8200000003</v>
      </c>
      <c r="N595" s="776">
        <v>-10402501.810000001</v>
      </c>
      <c r="O595" s="776">
        <v>-11605972.09</v>
      </c>
      <c r="P595" s="776">
        <v>-12811671.23</v>
      </c>
      <c r="Q595" s="776">
        <v>-14153157.01</v>
      </c>
      <c r="R595" s="776">
        <v>-15401260.67</v>
      </c>
      <c r="S595" s="618">
        <f t="shared" si="160"/>
        <v>-15401260.67</v>
      </c>
      <c r="T595" s="773"/>
      <c r="U595" s="424"/>
      <c r="V595" s="424"/>
      <c r="W595" s="424">
        <f t="shared" si="161"/>
        <v>-15401260.67</v>
      </c>
      <c r="X595" s="425"/>
      <c r="Y595" s="424"/>
      <c r="Z595" s="424"/>
      <c r="AA595" s="424"/>
      <c r="AB595" s="424"/>
      <c r="AC595" s="426">
        <f t="shared" si="162"/>
        <v>-15401260.67</v>
      </c>
      <c r="AD595" s="779"/>
      <c r="AE595" s="773"/>
      <c r="AF595" s="781">
        <f t="shared" si="163"/>
        <v>0</v>
      </c>
    </row>
    <row r="596" spans="1:32">
      <c r="A596" s="779">
        <f t="shared" si="164"/>
        <v>582</v>
      </c>
      <c r="B596" s="779" t="s">
        <v>1066</v>
      </c>
      <c r="C596" s="423" t="s">
        <v>136</v>
      </c>
      <c r="D596" s="423" t="s">
        <v>1361</v>
      </c>
      <c r="E596" s="763" t="s">
        <v>666</v>
      </c>
      <c r="F596" s="776">
        <v>0</v>
      </c>
      <c r="G596" s="776">
        <v>0</v>
      </c>
      <c r="H596" s="776">
        <v>0</v>
      </c>
      <c r="I596" s="776">
        <v>0</v>
      </c>
      <c r="J596" s="776">
        <v>0</v>
      </c>
      <c r="K596" s="776">
        <v>0</v>
      </c>
      <c r="L596" s="776">
        <v>0</v>
      </c>
      <c r="M596" s="776">
        <v>0</v>
      </c>
      <c r="N596" s="776">
        <v>0</v>
      </c>
      <c r="O596" s="776">
        <v>0</v>
      </c>
      <c r="P596" s="776">
        <v>0</v>
      </c>
      <c r="Q596" s="776">
        <v>0</v>
      </c>
      <c r="R596" s="776">
        <v>0</v>
      </c>
      <c r="S596" s="618">
        <f t="shared" si="160"/>
        <v>0</v>
      </c>
      <c r="T596" s="773"/>
      <c r="U596" s="424"/>
      <c r="V596" s="424"/>
      <c r="W596" s="424">
        <f t="shared" si="161"/>
        <v>0</v>
      </c>
      <c r="X596" s="425"/>
      <c r="Y596" s="424"/>
      <c r="Z596" s="424"/>
      <c r="AA596" s="424"/>
      <c r="AB596" s="424"/>
      <c r="AC596" s="426">
        <f t="shared" si="162"/>
        <v>0</v>
      </c>
      <c r="AD596" s="779"/>
      <c r="AE596" s="773"/>
      <c r="AF596" s="781">
        <f t="shared" si="163"/>
        <v>0</v>
      </c>
    </row>
    <row r="597" spans="1:32">
      <c r="A597" s="779">
        <f t="shared" si="164"/>
        <v>583</v>
      </c>
      <c r="B597" s="779" t="s">
        <v>1066</v>
      </c>
      <c r="C597" s="423" t="s">
        <v>136</v>
      </c>
      <c r="D597" s="423" t="s">
        <v>1360</v>
      </c>
      <c r="E597" s="763" t="s">
        <v>2077</v>
      </c>
      <c r="F597" s="776">
        <v>-7877233.04</v>
      </c>
      <c r="G597" s="776">
        <v>-716310.76</v>
      </c>
      <c r="H597" s="776">
        <v>-1293299.27</v>
      </c>
      <c r="I597" s="776">
        <v>-1922493.6</v>
      </c>
      <c r="J597" s="776">
        <v>-2569800.59</v>
      </c>
      <c r="K597" s="776">
        <v>-3152058.56</v>
      </c>
      <c r="L597" s="776">
        <v>-3768389.48</v>
      </c>
      <c r="M597" s="776">
        <v>-4354963.47</v>
      </c>
      <c r="N597" s="776">
        <v>-5266501.08</v>
      </c>
      <c r="O597" s="776">
        <v>-6085514.6100000003</v>
      </c>
      <c r="P597" s="776">
        <v>-6635179.6500000004</v>
      </c>
      <c r="Q597" s="776">
        <v>-7227305.8200000003</v>
      </c>
      <c r="R597" s="776">
        <v>-7759181.6299999999</v>
      </c>
      <c r="S597" s="618">
        <f t="shared" si="160"/>
        <v>-7759181.6299999999</v>
      </c>
      <c r="T597" s="773"/>
      <c r="U597" s="424"/>
      <c r="V597" s="424"/>
      <c r="W597" s="424">
        <f t="shared" si="161"/>
        <v>-7759181.6299999999</v>
      </c>
      <c r="X597" s="425"/>
      <c r="Y597" s="424"/>
      <c r="Z597" s="424"/>
      <c r="AA597" s="424"/>
      <c r="AB597" s="424"/>
      <c r="AC597" s="426">
        <f t="shared" si="162"/>
        <v>-7759181.6299999999</v>
      </c>
      <c r="AD597" s="779"/>
      <c r="AE597" s="773"/>
      <c r="AF597" s="781">
        <f t="shared" si="163"/>
        <v>0</v>
      </c>
    </row>
    <row r="598" spans="1:32">
      <c r="A598" s="779">
        <f t="shared" si="164"/>
        <v>584</v>
      </c>
      <c r="B598" s="423" t="s">
        <v>1094</v>
      </c>
      <c r="C598" s="423" t="s">
        <v>667</v>
      </c>
      <c r="D598" s="779" t="s">
        <v>1359</v>
      </c>
      <c r="E598" s="763" t="s">
        <v>2078</v>
      </c>
      <c r="F598" s="776">
        <v>1469.33</v>
      </c>
      <c r="G598" s="776">
        <v>-8385.5300000000007</v>
      </c>
      <c r="H598" s="776">
        <v>14163.45</v>
      </c>
      <c r="I598" s="776">
        <v>-15417.18</v>
      </c>
      <c r="J598" s="776">
        <v>8461.83</v>
      </c>
      <c r="K598" s="776">
        <v>20040.599999999999</v>
      </c>
      <c r="L598" s="776">
        <v>2075.5300000000002</v>
      </c>
      <c r="M598" s="776">
        <v>14378.51</v>
      </c>
      <c r="N598" s="776">
        <v>17179.16</v>
      </c>
      <c r="O598" s="776">
        <v>868.4</v>
      </c>
      <c r="P598" s="776">
        <v>-14157.58</v>
      </c>
      <c r="Q598" s="776">
        <v>5042.3900000000003</v>
      </c>
      <c r="R598" s="776">
        <v>14614.39</v>
      </c>
      <c r="S598" s="618">
        <f t="shared" si="160"/>
        <v>14614.39</v>
      </c>
      <c r="T598" s="773"/>
      <c r="U598" s="424"/>
      <c r="V598" s="424"/>
      <c r="W598" s="424">
        <f t="shared" si="161"/>
        <v>14614.39</v>
      </c>
      <c r="X598" s="425"/>
      <c r="Y598" s="424"/>
      <c r="Z598" s="424"/>
      <c r="AA598" s="424"/>
      <c r="AB598" s="424"/>
      <c r="AC598" s="426">
        <f t="shared" si="162"/>
        <v>14614.39</v>
      </c>
      <c r="AD598" s="779"/>
      <c r="AE598" s="773"/>
      <c r="AF598" s="781">
        <f t="shared" si="163"/>
        <v>0</v>
      </c>
    </row>
    <row r="599" spans="1:32">
      <c r="A599" s="779">
        <f t="shared" si="164"/>
        <v>585</v>
      </c>
      <c r="B599" s="657" t="s">
        <v>1094</v>
      </c>
      <c r="C599" s="423" t="s">
        <v>667</v>
      </c>
      <c r="D599" s="779" t="s">
        <v>1360</v>
      </c>
      <c r="E599" s="769" t="s">
        <v>2079</v>
      </c>
      <c r="F599" s="776">
        <v>-7497.84</v>
      </c>
      <c r="G599" s="776">
        <v>13933.62</v>
      </c>
      <c r="H599" s="776">
        <v>14086.5</v>
      </c>
      <c r="I599" s="776">
        <v>14268.26</v>
      </c>
      <c r="J599" s="776">
        <v>11427.32</v>
      </c>
      <c r="K599" s="776">
        <v>21971.13</v>
      </c>
      <c r="L599" s="776">
        <v>23420.46</v>
      </c>
      <c r="M599" s="776">
        <v>-1789.73</v>
      </c>
      <c r="N599" s="776">
        <v>-4674.03</v>
      </c>
      <c r="O599" s="776">
        <v>-4862.2299999999996</v>
      </c>
      <c r="P599" s="776">
        <v>1009.78</v>
      </c>
      <c r="Q599" s="776">
        <v>-606.90999999999894</v>
      </c>
      <c r="R599" s="776">
        <v>-5388.73</v>
      </c>
      <c r="S599" s="618">
        <f t="shared" si="160"/>
        <v>-5388.73</v>
      </c>
      <c r="T599" s="773"/>
      <c r="U599" s="424"/>
      <c r="V599" s="424"/>
      <c r="W599" s="424">
        <f t="shared" si="161"/>
        <v>-5388.73</v>
      </c>
      <c r="X599" s="425"/>
      <c r="Y599" s="424"/>
      <c r="Z599" s="424"/>
      <c r="AA599" s="424"/>
      <c r="AB599" s="424"/>
      <c r="AC599" s="426">
        <f t="shared" si="162"/>
        <v>-5388.73</v>
      </c>
      <c r="AD599" s="779"/>
      <c r="AE599" s="773"/>
      <c r="AF599" s="781">
        <f t="shared" si="163"/>
        <v>0</v>
      </c>
    </row>
    <row r="600" spans="1:32">
      <c r="A600" s="779">
        <f t="shared" si="164"/>
        <v>586</v>
      </c>
      <c r="B600" s="657" t="s">
        <v>1066</v>
      </c>
      <c r="C600" s="423" t="s">
        <v>667</v>
      </c>
      <c r="D600" s="779" t="s">
        <v>1359</v>
      </c>
      <c r="E600" s="769" t="s">
        <v>2078</v>
      </c>
      <c r="F600" s="776">
        <v>3485.0900000000402</v>
      </c>
      <c r="G600" s="776">
        <v>-1559.25</v>
      </c>
      <c r="H600" s="776">
        <v>62963.97</v>
      </c>
      <c r="I600" s="776">
        <v>45114.81</v>
      </c>
      <c r="J600" s="776">
        <v>126109.18</v>
      </c>
      <c r="K600" s="776">
        <v>163775.91</v>
      </c>
      <c r="L600" s="776">
        <v>182304.12</v>
      </c>
      <c r="M600" s="776">
        <v>198089.31</v>
      </c>
      <c r="N600" s="776">
        <v>233749.77</v>
      </c>
      <c r="O600" s="776">
        <v>104712.17</v>
      </c>
      <c r="P600" s="776">
        <v>48170.17</v>
      </c>
      <c r="Q600" s="776">
        <v>140449.29999999999</v>
      </c>
      <c r="R600" s="776">
        <v>110797.96</v>
      </c>
      <c r="S600" s="618">
        <f t="shared" si="160"/>
        <v>110797.96</v>
      </c>
      <c r="T600" s="773"/>
      <c r="U600" s="424"/>
      <c r="V600" s="424"/>
      <c r="W600" s="424">
        <f t="shared" si="161"/>
        <v>110797.96</v>
      </c>
      <c r="X600" s="425"/>
      <c r="Y600" s="424"/>
      <c r="Z600" s="424"/>
      <c r="AA600" s="424"/>
      <c r="AB600" s="424"/>
      <c r="AC600" s="426">
        <f t="shared" si="162"/>
        <v>110797.96</v>
      </c>
      <c r="AD600" s="779"/>
      <c r="AE600" s="773"/>
      <c r="AF600" s="781">
        <f t="shared" si="163"/>
        <v>0</v>
      </c>
    </row>
    <row r="601" spans="1:32">
      <c r="A601" s="779">
        <f t="shared" si="164"/>
        <v>587</v>
      </c>
      <c r="B601" s="657" t="s">
        <v>1066</v>
      </c>
      <c r="C601" s="423" t="s">
        <v>667</v>
      </c>
      <c r="D601" s="779" t="s">
        <v>1360</v>
      </c>
      <c r="E601" s="769" t="s">
        <v>2079</v>
      </c>
      <c r="F601" s="776">
        <v>-18088.72</v>
      </c>
      <c r="G601" s="776">
        <v>139198.94</v>
      </c>
      <c r="H601" s="776">
        <v>87038.07</v>
      </c>
      <c r="I601" s="776">
        <v>68962.42</v>
      </c>
      <c r="J601" s="776">
        <v>133949.06</v>
      </c>
      <c r="K601" s="776">
        <v>99920.7</v>
      </c>
      <c r="L601" s="776">
        <v>133332.07</v>
      </c>
      <c r="M601" s="776">
        <v>-150281</v>
      </c>
      <c r="N601" s="776">
        <v>-12274.45</v>
      </c>
      <c r="O601" s="776">
        <v>78181.73</v>
      </c>
      <c r="P601" s="776">
        <v>124169.15</v>
      </c>
      <c r="Q601" s="776">
        <v>184277.85</v>
      </c>
      <c r="R601" s="776">
        <v>43315.199999999997</v>
      </c>
      <c r="S601" s="618">
        <f t="shared" si="160"/>
        <v>43315.199999999997</v>
      </c>
      <c r="T601" s="773"/>
      <c r="U601" s="424"/>
      <c r="V601" s="424"/>
      <c r="W601" s="424">
        <f t="shared" si="161"/>
        <v>43315.199999999997</v>
      </c>
      <c r="X601" s="425"/>
      <c r="Y601" s="424"/>
      <c r="Z601" s="424"/>
      <c r="AA601" s="424"/>
      <c r="AB601" s="424"/>
      <c r="AC601" s="426">
        <f t="shared" si="162"/>
        <v>43315.199999999997</v>
      </c>
      <c r="AD601" s="779"/>
      <c r="AE601" s="773"/>
      <c r="AF601" s="781">
        <f t="shared" si="163"/>
        <v>0</v>
      </c>
    </row>
    <row r="602" spans="1:32">
      <c r="A602" s="779">
        <f t="shared" si="164"/>
        <v>588</v>
      </c>
      <c r="B602" s="657">
        <v>47</v>
      </c>
      <c r="C602" s="423" t="s">
        <v>138</v>
      </c>
      <c r="D602" s="779"/>
      <c r="E602" s="769" t="s">
        <v>668</v>
      </c>
      <c r="F602" s="776">
        <v>0</v>
      </c>
      <c r="G602" s="776">
        <v>0</v>
      </c>
      <c r="H602" s="776">
        <v>0</v>
      </c>
      <c r="I602" s="776">
        <v>0</v>
      </c>
      <c r="J602" s="776">
        <v>0</v>
      </c>
      <c r="K602" s="776">
        <v>0</v>
      </c>
      <c r="L602" s="776">
        <v>0</v>
      </c>
      <c r="M602" s="776">
        <v>0</v>
      </c>
      <c r="N602" s="776">
        <v>0</v>
      </c>
      <c r="O602" s="776">
        <v>0</v>
      </c>
      <c r="P602" s="776">
        <v>0</v>
      </c>
      <c r="Q602" s="776">
        <v>0</v>
      </c>
      <c r="R602" s="776">
        <v>0</v>
      </c>
      <c r="S602" s="618">
        <f t="shared" si="160"/>
        <v>0</v>
      </c>
      <c r="T602" s="773"/>
      <c r="U602" s="424"/>
      <c r="V602" s="424"/>
      <c r="W602" s="424">
        <f t="shared" si="161"/>
        <v>0</v>
      </c>
      <c r="X602" s="425"/>
      <c r="Y602" s="424"/>
      <c r="Z602" s="424"/>
      <c r="AA602" s="424"/>
      <c r="AB602" s="424"/>
      <c r="AC602" s="426">
        <f t="shared" si="162"/>
        <v>0</v>
      </c>
      <c r="AD602" s="779"/>
      <c r="AE602" s="773"/>
      <c r="AF602" s="781">
        <f t="shared" si="163"/>
        <v>0</v>
      </c>
    </row>
    <row r="603" spans="1:32">
      <c r="A603" s="779">
        <f t="shared" si="164"/>
        <v>589</v>
      </c>
      <c r="B603" s="657" t="s">
        <v>1094</v>
      </c>
      <c r="C603" s="423" t="s">
        <v>138</v>
      </c>
      <c r="D603" s="779"/>
      <c r="E603" s="769" t="s">
        <v>668</v>
      </c>
      <c r="F603" s="776">
        <v>-12000</v>
      </c>
      <c r="G603" s="776">
        <v>-1000</v>
      </c>
      <c r="H603" s="776">
        <v>-2000</v>
      </c>
      <c r="I603" s="776">
        <v>-3000</v>
      </c>
      <c r="J603" s="776">
        <v>-3000</v>
      </c>
      <c r="K603" s="776">
        <v>-4000</v>
      </c>
      <c r="L603" s="776">
        <v>-5000</v>
      </c>
      <c r="M603" s="776">
        <v>-6000</v>
      </c>
      <c r="N603" s="776">
        <v>-8000</v>
      </c>
      <c r="O603" s="776">
        <v>-9000</v>
      </c>
      <c r="P603" s="776">
        <v>-9000</v>
      </c>
      <c r="Q603" s="776">
        <v>-10000</v>
      </c>
      <c r="R603" s="776">
        <v>-11000</v>
      </c>
      <c r="S603" s="618">
        <f t="shared" si="160"/>
        <v>-11000</v>
      </c>
      <c r="T603" s="773"/>
      <c r="U603" s="424"/>
      <c r="V603" s="424"/>
      <c r="W603" s="424">
        <f t="shared" si="161"/>
        <v>-11000</v>
      </c>
      <c r="X603" s="425"/>
      <c r="Y603" s="424"/>
      <c r="Z603" s="424"/>
      <c r="AA603" s="424"/>
      <c r="AB603" s="424"/>
      <c r="AC603" s="426">
        <f t="shared" si="162"/>
        <v>-11000</v>
      </c>
      <c r="AD603" s="779"/>
      <c r="AE603" s="773"/>
      <c r="AF603" s="781">
        <f t="shared" si="163"/>
        <v>0</v>
      </c>
    </row>
    <row r="604" spans="1:32">
      <c r="A604" s="779">
        <f t="shared" si="164"/>
        <v>590</v>
      </c>
      <c r="B604" s="657" t="s">
        <v>1066</v>
      </c>
      <c r="C604" s="423" t="s">
        <v>138</v>
      </c>
      <c r="D604" s="779"/>
      <c r="E604" s="769" t="s">
        <v>668</v>
      </c>
      <c r="F604" s="776">
        <v>-100</v>
      </c>
      <c r="G604" s="776">
        <v>0</v>
      </c>
      <c r="H604" s="776">
        <v>0</v>
      </c>
      <c r="I604" s="776">
        <v>0</v>
      </c>
      <c r="J604" s="776">
        <v>0</v>
      </c>
      <c r="K604" s="776">
        <v>-100</v>
      </c>
      <c r="L604" s="776">
        <v>-100</v>
      </c>
      <c r="M604" s="776">
        <v>-100</v>
      </c>
      <c r="N604" s="776">
        <v>-100</v>
      </c>
      <c r="O604" s="776">
        <v>-100</v>
      </c>
      <c r="P604" s="776">
        <v>-100</v>
      </c>
      <c r="Q604" s="776">
        <v>-100</v>
      </c>
      <c r="R604" s="776">
        <v>-100</v>
      </c>
      <c r="S604" s="618">
        <f t="shared" si="160"/>
        <v>-100</v>
      </c>
      <c r="T604" s="773"/>
      <c r="U604" s="424"/>
      <c r="V604" s="424"/>
      <c r="W604" s="424">
        <f t="shared" si="161"/>
        <v>-100</v>
      </c>
      <c r="X604" s="425"/>
      <c r="Y604" s="424"/>
      <c r="Z604" s="424"/>
      <c r="AA604" s="424"/>
      <c r="AB604" s="424"/>
      <c r="AC604" s="426">
        <f t="shared" si="162"/>
        <v>-100</v>
      </c>
      <c r="AD604" s="779"/>
      <c r="AE604" s="773"/>
      <c r="AF604" s="781">
        <f t="shared" si="163"/>
        <v>0</v>
      </c>
    </row>
    <row r="605" spans="1:32">
      <c r="A605" s="779">
        <f t="shared" si="164"/>
        <v>591</v>
      </c>
      <c r="B605" s="657" t="s">
        <v>1063</v>
      </c>
      <c r="C605" s="423" t="s">
        <v>140</v>
      </c>
      <c r="D605" s="779"/>
      <c r="E605" s="769" t="s">
        <v>141</v>
      </c>
      <c r="F605" s="776">
        <v>-102396</v>
      </c>
      <c r="G605" s="776">
        <v>-9526</v>
      </c>
      <c r="H605" s="776">
        <v>-19052</v>
      </c>
      <c r="I605" s="776">
        <v>-28578</v>
      </c>
      <c r="J605" s="776">
        <v>-38104</v>
      </c>
      <c r="K605" s="776">
        <v>-47630</v>
      </c>
      <c r="L605" s="776">
        <v>-57156</v>
      </c>
      <c r="M605" s="776">
        <v>-66682</v>
      </c>
      <c r="N605" s="776">
        <v>-76208</v>
      </c>
      <c r="O605" s="776">
        <v>-85734</v>
      </c>
      <c r="P605" s="776">
        <v>-95260</v>
      </c>
      <c r="Q605" s="776">
        <v>-104786</v>
      </c>
      <c r="R605" s="776">
        <v>-114312</v>
      </c>
      <c r="S605" s="618">
        <f t="shared" si="160"/>
        <v>-114312</v>
      </c>
      <c r="T605" s="773"/>
      <c r="U605" s="424"/>
      <c r="V605" s="424"/>
      <c r="W605" s="424">
        <f t="shared" si="161"/>
        <v>-114312</v>
      </c>
      <c r="X605" s="425"/>
      <c r="Y605" s="424"/>
      <c r="Z605" s="424"/>
      <c r="AA605" s="424"/>
      <c r="AB605" s="424"/>
      <c r="AC605" s="426">
        <f t="shared" si="162"/>
        <v>-114312</v>
      </c>
      <c r="AD605" s="779"/>
      <c r="AE605" s="773"/>
      <c r="AF605" s="781">
        <f t="shared" si="163"/>
        <v>0</v>
      </c>
    </row>
    <row r="606" spans="1:32">
      <c r="A606" s="779">
        <f t="shared" si="164"/>
        <v>592</v>
      </c>
      <c r="B606" s="423" t="s">
        <v>1063</v>
      </c>
      <c r="C606" s="423" t="s">
        <v>142</v>
      </c>
      <c r="D606" s="423" t="s">
        <v>1362</v>
      </c>
      <c r="E606" s="763" t="s">
        <v>2062</v>
      </c>
      <c r="F606" s="776">
        <v>-40800.9</v>
      </c>
      <c r="G606" s="776">
        <v>-16411.45</v>
      </c>
      <c r="H606" s="776">
        <v>-16411.45</v>
      </c>
      <c r="I606" s="776">
        <v>-16411.45</v>
      </c>
      <c r="J606" s="776">
        <v>-16411.45</v>
      </c>
      <c r="K606" s="776">
        <v>-16411.45</v>
      </c>
      <c r="L606" s="776">
        <v>-16411.45</v>
      </c>
      <c r="M606" s="776">
        <v>-16411.45</v>
      </c>
      <c r="N606" s="776">
        <v>-55444.61</v>
      </c>
      <c r="O606" s="776">
        <v>-55444.61</v>
      </c>
      <c r="P606" s="776">
        <v>-56362.15</v>
      </c>
      <c r="Q606" s="776">
        <v>-56362.15</v>
      </c>
      <c r="R606" s="776">
        <v>-56362.15</v>
      </c>
      <c r="S606" s="618">
        <f t="shared" si="160"/>
        <v>-56362.15</v>
      </c>
      <c r="T606" s="773"/>
      <c r="U606" s="424"/>
      <c r="V606" s="424"/>
      <c r="W606" s="424">
        <f t="shared" si="161"/>
        <v>-56362.15</v>
      </c>
      <c r="X606" s="425"/>
      <c r="Y606" s="424"/>
      <c r="Z606" s="424"/>
      <c r="AA606" s="424"/>
      <c r="AB606" s="424"/>
      <c r="AC606" s="426">
        <f t="shared" si="162"/>
        <v>-56362.15</v>
      </c>
      <c r="AD606" s="779"/>
      <c r="AE606" s="773"/>
      <c r="AF606" s="781">
        <f t="shared" si="163"/>
        <v>0</v>
      </c>
    </row>
    <row r="607" spans="1:32">
      <c r="A607" s="779">
        <f t="shared" si="164"/>
        <v>593</v>
      </c>
      <c r="B607" s="779" t="s">
        <v>1094</v>
      </c>
      <c r="C607" s="423" t="s">
        <v>142</v>
      </c>
      <c r="D607" s="423" t="s">
        <v>1363</v>
      </c>
      <c r="E607" s="763" t="s">
        <v>2080</v>
      </c>
      <c r="F607" s="776">
        <v>-21359.94</v>
      </c>
      <c r="G607" s="776">
        <v>0</v>
      </c>
      <c r="H607" s="776">
        <v>0</v>
      </c>
      <c r="I607" s="776">
        <v>0</v>
      </c>
      <c r="J607" s="776">
        <v>0</v>
      </c>
      <c r="K607" s="776">
        <v>0</v>
      </c>
      <c r="L607" s="776">
        <v>0</v>
      </c>
      <c r="M607" s="776">
        <v>0</v>
      </c>
      <c r="N607" s="776">
        <v>0</v>
      </c>
      <c r="O607" s="776">
        <v>0</v>
      </c>
      <c r="P607" s="776">
        <v>0</v>
      </c>
      <c r="Q607" s="776">
        <v>0</v>
      </c>
      <c r="R607" s="776">
        <v>0</v>
      </c>
      <c r="S607" s="618">
        <f t="shared" si="160"/>
        <v>0</v>
      </c>
      <c r="T607" s="773"/>
      <c r="U607" s="424"/>
      <c r="V607" s="424"/>
      <c r="W607" s="424">
        <f t="shared" si="161"/>
        <v>0</v>
      </c>
      <c r="X607" s="425"/>
      <c r="Y607" s="424"/>
      <c r="Z607" s="424"/>
      <c r="AA607" s="424"/>
      <c r="AB607" s="424"/>
      <c r="AC607" s="426">
        <f t="shared" si="162"/>
        <v>0</v>
      </c>
      <c r="AD607" s="779"/>
      <c r="AE607" s="773"/>
      <c r="AF607" s="781">
        <f t="shared" si="163"/>
        <v>0</v>
      </c>
    </row>
    <row r="608" spans="1:32">
      <c r="A608" s="779">
        <f t="shared" si="164"/>
        <v>594</v>
      </c>
      <c r="B608" s="779" t="s">
        <v>1094</v>
      </c>
      <c r="C608" s="423" t="s">
        <v>142</v>
      </c>
      <c r="D608" s="423" t="s">
        <v>1362</v>
      </c>
      <c r="E608" s="763" t="s">
        <v>2062</v>
      </c>
      <c r="F608" s="776">
        <v>-800</v>
      </c>
      <c r="G608" s="776">
        <v>0</v>
      </c>
      <c r="H608" s="776">
        <v>0</v>
      </c>
      <c r="I608" s="776">
        <v>0</v>
      </c>
      <c r="J608" s="776">
        <v>0</v>
      </c>
      <c r="K608" s="776">
        <v>0</v>
      </c>
      <c r="L608" s="776">
        <v>0</v>
      </c>
      <c r="M608" s="776">
        <v>0</v>
      </c>
      <c r="N608" s="776">
        <v>-181</v>
      </c>
      <c r="O608" s="776">
        <v>-181</v>
      </c>
      <c r="P608" s="776">
        <v>-181</v>
      </c>
      <c r="Q608" s="776">
        <v>-381</v>
      </c>
      <c r="R608" s="776">
        <v>-973</v>
      </c>
      <c r="S608" s="618">
        <f t="shared" si="160"/>
        <v>-973</v>
      </c>
      <c r="T608" s="773"/>
      <c r="U608" s="424"/>
      <c r="V608" s="424"/>
      <c r="W608" s="424">
        <f t="shared" si="161"/>
        <v>-973</v>
      </c>
      <c r="X608" s="425"/>
      <c r="Y608" s="424"/>
      <c r="Z608" s="424"/>
      <c r="AA608" s="424"/>
      <c r="AB608" s="424"/>
      <c r="AC608" s="426">
        <f t="shared" si="162"/>
        <v>-973</v>
      </c>
      <c r="AD608" s="779"/>
      <c r="AE608" s="773"/>
      <c r="AF608" s="781">
        <f t="shared" si="163"/>
        <v>0</v>
      </c>
    </row>
    <row r="609" spans="1:32">
      <c r="A609" s="779">
        <f t="shared" si="164"/>
        <v>595</v>
      </c>
      <c r="B609" s="779" t="s">
        <v>1094</v>
      </c>
      <c r="C609" s="423" t="s">
        <v>142</v>
      </c>
      <c r="D609" s="423" t="s">
        <v>1357</v>
      </c>
      <c r="E609" s="763" t="s">
        <v>2081</v>
      </c>
      <c r="F609" s="776">
        <v>-428.4</v>
      </c>
      <c r="G609" s="776">
        <v>0</v>
      </c>
      <c r="H609" s="776">
        <v>0</v>
      </c>
      <c r="I609" s="776">
        <v>0</v>
      </c>
      <c r="J609" s="776">
        <v>-117</v>
      </c>
      <c r="K609" s="776">
        <v>-313.89999999999998</v>
      </c>
      <c r="L609" s="776">
        <v>-313.89999999999998</v>
      </c>
      <c r="M609" s="776">
        <v>-553.9</v>
      </c>
      <c r="N609" s="776">
        <v>-715.4</v>
      </c>
      <c r="O609" s="776">
        <v>-715.4</v>
      </c>
      <c r="P609" s="776">
        <v>-715.4</v>
      </c>
      <c r="Q609" s="776">
        <v>-715.4</v>
      </c>
      <c r="R609" s="776">
        <v>-715.4</v>
      </c>
      <c r="S609" s="618">
        <f t="shared" si="160"/>
        <v>-715.4</v>
      </c>
      <c r="T609" s="773"/>
      <c r="U609" s="424"/>
      <c r="V609" s="424"/>
      <c r="W609" s="424">
        <f t="shared" si="161"/>
        <v>-715.4</v>
      </c>
      <c r="X609" s="425"/>
      <c r="Y609" s="424"/>
      <c r="Z609" s="424"/>
      <c r="AA609" s="424"/>
      <c r="AB609" s="424"/>
      <c r="AC609" s="426">
        <f t="shared" si="162"/>
        <v>-715.4</v>
      </c>
      <c r="AD609" s="779"/>
      <c r="AE609" s="773"/>
      <c r="AF609" s="781">
        <f t="shared" si="163"/>
        <v>0</v>
      </c>
    </row>
    <row r="610" spans="1:32">
      <c r="A610" s="779">
        <f t="shared" si="164"/>
        <v>596</v>
      </c>
      <c r="B610" s="779" t="s">
        <v>1094</v>
      </c>
      <c r="C610" s="423" t="s">
        <v>142</v>
      </c>
      <c r="D610" s="423" t="s">
        <v>1356</v>
      </c>
      <c r="E610" s="763" t="s">
        <v>2082</v>
      </c>
      <c r="F610" s="776">
        <v>-11577.09</v>
      </c>
      <c r="G610" s="776">
        <v>-133.35</v>
      </c>
      <c r="H610" s="776">
        <v>-4923.09</v>
      </c>
      <c r="I610" s="776">
        <v>-9750.2199999999993</v>
      </c>
      <c r="J610" s="776">
        <v>-11660.67</v>
      </c>
      <c r="K610" s="776">
        <v>-17236.89</v>
      </c>
      <c r="L610" s="776">
        <v>-19902.990000000002</v>
      </c>
      <c r="M610" s="776">
        <v>-22873.89</v>
      </c>
      <c r="N610" s="776">
        <v>-22873.89</v>
      </c>
      <c r="O610" s="776">
        <v>-24572.48</v>
      </c>
      <c r="P610" s="776">
        <v>-24376.94</v>
      </c>
      <c r="Q610" s="776">
        <v>-30140.7</v>
      </c>
      <c r="R610" s="776">
        <v>-35828.370000000003</v>
      </c>
      <c r="S610" s="618">
        <f t="shared" si="160"/>
        <v>-35828.370000000003</v>
      </c>
      <c r="T610" s="773"/>
      <c r="U610" s="424"/>
      <c r="V610" s="424"/>
      <c r="W610" s="424">
        <f t="shared" si="161"/>
        <v>-35828.370000000003</v>
      </c>
      <c r="X610" s="425"/>
      <c r="Y610" s="424"/>
      <c r="Z610" s="424"/>
      <c r="AA610" s="424"/>
      <c r="AB610" s="424"/>
      <c r="AC610" s="426">
        <f t="shared" si="162"/>
        <v>-35828.370000000003</v>
      </c>
      <c r="AD610" s="779"/>
      <c r="AE610" s="773"/>
      <c r="AF610" s="781">
        <f t="shared" si="163"/>
        <v>0</v>
      </c>
    </row>
    <row r="611" spans="1:32">
      <c r="A611" s="779">
        <f t="shared" si="164"/>
        <v>597</v>
      </c>
      <c r="B611" s="779" t="s">
        <v>1066</v>
      </c>
      <c r="C611" s="423" t="s">
        <v>142</v>
      </c>
      <c r="D611" s="423" t="s">
        <v>1363</v>
      </c>
      <c r="E611" s="763" t="s">
        <v>2080</v>
      </c>
      <c r="F611" s="776">
        <v>-86350.24</v>
      </c>
      <c r="G611" s="776">
        <v>0</v>
      </c>
      <c r="H611" s="776">
        <v>0</v>
      </c>
      <c r="I611" s="776">
        <v>0</v>
      </c>
      <c r="J611" s="776">
        <v>-2015.63</v>
      </c>
      <c r="K611" s="776">
        <v>-2015.63</v>
      </c>
      <c r="L611" s="776">
        <v>-2015.63</v>
      </c>
      <c r="M611" s="776">
        <v>-2015.63</v>
      </c>
      <c r="N611" s="776">
        <v>-2015.63</v>
      </c>
      <c r="O611" s="776">
        <v>-4308.71</v>
      </c>
      <c r="P611" s="776">
        <v>-2249.67</v>
      </c>
      <c r="Q611" s="776">
        <v>-4068.63</v>
      </c>
      <c r="R611" s="776">
        <v>-4831.1899999999996</v>
      </c>
      <c r="S611" s="618">
        <f t="shared" si="160"/>
        <v>-4831.1899999999996</v>
      </c>
      <c r="T611" s="773"/>
      <c r="U611" s="424"/>
      <c r="V611" s="424"/>
      <c r="W611" s="424">
        <f t="shared" si="161"/>
        <v>-4831.1899999999996</v>
      </c>
      <c r="X611" s="425"/>
      <c r="Y611" s="424"/>
      <c r="Z611" s="424"/>
      <c r="AA611" s="424"/>
      <c r="AB611" s="424"/>
      <c r="AC611" s="426">
        <f t="shared" si="162"/>
        <v>-4831.1899999999996</v>
      </c>
      <c r="AD611" s="779"/>
      <c r="AE611" s="773"/>
      <c r="AF611" s="781">
        <f t="shared" si="163"/>
        <v>0</v>
      </c>
    </row>
    <row r="612" spans="1:32">
      <c r="A612" s="779">
        <f t="shared" si="164"/>
        <v>598</v>
      </c>
      <c r="B612" s="779" t="s">
        <v>1066</v>
      </c>
      <c r="C612" s="423" t="s">
        <v>142</v>
      </c>
      <c r="D612" s="423" t="s">
        <v>1362</v>
      </c>
      <c r="E612" s="763" t="s">
        <v>2062</v>
      </c>
      <c r="F612" s="776">
        <v>-6430</v>
      </c>
      <c r="G612" s="776">
        <v>-530</v>
      </c>
      <c r="H612" s="776">
        <v>-1090</v>
      </c>
      <c r="I612" s="776">
        <v>902.47</v>
      </c>
      <c r="J612" s="776">
        <v>332.47</v>
      </c>
      <c r="K612" s="776">
        <v>-423.53</v>
      </c>
      <c r="L612" s="776">
        <v>-983.53</v>
      </c>
      <c r="M612" s="776">
        <v>-1814.03</v>
      </c>
      <c r="N612" s="776">
        <v>-2374.0300000000002</v>
      </c>
      <c r="O612" s="776">
        <v>-3084.03</v>
      </c>
      <c r="P612" s="776">
        <v>-3644.03</v>
      </c>
      <c r="Q612" s="776">
        <v>-4159.03</v>
      </c>
      <c r="R612" s="776">
        <v>-4853.8900000000003</v>
      </c>
      <c r="S612" s="618">
        <f t="shared" si="160"/>
        <v>-4853.8900000000003</v>
      </c>
      <c r="T612" s="773"/>
      <c r="U612" s="424"/>
      <c r="V612" s="424"/>
      <c r="W612" s="424">
        <f t="shared" si="161"/>
        <v>-4853.8900000000003</v>
      </c>
      <c r="X612" s="425"/>
      <c r="Y612" s="424"/>
      <c r="Z612" s="424"/>
      <c r="AA612" s="424"/>
      <c r="AB612" s="424"/>
      <c r="AC612" s="426">
        <f t="shared" si="162"/>
        <v>-4853.8900000000003</v>
      </c>
      <c r="AD612" s="779"/>
      <c r="AE612" s="773"/>
      <c r="AF612" s="781">
        <f t="shared" si="163"/>
        <v>0</v>
      </c>
    </row>
    <row r="613" spans="1:32">
      <c r="A613" s="779">
        <f t="shared" si="164"/>
        <v>599</v>
      </c>
      <c r="B613" s="779" t="s">
        <v>1066</v>
      </c>
      <c r="C613" s="423" t="s">
        <v>142</v>
      </c>
      <c r="D613" s="423" t="s">
        <v>1357</v>
      </c>
      <c r="E613" s="763" t="s">
        <v>2081</v>
      </c>
      <c r="F613" s="776">
        <v>-4379.97</v>
      </c>
      <c r="G613" s="776">
        <v>-249.64</v>
      </c>
      <c r="H613" s="776">
        <v>-249.64</v>
      </c>
      <c r="I613" s="776">
        <v>-249.64</v>
      </c>
      <c r="J613" s="776">
        <v>-649.15</v>
      </c>
      <c r="K613" s="776">
        <v>-1423.27</v>
      </c>
      <c r="L613" s="776">
        <v>-1743.48</v>
      </c>
      <c r="M613" s="776">
        <v>-1901.63</v>
      </c>
      <c r="N613" s="776">
        <v>-1934.99</v>
      </c>
      <c r="O613" s="776">
        <v>-1934.99</v>
      </c>
      <c r="P613" s="776">
        <v>-2210.0500000000002</v>
      </c>
      <c r="Q613" s="776">
        <v>-2210.0500000000002</v>
      </c>
      <c r="R613" s="776">
        <v>-2511.16</v>
      </c>
      <c r="S613" s="618">
        <f t="shared" si="160"/>
        <v>-2511.16</v>
      </c>
      <c r="T613" s="773"/>
      <c r="U613" s="424"/>
      <c r="V613" s="424"/>
      <c r="W613" s="424">
        <f t="shared" si="161"/>
        <v>-2511.16</v>
      </c>
      <c r="X613" s="425"/>
      <c r="Y613" s="424"/>
      <c r="Z613" s="424"/>
      <c r="AA613" s="424"/>
      <c r="AB613" s="424"/>
      <c r="AC613" s="426">
        <f t="shared" si="162"/>
        <v>-2511.16</v>
      </c>
      <c r="AD613" s="779"/>
      <c r="AE613" s="773"/>
      <c r="AF613" s="781">
        <f t="shared" si="163"/>
        <v>0</v>
      </c>
    </row>
    <row r="614" spans="1:32">
      <c r="A614" s="779">
        <f t="shared" si="164"/>
        <v>600</v>
      </c>
      <c r="B614" s="779" t="s">
        <v>1066</v>
      </c>
      <c r="C614" s="423" t="s">
        <v>142</v>
      </c>
      <c r="D614" s="423" t="s">
        <v>1356</v>
      </c>
      <c r="E614" s="763" t="s">
        <v>2082</v>
      </c>
      <c r="F614" s="776">
        <v>-18146.71</v>
      </c>
      <c r="G614" s="776">
        <v>579.23</v>
      </c>
      <c r="H614" s="776">
        <v>207.93</v>
      </c>
      <c r="I614" s="776">
        <v>207.93</v>
      </c>
      <c r="J614" s="776">
        <v>207.93</v>
      </c>
      <c r="K614" s="776">
        <v>-1744.61</v>
      </c>
      <c r="L614" s="776">
        <v>-7484.76</v>
      </c>
      <c r="M614" s="776">
        <v>-8236.24</v>
      </c>
      <c r="N614" s="776">
        <v>-8236.24</v>
      </c>
      <c r="O614" s="776">
        <v>-16295.58</v>
      </c>
      <c r="P614" s="776">
        <v>-17814.7</v>
      </c>
      <c r="Q614" s="776">
        <v>-17814.7</v>
      </c>
      <c r="R614" s="776">
        <v>-18478</v>
      </c>
      <c r="S614" s="618">
        <f t="shared" si="160"/>
        <v>-18478</v>
      </c>
      <c r="T614" s="773"/>
      <c r="U614" s="424"/>
      <c r="V614" s="424"/>
      <c r="W614" s="424">
        <f t="shared" si="161"/>
        <v>-18478</v>
      </c>
      <c r="X614" s="425"/>
      <c r="Y614" s="424"/>
      <c r="Z614" s="424"/>
      <c r="AA614" s="424"/>
      <c r="AB614" s="424"/>
      <c r="AC614" s="426">
        <f t="shared" si="162"/>
        <v>-18478</v>
      </c>
      <c r="AD614" s="779"/>
      <c r="AE614" s="773"/>
      <c r="AF614" s="781">
        <f t="shared" si="163"/>
        <v>0</v>
      </c>
    </row>
    <row r="615" spans="1:32">
      <c r="A615" s="779">
        <f t="shared" si="164"/>
        <v>601</v>
      </c>
      <c r="B615" s="779" t="s">
        <v>1066</v>
      </c>
      <c r="C615" s="423">
        <v>4962</v>
      </c>
      <c r="D615" s="423"/>
      <c r="E615" s="763" t="s">
        <v>2083</v>
      </c>
      <c r="F615" s="776">
        <v>0</v>
      </c>
      <c r="G615" s="776">
        <v>0</v>
      </c>
      <c r="H615" s="776">
        <v>0</v>
      </c>
      <c r="I615" s="776">
        <v>0</v>
      </c>
      <c r="J615" s="776">
        <v>0</v>
      </c>
      <c r="K615" s="776">
        <v>1024987.67</v>
      </c>
      <c r="L615" s="776">
        <v>2562445.35</v>
      </c>
      <c r="M615" s="776">
        <v>2823417.12</v>
      </c>
      <c r="N615" s="776">
        <v>2713647.08</v>
      </c>
      <c r="O615" s="776">
        <v>2921067.71</v>
      </c>
      <c r="P615" s="776">
        <v>2630019.27</v>
      </c>
      <c r="Q615" s="776">
        <v>2707258.75</v>
      </c>
      <c r="R615" s="776">
        <v>2764815.37</v>
      </c>
      <c r="S615" s="618">
        <f t="shared" si="160"/>
        <v>2764815.37</v>
      </c>
      <c r="T615" s="773"/>
      <c r="U615" s="424"/>
      <c r="V615" s="424"/>
      <c r="W615" s="424">
        <f t="shared" si="161"/>
        <v>2764815.37</v>
      </c>
      <c r="X615" s="425"/>
      <c r="Y615" s="424"/>
      <c r="Z615" s="424"/>
      <c r="AA615" s="424"/>
      <c r="AB615" s="424"/>
      <c r="AC615" s="426">
        <f t="shared" si="162"/>
        <v>2764815.37</v>
      </c>
      <c r="AD615" s="779"/>
      <c r="AE615" s="773"/>
      <c r="AF615" s="781">
        <f t="shared" si="163"/>
        <v>0</v>
      </c>
    </row>
    <row r="616" spans="1:32">
      <c r="A616" s="779">
        <f t="shared" si="164"/>
        <v>602</v>
      </c>
      <c r="B616" s="779" t="s">
        <v>1066</v>
      </c>
      <c r="C616" s="423">
        <v>4962</v>
      </c>
      <c r="D616" s="423">
        <v>1</v>
      </c>
      <c r="E616" s="763" t="s">
        <v>2100</v>
      </c>
      <c r="F616" s="776">
        <v>0</v>
      </c>
      <c r="G616" s="776">
        <v>0</v>
      </c>
      <c r="H616" s="776">
        <v>0</v>
      </c>
      <c r="I616" s="776">
        <v>0</v>
      </c>
      <c r="J616" s="776">
        <v>0</v>
      </c>
      <c r="K616" s="776">
        <v>0</v>
      </c>
      <c r="L616" s="776">
        <v>0</v>
      </c>
      <c r="M616" s="776">
        <v>0</v>
      </c>
      <c r="N616" s="776">
        <v>0</v>
      </c>
      <c r="O616" s="776">
        <v>0</v>
      </c>
      <c r="P616" s="776">
        <v>0</v>
      </c>
      <c r="Q616" s="776">
        <v>-269663.46999999997</v>
      </c>
      <c r="R616" s="776">
        <v>-340090.29</v>
      </c>
      <c r="S616" s="618">
        <f t="shared" si="160"/>
        <v>-340090.29</v>
      </c>
      <c r="T616" s="773"/>
      <c r="U616" s="424"/>
      <c r="V616" s="424"/>
      <c r="W616" s="424">
        <f t="shared" si="161"/>
        <v>-340090.29</v>
      </c>
      <c r="X616" s="425"/>
      <c r="Y616" s="424"/>
      <c r="Z616" s="424"/>
      <c r="AA616" s="424"/>
      <c r="AB616" s="424"/>
      <c r="AC616" s="426">
        <f t="shared" si="162"/>
        <v>-340090.29</v>
      </c>
      <c r="AD616" s="779"/>
      <c r="AE616" s="773"/>
      <c r="AF616" s="781">
        <f t="shared" si="163"/>
        <v>0</v>
      </c>
    </row>
    <row r="617" spans="1:32">
      <c r="A617" s="779">
        <f t="shared" si="164"/>
        <v>603</v>
      </c>
      <c r="B617" s="779" t="s">
        <v>1094</v>
      </c>
      <c r="C617" s="423">
        <v>4962</v>
      </c>
      <c r="D617" s="779"/>
      <c r="E617" s="763" t="s">
        <v>2083</v>
      </c>
      <c r="F617" s="776">
        <v>0</v>
      </c>
      <c r="G617" s="776">
        <v>249016.3</v>
      </c>
      <c r="H617" s="776">
        <v>450949.83</v>
      </c>
      <c r="I617" s="776">
        <v>621635.15</v>
      </c>
      <c r="J617" s="776">
        <v>740311.19</v>
      </c>
      <c r="K617" s="776">
        <v>821857.22</v>
      </c>
      <c r="L617" s="776">
        <v>876559.9</v>
      </c>
      <c r="M617" s="776">
        <v>1060867.32</v>
      </c>
      <c r="N617" s="776">
        <v>1113807.72</v>
      </c>
      <c r="O617" s="776">
        <v>1180527.78</v>
      </c>
      <c r="P617" s="776">
        <v>1310366.54</v>
      </c>
      <c r="Q617" s="776">
        <v>1529920.87</v>
      </c>
      <c r="R617" s="776">
        <v>1558019.97</v>
      </c>
      <c r="S617" s="618">
        <f t="shared" ref="S617:S618" si="165">+R617</f>
        <v>1558019.97</v>
      </c>
      <c r="T617" s="773"/>
      <c r="U617" s="424"/>
      <c r="V617" s="424"/>
      <c r="W617" s="424">
        <f t="shared" si="161"/>
        <v>1558019.97</v>
      </c>
      <c r="X617" s="425"/>
      <c r="Y617" s="424"/>
      <c r="Z617" s="424"/>
      <c r="AA617" s="424"/>
      <c r="AB617" s="424"/>
      <c r="AC617" s="426">
        <f t="shared" si="162"/>
        <v>1558019.97</v>
      </c>
      <c r="AD617" s="779"/>
      <c r="AE617" s="773"/>
      <c r="AF617" s="781">
        <f t="shared" si="163"/>
        <v>0</v>
      </c>
    </row>
    <row r="618" spans="1:32">
      <c r="A618" s="779">
        <f t="shared" si="164"/>
        <v>604</v>
      </c>
      <c r="B618" s="779" t="s">
        <v>382</v>
      </c>
      <c r="C618" s="423" t="s">
        <v>669</v>
      </c>
      <c r="D618" s="779" t="s">
        <v>382</v>
      </c>
      <c r="E618" s="763" t="s">
        <v>670</v>
      </c>
      <c r="F618" s="405">
        <v>0</v>
      </c>
      <c r="G618" s="405">
        <v>0</v>
      </c>
      <c r="H618" s="405">
        <v>0</v>
      </c>
      <c r="I618" s="405">
        <v>0</v>
      </c>
      <c r="J618" s="405">
        <v>0</v>
      </c>
      <c r="K618" s="405">
        <v>0</v>
      </c>
      <c r="L618" s="405">
        <v>0</v>
      </c>
      <c r="M618" s="405">
        <v>0</v>
      </c>
      <c r="N618" s="405">
        <v>0</v>
      </c>
      <c r="O618" s="405">
        <v>0</v>
      </c>
      <c r="P618" s="405">
        <v>0</v>
      </c>
      <c r="Q618" s="405">
        <v>0</v>
      </c>
      <c r="R618" s="405">
        <v>0</v>
      </c>
      <c r="S618" s="618">
        <f t="shared" si="165"/>
        <v>0</v>
      </c>
      <c r="T618" s="773"/>
      <c r="U618" s="424"/>
      <c r="V618" s="424"/>
      <c r="W618" s="424">
        <f t="shared" si="161"/>
        <v>0</v>
      </c>
      <c r="X618" s="425"/>
      <c r="Y618" s="424"/>
      <c r="Z618" s="424"/>
      <c r="AA618" s="424"/>
      <c r="AB618" s="424"/>
      <c r="AC618" s="426">
        <f t="shared" ref="AC618" si="166">+S618</f>
        <v>0</v>
      </c>
      <c r="AD618" s="779"/>
      <c r="AE618" s="773"/>
      <c r="AF618" s="781">
        <f t="shared" si="163"/>
        <v>0</v>
      </c>
    </row>
    <row r="619" spans="1:32">
      <c r="A619" s="779">
        <f t="shared" si="164"/>
        <v>605</v>
      </c>
      <c r="B619" s="779"/>
      <c r="C619" s="779"/>
      <c r="D619" s="779"/>
      <c r="E619" s="763" t="s">
        <v>671</v>
      </c>
      <c r="F619" s="394">
        <f t="shared" ref="F619:S619" si="167">SUM(F553:F618)</f>
        <v>-290448859.52999997</v>
      </c>
      <c r="G619" s="394">
        <f t="shared" si="167"/>
        <v>-42074780.050000034</v>
      </c>
      <c r="H619" s="394">
        <f t="shared" si="167"/>
        <v>-80353456.210000008</v>
      </c>
      <c r="I619" s="394">
        <f t="shared" si="167"/>
        <v>-112606187.80999996</v>
      </c>
      <c r="J619" s="394">
        <f t="shared" si="167"/>
        <v>-135250451.52999994</v>
      </c>
      <c r="K619" s="394">
        <f t="shared" si="167"/>
        <v>-148556889.53</v>
      </c>
      <c r="L619" s="394">
        <f t="shared" si="167"/>
        <v>-159303829.76999998</v>
      </c>
      <c r="M619" s="394">
        <f t="shared" si="167"/>
        <v>-170174304.17999995</v>
      </c>
      <c r="N619" s="394">
        <f t="shared" si="167"/>
        <v>-179340578.68999997</v>
      </c>
      <c r="O619" s="394">
        <f t="shared" si="167"/>
        <v>-192465442.19000015</v>
      </c>
      <c r="P619" s="394">
        <f t="shared" si="167"/>
        <v>-214219930.35000005</v>
      </c>
      <c r="Q619" s="394">
        <f t="shared" si="167"/>
        <v>-246305877.76999995</v>
      </c>
      <c r="R619" s="394">
        <f t="shared" si="167"/>
        <v>-286825672.86999995</v>
      </c>
      <c r="S619" s="620">
        <f t="shared" si="167"/>
        <v>-286825672.86999995</v>
      </c>
      <c r="T619" s="773"/>
      <c r="U619" s="424"/>
      <c r="V619" s="424"/>
      <c r="W619" s="424"/>
      <c r="X619" s="425"/>
      <c r="Y619" s="424"/>
      <c r="Z619" s="424"/>
      <c r="AA619" s="424"/>
      <c r="AB619" s="424"/>
      <c r="AC619" s="779"/>
      <c r="AD619" s="779"/>
      <c r="AE619" s="773"/>
      <c r="AF619" s="781">
        <f t="shared" si="163"/>
        <v>0</v>
      </c>
    </row>
    <row r="620" spans="1:32">
      <c r="A620" s="779">
        <f t="shared" si="164"/>
        <v>606</v>
      </c>
      <c r="B620" s="779"/>
      <c r="C620" s="779"/>
      <c r="D620" s="779"/>
      <c r="E620" s="763"/>
      <c r="F620" s="778"/>
      <c r="G620" s="420"/>
      <c r="H620" s="408"/>
      <c r="I620" s="408"/>
      <c r="J620" s="409"/>
      <c r="K620" s="410"/>
      <c r="L620" s="411"/>
      <c r="M620" s="412"/>
      <c r="N620" s="413"/>
      <c r="O620" s="764"/>
      <c r="P620" s="415"/>
      <c r="Q620" s="421"/>
      <c r="R620" s="778"/>
      <c r="S620" s="392"/>
      <c r="T620" s="773"/>
      <c r="U620" s="424"/>
      <c r="V620" s="424"/>
      <c r="W620" s="424"/>
      <c r="X620" s="425"/>
      <c r="Y620" s="424"/>
      <c r="Z620" s="424"/>
      <c r="AA620" s="424"/>
      <c r="AB620" s="424"/>
      <c r="AC620" s="779"/>
      <c r="AD620" s="779"/>
      <c r="AE620" s="773"/>
      <c r="AF620" s="781">
        <f t="shared" si="163"/>
        <v>0</v>
      </c>
    </row>
    <row r="621" spans="1:32">
      <c r="A621" s="779">
        <f t="shared" si="164"/>
        <v>607</v>
      </c>
      <c r="B621" s="423" t="s">
        <v>1063</v>
      </c>
      <c r="C621" s="423" t="s">
        <v>672</v>
      </c>
      <c r="D621" s="423" t="s">
        <v>1364</v>
      </c>
      <c r="E621" s="769" t="s">
        <v>338</v>
      </c>
      <c r="F621" s="776">
        <v>-17495.72</v>
      </c>
      <c r="G621" s="776">
        <v>-144.46</v>
      </c>
      <c r="H621" s="776">
        <v>-273.13</v>
      </c>
      <c r="I621" s="776">
        <v>-546.53</v>
      </c>
      <c r="J621" s="776">
        <v>-723.12</v>
      </c>
      <c r="K621" s="776">
        <v>-1354.89</v>
      </c>
      <c r="L621" s="776">
        <v>-1799.07</v>
      </c>
      <c r="M621" s="776">
        <v>-2289.64</v>
      </c>
      <c r="N621" s="776">
        <v>-2490.5</v>
      </c>
      <c r="O621" s="776">
        <v>-2694.17</v>
      </c>
      <c r="P621" s="776">
        <v>-2889.92</v>
      </c>
      <c r="Q621" s="776">
        <v>-3005.08</v>
      </c>
      <c r="R621" s="776">
        <v>-3011.09</v>
      </c>
      <c r="S621" s="618">
        <f t="shared" ref="S621:S631" si="168">+R621</f>
        <v>-3011.09</v>
      </c>
      <c r="T621" s="773"/>
      <c r="U621" s="424"/>
      <c r="V621" s="424"/>
      <c r="W621" s="424">
        <f>+S621</f>
        <v>-3011.09</v>
      </c>
      <c r="X621" s="425"/>
      <c r="Y621" s="424"/>
      <c r="Z621" s="424"/>
      <c r="AA621" s="424"/>
      <c r="AB621" s="424"/>
      <c r="AC621" s="426">
        <f>+S621</f>
        <v>-3011.09</v>
      </c>
      <c r="AD621" s="779"/>
      <c r="AE621" s="773"/>
      <c r="AF621" s="781">
        <f t="shared" si="163"/>
        <v>0</v>
      </c>
    </row>
    <row r="622" spans="1:32">
      <c r="A622" s="779">
        <f t="shared" si="164"/>
        <v>608</v>
      </c>
      <c r="B622" s="423" t="s">
        <v>1063</v>
      </c>
      <c r="C622" s="423" t="s">
        <v>672</v>
      </c>
      <c r="D622" s="423" t="s">
        <v>289</v>
      </c>
      <c r="E622" s="769" t="s">
        <v>2101</v>
      </c>
      <c r="F622" s="776">
        <v>0</v>
      </c>
      <c r="G622" s="776">
        <v>0</v>
      </c>
      <c r="H622" s="776">
        <v>0</v>
      </c>
      <c r="I622" s="776">
        <v>0</v>
      </c>
      <c r="J622" s="776">
        <v>0</v>
      </c>
      <c r="K622" s="776">
        <v>0</v>
      </c>
      <c r="L622" s="776">
        <v>0</v>
      </c>
      <c r="M622" s="776">
        <v>0</v>
      </c>
      <c r="N622" s="776">
        <v>0</v>
      </c>
      <c r="O622" s="776">
        <v>0</v>
      </c>
      <c r="P622" s="776">
        <v>-95.24</v>
      </c>
      <c r="Q622" s="776">
        <v>-404.94</v>
      </c>
      <c r="R622" s="776">
        <v>-859.68</v>
      </c>
      <c r="S622" s="618">
        <f t="shared" si="168"/>
        <v>-859.68</v>
      </c>
      <c r="T622" s="773"/>
      <c r="U622" s="424"/>
      <c r="V622" s="424"/>
      <c r="W622" s="424">
        <f>+S622</f>
        <v>-859.68</v>
      </c>
      <c r="X622" s="425"/>
      <c r="Y622" s="424"/>
      <c r="Z622" s="424"/>
      <c r="AA622" s="424"/>
      <c r="AB622" s="424"/>
      <c r="AC622" s="426">
        <f t="shared" ref="AC622:AC631" si="169">+S622</f>
        <v>-859.68</v>
      </c>
      <c r="AD622" s="779"/>
      <c r="AE622" s="773"/>
      <c r="AF622" s="781">
        <f t="shared" si="163"/>
        <v>0</v>
      </c>
    </row>
    <row r="623" spans="1:32">
      <c r="A623" s="779">
        <f t="shared" si="164"/>
        <v>609</v>
      </c>
      <c r="B623" s="423" t="s">
        <v>1094</v>
      </c>
      <c r="C623" s="423" t="s">
        <v>672</v>
      </c>
      <c r="D623" s="423" t="s">
        <v>1230</v>
      </c>
      <c r="E623" s="769" t="s">
        <v>2105</v>
      </c>
      <c r="F623" s="776">
        <v>-90398.98</v>
      </c>
      <c r="G623" s="776">
        <v>-757.05</v>
      </c>
      <c r="H623" s="776">
        <v>-2131.0500000000002</v>
      </c>
      <c r="I623" s="776">
        <v>-3623.45</v>
      </c>
      <c r="J623" s="776">
        <v>-5083.37</v>
      </c>
      <c r="K623" s="776">
        <v>-6401.18</v>
      </c>
      <c r="L623" s="776">
        <v>-7242.99</v>
      </c>
      <c r="M623" s="776">
        <v>-11546.6</v>
      </c>
      <c r="N623" s="776">
        <v>-14884.1</v>
      </c>
      <c r="O623" s="776">
        <v>-17186.59</v>
      </c>
      <c r="P623" s="776">
        <v>-33223.800000000003</v>
      </c>
      <c r="Q623" s="776">
        <v>-33425.25</v>
      </c>
      <c r="R623" s="776">
        <v>-36347.879999999997</v>
      </c>
      <c r="S623" s="618">
        <f t="shared" si="168"/>
        <v>-36347.879999999997</v>
      </c>
      <c r="T623" s="773"/>
      <c r="U623" s="424"/>
      <c r="V623" s="424"/>
      <c r="W623" s="424">
        <f t="shared" ref="W623:W631" si="170">+S623</f>
        <v>-36347.879999999997</v>
      </c>
      <c r="X623" s="425"/>
      <c r="Y623" s="424"/>
      <c r="Z623" s="424"/>
      <c r="AA623" s="424"/>
      <c r="AB623" s="424"/>
      <c r="AC623" s="426">
        <f t="shared" si="169"/>
        <v>-36347.879999999997</v>
      </c>
      <c r="AD623" s="779"/>
      <c r="AE623" s="773"/>
      <c r="AF623" s="781">
        <f t="shared" si="163"/>
        <v>0</v>
      </c>
    </row>
    <row r="624" spans="1:32">
      <c r="A624" s="779">
        <f t="shared" si="164"/>
        <v>610</v>
      </c>
      <c r="B624" s="423" t="s">
        <v>1094</v>
      </c>
      <c r="C624" s="423" t="s">
        <v>672</v>
      </c>
      <c r="D624" s="423" t="s">
        <v>1365</v>
      </c>
      <c r="E624" s="769" t="s">
        <v>2106</v>
      </c>
      <c r="F624" s="776">
        <v>0</v>
      </c>
      <c r="G624" s="776">
        <v>0</v>
      </c>
      <c r="H624" s="776">
        <v>0</v>
      </c>
      <c r="I624" s="776">
        <v>0</v>
      </c>
      <c r="J624" s="776">
        <v>0</v>
      </c>
      <c r="K624" s="776">
        <v>0</v>
      </c>
      <c r="L624" s="776">
        <v>0</v>
      </c>
      <c r="M624" s="776">
        <v>0</v>
      </c>
      <c r="N624" s="776">
        <v>-41302.46</v>
      </c>
      <c r="O624" s="776">
        <v>-41302.46</v>
      </c>
      <c r="P624" s="776">
        <v>-41381.79</v>
      </c>
      <c r="Q624" s="776">
        <v>-41381.79</v>
      </c>
      <c r="R624" s="776">
        <v>-48958.11</v>
      </c>
      <c r="S624" s="618">
        <f t="shared" si="168"/>
        <v>-48958.11</v>
      </c>
      <c r="T624" s="773"/>
      <c r="U624" s="424"/>
      <c r="V624" s="424"/>
      <c r="W624" s="424">
        <f t="shared" si="170"/>
        <v>-48958.11</v>
      </c>
      <c r="X624" s="425"/>
      <c r="Y624" s="424"/>
      <c r="Z624" s="424"/>
      <c r="AA624" s="424"/>
      <c r="AB624" s="424"/>
      <c r="AC624" s="426">
        <f t="shared" si="169"/>
        <v>-48958.11</v>
      </c>
      <c r="AD624" s="779"/>
      <c r="AE624" s="773"/>
      <c r="AF624" s="781">
        <f t="shared" si="163"/>
        <v>0</v>
      </c>
    </row>
    <row r="625" spans="1:32">
      <c r="A625" s="779">
        <f t="shared" si="164"/>
        <v>611</v>
      </c>
      <c r="B625" s="423" t="s">
        <v>1066</v>
      </c>
      <c r="C625" s="423" t="s">
        <v>672</v>
      </c>
      <c r="D625" s="423" t="s">
        <v>1230</v>
      </c>
      <c r="E625" s="769" t="s">
        <v>2105</v>
      </c>
      <c r="F625" s="776">
        <v>-108362.1</v>
      </c>
      <c r="G625" s="776">
        <v>-6413.72</v>
      </c>
      <c r="H625" s="776">
        <v>-11283.03</v>
      </c>
      <c r="I625" s="776">
        <v>-19027</v>
      </c>
      <c r="J625" s="776">
        <v>-41659.03</v>
      </c>
      <c r="K625" s="776">
        <v>-43654.74</v>
      </c>
      <c r="L625" s="776">
        <v>-50016.99</v>
      </c>
      <c r="M625" s="776">
        <v>-55736.45</v>
      </c>
      <c r="N625" s="776">
        <v>-65583.5</v>
      </c>
      <c r="O625" s="776">
        <v>-72605.14</v>
      </c>
      <c r="P625" s="776">
        <v>-79020.929999999993</v>
      </c>
      <c r="Q625" s="776">
        <v>-82149.45</v>
      </c>
      <c r="R625" s="776">
        <v>-91231.87</v>
      </c>
      <c r="S625" s="618">
        <f t="shared" si="168"/>
        <v>-91231.87</v>
      </c>
      <c r="T625" s="773"/>
      <c r="U625" s="424"/>
      <c r="V625" s="424"/>
      <c r="W625" s="424">
        <f t="shared" si="170"/>
        <v>-91231.87</v>
      </c>
      <c r="X625" s="425"/>
      <c r="Y625" s="424"/>
      <c r="Z625" s="424"/>
      <c r="AA625" s="424"/>
      <c r="AB625" s="424"/>
      <c r="AC625" s="426">
        <f t="shared" si="169"/>
        <v>-91231.87</v>
      </c>
      <c r="AD625" s="779"/>
      <c r="AE625" s="773"/>
      <c r="AF625" s="781">
        <f t="shared" si="163"/>
        <v>0</v>
      </c>
    </row>
    <row r="626" spans="1:32">
      <c r="A626" s="779">
        <f t="shared" si="164"/>
        <v>612</v>
      </c>
      <c r="B626" s="423" t="s">
        <v>1066</v>
      </c>
      <c r="C626" s="423" t="s">
        <v>672</v>
      </c>
      <c r="D626" s="423" t="s">
        <v>1365</v>
      </c>
      <c r="E626" s="769" t="s">
        <v>2106</v>
      </c>
      <c r="F626" s="776">
        <v>-352554.58</v>
      </c>
      <c r="G626" s="776">
        <v>-48568.65</v>
      </c>
      <c r="H626" s="776">
        <v>-78743.73</v>
      </c>
      <c r="I626" s="776">
        <v>-100059.17</v>
      </c>
      <c r="J626" s="776">
        <v>-108455.58</v>
      </c>
      <c r="K626" s="776">
        <v>-109392.93</v>
      </c>
      <c r="L626" s="776">
        <v>-112283.41</v>
      </c>
      <c r="M626" s="776">
        <v>-119393.89</v>
      </c>
      <c r="N626" s="776">
        <v>-133050.82999999999</v>
      </c>
      <c r="O626" s="776">
        <v>-157865.26999999999</v>
      </c>
      <c r="P626" s="776">
        <v>-190804.32</v>
      </c>
      <c r="Q626" s="776">
        <v>-253361.11</v>
      </c>
      <c r="R626" s="776">
        <v>-333259.12</v>
      </c>
      <c r="S626" s="618">
        <f t="shared" si="168"/>
        <v>-333259.12</v>
      </c>
      <c r="T626" s="773"/>
      <c r="U626" s="424"/>
      <c r="V626" s="424"/>
      <c r="W626" s="424">
        <f t="shared" si="170"/>
        <v>-333259.12</v>
      </c>
      <c r="X626" s="425"/>
      <c r="Y626" s="424"/>
      <c r="Z626" s="424"/>
      <c r="AA626" s="424"/>
      <c r="AB626" s="424"/>
      <c r="AC626" s="426">
        <f t="shared" si="169"/>
        <v>-333259.12</v>
      </c>
      <c r="AD626" s="779"/>
      <c r="AE626" s="773"/>
      <c r="AF626" s="781">
        <f t="shared" si="163"/>
        <v>0</v>
      </c>
    </row>
    <row r="627" spans="1:32">
      <c r="A627" s="779">
        <f t="shared" si="164"/>
        <v>613</v>
      </c>
      <c r="B627" s="423" t="s">
        <v>1063</v>
      </c>
      <c r="C627" s="423" t="s">
        <v>673</v>
      </c>
      <c r="D627" s="779"/>
      <c r="E627" s="763" t="s">
        <v>674</v>
      </c>
      <c r="F627" s="776">
        <v>-2888.2</v>
      </c>
      <c r="G627" s="776">
        <v>-54.4</v>
      </c>
      <c r="H627" s="776">
        <v>-94.95</v>
      </c>
      <c r="I627" s="776">
        <v>-103.62</v>
      </c>
      <c r="J627" s="776">
        <v>-103.75</v>
      </c>
      <c r="K627" s="776">
        <v>-180.07</v>
      </c>
      <c r="L627" s="776">
        <v>-180.07</v>
      </c>
      <c r="M627" s="776">
        <v>-337.32</v>
      </c>
      <c r="N627" s="776">
        <v>-337.32</v>
      </c>
      <c r="O627" s="776">
        <v>-555.66999999999996</v>
      </c>
      <c r="P627" s="776">
        <v>-555.66999999999996</v>
      </c>
      <c r="Q627" s="776">
        <v>-555.66999999999996</v>
      </c>
      <c r="R627" s="776">
        <v>-555.79999999999995</v>
      </c>
      <c r="S627" s="618">
        <f t="shared" si="168"/>
        <v>-555.79999999999995</v>
      </c>
      <c r="T627" s="773"/>
      <c r="U627" s="424"/>
      <c r="V627" s="424"/>
      <c r="W627" s="424">
        <f t="shared" si="170"/>
        <v>-555.79999999999995</v>
      </c>
      <c r="X627" s="425"/>
      <c r="Y627" s="424"/>
      <c r="Z627" s="424"/>
      <c r="AA627" s="424"/>
      <c r="AB627" s="424"/>
      <c r="AC627" s="426">
        <f t="shared" si="169"/>
        <v>-555.79999999999995</v>
      </c>
      <c r="AD627" s="779"/>
      <c r="AE627" s="773"/>
      <c r="AF627" s="781">
        <f t="shared" si="163"/>
        <v>0</v>
      </c>
    </row>
    <row r="628" spans="1:32">
      <c r="A628" s="779">
        <f t="shared" si="164"/>
        <v>614</v>
      </c>
      <c r="B628" s="423" t="s">
        <v>1063</v>
      </c>
      <c r="C628" s="423" t="s">
        <v>673</v>
      </c>
      <c r="D628" s="423" t="s">
        <v>1366</v>
      </c>
      <c r="E628" s="763" t="s">
        <v>2103</v>
      </c>
      <c r="F628" s="776">
        <v>-26050.54</v>
      </c>
      <c r="G628" s="776">
        <v>-811.09</v>
      </c>
      <c r="H628" s="776">
        <v>-5103.93</v>
      </c>
      <c r="I628" s="776">
        <v>-9462.98</v>
      </c>
      <c r="J628" s="776">
        <v>-12207.68</v>
      </c>
      <c r="K628" s="776">
        <v>-15568.71</v>
      </c>
      <c r="L628" s="776">
        <v>-20631.43</v>
      </c>
      <c r="M628" s="776">
        <v>-23129.61</v>
      </c>
      <c r="N628" s="776">
        <v>-23139.79</v>
      </c>
      <c r="O628" s="776">
        <v>-23193.31</v>
      </c>
      <c r="P628" s="776">
        <v>-23720.74</v>
      </c>
      <c r="Q628" s="776">
        <v>-24784.99</v>
      </c>
      <c r="R628" s="776">
        <v>-25320.63</v>
      </c>
      <c r="S628" s="618">
        <f t="shared" si="168"/>
        <v>-25320.63</v>
      </c>
      <c r="T628" s="773"/>
      <c r="U628" s="424"/>
      <c r="V628" s="424"/>
      <c r="W628" s="424">
        <f t="shared" si="170"/>
        <v>-25320.63</v>
      </c>
      <c r="X628" s="425"/>
      <c r="Y628" s="424"/>
      <c r="Z628" s="424"/>
      <c r="AA628" s="424"/>
      <c r="AB628" s="424"/>
      <c r="AC628" s="426">
        <f t="shared" si="169"/>
        <v>-25320.63</v>
      </c>
      <c r="AD628" s="779"/>
      <c r="AE628" s="773"/>
      <c r="AF628" s="781">
        <f t="shared" si="163"/>
        <v>0</v>
      </c>
    </row>
    <row r="629" spans="1:32">
      <c r="A629" s="779">
        <f t="shared" si="164"/>
        <v>615</v>
      </c>
      <c r="B629" s="423" t="s">
        <v>1063</v>
      </c>
      <c r="C629" s="423" t="s">
        <v>675</v>
      </c>
      <c r="D629" s="779"/>
      <c r="E629" s="763" t="s">
        <v>2102</v>
      </c>
      <c r="F629" s="776">
        <v>-177923.32</v>
      </c>
      <c r="G629" s="776">
        <v>-13780.85</v>
      </c>
      <c r="H629" s="776">
        <v>-29171.599999999999</v>
      </c>
      <c r="I629" s="776">
        <v>-47366.04</v>
      </c>
      <c r="J629" s="776">
        <v>-47637.760000000002</v>
      </c>
      <c r="K629" s="776">
        <v>-48021.27</v>
      </c>
      <c r="L629" s="776">
        <v>-48440.25</v>
      </c>
      <c r="M629" s="776">
        <v>-47907.01</v>
      </c>
      <c r="N629" s="776">
        <v>-47895.01</v>
      </c>
      <c r="O629" s="776">
        <v>-47895.01</v>
      </c>
      <c r="P629" s="776">
        <v>-47895.01</v>
      </c>
      <c r="Q629" s="776">
        <v>-47519.35</v>
      </c>
      <c r="R629" s="776">
        <v>-47519.35</v>
      </c>
      <c r="S629" s="618">
        <f t="shared" si="168"/>
        <v>-47519.35</v>
      </c>
      <c r="T629" s="773"/>
      <c r="U629" s="424"/>
      <c r="V629" s="424"/>
      <c r="W629" s="424">
        <f t="shared" si="170"/>
        <v>-47519.35</v>
      </c>
      <c r="X629" s="425"/>
      <c r="Y629" s="424"/>
      <c r="Z629" s="424"/>
      <c r="AA629" s="424"/>
      <c r="AB629" s="424"/>
      <c r="AC629" s="426">
        <f t="shared" si="169"/>
        <v>-47519.35</v>
      </c>
      <c r="AD629" s="779"/>
      <c r="AE629" s="773"/>
      <c r="AF629" s="781">
        <f t="shared" si="163"/>
        <v>0</v>
      </c>
    </row>
    <row r="630" spans="1:32">
      <c r="A630" s="779">
        <f t="shared" si="164"/>
        <v>616</v>
      </c>
      <c r="B630" s="423" t="s">
        <v>1063</v>
      </c>
      <c r="C630" s="423" t="s">
        <v>676</v>
      </c>
      <c r="D630" s="779"/>
      <c r="E630" s="763" t="s">
        <v>2104</v>
      </c>
      <c r="F630" s="776">
        <v>-253406.28</v>
      </c>
      <c r="G630" s="776">
        <v>-12464.01</v>
      </c>
      <c r="H630" s="776">
        <v>-26547.52</v>
      </c>
      <c r="I630" s="776">
        <v>-43199.72</v>
      </c>
      <c r="J630" s="776">
        <v>-58926.44</v>
      </c>
      <c r="K630" s="776">
        <v>-79963.02</v>
      </c>
      <c r="L630" s="776">
        <v>-102944.73</v>
      </c>
      <c r="M630" s="776">
        <v>-127918.8</v>
      </c>
      <c r="N630" s="776">
        <v>-158306.22</v>
      </c>
      <c r="O630" s="776">
        <v>-188275.45</v>
      </c>
      <c r="P630" s="776">
        <v>-216382.85</v>
      </c>
      <c r="Q630" s="776">
        <v>-247813.44</v>
      </c>
      <c r="R630" s="776">
        <v>-291152.65999999997</v>
      </c>
      <c r="S630" s="618">
        <f t="shared" si="168"/>
        <v>-291152.65999999997</v>
      </c>
      <c r="T630" s="773"/>
      <c r="U630" s="424"/>
      <c r="V630" s="424"/>
      <c r="W630" s="424">
        <f t="shared" si="170"/>
        <v>-291152.65999999997</v>
      </c>
      <c r="X630" s="425"/>
      <c r="Y630" s="424"/>
      <c r="Z630" s="424"/>
      <c r="AA630" s="424"/>
      <c r="AB630" s="424"/>
      <c r="AC630" s="426">
        <f t="shared" si="169"/>
        <v>-291152.65999999997</v>
      </c>
      <c r="AD630" s="779"/>
      <c r="AE630" s="773"/>
      <c r="AF630" s="781">
        <f t="shared" si="163"/>
        <v>0</v>
      </c>
    </row>
    <row r="631" spans="1:32">
      <c r="A631" s="779">
        <f t="shared" si="164"/>
        <v>617</v>
      </c>
      <c r="B631" s="423" t="s">
        <v>1063</v>
      </c>
      <c r="C631" s="423" t="s">
        <v>677</v>
      </c>
      <c r="D631" s="779"/>
      <c r="E631" s="763" t="s">
        <v>678</v>
      </c>
      <c r="F631" s="405">
        <v>-10780.96</v>
      </c>
      <c r="G631" s="405">
        <v>-2058.0100000000002</v>
      </c>
      <c r="H631" s="405">
        <v>-2923.82</v>
      </c>
      <c r="I631" s="405">
        <v>-3531.99</v>
      </c>
      <c r="J631" s="405">
        <v>-4427.88</v>
      </c>
      <c r="K631" s="405">
        <v>-4871.71</v>
      </c>
      <c r="L631" s="405">
        <v>-5366.65</v>
      </c>
      <c r="M631" s="405">
        <v>-6057.74</v>
      </c>
      <c r="N631" s="405">
        <v>-6645.43</v>
      </c>
      <c r="O631" s="405">
        <v>-7127.72</v>
      </c>
      <c r="P631" s="405">
        <v>-7665.4</v>
      </c>
      <c r="Q631" s="405">
        <v>-8027.19</v>
      </c>
      <c r="R631" s="405">
        <v>-8686.9500000000007</v>
      </c>
      <c r="S631" s="618">
        <f t="shared" si="168"/>
        <v>-8686.9500000000007</v>
      </c>
      <c r="T631" s="773"/>
      <c r="U631" s="424"/>
      <c r="V631" s="424"/>
      <c r="W631" s="424">
        <f t="shared" si="170"/>
        <v>-8686.9500000000007</v>
      </c>
      <c r="X631" s="425"/>
      <c r="Y631" s="424"/>
      <c r="Z631" s="424"/>
      <c r="AA631" s="424"/>
      <c r="AB631" s="424"/>
      <c r="AC631" s="426">
        <f t="shared" si="169"/>
        <v>-8686.9500000000007</v>
      </c>
      <c r="AD631" s="779"/>
      <c r="AE631" s="773"/>
      <c r="AF631" s="781">
        <f>+U631+V631-AD631</f>
        <v>0</v>
      </c>
    </row>
    <row r="632" spans="1:32">
      <c r="A632" s="779">
        <f t="shared" si="164"/>
        <v>618</v>
      </c>
      <c r="B632" s="779"/>
      <c r="C632" s="779"/>
      <c r="D632" s="779"/>
      <c r="E632" s="763" t="s">
        <v>679</v>
      </c>
      <c r="F632" s="394">
        <f t="shared" ref="F632:S632" si="171">SUM(F621:F631)</f>
        <v>-1039860.6799999999</v>
      </c>
      <c r="G632" s="394">
        <f t="shared" si="171"/>
        <v>-85052.239999999991</v>
      </c>
      <c r="H632" s="394">
        <f t="shared" si="171"/>
        <v>-156272.76</v>
      </c>
      <c r="I632" s="394">
        <f t="shared" si="171"/>
        <v>-226920.5</v>
      </c>
      <c r="J632" s="394">
        <f t="shared" si="171"/>
        <v>-279224.61</v>
      </c>
      <c r="K632" s="394">
        <f t="shared" si="171"/>
        <v>-309408.52</v>
      </c>
      <c r="L632" s="394">
        <f t="shared" si="171"/>
        <v>-348905.59</v>
      </c>
      <c r="M632" s="394">
        <f t="shared" si="171"/>
        <v>-394317.06</v>
      </c>
      <c r="N632" s="394">
        <f t="shared" si="171"/>
        <v>-493635.16</v>
      </c>
      <c r="O632" s="394">
        <f t="shared" si="171"/>
        <v>-558700.79</v>
      </c>
      <c r="P632" s="394">
        <f t="shared" si="171"/>
        <v>-643635.67000000004</v>
      </c>
      <c r="Q632" s="394">
        <f t="shared" si="171"/>
        <v>-742428.25999999989</v>
      </c>
      <c r="R632" s="394">
        <f t="shared" si="171"/>
        <v>-886903.1399999999</v>
      </c>
      <c r="S632" s="620">
        <f t="shared" si="171"/>
        <v>-886903.1399999999</v>
      </c>
      <c r="T632" s="773"/>
      <c r="U632" s="424"/>
      <c r="V632" s="424"/>
      <c r="W632" s="424"/>
      <c r="X632" s="425"/>
      <c r="Y632" s="424"/>
      <c r="Z632" s="424"/>
      <c r="AA632" s="424"/>
      <c r="AB632" s="424"/>
      <c r="AC632" s="779"/>
      <c r="AD632" s="779"/>
      <c r="AE632" s="773"/>
      <c r="AF632" s="762"/>
    </row>
    <row r="633" spans="1:32">
      <c r="A633" s="779">
        <f t="shared" si="164"/>
        <v>619</v>
      </c>
      <c r="B633" s="779"/>
      <c r="C633" s="779"/>
      <c r="D633" s="779"/>
      <c r="E633" s="763"/>
      <c r="F633" s="778"/>
      <c r="G633" s="420"/>
      <c r="H633" s="408"/>
      <c r="I633" s="408"/>
      <c r="J633" s="409"/>
      <c r="K633" s="410"/>
      <c r="L633" s="411"/>
      <c r="M633" s="412"/>
      <c r="N633" s="413"/>
      <c r="O633" s="764"/>
      <c r="P633" s="415"/>
      <c r="Q633" s="421"/>
      <c r="R633" s="778"/>
      <c r="S633" s="392"/>
      <c r="T633" s="773"/>
      <c r="U633" s="424"/>
      <c r="V633" s="424"/>
      <c r="W633" s="424"/>
      <c r="X633" s="425"/>
      <c r="Y633" s="424"/>
      <c r="Z633" s="424"/>
      <c r="AA633" s="424"/>
      <c r="AB633" s="424"/>
      <c r="AC633" s="779"/>
      <c r="AD633" s="779"/>
      <c r="AE633" s="773"/>
      <c r="AF633" s="762"/>
    </row>
    <row r="634" spans="1:32" ht="15.75" thickBot="1">
      <c r="A634" s="779">
        <f t="shared" si="164"/>
        <v>620</v>
      </c>
      <c r="B634" s="662"/>
      <c r="C634" s="662"/>
      <c r="D634" s="662"/>
      <c r="E634" s="770" t="s">
        <v>680</v>
      </c>
      <c r="F634" s="431">
        <f>+F632+F619+F551+F528+F494+F416+F381+F366</f>
        <v>-1010058740.8999999</v>
      </c>
      <c r="G634" s="431">
        <f t="shared" ref="G634:S634" si="172">+G632+G619+G551+G528+G494+G416+G381+G366</f>
        <v>-755596030.13999999</v>
      </c>
      <c r="H634" s="431">
        <f t="shared" si="172"/>
        <v>-785949713.57000017</v>
      </c>
      <c r="I634" s="431">
        <f t="shared" si="172"/>
        <v>-809849531.25999999</v>
      </c>
      <c r="J634" s="431">
        <f t="shared" si="172"/>
        <v>-821119251.98000002</v>
      </c>
      <c r="K634" s="431">
        <f t="shared" si="172"/>
        <v>-834114722.8900001</v>
      </c>
      <c r="L634" s="431">
        <f t="shared" si="172"/>
        <v>-850558705.20000005</v>
      </c>
      <c r="M634" s="431">
        <f t="shared" si="172"/>
        <v>-868721350.27999997</v>
      </c>
      <c r="N634" s="431">
        <f t="shared" si="172"/>
        <v>-891100472.71000004</v>
      </c>
      <c r="O634" s="431">
        <f t="shared" si="172"/>
        <v>-918592888.9400003</v>
      </c>
      <c r="P634" s="431">
        <f t="shared" si="172"/>
        <v>-955424093.46000004</v>
      </c>
      <c r="Q634" s="431">
        <f t="shared" si="172"/>
        <v>-1022043333.5400002</v>
      </c>
      <c r="R634" s="431">
        <f t="shared" si="172"/>
        <v>-1117173255.4099998</v>
      </c>
      <c r="S634" s="431">
        <f t="shared" si="172"/>
        <v>-1117173255.4099998</v>
      </c>
      <c r="T634" s="430"/>
      <c r="U634" s="432"/>
      <c r="V634" s="432"/>
      <c r="W634" s="432"/>
      <c r="X634" s="433"/>
      <c r="Y634" s="432"/>
      <c r="Z634" s="432"/>
      <c r="AA634" s="432"/>
      <c r="AB634" s="432"/>
      <c r="AC634" s="430"/>
      <c r="AD634" s="430"/>
      <c r="AE634" s="430"/>
      <c r="AF634" s="762"/>
    </row>
    <row r="635" spans="1:32" ht="15.75" thickTop="1">
      <c r="A635" s="779">
        <f t="shared" si="164"/>
        <v>621</v>
      </c>
      <c r="B635" s="779"/>
      <c r="C635" s="779"/>
      <c r="D635" s="779"/>
      <c r="E635" s="779"/>
      <c r="F635" s="779"/>
      <c r="G635" s="779"/>
      <c r="H635" s="779"/>
      <c r="I635" s="779"/>
      <c r="J635" s="779"/>
      <c r="K635" s="779"/>
      <c r="L635" s="779"/>
      <c r="M635" s="779"/>
      <c r="N635" s="779"/>
      <c r="O635" s="779"/>
      <c r="P635" s="779"/>
      <c r="Q635" s="779"/>
      <c r="R635" s="779"/>
      <c r="S635" s="424"/>
      <c r="T635" s="773"/>
      <c r="U635" s="383"/>
      <c r="V635" s="383"/>
      <c r="W635" s="383"/>
      <c r="X635" s="383"/>
      <c r="Y635" s="383"/>
      <c r="Z635" s="383"/>
      <c r="AA635" s="383"/>
      <c r="AB635" s="383"/>
      <c r="AC635" s="773"/>
      <c r="AD635" s="773"/>
      <c r="AE635" s="773"/>
      <c r="AF635" s="762"/>
    </row>
    <row r="636" spans="1:32">
      <c r="A636" s="779">
        <f t="shared" si="164"/>
        <v>622</v>
      </c>
      <c r="B636" s="779"/>
      <c r="C636" s="779"/>
      <c r="D636" s="779"/>
      <c r="E636" s="779"/>
      <c r="F636" s="779"/>
      <c r="G636" s="779"/>
      <c r="H636" s="779"/>
      <c r="I636" s="779"/>
      <c r="J636" s="779"/>
      <c r="K636" s="779"/>
      <c r="L636" s="779"/>
      <c r="M636" s="779"/>
      <c r="N636" s="779"/>
      <c r="O636" s="779"/>
      <c r="P636" s="779"/>
      <c r="Q636" s="779"/>
      <c r="R636" s="779"/>
      <c r="S636" s="424"/>
      <c r="T636" s="773"/>
      <c r="U636" s="383"/>
      <c r="V636" s="383"/>
      <c r="W636" s="383"/>
      <c r="X636" s="383"/>
      <c r="Y636" s="383"/>
      <c r="Z636" s="383"/>
      <c r="AA636" s="383"/>
      <c r="AB636" s="383"/>
      <c r="AC636" s="773"/>
      <c r="AD636" s="773"/>
      <c r="AE636" s="773"/>
      <c r="AF636" s="762"/>
    </row>
    <row r="637" spans="1:32">
      <c r="A637" s="779">
        <f t="shared" si="164"/>
        <v>623</v>
      </c>
      <c r="B637" s="779"/>
      <c r="C637" s="779"/>
      <c r="D637" s="779"/>
      <c r="E637" s="662" t="s">
        <v>1367</v>
      </c>
      <c r="F637" s="779"/>
      <c r="G637" s="779"/>
      <c r="H637" s="779"/>
      <c r="I637" s="779"/>
      <c r="J637" s="779"/>
      <c r="K637" s="779"/>
      <c r="L637" s="779"/>
      <c r="M637" s="779"/>
      <c r="N637" s="779"/>
      <c r="O637" s="779"/>
      <c r="P637" s="779"/>
      <c r="Q637" s="779"/>
      <c r="R637" s="779"/>
      <c r="S637" s="424"/>
      <c r="T637" s="773"/>
      <c r="U637" s="432">
        <f t="shared" ref="U637:AD637" si="173">SUM(U15:U632)</f>
        <v>169948648.34999996</v>
      </c>
      <c r="V637" s="432">
        <f t="shared" si="173"/>
        <v>-169359372.41</v>
      </c>
      <c r="W637" s="432">
        <f t="shared" si="173"/>
        <v>-527656079.55000019</v>
      </c>
      <c r="X637" s="432">
        <f t="shared" si="173"/>
        <v>527066803.6099996</v>
      </c>
      <c r="Y637" s="432">
        <f t="shared" si="173"/>
        <v>359431062.65227288</v>
      </c>
      <c r="Z637" s="432">
        <f t="shared" si="173"/>
        <v>101449274.28145772</v>
      </c>
      <c r="AA637" s="432">
        <f t="shared" si="173"/>
        <v>-117263532.42000002</v>
      </c>
      <c r="AB637" s="432">
        <f t="shared" si="173"/>
        <v>66186286.740000002</v>
      </c>
      <c r="AC637" s="443">
        <f t="shared" si="173"/>
        <v>-527656079.55000019</v>
      </c>
      <c r="AD637" s="443">
        <f t="shared" si="173"/>
        <v>589275.93999992218</v>
      </c>
      <c r="AE637" s="417">
        <f>+AB637+Z637+Y637</f>
        <v>527066623.67373061</v>
      </c>
      <c r="AF637" s="762"/>
    </row>
    <row r="638" spans="1:32">
      <c r="A638" s="779">
        <f t="shared" si="164"/>
        <v>624</v>
      </c>
      <c r="B638" s="779"/>
      <c r="C638" s="779"/>
      <c r="D638" s="779"/>
      <c r="E638" s="779" t="s">
        <v>1368</v>
      </c>
      <c r="F638" s="779"/>
      <c r="G638" s="779"/>
      <c r="H638" s="779"/>
      <c r="I638" s="779"/>
      <c r="J638" s="779"/>
      <c r="K638" s="779"/>
      <c r="L638" s="779"/>
      <c r="M638" s="779"/>
      <c r="N638" s="779"/>
      <c r="O638" s="779"/>
      <c r="P638" s="779"/>
      <c r="Q638" s="779"/>
      <c r="R638" s="779"/>
      <c r="S638" s="424"/>
      <c r="T638" s="773"/>
      <c r="U638" s="444" t="s">
        <v>1369</v>
      </c>
      <c r="V638" s="445">
        <f>+U637+V637</f>
        <v>589275.93999996781</v>
      </c>
      <c r="W638" s="450" t="s">
        <v>1370</v>
      </c>
      <c r="X638" s="451">
        <f>-W637-X637</f>
        <v>589275.94000059366</v>
      </c>
      <c r="Y638" s="383"/>
      <c r="Z638" s="383"/>
      <c r="AA638" s="383"/>
      <c r="AB638" s="383"/>
      <c r="AC638" s="417">
        <f>+AB637+Z637+Y637</f>
        <v>527066623.67373061</v>
      </c>
      <c r="AD638" s="773"/>
      <c r="AE638" s="417">
        <f>+AE637-X637</f>
        <v>-179.93626898527145</v>
      </c>
      <c r="AF638" s="762"/>
    </row>
    <row r="639" spans="1:32">
      <c r="A639" s="779">
        <f t="shared" si="164"/>
        <v>625</v>
      </c>
      <c r="B639" s="779"/>
      <c r="C639" s="779"/>
      <c r="D639" s="779"/>
      <c r="E639" s="779"/>
      <c r="F639" s="779"/>
      <c r="G639" s="779"/>
      <c r="H639" s="779"/>
      <c r="I639" s="779"/>
      <c r="J639" s="779"/>
      <c r="K639" s="779"/>
      <c r="L639" s="779"/>
      <c r="M639" s="779"/>
      <c r="N639" s="779"/>
      <c r="O639" s="779"/>
      <c r="P639" s="779"/>
      <c r="Q639" s="779"/>
      <c r="R639" s="779"/>
      <c r="S639" s="424"/>
      <c r="T639" s="773"/>
      <c r="U639" s="383"/>
      <c r="V639" s="383"/>
      <c r="W639" s="383"/>
      <c r="X639" s="449">
        <f>+X638-V638</f>
        <v>6.2584877014160156E-7</v>
      </c>
      <c r="Y639" s="383"/>
      <c r="Z639" s="383"/>
      <c r="AA639" s="383">
        <f>+Y637+Z637+AB637-X637</f>
        <v>-179.93626898527145</v>
      </c>
      <c r="AB639" s="383"/>
      <c r="AC639" s="773"/>
      <c r="AD639" s="417"/>
      <c r="AE639" s="773"/>
      <c r="AF639" s="762"/>
    </row>
    <row r="640" spans="1:32">
      <c r="A640" s="779">
        <f t="shared" si="164"/>
        <v>626</v>
      </c>
      <c r="B640" s="779"/>
      <c r="C640" s="779"/>
      <c r="D640" s="779"/>
      <c r="E640" s="779" t="s">
        <v>1371</v>
      </c>
      <c r="F640" s="779"/>
      <c r="G640" s="779"/>
      <c r="H640" s="779"/>
      <c r="I640" s="779"/>
      <c r="J640" s="779"/>
      <c r="K640" s="779"/>
      <c r="L640" s="779"/>
      <c r="M640" s="779"/>
      <c r="N640" s="779"/>
      <c r="O640" s="779"/>
      <c r="P640" s="779"/>
      <c r="Q640" s="779"/>
      <c r="R640" s="779"/>
      <c r="S640" s="424"/>
      <c r="T640" s="773"/>
      <c r="U640" s="383"/>
      <c r="V640" s="383"/>
      <c r="W640" s="383"/>
      <c r="X640" s="383">
        <f>+X637-Y637-Z637-AB637</f>
        <v>179.93626899272203</v>
      </c>
      <c r="Y640" s="384">
        <f>+Y637/AC638</f>
        <v>0.68194616488326731</v>
      </c>
      <c r="Z640" s="384">
        <f>+Z637/AC638</f>
        <v>0.19247903343668701</v>
      </c>
      <c r="AA640" s="384"/>
      <c r="AB640" s="384">
        <f>+AB637/AC638</f>
        <v>0.1255748016800457</v>
      </c>
      <c r="AC640" s="773"/>
      <c r="AD640" s="773"/>
      <c r="AE640" s="773"/>
      <c r="AF640" s="762"/>
    </row>
    <row r="641" spans="1:32">
      <c r="A641" s="779">
        <f t="shared" si="164"/>
        <v>627</v>
      </c>
      <c r="B641" s="779"/>
      <c r="C641" s="779"/>
      <c r="D641" s="779"/>
      <c r="E641" s="779"/>
      <c r="F641" s="779"/>
      <c r="G641" s="779"/>
      <c r="H641" s="779"/>
      <c r="I641" s="779"/>
      <c r="J641" s="779"/>
      <c r="K641" s="779"/>
      <c r="L641" s="779"/>
      <c r="M641" s="779"/>
      <c r="N641" s="779"/>
      <c r="O641" s="779"/>
      <c r="P641" s="779"/>
      <c r="Q641" s="779"/>
      <c r="R641" s="779"/>
      <c r="S641" s="424"/>
      <c r="T641" s="773"/>
      <c r="U641" s="383"/>
      <c r="V641" s="383"/>
      <c r="W641" s="383"/>
      <c r="X641" s="383"/>
      <c r="Y641" s="383"/>
      <c r="Z641" s="383"/>
      <c r="AA641" s="383"/>
      <c r="AB641" s="383"/>
      <c r="AC641" s="773"/>
      <c r="AD641" s="773"/>
      <c r="AE641" s="773"/>
      <c r="AF641" s="762"/>
    </row>
    <row r="642" spans="1:32">
      <c r="A642" s="779">
        <f t="shared" si="164"/>
        <v>628</v>
      </c>
      <c r="B642" s="779"/>
      <c r="C642" s="779"/>
      <c r="D642" s="779"/>
      <c r="E642" s="779" t="s">
        <v>1372</v>
      </c>
      <c r="F642" s="779"/>
      <c r="G642" s="779"/>
      <c r="H642" s="779"/>
      <c r="I642" s="779"/>
      <c r="J642" s="779"/>
      <c r="K642" s="779"/>
      <c r="L642" s="779"/>
      <c r="M642" s="779"/>
      <c r="N642" s="779"/>
      <c r="O642" s="779"/>
      <c r="P642" s="779"/>
      <c r="Q642" s="779"/>
      <c r="R642" s="779"/>
      <c r="S642" s="424"/>
      <c r="T642" s="773"/>
      <c r="U642" s="383"/>
      <c r="V642" s="383"/>
      <c r="W642" s="383"/>
      <c r="X642" s="383"/>
      <c r="Y642" s="446">
        <f>+X638*Y640</f>
        <v>401854.46734138718</v>
      </c>
      <c r="Z642" s="383">
        <f>+X638*Z640</f>
        <v>113423.26335880943</v>
      </c>
      <c r="AA642" s="383"/>
      <c r="AB642" s="383">
        <f>+X638*AB640</f>
        <v>73998.209300397051</v>
      </c>
      <c r="AC642" s="773"/>
      <c r="AD642" s="773"/>
      <c r="AE642" s="773"/>
      <c r="AF642" s="762"/>
    </row>
    <row r="643" spans="1:32">
      <c r="A643" s="779"/>
      <c r="B643" s="779"/>
      <c r="C643" s="779"/>
      <c r="D643" s="779"/>
      <c r="E643" s="779"/>
      <c r="F643" s="779"/>
      <c r="G643" s="779"/>
      <c r="H643" s="779"/>
      <c r="I643" s="779"/>
      <c r="J643" s="779"/>
      <c r="K643" s="779"/>
      <c r="L643" s="779"/>
      <c r="M643" s="779"/>
      <c r="N643" s="779"/>
      <c r="O643" s="779"/>
      <c r="P643" s="779"/>
      <c r="Q643" s="779"/>
      <c r="R643" s="779"/>
      <c r="S643" s="424"/>
      <c r="T643" s="773"/>
      <c r="U643" s="383"/>
      <c r="V643" s="383"/>
      <c r="W643" s="383"/>
      <c r="X643" s="383"/>
      <c r="Y643" s="383"/>
      <c r="Z643" s="383"/>
      <c r="AA643" s="383"/>
      <c r="AB643" s="383"/>
      <c r="AC643" s="773"/>
      <c r="AD643" s="773"/>
      <c r="AE643" s="773"/>
      <c r="AF643" s="762"/>
    </row>
  </sheetData>
  <mergeCells count="2">
    <mergeCell ref="B11:B12"/>
    <mergeCell ref="D11:D12"/>
  </mergeCells>
  <pageMargins left="0.7" right="0.7" top="0.75" bottom="0.75" header="0.3" footer="0.3"/>
  <pageSetup scale="33" orientation="landscape" r:id="rId1"/>
  <headerFooter scaleWithDoc="0" alignWithMargins="0">
    <oddHeader>&amp;R&amp;P of &amp;N</oddHeader>
    <oddFooter>&amp;LElectronic Tab Name: &amp;A</oddFooter>
  </headerFooter>
  <rowBreaks count="5" manualBreakCount="5">
    <brk id="75" max="30" man="1"/>
    <brk id="161" max="30" man="1"/>
    <brk id="269" max="30" man="1"/>
    <brk id="381" max="30" man="1"/>
    <brk id="494"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workbookViewId="0">
      <selection activeCell="D30" sqref="D30"/>
    </sheetView>
  </sheetViews>
  <sheetFormatPr defaultColWidth="14" defaultRowHeight="15.75"/>
  <cols>
    <col min="1" max="1" width="2.140625" style="4" bestFit="1" customWidth="1"/>
    <col min="2" max="2" width="14" style="4"/>
    <col min="3" max="3" width="25.140625" style="4" customWidth="1"/>
    <col min="4" max="16384" width="14" style="4"/>
  </cols>
  <sheetData>
    <row r="1" spans="1:4">
      <c r="A1" s="77"/>
      <c r="B1" s="77"/>
      <c r="C1" s="77"/>
      <c r="D1" s="77"/>
    </row>
    <row r="5" spans="1:4">
      <c r="B5" s="874" t="s">
        <v>113</v>
      </c>
      <c r="C5" s="875"/>
      <c r="D5" s="876"/>
    </row>
    <row r="6" spans="1:4">
      <c r="B6" s="877" t="s">
        <v>112</v>
      </c>
      <c r="C6" s="878"/>
      <c r="D6" s="879"/>
    </row>
    <row r="7" spans="1:4">
      <c r="B7" s="877" t="s">
        <v>1377</v>
      </c>
      <c r="C7" s="878"/>
      <c r="D7" s="879"/>
    </row>
    <row r="8" spans="1:4">
      <c r="A8" s="5"/>
      <c r="B8" s="372"/>
      <c r="C8" s="373"/>
      <c r="D8" s="374"/>
    </row>
    <row r="9" spans="1:4">
      <c r="A9" s="78"/>
      <c r="B9" s="78"/>
      <c r="C9" s="78"/>
      <c r="D9" s="78"/>
    </row>
    <row r="11" spans="1:4">
      <c r="A11" s="4">
        <v>1</v>
      </c>
      <c r="B11" s="4" t="s">
        <v>71</v>
      </c>
      <c r="D11" s="76">
        <f>+'Exh MCP-2 - ROO Summary Sheet'!K40</f>
        <v>405155118.94348568</v>
      </c>
    </row>
    <row r="12" spans="1:4">
      <c r="A12" s="4">
        <v>2</v>
      </c>
      <c r="B12" s="4" t="s">
        <v>19</v>
      </c>
      <c r="D12" s="79">
        <f>+'Capital Structure Calculation'!J14</f>
        <v>7.7280000000000001E-2</v>
      </c>
    </row>
    <row r="14" spans="1:4">
      <c r="A14" s="4">
        <v>3</v>
      </c>
      <c r="B14" s="4" t="s">
        <v>72</v>
      </c>
      <c r="D14" s="80">
        <f>+D11*D12</f>
        <v>31310387.591952574</v>
      </c>
    </row>
    <row r="15" spans="1:4">
      <c r="A15" s="4">
        <v>4</v>
      </c>
      <c r="B15" s="4" t="s">
        <v>73</v>
      </c>
      <c r="D15" s="81">
        <f>+'Exh MCP-2 - ROO Summary Sheet'!K32</f>
        <v>21708546.648154497</v>
      </c>
    </row>
    <row r="16" spans="1:4">
      <c r="D16" s="80"/>
    </row>
    <row r="17" spans="1:4">
      <c r="A17" s="4">
        <v>5</v>
      </c>
      <c r="B17" s="4" t="s">
        <v>76</v>
      </c>
      <c r="D17" s="80">
        <f>+D14-D15</f>
        <v>9601840.9437980764</v>
      </c>
    </row>
    <row r="19" spans="1:4">
      <c r="A19" s="4">
        <v>6</v>
      </c>
      <c r="B19" s="4" t="s">
        <v>74</v>
      </c>
      <c r="D19" s="82">
        <f>+'Exh MCP-4 - Conversion Factor'!C25</f>
        <v>0.75554308025479833</v>
      </c>
    </row>
    <row r="21" spans="1:4" ht="16.5" thickBot="1">
      <c r="A21" s="4">
        <v>7</v>
      </c>
      <c r="B21" s="4" t="s">
        <v>75</v>
      </c>
      <c r="D21" s="83">
        <f>+D17/D19</f>
        <v>12708528.732153783</v>
      </c>
    </row>
    <row r="22" spans="1:4" ht="16.5" thickTop="1">
      <c r="D22" s="80"/>
    </row>
    <row r="23" spans="1:4">
      <c r="A23" s="4">
        <v>8</v>
      </c>
      <c r="B23" s="4" t="s">
        <v>109</v>
      </c>
      <c r="D23" s="80">
        <f>+'Exh MCP-2 - ROO Summary Sheet'!K16</f>
        <v>228581668.8999548</v>
      </c>
    </row>
    <row r="25" spans="1:4">
      <c r="A25" s="4">
        <v>9</v>
      </c>
      <c r="B25" s="4" t="s">
        <v>863</v>
      </c>
      <c r="D25" s="84">
        <f>+D21/D23</f>
        <v>5.5597322363220771E-2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UG-19___
Exhibit _____ (MCP-3)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6"/>
  <sheetViews>
    <sheetView workbookViewId="0">
      <selection activeCell="A4" sqref="A4"/>
    </sheetView>
  </sheetViews>
  <sheetFormatPr defaultRowHeight="15.75"/>
  <cols>
    <col min="1" max="1" width="98.7109375" style="4" customWidth="1"/>
    <col min="2" max="2" width="29.42578125" style="4" customWidth="1"/>
    <col min="3" max="16384" width="9.140625" style="4"/>
  </cols>
  <sheetData>
    <row r="1" spans="1:7">
      <c r="A1" s="17" t="s">
        <v>2137</v>
      </c>
    </row>
    <row r="2" spans="1:7">
      <c r="A2" s="17" t="s">
        <v>871</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867</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workbookViewId="0">
      <selection activeCell="J37" sqref="J37"/>
    </sheetView>
  </sheetViews>
  <sheetFormatPr defaultRowHeight="15.75"/>
  <cols>
    <col min="1" max="1" width="34" style="4" bestFit="1" customWidth="1"/>
    <col min="2" max="2" width="9.140625" style="4"/>
    <col min="3" max="3" width="21.28515625" style="90" customWidth="1"/>
    <col min="4" max="16384" width="9.140625" style="4"/>
  </cols>
  <sheetData>
    <row r="1" spans="1:7">
      <c r="A1" s="872" t="s">
        <v>113</v>
      </c>
      <c r="B1" s="872"/>
      <c r="C1" s="872"/>
    </row>
    <row r="2" spans="1:7">
      <c r="A2" s="872" t="s">
        <v>865</v>
      </c>
      <c r="B2" s="872"/>
      <c r="C2" s="872"/>
    </row>
    <row r="3" spans="1:7">
      <c r="A3" s="883" t="s">
        <v>1376</v>
      </c>
      <c r="B3" s="883"/>
      <c r="C3" s="883"/>
    </row>
    <row r="4" spans="1:7">
      <c r="A4" s="880" t="s">
        <v>20</v>
      </c>
      <c r="B4" s="881"/>
      <c r="C4" s="882"/>
    </row>
    <row r="5" spans="1:7">
      <c r="A5" s="85"/>
      <c r="B5" s="86"/>
      <c r="C5" s="87"/>
    </row>
    <row r="6" spans="1:7">
      <c r="A6" s="85" t="s">
        <v>21</v>
      </c>
      <c r="B6" s="86"/>
      <c r="C6" s="87">
        <v>1</v>
      </c>
    </row>
    <row r="7" spans="1:7">
      <c r="A7" s="88" t="s">
        <v>22</v>
      </c>
      <c r="B7" s="86"/>
      <c r="C7" s="87"/>
    </row>
    <row r="8" spans="1:7">
      <c r="A8" s="89" t="s">
        <v>23</v>
      </c>
      <c r="B8" s="86"/>
      <c r="C8" s="378">
        <f>+'Operating Report'!G91/'Operating Report'!G28</f>
        <v>3.0963541078502356E-3</v>
      </c>
    </row>
    <row r="9" spans="1:7">
      <c r="A9" s="89" t="s">
        <v>690</v>
      </c>
      <c r="B9" s="86"/>
      <c r="C9" s="378">
        <v>3.8519999999999999E-2</v>
      </c>
    </row>
    <row r="10" spans="1:7">
      <c r="A10" s="89" t="s">
        <v>689</v>
      </c>
      <c r="B10" s="86"/>
      <c r="C10" s="378">
        <v>2E-3</v>
      </c>
      <c r="D10" s="90">
        <f>+C8+C9+C10</f>
        <v>4.3616354107850239E-2</v>
      </c>
    </row>
    <row r="11" spans="1:7">
      <c r="A11" s="88" t="s">
        <v>24</v>
      </c>
      <c r="B11" s="86"/>
      <c r="C11" s="91"/>
      <c r="G11" s="16"/>
    </row>
    <row r="12" spans="1:7" ht="16.5" thickBot="1">
      <c r="A12" s="88" t="s">
        <v>25</v>
      </c>
      <c r="B12" s="86"/>
      <c r="C12" s="92">
        <f>+C6-SUM(C8:C11)</f>
        <v>0.95638364589214975</v>
      </c>
    </row>
    <row r="13" spans="1:7">
      <c r="A13" s="93"/>
      <c r="B13" s="86"/>
      <c r="C13" s="87"/>
    </row>
    <row r="14" spans="1:7" ht="16.5" thickBot="1">
      <c r="A14" s="88" t="s">
        <v>26</v>
      </c>
      <c r="B14" s="86"/>
      <c r="C14" s="94">
        <v>0</v>
      </c>
    </row>
    <row r="15" spans="1:7">
      <c r="A15" s="93"/>
      <c r="B15" s="86"/>
      <c r="C15" s="87"/>
    </row>
    <row r="16" spans="1:7" ht="16.5" thickBot="1">
      <c r="A16" s="93" t="s">
        <v>27</v>
      </c>
      <c r="B16" s="86"/>
      <c r="C16" s="94">
        <f>+C12-C14</f>
        <v>0.95638364589214975</v>
      </c>
    </row>
    <row r="17" spans="1:3">
      <c r="A17" s="93"/>
      <c r="B17" s="86"/>
      <c r="C17" s="87"/>
    </row>
    <row r="18" spans="1:3" ht="16.5" thickBot="1">
      <c r="A18" s="452" t="s">
        <v>1194</v>
      </c>
      <c r="B18" s="453"/>
      <c r="C18" s="94">
        <f>+C16*0.21</f>
        <v>0.20084056563735145</v>
      </c>
    </row>
    <row r="19" spans="1:3">
      <c r="A19" s="452"/>
      <c r="B19" s="453"/>
      <c r="C19" s="91"/>
    </row>
    <row r="20" spans="1:3" ht="16.5" thickBot="1">
      <c r="A20" s="452" t="s">
        <v>66</v>
      </c>
      <c r="B20" s="453"/>
      <c r="C20" s="92">
        <f>+C14+C18</f>
        <v>0.20084056563735145</v>
      </c>
    </row>
    <row r="21" spans="1:3">
      <c r="A21" s="452"/>
      <c r="B21" s="453"/>
      <c r="C21" s="87"/>
    </row>
    <row r="22" spans="1:3" ht="16.5" thickBot="1">
      <c r="A22" s="452" t="s">
        <v>28</v>
      </c>
      <c r="B22" s="453"/>
      <c r="C22" s="94">
        <f>SUM(C8:C11)+C20</f>
        <v>0.24445691974520167</v>
      </c>
    </row>
    <row r="23" spans="1:3">
      <c r="A23" s="452"/>
      <c r="B23" s="453"/>
      <c r="C23" s="87"/>
    </row>
    <row r="24" spans="1:3">
      <c r="A24" s="452" t="s">
        <v>864</v>
      </c>
      <c r="B24" s="453"/>
      <c r="C24" s="87"/>
    </row>
    <row r="25" spans="1:3" ht="16.5" thickBot="1">
      <c r="A25" s="452" t="s">
        <v>29</v>
      </c>
      <c r="B25" s="453"/>
      <c r="C25" s="95">
        <f>+C6-C22</f>
        <v>0.75554308025479833</v>
      </c>
    </row>
    <row r="26" spans="1:3">
      <c r="A26" s="454"/>
      <c r="B26" s="455"/>
      <c r="C26" s="91"/>
    </row>
    <row r="27" spans="1:3">
      <c r="A27" s="456"/>
      <c r="B27" s="453"/>
      <c r="C27" s="87"/>
    </row>
    <row r="28" spans="1:3">
      <c r="A28" s="456"/>
      <c r="B28" s="453"/>
      <c r="C28" s="87"/>
    </row>
    <row r="29" spans="1:3">
      <c r="A29" s="457" t="s">
        <v>99</v>
      </c>
      <c r="B29" s="458"/>
      <c r="C29" s="97"/>
    </row>
    <row r="30" spans="1:3">
      <c r="A30" s="457" t="s">
        <v>100</v>
      </c>
      <c r="B30" s="458"/>
      <c r="C30" s="97">
        <v>0</v>
      </c>
    </row>
    <row r="31" spans="1:3">
      <c r="A31" s="457" t="s">
        <v>101</v>
      </c>
      <c r="B31" s="458"/>
      <c r="C31" s="97">
        <v>0.21</v>
      </c>
    </row>
    <row r="32" spans="1:3">
      <c r="A32" s="98"/>
      <c r="B32" s="96"/>
      <c r="C32" s="99"/>
    </row>
    <row r="33" spans="1:3">
      <c r="A33" s="100" t="s">
        <v>102</v>
      </c>
      <c r="B33" s="101"/>
      <c r="C33" s="102">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UG-19___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6"/>
  <sheetViews>
    <sheetView workbookViewId="0">
      <selection activeCell="A9" sqref="A9"/>
    </sheetView>
  </sheetViews>
  <sheetFormatPr defaultRowHeight="15.75"/>
  <cols>
    <col min="1" max="1" width="98.7109375" style="4" customWidth="1"/>
    <col min="2" max="2" width="29.42578125" style="4" customWidth="1"/>
    <col min="3" max="16384" width="9.140625" style="4"/>
  </cols>
  <sheetData>
    <row r="1" spans="1:7">
      <c r="A1" s="17" t="s">
        <v>2136</v>
      </c>
    </row>
    <row r="2" spans="1:7">
      <c r="A2" s="17" t="s">
        <v>870</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868</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Z66"/>
  <sheetViews>
    <sheetView zoomScale="68" zoomScaleNormal="68" workbookViewId="0">
      <selection activeCell="U16" sqref="U16"/>
    </sheetView>
  </sheetViews>
  <sheetFormatPr defaultRowHeight="15.75"/>
  <cols>
    <col min="1" max="1" width="3.28515625" style="4" bestFit="1" customWidth="1"/>
    <col min="2" max="2" width="2.85546875" style="4" customWidth="1"/>
    <col min="3" max="3" width="31.140625" style="4" customWidth="1"/>
    <col min="4" max="4" width="1.7109375" style="4" customWidth="1"/>
    <col min="5" max="5" width="1.42578125" style="4" customWidth="1"/>
    <col min="6" max="6" width="1.140625" style="4" customWidth="1"/>
    <col min="7" max="7" width="15.42578125" style="4" bestFit="1" customWidth="1"/>
    <col min="8" max="8" width="13.85546875" style="4" bestFit="1" customWidth="1"/>
    <col min="9" max="9" width="19.85546875" style="4" bestFit="1" customWidth="1"/>
    <col min="10" max="10" width="22.140625" style="4" bestFit="1" customWidth="1"/>
    <col min="11" max="11" width="14.140625" style="26" bestFit="1" customWidth="1"/>
    <col min="12" max="12" width="12.42578125" style="26" customWidth="1"/>
    <col min="13" max="13" width="14.28515625" style="4" bestFit="1" customWidth="1"/>
    <col min="14" max="14" width="14.42578125" style="107" bestFit="1" customWidth="1"/>
    <col min="15" max="15" width="14.85546875" style="4" bestFit="1" customWidth="1"/>
    <col min="16" max="16" width="14.5703125" style="26" bestFit="1" customWidth="1"/>
    <col min="17" max="17" width="2.140625" style="4" customWidth="1"/>
    <col min="18" max="18" width="15.28515625" style="4" bestFit="1" customWidth="1"/>
    <col min="19" max="16384" width="9.140625" style="4"/>
  </cols>
  <sheetData>
    <row r="1" spans="1:19">
      <c r="A1" s="77"/>
      <c r="B1" s="77"/>
      <c r="C1" s="77"/>
      <c r="D1" s="77"/>
      <c r="E1" s="77"/>
      <c r="F1" s="77"/>
      <c r="G1" s="77"/>
      <c r="H1" s="77"/>
      <c r="I1" s="77"/>
      <c r="J1" s="77"/>
      <c r="K1" s="131"/>
      <c r="L1" s="131"/>
      <c r="M1" s="77"/>
      <c r="N1" s="106"/>
      <c r="O1" s="77"/>
      <c r="P1" s="131"/>
      <c r="Q1" s="77"/>
      <c r="R1" s="77"/>
    </row>
    <row r="2" spans="1:19">
      <c r="A2" s="4" t="s">
        <v>56</v>
      </c>
    </row>
    <row r="3" spans="1:19">
      <c r="O3" s="884"/>
      <c r="P3" s="884"/>
      <c r="Q3" s="884"/>
      <c r="R3" s="884"/>
      <c r="S3" s="884"/>
    </row>
    <row r="4" spans="1:19">
      <c r="O4" s="884"/>
      <c r="P4" s="884"/>
      <c r="Q4" s="884"/>
      <c r="R4" s="884"/>
      <c r="S4" s="884"/>
    </row>
    <row r="5" spans="1:19">
      <c r="B5" s="878" t="s">
        <v>114</v>
      </c>
      <c r="C5" s="878"/>
      <c r="D5" s="878"/>
      <c r="E5" s="878"/>
      <c r="F5" s="878"/>
      <c r="G5" s="878"/>
      <c r="H5" s="878"/>
      <c r="I5" s="878"/>
      <c r="J5" s="878"/>
      <c r="K5" s="878"/>
      <c r="L5" s="878"/>
      <c r="M5" s="878"/>
      <c r="N5" s="878"/>
      <c r="O5" s="878"/>
      <c r="P5" s="878"/>
      <c r="Q5" s="878"/>
      <c r="R5" s="878"/>
    </row>
    <row r="6" spans="1:19">
      <c r="A6" s="16"/>
      <c r="B6" s="878" t="s">
        <v>699</v>
      </c>
      <c r="C6" s="878"/>
      <c r="D6" s="878"/>
      <c r="E6" s="878"/>
      <c r="F6" s="878"/>
      <c r="G6" s="878"/>
      <c r="H6" s="878"/>
      <c r="I6" s="878"/>
      <c r="J6" s="878"/>
      <c r="K6" s="878"/>
      <c r="L6" s="878"/>
      <c r="M6" s="878"/>
      <c r="N6" s="878"/>
      <c r="O6" s="878"/>
      <c r="P6" s="878"/>
      <c r="Q6" s="878"/>
      <c r="R6" s="878"/>
    </row>
    <row r="7" spans="1:19">
      <c r="A7" s="108" t="s">
        <v>56</v>
      </c>
      <c r="B7" s="878" t="s">
        <v>1376</v>
      </c>
      <c r="C7" s="878"/>
      <c r="D7" s="878"/>
      <c r="E7" s="878"/>
      <c r="F7" s="878"/>
      <c r="G7" s="878"/>
      <c r="H7" s="878"/>
      <c r="I7" s="878"/>
      <c r="J7" s="878"/>
      <c r="K7" s="878"/>
      <c r="L7" s="878"/>
      <c r="M7" s="878"/>
      <c r="N7" s="878"/>
      <c r="O7" s="878"/>
      <c r="P7" s="878"/>
      <c r="Q7" s="878"/>
      <c r="R7" s="878"/>
    </row>
    <row r="8" spans="1:19">
      <c r="A8" s="108"/>
      <c r="B8" s="109"/>
      <c r="C8" s="109"/>
      <c r="D8" s="109"/>
      <c r="E8" s="109"/>
      <c r="F8" s="109"/>
      <c r="G8" s="109"/>
      <c r="H8" s="109"/>
      <c r="I8" s="109"/>
      <c r="J8" s="109"/>
      <c r="K8" s="109"/>
      <c r="L8" s="109"/>
      <c r="M8" s="109"/>
      <c r="N8" s="109"/>
      <c r="O8" s="787"/>
      <c r="P8" s="787"/>
      <c r="Q8" s="109"/>
      <c r="R8" s="109"/>
    </row>
    <row r="9" spans="1:19">
      <c r="A9" s="78"/>
      <c r="B9" s="78"/>
      <c r="C9" s="78"/>
      <c r="D9" s="78"/>
      <c r="E9" s="78"/>
      <c r="F9" s="77"/>
      <c r="G9" s="110"/>
      <c r="H9" s="77"/>
      <c r="I9" s="77"/>
      <c r="J9" s="77"/>
      <c r="K9" s="131"/>
      <c r="L9" s="131"/>
      <c r="M9" s="77"/>
      <c r="N9" s="106"/>
      <c r="O9" s="77"/>
      <c r="P9" s="131"/>
      <c r="Q9" s="77"/>
      <c r="R9" s="77"/>
    </row>
    <row r="10" spans="1:19">
      <c r="A10" s="111"/>
      <c r="B10" s="112"/>
      <c r="C10" s="113"/>
      <c r="D10" s="114"/>
      <c r="E10" s="115"/>
      <c r="F10" s="77"/>
      <c r="G10" s="459" t="s">
        <v>711</v>
      </c>
      <c r="H10" s="582" t="s">
        <v>61</v>
      </c>
      <c r="I10" s="116" t="s">
        <v>744</v>
      </c>
      <c r="J10" s="783" t="s">
        <v>744</v>
      </c>
      <c r="K10" s="459" t="s">
        <v>2155</v>
      </c>
      <c r="L10" s="582" t="s">
        <v>1195</v>
      </c>
      <c r="M10" s="459" t="s">
        <v>63</v>
      </c>
      <c r="N10" s="734" t="s">
        <v>705</v>
      </c>
      <c r="O10" s="116" t="s">
        <v>705</v>
      </c>
      <c r="P10" s="116" t="s">
        <v>762</v>
      </c>
      <c r="Q10" s="110"/>
      <c r="R10" s="613" t="s">
        <v>58</v>
      </c>
    </row>
    <row r="11" spans="1:19">
      <c r="A11" s="111"/>
      <c r="B11" s="117"/>
      <c r="C11" s="118"/>
      <c r="D11" s="111"/>
      <c r="E11" s="115"/>
      <c r="F11" s="77"/>
      <c r="G11" s="120" t="s">
        <v>775</v>
      </c>
      <c r="H11" s="119" t="s">
        <v>57</v>
      </c>
      <c r="I11" s="120" t="s">
        <v>741</v>
      </c>
      <c r="J11" s="784" t="s">
        <v>2158</v>
      </c>
      <c r="K11" s="120" t="s">
        <v>108</v>
      </c>
      <c r="L11" s="119" t="s">
        <v>1196</v>
      </c>
      <c r="M11" s="120" t="s">
        <v>64</v>
      </c>
      <c r="N11" s="735" t="s">
        <v>709</v>
      </c>
      <c r="O11" s="120" t="s">
        <v>745</v>
      </c>
      <c r="P11" s="120" t="s">
        <v>763</v>
      </c>
      <c r="Q11" s="110"/>
      <c r="R11" s="614" t="s">
        <v>1</v>
      </c>
    </row>
    <row r="12" spans="1:19">
      <c r="A12" s="111"/>
      <c r="B12" s="117"/>
      <c r="C12" s="115"/>
      <c r="D12" s="111"/>
      <c r="E12" s="115"/>
      <c r="F12" s="77"/>
      <c r="G12" s="120" t="s">
        <v>62</v>
      </c>
      <c r="H12" s="119" t="s">
        <v>62</v>
      </c>
      <c r="I12" s="120" t="s">
        <v>62</v>
      </c>
      <c r="J12" s="784" t="s">
        <v>2157</v>
      </c>
      <c r="K12" s="120"/>
      <c r="L12" s="119"/>
      <c r="M12" s="120" t="s">
        <v>62</v>
      </c>
      <c r="N12" s="735" t="s">
        <v>62</v>
      </c>
      <c r="O12" s="120" t="s">
        <v>65</v>
      </c>
      <c r="P12" s="120" t="s">
        <v>764</v>
      </c>
      <c r="Q12" s="110"/>
      <c r="R12" s="614"/>
    </row>
    <row r="13" spans="1:19">
      <c r="A13" s="111"/>
      <c r="B13" s="117"/>
      <c r="C13" s="115"/>
      <c r="D13" s="111"/>
      <c r="E13" s="115"/>
      <c r="F13" s="77"/>
      <c r="G13" s="121" t="s">
        <v>700</v>
      </c>
      <c r="H13" s="609" t="s">
        <v>701</v>
      </c>
      <c r="I13" s="120" t="s">
        <v>743</v>
      </c>
      <c r="J13" s="784" t="s">
        <v>774</v>
      </c>
      <c r="K13" s="120" t="s">
        <v>1651</v>
      </c>
      <c r="L13" s="119" t="s">
        <v>1652</v>
      </c>
      <c r="M13" s="120" t="s">
        <v>702</v>
      </c>
      <c r="N13" s="735" t="s">
        <v>703</v>
      </c>
      <c r="O13" s="120" t="s">
        <v>776</v>
      </c>
      <c r="P13" s="120" t="s">
        <v>704</v>
      </c>
      <c r="Q13" s="110"/>
      <c r="R13" s="614"/>
    </row>
    <row r="14" spans="1:19">
      <c r="A14" s="111"/>
      <c r="B14" s="122"/>
      <c r="C14" s="123"/>
      <c r="D14" s="124"/>
      <c r="E14" s="115"/>
      <c r="F14" s="77"/>
      <c r="G14" s="611"/>
      <c r="H14" s="610"/>
      <c r="I14" s="125"/>
      <c r="J14" s="785"/>
      <c r="K14" s="125"/>
      <c r="L14" s="607"/>
      <c r="M14" s="612"/>
      <c r="N14" s="736"/>
      <c r="O14" s="125"/>
      <c r="P14" s="125"/>
      <c r="Q14" s="126"/>
      <c r="R14" s="615"/>
    </row>
    <row r="15" spans="1:19">
      <c r="A15" s="111">
        <v>1</v>
      </c>
      <c r="B15" s="115"/>
      <c r="C15" s="34" t="s">
        <v>11</v>
      </c>
      <c r="D15" s="111"/>
      <c r="E15" s="115"/>
      <c r="F15" s="77"/>
      <c r="G15" s="122"/>
      <c r="H15" s="127"/>
      <c r="I15" s="616"/>
      <c r="J15" s="128"/>
      <c r="K15" s="616"/>
      <c r="L15" s="616"/>
      <c r="M15" s="677"/>
      <c r="N15" s="737"/>
      <c r="O15" s="738"/>
      <c r="P15" s="738"/>
      <c r="Q15" s="126"/>
      <c r="R15" s="129"/>
    </row>
    <row r="16" spans="1:19">
      <c r="A16" s="130">
        <v>2</v>
      </c>
      <c r="B16" s="78"/>
      <c r="C16" s="48" t="s">
        <v>30</v>
      </c>
      <c r="D16" s="130"/>
      <c r="E16" s="78"/>
      <c r="F16" s="131"/>
      <c r="G16" s="813">
        <f>+'Operating Report'!I15</f>
        <v>684346.33995482326</v>
      </c>
      <c r="H16" s="813"/>
      <c r="I16" s="813">
        <f>+'Operating Report'!K15</f>
        <v>2733771.6600000057</v>
      </c>
      <c r="J16" s="813">
        <f>+'Operating Report'!L15</f>
        <v>678910</v>
      </c>
      <c r="K16" s="132"/>
      <c r="L16" s="132"/>
      <c r="M16" s="132"/>
      <c r="N16" s="739"/>
      <c r="O16" s="132"/>
      <c r="P16" s="132"/>
      <c r="Q16" s="132"/>
      <c r="R16" s="133">
        <f>SUM(G16:Q16)</f>
        <v>4097027.999954829</v>
      </c>
    </row>
    <row r="17" spans="1:19">
      <c r="A17" s="130">
        <v>3</v>
      </c>
      <c r="B17" s="78"/>
      <c r="C17" s="48" t="s">
        <v>31</v>
      </c>
      <c r="D17" s="130"/>
      <c r="E17" s="78"/>
      <c r="F17" s="131"/>
      <c r="G17" s="134"/>
      <c r="H17" s="134"/>
      <c r="I17" s="134"/>
      <c r="J17" s="136"/>
      <c r="K17" s="136"/>
      <c r="L17" s="136"/>
      <c r="M17" s="136"/>
      <c r="N17" s="136"/>
      <c r="O17" s="136">
        <f>+'Pro Forma Plant Additions'!E14</f>
        <v>0</v>
      </c>
      <c r="P17" s="136"/>
      <c r="Q17" s="135"/>
      <c r="R17" s="135">
        <f>SUM(G17:Q17)</f>
        <v>0</v>
      </c>
    </row>
    <row r="18" spans="1:19">
      <c r="A18" s="130">
        <v>4</v>
      </c>
      <c r="B18" s="78"/>
      <c r="C18" s="48" t="s">
        <v>32</v>
      </c>
      <c r="D18" s="130"/>
      <c r="E18" s="78"/>
      <c r="F18" s="131"/>
      <c r="G18" s="134"/>
      <c r="H18" s="134"/>
      <c r="I18" s="136"/>
      <c r="J18" s="136"/>
      <c r="K18" s="136"/>
      <c r="L18" s="136"/>
      <c r="M18" s="136"/>
      <c r="N18" s="136"/>
      <c r="O18" s="136"/>
      <c r="P18" s="136"/>
      <c r="Q18" s="135"/>
      <c r="R18" s="135">
        <f>SUM(G18:Q18)</f>
        <v>0</v>
      </c>
    </row>
    <row r="19" spans="1:19" ht="16.5" thickBot="1">
      <c r="A19" s="130">
        <v>5</v>
      </c>
      <c r="B19" s="137"/>
      <c r="C19" s="56" t="s">
        <v>796</v>
      </c>
      <c r="D19" s="138"/>
      <c r="E19" s="137"/>
      <c r="F19" s="139"/>
      <c r="G19" s="140">
        <f t="shared" ref="G19:O19" si="0">+G16+G17+G18</f>
        <v>684346.33995482326</v>
      </c>
      <c r="H19" s="140">
        <f t="shared" si="0"/>
        <v>0</v>
      </c>
      <c r="I19" s="141">
        <f>+I16+I17+I18</f>
        <v>2733771.6600000057</v>
      </c>
      <c r="J19" s="141">
        <f>+J16+J17+J18</f>
        <v>678910</v>
      </c>
      <c r="K19" s="141">
        <f t="shared" ref="K19:L19" si="1">+K16+K17+K18</f>
        <v>0</v>
      </c>
      <c r="L19" s="141">
        <f t="shared" si="1"/>
        <v>0</v>
      </c>
      <c r="M19" s="141">
        <f t="shared" si="0"/>
        <v>0</v>
      </c>
      <c r="N19" s="141">
        <f t="shared" si="0"/>
        <v>0</v>
      </c>
      <c r="O19" s="141">
        <f t="shared" si="0"/>
        <v>0</v>
      </c>
      <c r="P19" s="141"/>
      <c r="Q19" s="140"/>
      <c r="R19" s="140">
        <f>+R18+R17+R16</f>
        <v>4097027.999954829</v>
      </c>
    </row>
    <row r="20" spans="1:19">
      <c r="A20" s="130"/>
      <c r="B20" s="137"/>
      <c r="C20" s="56"/>
      <c r="D20" s="138"/>
      <c r="E20" s="137"/>
      <c r="F20" s="139"/>
      <c r="G20" s="142"/>
      <c r="H20" s="142"/>
      <c r="I20" s="143"/>
      <c r="J20" s="143"/>
      <c r="K20" s="143"/>
      <c r="L20" s="143"/>
      <c r="M20" s="143"/>
      <c r="N20" s="143"/>
      <c r="O20" s="143"/>
      <c r="P20" s="143"/>
      <c r="Q20" s="144"/>
      <c r="R20" s="144"/>
    </row>
    <row r="21" spans="1:19">
      <c r="A21" s="130"/>
      <c r="B21" s="137"/>
      <c r="C21" s="56" t="s">
        <v>12</v>
      </c>
      <c r="D21" s="138"/>
      <c r="E21" s="137"/>
      <c r="F21" s="139"/>
      <c r="G21" s="142"/>
      <c r="H21" s="142"/>
      <c r="I21" s="143"/>
      <c r="J21" s="143"/>
      <c r="K21" s="143"/>
      <c r="L21" s="143"/>
      <c r="M21" s="143"/>
      <c r="N21" s="143"/>
      <c r="O21" s="143"/>
      <c r="P21" s="143"/>
      <c r="Q21" s="144"/>
      <c r="R21" s="144"/>
    </row>
    <row r="22" spans="1:19">
      <c r="A22" s="130">
        <v>6</v>
      </c>
      <c r="B22" s="115"/>
      <c r="C22" s="48" t="s">
        <v>794</v>
      </c>
      <c r="D22" s="111"/>
      <c r="E22" s="115"/>
      <c r="F22" s="77"/>
      <c r="G22" s="134"/>
      <c r="H22" s="134"/>
      <c r="I22" s="136"/>
      <c r="J22" s="136"/>
      <c r="K22" s="136"/>
      <c r="L22" s="136"/>
      <c r="M22" s="136"/>
      <c r="N22" s="136"/>
      <c r="O22" s="136"/>
      <c r="P22" s="136"/>
      <c r="Q22" s="145"/>
      <c r="R22" s="146">
        <f t="shared" ref="R22:R34" si="2">SUM(G22:Q22)</f>
        <v>0</v>
      </c>
    </row>
    <row r="23" spans="1:19">
      <c r="A23" s="130">
        <v>7</v>
      </c>
      <c r="B23" s="115"/>
      <c r="C23" s="48" t="s">
        <v>795</v>
      </c>
      <c r="D23" s="111"/>
      <c r="E23" s="115"/>
      <c r="F23" s="77"/>
      <c r="G23" s="134">
        <f>+'Operating Report'!I53</f>
        <v>27729.71369496944</v>
      </c>
      <c r="H23" s="134"/>
      <c r="I23" s="136">
        <f>+'Operating Report'!K53</f>
        <v>110772.42766320023</v>
      </c>
      <c r="J23" s="136">
        <f>+'Operating Report'!L53</f>
        <v>27509.433199999999</v>
      </c>
      <c r="K23" s="136"/>
      <c r="L23" s="136"/>
      <c r="M23" s="136"/>
      <c r="N23" s="136"/>
      <c r="O23" s="136">
        <f>+O19*('Exh MCP-4 - Conversion Factor'!C9+'Exh MCP-4 - Conversion Factor'!C10)</f>
        <v>0</v>
      </c>
      <c r="P23" s="136"/>
      <c r="Q23" s="145"/>
      <c r="R23" s="146">
        <f t="shared" si="2"/>
        <v>166011.57455816967</v>
      </c>
    </row>
    <row r="24" spans="1:19">
      <c r="A24" s="130">
        <v>8</v>
      </c>
      <c r="B24" s="115"/>
      <c r="C24" s="60" t="s">
        <v>34</v>
      </c>
      <c r="D24" s="111"/>
      <c r="E24" s="115"/>
      <c r="F24" s="77"/>
      <c r="G24" s="134"/>
      <c r="H24" s="134"/>
      <c r="I24" s="136"/>
      <c r="J24" s="136"/>
      <c r="K24" s="136">
        <f>+'Operating Report'!M57</f>
        <v>0</v>
      </c>
      <c r="L24" s="136"/>
      <c r="M24" s="136"/>
      <c r="N24" s="136">
        <f>+'Operating Report'!P57</f>
        <v>7721.3045280000006</v>
      </c>
      <c r="O24" s="136"/>
      <c r="P24" s="136"/>
      <c r="Q24" s="145"/>
      <c r="R24" s="132">
        <f t="shared" si="2"/>
        <v>7721.3045280000006</v>
      </c>
    </row>
    <row r="25" spans="1:19">
      <c r="A25" s="130">
        <v>9</v>
      </c>
      <c r="B25" s="115"/>
      <c r="C25" s="60" t="s">
        <v>13</v>
      </c>
      <c r="D25" s="111"/>
      <c r="E25" s="115"/>
      <c r="F25" s="77"/>
      <c r="G25" s="134"/>
      <c r="H25" s="134"/>
      <c r="I25" s="136"/>
      <c r="J25" s="136"/>
      <c r="K25" s="136">
        <f>+'Operating Report'!M85</f>
        <v>74550.3897</v>
      </c>
      <c r="L25" s="136"/>
      <c r="M25" s="136"/>
      <c r="N25" s="136">
        <f>+'Operating Report'!P85</f>
        <v>856283.97409172996</v>
      </c>
      <c r="O25" s="136"/>
      <c r="P25" s="136">
        <f>+'Operating Report'!R61</f>
        <v>859550.71099999989</v>
      </c>
      <c r="Q25" s="145"/>
      <c r="R25" s="132">
        <f t="shared" si="2"/>
        <v>1790385.0747917299</v>
      </c>
    </row>
    <row r="26" spans="1:19">
      <c r="A26" s="130">
        <v>10</v>
      </c>
      <c r="B26" s="115"/>
      <c r="C26" s="60" t="s">
        <v>35</v>
      </c>
      <c r="D26" s="111"/>
      <c r="E26" s="115"/>
      <c r="F26" s="77"/>
      <c r="G26" s="791">
        <f>+'Operating Report'!I93</f>
        <v>2118.9786009113909</v>
      </c>
      <c r="H26" s="147"/>
      <c r="I26" s="148">
        <f>+'Operating Report'!K91</f>
        <v>8464.7251093655759</v>
      </c>
      <c r="J26" s="148">
        <f>+'Operating Report'!L91</f>
        <v>2102.1457673606033</v>
      </c>
      <c r="K26" s="675">
        <f>+'Operating Report'!M93</f>
        <v>3650.0672999999942</v>
      </c>
      <c r="L26" s="148"/>
      <c r="M26" s="148"/>
      <c r="N26" s="675">
        <f>+'Operating Report'!P93</f>
        <v>83722.469568569999</v>
      </c>
      <c r="O26" s="148">
        <f>+O19*'Exh MCP-4 - Conversion Factor'!C8</f>
        <v>0</v>
      </c>
      <c r="P26" s="148"/>
      <c r="Q26" s="149"/>
      <c r="R26" s="132">
        <f t="shared" si="2"/>
        <v>100058.38634620757</v>
      </c>
    </row>
    <row r="27" spans="1:19">
      <c r="A27" s="130">
        <v>11</v>
      </c>
      <c r="B27" s="115"/>
      <c r="C27" s="60" t="s">
        <v>14</v>
      </c>
      <c r="D27" s="111"/>
      <c r="E27" s="115"/>
      <c r="F27" s="77"/>
      <c r="G27" s="150"/>
      <c r="H27" s="134"/>
      <c r="I27" s="136"/>
      <c r="J27" s="136"/>
      <c r="K27" s="136"/>
      <c r="L27" s="136"/>
      <c r="M27" s="136"/>
      <c r="N27" s="675">
        <f>+'Operating Report'!P100</f>
        <v>52300.645248000001</v>
      </c>
      <c r="O27" s="136"/>
      <c r="P27" s="136"/>
      <c r="Q27" s="151"/>
      <c r="R27" s="132">
        <f t="shared" si="2"/>
        <v>52300.645248000001</v>
      </c>
    </row>
    <row r="28" spans="1:19">
      <c r="A28" s="130">
        <v>12</v>
      </c>
      <c r="B28" s="115"/>
      <c r="C28" s="60" t="s">
        <v>15</v>
      </c>
      <c r="D28" s="111"/>
      <c r="E28" s="115"/>
      <c r="F28" s="77"/>
      <c r="G28" s="134"/>
      <c r="H28" s="134">
        <f>+'Operating Report'!J105</f>
        <v>-1546.6574900000001</v>
      </c>
      <c r="I28" s="136"/>
      <c r="J28" s="136"/>
      <c r="K28" s="136"/>
      <c r="L28" s="136"/>
      <c r="M28" s="136"/>
      <c r="N28" s="136"/>
      <c r="O28" s="136"/>
      <c r="P28" s="136"/>
      <c r="Q28" s="151"/>
      <c r="R28" s="132">
        <f t="shared" si="2"/>
        <v>-1546.6574900000001</v>
      </c>
    </row>
    <row r="29" spans="1:19" ht="16.5" thickBot="1">
      <c r="A29" s="130">
        <v>13</v>
      </c>
      <c r="B29" s="137"/>
      <c r="C29" s="60" t="s">
        <v>16</v>
      </c>
      <c r="D29" s="138"/>
      <c r="E29" s="137"/>
      <c r="F29" s="139"/>
      <c r="G29" s="134"/>
      <c r="H29" s="134">
        <f>+'Operating Report'!J117</f>
        <v>-22434.469370000003</v>
      </c>
      <c r="I29" s="136"/>
      <c r="J29" s="136"/>
      <c r="K29" s="136">
        <f>+'Operating Report'!M123</f>
        <v>92.339399999999998</v>
      </c>
      <c r="L29" s="136">
        <f>+'Operating Report'!N121</f>
        <v>-894390.32</v>
      </c>
      <c r="M29" s="136"/>
      <c r="N29" s="136">
        <f>+'Operating Report'!P123</f>
        <v>512600.25700146006</v>
      </c>
      <c r="O29" s="136"/>
      <c r="P29" s="136"/>
      <c r="Q29" s="152"/>
      <c r="R29" s="132">
        <f t="shared" si="2"/>
        <v>-404132.19296853989</v>
      </c>
    </row>
    <row r="30" spans="1:19">
      <c r="A30" s="130">
        <v>14</v>
      </c>
      <c r="B30" s="115"/>
      <c r="C30" s="60" t="s">
        <v>36</v>
      </c>
      <c r="D30" s="111"/>
      <c r="E30" s="115"/>
      <c r="F30" s="77"/>
      <c r="G30" s="153"/>
      <c r="H30" s="153"/>
      <c r="I30" s="154"/>
      <c r="J30" s="782">
        <f>+'Operating Report'!L135</f>
        <v>1490380.1299999952</v>
      </c>
      <c r="K30" s="136"/>
      <c r="L30" s="154"/>
      <c r="M30" s="154"/>
      <c r="N30" s="136"/>
      <c r="O30" s="136">
        <f>+'Operating Report'!Q128</f>
        <v>648693.37219107943</v>
      </c>
      <c r="P30" s="136"/>
      <c r="Q30" s="155"/>
      <c r="R30" s="132">
        <f t="shared" si="2"/>
        <v>2139073.5021910747</v>
      </c>
    </row>
    <row r="31" spans="1:19">
      <c r="A31" s="130">
        <v>15</v>
      </c>
      <c r="B31" s="115"/>
      <c r="C31" s="60" t="s">
        <v>37</v>
      </c>
      <c r="D31" s="111"/>
      <c r="E31" s="115"/>
      <c r="F31" s="77"/>
      <c r="G31" s="134"/>
      <c r="H31" s="134"/>
      <c r="I31" s="136"/>
      <c r="J31" s="136"/>
      <c r="K31" s="136"/>
      <c r="L31" s="136"/>
      <c r="M31" s="136"/>
      <c r="N31" s="136"/>
      <c r="O31" s="136"/>
      <c r="P31" s="136"/>
      <c r="Q31" s="151"/>
      <c r="R31" s="132">
        <f t="shared" si="2"/>
        <v>0</v>
      </c>
    </row>
    <row r="32" spans="1:19">
      <c r="A32" s="130">
        <v>16</v>
      </c>
      <c r="B32" s="115"/>
      <c r="C32" s="60" t="s">
        <v>38</v>
      </c>
      <c r="D32" s="111"/>
      <c r="E32" s="115"/>
      <c r="F32" s="77"/>
      <c r="G32" s="134"/>
      <c r="H32" s="134"/>
      <c r="I32" s="136"/>
      <c r="J32" s="136"/>
      <c r="K32" s="136">
        <f>+'Operating Report'!M140</f>
        <v>5989.3989245999992</v>
      </c>
      <c r="L32" s="136"/>
      <c r="M32" s="136"/>
      <c r="N32" s="136">
        <f>+'Operating Report'!P140</f>
        <v>88724.599997192621</v>
      </c>
      <c r="O32" s="136">
        <f>+'Operating Report'!Q140</f>
        <v>396050.14785590791</v>
      </c>
      <c r="P32" s="136"/>
      <c r="Q32" s="151"/>
      <c r="R32" s="132">
        <f t="shared" si="2"/>
        <v>490764.14677770052</v>
      </c>
      <c r="S32" s="77"/>
    </row>
    <row r="33" spans="1:130">
      <c r="A33" s="130">
        <v>17</v>
      </c>
      <c r="B33" s="115"/>
      <c r="C33" s="60" t="s">
        <v>39</v>
      </c>
      <c r="D33" s="111"/>
      <c r="E33" s="115"/>
      <c r="F33" s="77"/>
      <c r="G33" s="136">
        <f>+'Operating Report'!I149</f>
        <v>137444.50600837791</v>
      </c>
      <c r="H33" s="136">
        <f>+'Operating Report'!J143</f>
        <v>5036.0366406000003</v>
      </c>
      <c r="I33" s="136">
        <f>+'Operating Report'!K149</f>
        <v>549052.24651776231</v>
      </c>
      <c r="J33" s="136">
        <f>+'Operating Report'!L149</f>
        <v>-176627.1588831447</v>
      </c>
      <c r="K33" s="136">
        <f>+'Operating Report'!M149</f>
        <v>-17699.261018165998</v>
      </c>
      <c r="L33" s="136">
        <f>+'Operating Report'!N149</f>
        <v>187821.96719999998</v>
      </c>
      <c r="M33" s="136">
        <f>+'Operating Report'!O149</f>
        <v>-285942.76753624319</v>
      </c>
      <c r="N33" s="136">
        <f>+'Operating Report'!P143</f>
        <v>-336284.1825913401</v>
      </c>
      <c r="O33" s="136">
        <f>+'Operating Report'!Q143</f>
        <v>-219396.13920986734</v>
      </c>
      <c r="P33" s="136">
        <f>+'Operating Report'!R143</f>
        <v>-180505.64930999998</v>
      </c>
      <c r="Q33" s="151"/>
      <c r="R33" s="132">
        <f t="shared" si="2"/>
        <v>-337100.40218202106</v>
      </c>
      <c r="S33" s="77"/>
    </row>
    <row r="34" spans="1:130">
      <c r="A34" s="130">
        <v>18</v>
      </c>
      <c r="B34" s="115"/>
      <c r="C34" s="64" t="s">
        <v>40</v>
      </c>
      <c r="D34" s="111"/>
      <c r="E34" s="115"/>
      <c r="F34" s="77"/>
      <c r="G34" s="135">
        <f>SUM(G22:G33)</f>
        <v>167293.19830425875</v>
      </c>
      <c r="H34" s="135">
        <f>SUM(H22:H33)</f>
        <v>-18945.090219400005</v>
      </c>
      <c r="I34" s="135">
        <f t="shared" ref="I34:J34" si="3">SUM(I22:I33)</f>
        <v>668289.39929032815</v>
      </c>
      <c r="J34" s="135">
        <f t="shared" si="3"/>
        <v>1343364.5500842112</v>
      </c>
      <c r="K34" s="135">
        <f t="shared" ref="K34" si="4">SUM(K22:K33)</f>
        <v>66582.934306433992</v>
      </c>
      <c r="L34" s="135">
        <f>SUM(L24:L33)</f>
        <v>-706568.35279999999</v>
      </c>
      <c r="M34" s="135">
        <f>SUM(M24:M33)</f>
        <v>-285942.76753624319</v>
      </c>
      <c r="N34" s="135">
        <f t="shared" ref="N34:P34" si="5">SUM(N22:N33)</f>
        <v>1265069.0678436127</v>
      </c>
      <c r="O34" s="135">
        <f t="shared" si="5"/>
        <v>825347.38083712</v>
      </c>
      <c r="P34" s="135">
        <f t="shared" si="5"/>
        <v>679045.06168999989</v>
      </c>
      <c r="Q34" s="151"/>
      <c r="R34" s="132">
        <f t="shared" si="2"/>
        <v>4003535.3818003219</v>
      </c>
      <c r="S34" s="77"/>
    </row>
    <row r="35" spans="1:130" ht="16.5" thickBot="1">
      <c r="A35" s="130">
        <v>19</v>
      </c>
      <c r="B35" s="115"/>
      <c r="C35" s="64" t="s">
        <v>17</v>
      </c>
      <c r="D35" s="111"/>
      <c r="E35" s="115"/>
      <c r="F35" s="77"/>
      <c r="G35" s="156">
        <f>+G19-G34</f>
        <v>517053.1416505645</v>
      </c>
      <c r="H35" s="156">
        <f>+H19-H34</f>
        <v>18945.090219400005</v>
      </c>
      <c r="I35" s="156">
        <f t="shared" ref="I35:J35" si="6">+I19-I34</f>
        <v>2065482.2607096776</v>
      </c>
      <c r="J35" s="460">
        <f t="shared" si="6"/>
        <v>-664454.55008421117</v>
      </c>
      <c r="K35" s="460">
        <f t="shared" ref="K35" si="7">+K19-K34</f>
        <v>-66582.934306433992</v>
      </c>
      <c r="L35" s="460">
        <f t="shared" ref="L35" si="8">+L19-L34</f>
        <v>706568.35279999999</v>
      </c>
      <c r="M35" s="460">
        <f t="shared" ref="M35:P35" si="9">+M19-M34</f>
        <v>285942.76753624319</v>
      </c>
      <c r="N35" s="460">
        <f t="shared" si="9"/>
        <v>-1265069.0678436127</v>
      </c>
      <c r="O35" s="460">
        <f t="shared" si="9"/>
        <v>-825347.38083712</v>
      </c>
      <c r="P35" s="460">
        <f t="shared" si="9"/>
        <v>-679045.06168999989</v>
      </c>
      <c r="Q35" s="156"/>
      <c r="R35" s="156">
        <f>+R19-R34</f>
        <v>93492.61815450713</v>
      </c>
      <c r="S35" s="77"/>
    </row>
    <row r="36" spans="1:130" ht="16.5" thickBot="1">
      <c r="A36" s="130"/>
      <c r="B36" s="115"/>
      <c r="C36" s="64"/>
      <c r="D36" s="111"/>
      <c r="E36" s="115"/>
      <c r="F36" s="77"/>
      <c r="G36" s="157"/>
      <c r="H36" s="157"/>
      <c r="I36" s="158"/>
      <c r="J36" s="158"/>
      <c r="K36" s="158"/>
      <c r="L36" s="158"/>
      <c r="M36" s="158"/>
      <c r="N36" s="740"/>
      <c r="O36" s="158"/>
      <c r="P36" s="158"/>
      <c r="Q36" s="159"/>
      <c r="R36" s="157"/>
      <c r="S36" s="160"/>
    </row>
    <row r="37" spans="1:130" ht="16.5" thickTop="1">
      <c r="A37" s="130">
        <v>20</v>
      </c>
      <c r="B37" s="115"/>
      <c r="C37" s="64" t="s">
        <v>41</v>
      </c>
      <c r="D37" s="111"/>
      <c r="E37" s="115"/>
      <c r="F37" s="77"/>
      <c r="G37" s="145"/>
      <c r="H37" s="145"/>
      <c r="I37" s="161"/>
      <c r="J37" s="161"/>
      <c r="K37" s="461"/>
      <c r="L37" s="161"/>
      <c r="M37" s="161"/>
      <c r="N37" s="133"/>
      <c r="O37" s="161"/>
      <c r="P37" s="161"/>
      <c r="Q37" s="145"/>
      <c r="R37" s="162"/>
      <c r="S37" s="77"/>
    </row>
    <row r="38" spans="1:130">
      <c r="A38" s="130">
        <v>21</v>
      </c>
      <c r="B38" s="115"/>
      <c r="C38" s="48" t="s">
        <v>43</v>
      </c>
      <c r="D38" s="111"/>
      <c r="E38" s="115"/>
      <c r="F38" s="77"/>
      <c r="G38" s="153"/>
      <c r="H38" s="153"/>
      <c r="I38" s="154"/>
      <c r="J38" s="136">
        <f>+'Rate Base'!H13-'Rate Base'!D13</f>
        <v>36939567.303144813</v>
      </c>
      <c r="K38" s="154"/>
      <c r="L38" s="154"/>
      <c r="M38" s="154"/>
      <c r="N38" s="136"/>
      <c r="O38" s="136">
        <f>+'Pro Forma Plant Additions'!E16</f>
        <v>32794040.464584999</v>
      </c>
      <c r="P38" s="136"/>
      <c r="Q38" s="149"/>
      <c r="R38" s="163">
        <f>SUM(G38:Q38)</f>
        <v>69733607.767729819</v>
      </c>
      <c r="S38" s="77"/>
    </row>
    <row r="39" spans="1:130">
      <c r="A39" s="130">
        <v>22</v>
      </c>
      <c r="B39" s="115"/>
      <c r="C39" s="48" t="s">
        <v>44</v>
      </c>
      <c r="D39" s="111"/>
      <c r="E39" s="115"/>
      <c r="F39" s="77"/>
      <c r="G39" s="164"/>
      <c r="H39" s="164"/>
      <c r="I39" s="165"/>
      <c r="J39" s="165">
        <f>+'Rate Base'!H14-'Rate Base'!D14</f>
        <v>-2158313.7513475418</v>
      </c>
      <c r="K39" s="676"/>
      <c r="L39" s="165"/>
      <c r="M39" s="165"/>
      <c r="N39" s="165"/>
      <c r="O39" s="165">
        <f>-'Pro Forma Plant Additions'!E19</f>
        <v>-324346.68609553971</v>
      </c>
      <c r="P39" s="165"/>
      <c r="Q39" s="151"/>
      <c r="R39" s="163">
        <f>SUM(G39:Q39)</f>
        <v>-2482660.4374430813</v>
      </c>
      <c r="S39" s="77"/>
    </row>
    <row r="40" spans="1:130">
      <c r="A40" s="130">
        <v>23</v>
      </c>
      <c r="B40" s="115"/>
      <c r="C40" s="55" t="s">
        <v>18</v>
      </c>
      <c r="D40" s="111"/>
      <c r="E40" s="115"/>
      <c r="F40" s="77"/>
      <c r="G40" s="164"/>
      <c r="H40" s="164"/>
      <c r="I40" s="165"/>
      <c r="J40" s="165">
        <f>+'Rate Base'!H16-'Rate Base'!D16</f>
        <v>79441.336250000633</v>
      </c>
      <c r="K40" s="676"/>
      <c r="L40" s="165"/>
      <c r="M40" s="165"/>
      <c r="N40" s="165"/>
      <c r="O40" s="165"/>
      <c r="P40" s="165"/>
      <c r="Q40" s="151"/>
      <c r="R40" s="163">
        <f>SUM(G40:Q40)</f>
        <v>79441.336250000633</v>
      </c>
      <c r="S40" s="77"/>
    </row>
    <row r="41" spans="1:130" ht="16.5" thickBot="1">
      <c r="A41" s="130">
        <v>24</v>
      </c>
      <c r="B41" s="115"/>
      <c r="C41" s="55" t="s">
        <v>45</v>
      </c>
      <c r="D41" s="111"/>
      <c r="E41" s="115"/>
      <c r="F41" s="77"/>
      <c r="G41" s="164"/>
      <c r="H41" s="164"/>
      <c r="I41" s="165"/>
      <c r="J41" s="165">
        <f>+'Rate Base'!H17-'Rate Base'!D17</f>
        <v>-513832.56999999285</v>
      </c>
      <c r="K41" s="676"/>
      <c r="L41" s="165"/>
      <c r="M41" s="165"/>
      <c r="N41" s="165"/>
      <c r="O41" s="165">
        <f>-'Pro Forma Plant Additions'!E22</f>
        <v>-61013.730249240078</v>
      </c>
      <c r="P41" s="165"/>
      <c r="Q41" s="166"/>
      <c r="R41" s="163">
        <f>SUM(G41:Q41)</f>
        <v>-574846.30024923291</v>
      </c>
      <c r="S41" s="77"/>
    </row>
    <row r="42" spans="1:130">
      <c r="A42" s="130">
        <v>25</v>
      </c>
      <c r="B42" s="115"/>
      <c r="C42" s="55" t="s">
        <v>46</v>
      </c>
      <c r="D42" s="111"/>
      <c r="E42" s="115"/>
      <c r="F42" s="77"/>
      <c r="G42" s="164"/>
      <c r="H42" s="164"/>
      <c r="I42" s="165"/>
      <c r="J42" s="165">
        <v>0</v>
      </c>
      <c r="K42" s="676"/>
      <c r="L42" s="165"/>
      <c r="M42" s="165"/>
      <c r="N42" s="165"/>
      <c r="O42" s="165"/>
      <c r="P42" s="165"/>
      <c r="Q42" s="151"/>
      <c r="R42" s="163">
        <f>SUM(G42:Q42)</f>
        <v>0</v>
      </c>
      <c r="S42" s="77"/>
    </row>
    <row r="43" spans="1:130" ht="16.5" thickBot="1">
      <c r="A43" s="130">
        <v>26</v>
      </c>
      <c r="B43" s="115"/>
      <c r="C43" s="64" t="s">
        <v>42</v>
      </c>
      <c r="D43" s="111"/>
      <c r="E43" s="115"/>
      <c r="F43" s="77"/>
      <c r="G43" s="167">
        <f>SUM(G38:G42)</f>
        <v>0</v>
      </c>
      <c r="H43" s="167">
        <f>SUM(H38:H42)</f>
        <v>0</v>
      </c>
      <c r="I43" s="167">
        <f>SUM(I38:I42)</f>
        <v>0</v>
      </c>
      <c r="J43" s="167">
        <f>SUM(J38:J42)</f>
        <v>34346862.318047278</v>
      </c>
      <c r="K43" s="167">
        <f t="shared" ref="K43" si="10">SUM(K38:K42)</f>
        <v>0</v>
      </c>
      <c r="L43" s="167">
        <f>SUM(L38:L42)</f>
        <v>0</v>
      </c>
      <c r="M43" s="167">
        <f>SUM(M38:M42)</f>
        <v>0</v>
      </c>
      <c r="N43" s="167">
        <f>SUM(N38:N42)</f>
        <v>0</v>
      </c>
      <c r="O43" s="167">
        <f>SUM(O38:O42)</f>
        <v>32408680.048240218</v>
      </c>
      <c r="P43" s="167"/>
      <c r="Q43" s="166"/>
      <c r="R43" s="167">
        <f>SUM(R38:R42)</f>
        <v>66755542.366287515</v>
      </c>
      <c r="S43" s="77"/>
    </row>
    <row r="44" spans="1:130" ht="16.5" thickBot="1">
      <c r="A44" s="130"/>
      <c r="B44" s="137"/>
      <c r="C44" s="168"/>
      <c r="D44" s="138"/>
      <c r="E44" s="137"/>
      <c r="F44" s="139"/>
      <c r="G44" s="140"/>
      <c r="H44" s="140"/>
      <c r="I44" s="141"/>
      <c r="J44" s="140"/>
      <c r="K44" s="141"/>
      <c r="L44" s="141"/>
      <c r="M44" s="141"/>
      <c r="N44" s="741"/>
      <c r="O44" s="169"/>
      <c r="P44" s="141"/>
      <c r="Q44" s="152"/>
      <c r="R44" s="169"/>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row>
    <row r="45" spans="1:130">
      <c r="A45" s="130">
        <v>27</v>
      </c>
      <c r="B45" s="171"/>
      <c r="C45" s="172" t="s">
        <v>59</v>
      </c>
      <c r="D45" s="173"/>
      <c r="E45" s="137"/>
      <c r="F45" s="139"/>
      <c r="G45" s="174">
        <f>((+G43*'Capital Structure Calculation'!$J$14)-'Exh MCP-5 - Summary of Adj'!G35)/'Exh MCP-4 - Conversion Factor'!$C$25</f>
        <v>-684346.33995482326</v>
      </c>
      <c r="H45" s="174">
        <f>((+H43*'Capital Structure Calculation'!$J$14)-'Exh MCP-5 - Summary of Adj'!H35)/'Exh MCP-4 - Conversion Factor'!$C$25</f>
        <v>-25074.798134622564</v>
      </c>
      <c r="I45" s="175">
        <f>((+I43*'Capital Structure Calculation'!$J$14)-'Exh MCP-5 - Summary of Adj'!I35)/'Exh MCP-4 - Conversion Factor'!$C$25</f>
        <v>-2733771.6600000057</v>
      </c>
      <c r="J45" s="176">
        <f>((+J43*'Capital Structure Calculation'!$J$14)-'Exh MCP-5 - Summary of Adj'!J35)/'Exh MCP-4 - Conversion Factor'!$C$25</f>
        <v>4392575.5615466489</v>
      </c>
      <c r="K45" s="175">
        <f>((+K43*'Capital Structure Calculation'!$J$14)-'Exh MCP-5 - Summary of Adj'!K35)/'Exh MCP-4 - Conversion Factor'!$C$25</f>
        <v>88125.92696101412</v>
      </c>
      <c r="L45" s="175">
        <f>((+L43*'Capital Structure Calculation'!$J$14)-'Exh MCP-5 - Summary of Adj'!L35)/'Exh MCP-4 - Conversion Factor'!$C$25</f>
        <v>-935179.43750039756</v>
      </c>
      <c r="M45" s="175">
        <f>((+M43*'Capital Structure Calculation'!$J$14)-'Exh MCP-5 - Summary of Adj'!M35)/'Exh MCP-4 - Conversion Factor'!$C$25</f>
        <v>-378459.9118290015</v>
      </c>
      <c r="N45" s="175">
        <f>((+N43*'Capital Structure Calculation'!$J$14)-'Exh MCP-5 - Summary of Adj'!N35)/'Exh MCP-4 - Conversion Factor'!$C$25</f>
        <v>1674383.76567089</v>
      </c>
      <c r="O45" s="175">
        <f>((+O43*'Capital Structure Calculation'!$J$14)-'Exh MCP-5 - Summary of Adj'!O35)/'Exh MCP-4 - Conversion Factor'!$C$25</f>
        <v>4407280.3550025979</v>
      </c>
      <c r="P45" s="175">
        <f>((+P43*'Capital Structure Calculation'!$J$14)-'Exh MCP-5 - Summary of Adj'!P35)/'Exh MCP-4 - Conversion Factor'!$C$25</f>
        <v>898750.95072143292</v>
      </c>
      <c r="Q45" s="174"/>
      <c r="R45" s="174">
        <f>((+R43*'Capital Structure Calculation'!$J$14)-'Exh MCP-5 - Summary of Adj'!R35)/'Exh MCP-4 - Conversion Factor'!$C$25</f>
        <v>6704284.4124837341</v>
      </c>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row>
    <row r="46" spans="1:130">
      <c r="A46" s="77"/>
      <c r="B46" s="77"/>
      <c r="C46" s="77"/>
      <c r="D46" s="77"/>
      <c r="E46" s="77"/>
      <c r="F46" s="77"/>
      <c r="G46" s="178"/>
      <c r="H46" s="178"/>
      <c r="I46" s="178"/>
      <c r="J46" s="178"/>
      <c r="K46" s="379"/>
      <c r="L46" s="379"/>
      <c r="M46" s="178"/>
      <c r="N46" s="178"/>
      <c r="O46" s="178"/>
      <c r="P46" s="379"/>
      <c r="Q46" s="178"/>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row>
    <row r="47" spans="1:130">
      <c r="A47" s="77"/>
      <c r="B47" s="77"/>
      <c r="C47" s="77"/>
      <c r="D47" s="77"/>
      <c r="E47" s="77"/>
      <c r="F47" s="77"/>
      <c r="G47" s="179"/>
      <c r="H47" s="179"/>
      <c r="I47" s="179"/>
      <c r="J47" s="179"/>
      <c r="K47" s="214"/>
      <c r="L47" s="214"/>
      <c r="M47" s="179"/>
      <c r="N47" s="179"/>
      <c r="O47" s="179"/>
      <c r="P47" s="214"/>
      <c r="Q47" s="180"/>
      <c r="R47" s="78"/>
      <c r="S47" s="78"/>
      <c r="T47" s="78"/>
      <c r="U47" s="78"/>
      <c r="V47" s="78"/>
      <c r="W47" s="78"/>
      <c r="X47" s="78"/>
      <c r="Y47" s="78"/>
      <c r="Z47" s="78"/>
      <c r="AA47" s="78"/>
      <c r="AB47" s="78"/>
      <c r="AC47" s="78"/>
      <c r="AD47" s="78"/>
      <c r="AE47" s="78"/>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row>
    <row r="48" spans="1:130">
      <c r="A48" s="77"/>
      <c r="B48" s="77"/>
      <c r="C48" s="77"/>
      <c r="D48" s="77"/>
      <c r="E48" s="77"/>
      <c r="F48" s="77"/>
      <c r="G48" s="78"/>
      <c r="H48" s="78"/>
      <c r="I48" s="78"/>
      <c r="J48" s="78"/>
      <c r="K48" s="78"/>
      <c r="L48" s="78"/>
      <c r="M48" s="78"/>
      <c r="N48" s="181"/>
      <c r="O48" s="78"/>
      <c r="P48" s="78"/>
      <c r="Q48" s="78"/>
      <c r="R48" s="182"/>
      <c r="S48" s="78"/>
      <c r="T48" s="78"/>
      <c r="U48" s="78"/>
      <c r="V48" s="78"/>
      <c r="W48" s="78"/>
      <c r="X48" s="78"/>
      <c r="Y48" s="78"/>
      <c r="Z48" s="78"/>
      <c r="AA48" s="78"/>
      <c r="AB48" s="78"/>
      <c r="AC48" s="78"/>
      <c r="AD48" s="78"/>
      <c r="AE48" s="78"/>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row>
    <row r="49" spans="1:130">
      <c r="A49" s="77"/>
      <c r="B49" s="77"/>
      <c r="C49" s="77"/>
      <c r="D49" s="77"/>
      <c r="E49" s="77"/>
      <c r="F49" s="77"/>
      <c r="G49" s="78"/>
      <c r="H49" s="78"/>
      <c r="I49" s="78"/>
      <c r="J49" s="78"/>
      <c r="K49" s="78"/>
      <c r="L49" s="78"/>
      <c r="M49" s="78"/>
      <c r="N49" s="183"/>
      <c r="O49" s="78"/>
      <c r="P49" s="78"/>
      <c r="Q49" s="78"/>
      <c r="R49" s="184"/>
      <c r="S49" s="78"/>
      <c r="T49" s="78"/>
      <c r="U49" s="78"/>
      <c r="V49" s="78"/>
      <c r="W49" s="78"/>
      <c r="X49" s="78"/>
      <c r="Y49" s="78"/>
      <c r="Z49" s="78"/>
      <c r="AA49" s="78"/>
      <c r="AB49" s="78"/>
      <c r="AC49" s="78"/>
      <c r="AD49" s="78"/>
      <c r="AE49" s="78"/>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row>
    <row r="50" spans="1:130">
      <c r="A50" s="77"/>
      <c r="B50" s="77"/>
      <c r="C50" s="77"/>
      <c r="D50" s="77"/>
      <c r="E50" s="77"/>
      <c r="F50" s="77"/>
      <c r="G50" s="78"/>
      <c r="H50" s="185"/>
      <c r="I50" s="185"/>
      <c r="J50" s="185"/>
      <c r="K50" s="185"/>
      <c r="L50" s="185"/>
      <c r="M50" s="185"/>
      <c r="N50" s="183"/>
      <c r="O50" s="185"/>
      <c r="P50" s="185"/>
      <c r="Q50" s="78"/>
      <c r="R50" s="78"/>
      <c r="S50" s="78"/>
      <c r="T50" s="78"/>
      <c r="U50" s="78"/>
      <c r="V50" s="78"/>
      <c r="W50" s="78"/>
      <c r="X50" s="78"/>
      <c r="Y50" s="78"/>
      <c r="Z50" s="78"/>
      <c r="AA50" s="78"/>
      <c r="AB50" s="78"/>
      <c r="AC50" s="78"/>
      <c r="AD50" s="78"/>
      <c r="AE50" s="78"/>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row>
    <row r="51" spans="1:130">
      <c r="A51" s="77"/>
      <c r="B51" s="77"/>
      <c r="C51" s="77"/>
      <c r="D51" s="77"/>
      <c r="E51" s="77"/>
      <c r="F51" s="77"/>
      <c r="G51" s="78"/>
      <c r="H51" s="78"/>
      <c r="I51" s="78"/>
      <c r="J51" s="78"/>
      <c r="K51" s="78"/>
      <c r="L51" s="78"/>
      <c r="M51" s="78"/>
      <c r="N51" s="183"/>
      <c r="O51" s="78"/>
      <c r="P51" s="78"/>
      <c r="Q51" s="78"/>
      <c r="R51" s="78"/>
      <c r="S51" s="78"/>
      <c r="T51" s="78"/>
      <c r="U51" s="78"/>
      <c r="V51" s="78"/>
      <c r="W51" s="78"/>
      <c r="X51" s="78"/>
      <c r="Y51" s="78"/>
      <c r="Z51" s="78"/>
      <c r="AA51" s="78"/>
      <c r="AB51" s="78"/>
      <c r="AC51" s="78"/>
      <c r="AD51" s="78"/>
      <c r="AE51" s="78"/>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row>
    <row r="52" spans="1:130">
      <c r="A52" s="77"/>
      <c r="B52" s="77"/>
      <c r="C52" s="77"/>
      <c r="D52" s="77"/>
      <c r="E52" s="77"/>
      <c r="F52" s="77"/>
      <c r="G52" s="78"/>
      <c r="H52" s="185"/>
      <c r="I52" s="185"/>
      <c r="J52" s="185"/>
      <c r="K52" s="185"/>
      <c r="L52" s="185"/>
      <c r="M52" s="185"/>
      <c r="N52" s="183"/>
      <c r="O52" s="185"/>
      <c r="P52" s="185"/>
      <c r="Q52" s="78"/>
      <c r="R52" s="78"/>
      <c r="S52" s="78"/>
      <c r="T52" s="78"/>
      <c r="U52" s="78"/>
      <c r="V52" s="78"/>
      <c r="W52" s="78"/>
      <c r="X52" s="78"/>
      <c r="Y52" s="78"/>
      <c r="Z52" s="78"/>
      <c r="AA52" s="78"/>
      <c r="AB52" s="78"/>
      <c r="AC52" s="78"/>
      <c r="AD52" s="78"/>
      <c r="AE52" s="78"/>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row>
    <row r="53" spans="1:130">
      <c r="A53" s="77"/>
      <c r="B53" s="77"/>
      <c r="C53" s="77"/>
      <c r="D53" s="77"/>
      <c r="E53" s="77"/>
      <c r="F53" s="77"/>
      <c r="G53" s="78"/>
      <c r="H53" s="186"/>
      <c r="I53" s="186"/>
      <c r="J53" s="186"/>
      <c r="K53" s="186"/>
      <c r="L53" s="186"/>
      <c r="M53" s="186"/>
      <c r="N53" s="183"/>
      <c r="O53" s="186"/>
      <c r="P53" s="186"/>
      <c r="Q53" s="78"/>
      <c r="R53" s="78"/>
      <c r="S53" s="78"/>
      <c r="T53" s="78"/>
      <c r="U53" s="78"/>
      <c r="V53" s="78"/>
      <c r="W53" s="78"/>
      <c r="X53" s="78"/>
      <c r="Y53" s="78"/>
      <c r="Z53" s="78"/>
      <c r="AA53" s="78"/>
      <c r="AB53" s="78"/>
      <c r="AC53" s="78"/>
      <c r="AD53" s="78"/>
      <c r="AE53" s="78"/>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row>
    <row r="54" spans="1:130">
      <c r="A54" s="77"/>
      <c r="B54" s="77"/>
      <c r="C54" s="77"/>
      <c r="D54" s="77"/>
      <c r="E54" s="77"/>
      <c r="F54" s="77"/>
      <c r="G54" s="78"/>
      <c r="H54" s="186"/>
      <c r="I54" s="186"/>
      <c r="J54" s="186"/>
      <c r="K54" s="186"/>
      <c r="L54" s="186"/>
      <c r="M54" s="186"/>
      <c r="N54" s="183"/>
      <c r="O54" s="186"/>
      <c r="P54" s="186"/>
      <c r="Q54" s="78"/>
      <c r="R54" s="78"/>
      <c r="S54" s="78"/>
      <c r="T54" s="78"/>
      <c r="U54" s="78"/>
      <c r="V54" s="78"/>
      <c r="W54" s="78"/>
      <c r="X54" s="78"/>
      <c r="Y54" s="78"/>
      <c r="Z54" s="78"/>
      <c r="AA54" s="78"/>
      <c r="AB54" s="78"/>
      <c r="AC54" s="78"/>
      <c r="AD54" s="78"/>
      <c r="AE54" s="78"/>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row>
    <row r="55" spans="1:130">
      <c r="A55" s="77"/>
      <c r="B55" s="77"/>
      <c r="C55" s="77"/>
      <c r="D55" s="77"/>
      <c r="E55" s="77"/>
      <c r="F55" s="77"/>
      <c r="G55" s="78"/>
      <c r="H55" s="186"/>
      <c r="I55" s="186"/>
      <c r="J55" s="186"/>
      <c r="K55" s="186"/>
      <c r="L55" s="186"/>
      <c r="M55" s="186"/>
      <c r="N55" s="183"/>
      <c r="O55" s="186"/>
      <c r="P55" s="186"/>
      <c r="Q55" s="78"/>
      <c r="R55" s="78"/>
      <c r="S55" s="78"/>
      <c r="T55" s="78"/>
      <c r="U55" s="78"/>
      <c r="V55" s="78"/>
      <c r="W55" s="78"/>
      <c r="X55" s="78"/>
      <c r="Y55" s="78"/>
      <c r="Z55" s="78"/>
      <c r="AA55" s="78"/>
      <c r="AB55" s="78"/>
      <c r="AC55" s="78"/>
      <c r="AD55" s="78"/>
      <c r="AE55" s="78"/>
    </row>
    <row r="56" spans="1:130">
      <c r="A56" s="77"/>
      <c r="B56" s="77"/>
      <c r="C56" s="77"/>
      <c r="D56" s="77"/>
      <c r="E56" s="77"/>
      <c r="F56" s="77"/>
      <c r="G56" s="78"/>
      <c r="H56" s="186"/>
      <c r="I56" s="186"/>
      <c r="J56" s="186"/>
      <c r="K56" s="186"/>
      <c r="L56" s="186"/>
      <c r="M56" s="186"/>
      <c r="N56" s="183"/>
      <c r="O56" s="186"/>
      <c r="P56" s="186"/>
      <c r="Q56" s="78"/>
      <c r="R56" s="78"/>
      <c r="S56" s="78"/>
      <c r="T56" s="78"/>
      <c r="U56" s="78"/>
      <c r="V56" s="78"/>
      <c r="W56" s="78"/>
      <c r="X56" s="78"/>
      <c r="Y56" s="78"/>
      <c r="Z56" s="78"/>
      <c r="AA56" s="78"/>
      <c r="AB56" s="78"/>
      <c r="AC56" s="78"/>
      <c r="AD56" s="78"/>
      <c r="AE56" s="78"/>
    </row>
    <row r="57" spans="1:130">
      <c r="A57" s="77"/>
      <c r="B57" s="77"/>
      <c r="C57" s="77"/>
      <c r="D57" s="77"/>
      <c r="E57" s="77"/>
      <c r="F57" s="77"/>
      <c r="G57" s="78"/>
      <c r="H57" s="78"/>
      <c r="I57" s="78"/>
      <c r="J57" s="78"/>
      <c r="K57" s="78"/>
      <c r="L57" s="78"/>
      <c r="M57" s="78"/>
      <c r="N57" s="183"/>
      <c r="O57" s="78"/>
      <c r="P57" s="78"/>
      <c r="Q57" s="78"/>
      <c r="R57" s="78"/>
      <c r="S57" s="78"/>
      <c r="T57" s="78"/>
      <c r="U57" s="78"/>
      <c r="V57" s="78"/>
      <c r="W57" s="78"/>
      <c r="X57" s="78"/>
      <c r="Y57" s="78"/>
      <c r="Z57" s="78"/>
      <c r="AA57" s="78"/>
      <c r="AB57" s="78"/>
      <c r="AC57" s="78"/>
      <c r="AD57" s="78"/>
      <c r="AE57" s="78"/>
    </row>
    <row r="58" spans="1:130">
      <c r="A58" s="77"/>
      <c r="B58" s="77"/>
      <c r="C58" s="77"/>
      <c r="D58" s="77"/>
      <c r="E58" s="77"/>
      <c r="F58" s="77"/>
      <c r="G58" s="78"/>
      <c r="H58" s="186"/>
      <c r="I58" s="186"/>
      <c r="J58" s="186"/>
      <c r="K58" s="186"/>
      <c r="L58" s="186"/>
      <c r="M58" s="186"/>
      <c r="N58" s="183"/>
      <c r="O58" s="186"/>
      <c r="P58" s="186"/>
      <c r="Q58" s="78"/>
      <c r="R58" s="78"/>
      <c r="S58" s="78"/>
      <c r="T58" s="78"/>
      <c r="U58" s="78"/>
      <c r="V58" s="78"/>
      <c r="W58" s="78"/>
      <c r="X58" s="78"/>
      <c r="Y58" s="78"/>
      <c r="Z58" s="78"/>
      <c r="AA58" s="78"/>
      <c r="AB58" s="78"/>
      <c r="AC58" s="78"/>
      <c r="AD58" s="78"/>
      <c r="AE58" s="78"/>
    </row>
    <row r="59" spans="1:130">
      <c r="A59" s="77"/>
      <c r="B59" s="77"/>
      <c r="C59" s="77"/>
      <c r="D59" s="77"/>
      <c r="E59" s="77"/>
      <c r="F59" s="77"/>
      <c r="G59" s="78"/>
      <c r="H59" s="187"/>
      <c r="I59" s="187"/>
      <c r="J59" s="187"/>
      <c r="K59" s="187"/>
      <c r="L59" s="187"/>
      <c r="M59" s="187"/>
      <c r="N59" s="183"/>
      <c r="O59" s="187"/>
      <c r="P59" s="187"/>
      <c r="Q59" s="78"/>
      <c r="R59" s="78"/>
      <c r="S59" s="78"/>
      <c r="T59" s="78"/>
      <c r="U59" s="78"/>
      <c r="V59" s="78"/>
      <c r="W59" s="78"/>
      <c r="X59" s="78"/>
      <c r="Y59" s="78"/>
      <c r="Z59" s="78"/>
      <c r="AA59" s="78"/>
      <c r="AB59" s="78"/>
      <c r="AC59" s="78"/>
      <c r="AD59" s="78"/>
      <c r="AE59" s="78"/>
    </row>
    <row r="60" spans="1:130">
      <c r="A60" s="77"/>
      <c r="B60" s="77"/>
      <c r="C60" s="77"/>
      <c r="D60" s="77"/>
      <c r="E60" s="77"/>
      <c r="F60" s="77"/>
      <c r="G60" s="78"/>
      <c r="H60" s="187"/>
      <c r="I60" s="187"/>
      <c r="J60" s="187"/>
      <c r="K60" s="187"/>
      <c r="L60" s="187"/>
      <c r="M60" s="187"/>
      <c r="N60" s="183"/>
      <c r="O60" s="187"/>
      <c r="P60" s="187"/>
      <c r="Q60" s="78"/>
      <c r="R60" s="78"/>
      <c r="S60" s="78"/>
      <c r="T60" s="78"/>
      <c r="U60" s="78"/>
      <c r="V60" s="78"/>
      <c r="W60" s="78"/>
      <c r="X60" s="78"/>
      <c r="Y60" s="78"/>
      <c r="Z60" s="78"/>
      <c r="AA60" s="78"/>
      <c r="AB60" s="78"/>
      <c r="AC60" s="78"/>
      <c r="AD60" s="78"/>
      <c r="AE60" s="78"/>
    </row>
    <row r="61" spans="1:130">
      <c r="A61" s="77"/>
      <c r="B61" s="77"/>
      <c r="C61" s="77"/>
      <c r="D61" s="77"/>
      <c r="E61" s="77"/>
      <c r="F61" s="77"/>
      <c r="G61" s="78"/>
      <c r="H61" s="78"/>
      <c r="I61" s="78"/>
      <c r="J61" s="78"/>
      <c r="K61" s="78"/>
      <c r="L61" s="78"/>
      <c r="M61" s="78"/>
      <c r="N61" s="183"/>
      <c r="O61" s="78"/>
      <c r="P61" s="78"/>
      <c r="Q61" s="78"/>
      <c r="R61" s="78"/>
      <c r="S61" s="78"/>
      <c r="T61" s="78"/>
      <c r="U61" s="78"/>
      <c r="V61" s="78"/>
      <c r="W61" s="78"/>
      <c r="X61" s="78"/>
      <c r="Y61" s="78"/>
      <c r="Z61" s="78"/>
      <c r="AA61" s="78"/>
      <c r="AB61" s="78"/>
      <c r="AC61" s="78"/>
      <c r="AD61" s="78"/>
      <c r="AE61" s="78"/>
    </row>
    <row r="62" spans="1:130">
      <c r="A62" s="77"/>
      <c r="B62" s="77"/>
      <c r="C62" s="77"/>
      <c r="D62" s="77"/>
      <c r="E62" s="77"/>
      <c r="F62" s="77"/>
      <c r="G62" s="78"/>
      <c r="H62" s="186"/>
      <c r="I62" s="186"/>
      <c r="J62" s="186"/>
      <c r="K62" s="186"/>
      <c r="L62" s="186"/>
      <c r="M62" s="186"/>
      <c r="N62" s="188"/>
      <c r="O62" s="186"/>
      <c r="P62" s="186"/>
      <c r="Q62" s="78"/>
      <c r="R62" s="78"/>
      <c r="S62" s="78"/>
      <c r="T62" s="78"/>
      <c r="U62" s="78"/>
      <c r="V62" s="78"/>
      <c r="W62" s="78"/>
      <c r="X62" s="78"/>
      <c r="Y62" s="78"/>
      <c r="Z62" s="78"/>
      <c r="AA62" s="78"/>
      <c r="AB62" s="78"/>
      <c r="AC62" s="78"/>
      <c r="AD62" s="78"/>
      <c r="AE62" s="78"/>
    </row>
    <row r="63" spans="1:130">
      <c r="A63" s="77"/>
      <c r="B63" s="77"/>
      <c r="C63" s="77"/>
      <c r="D63" s="77"/>
      <c r="E63" s="77"/>
      <c r="F63" s="77"/>
      <c r="G63" s="78"/>
      <c r="H63" s="186"/>
      <c r="I63" s="186"/>
      <c r="J63" s="186"/>
      <c r="K63" s="186"/>
      <c r="L63" s="186"/>
      <c r="M63" s="186"/>
      <c r="N63" s="183"/>
      <c r="O63" s="186"/>
      <c r="P63" s="186"/>
      <c r="Q63" s="78"/>
      <c r="R63" s="78"/>
      <c r="S63" s="78"/>
      <c r="T63" s="78"/>
      <c r="U63" s="78"/>
      <c r="V63" s="78"/>
      <c r="W63" s="78"/>
      <c r="X63" s="78"/>
      <c r="Y63" s="78"/>
      <c r="Z63" s="78"/>
      <c r="AA63" s="78"/>
      <c r="AB63" s="78"/>
      <c r="AC63" s="78"/>
      <c r="AD63" s="78"/>
      <c r="AE63" s="78"/>
    </row>
    <row r="64" spans="1:130">
      <c r="A64" s="77"/>
      <c r="B64" s="77"/>
      <c r="C64" s="77"/>
      <c r="D64" s="77"/>
      <c r="E64" s="77"/>
      <c r="F64" s="77"/>
      <c r="G64" s="78"/>
      <c r="H64" s="78"/>
      <c r="I64" s="78"/>
      <c r="J64" s="78"/>
      <c r="K64" s="78"/>
      <c r="L64" s="78"/>
      <c r="M64" s="78"/>
      <c r="N64" s="183"/>
      <c r="O64" s="78"/>
      <c r="P64" s="78"/>
      <c r="Q64" s="78"/>
      <c r="R64" s="78"/>
      <c r="S64" s="78"/>
      <c r="T64" s="78"/>
      <c r="U64" s="78"/>
      <c r="V64" s="78"/>
      <c r="W64" s="78"/>
      <c r="X64" s="78"/>
      <c r="Y64" s="78"/>
      <c r="Z64" s="78"/>
      <c r="AA64" s="78"/>
      <c r="AB64" s="78"/>
      <c r="AC64" s="78"/>
      <c r="AD64" s="78"/>
      <c r="AE64" s="78"/>
    </row>
    <row r="65" spans="1:31">
      <c r="A65" s="77"/>
      <c r="B65" s="77"/>
      <c r="C65" s="77"/>
      <c r="D65" s="77"/>
      <c r="E65" s="77"/>
      <c r="F65" s="77"/>
      <c r="G65" s="78"/>
      <c r="H65" s="78"/>
      <c r="I65" s="78"/>
      <c r="J65" s="78"/>
      <c r="K65" s="78"/>
      <c r="L65" s="78"/>
      <c r="M65" s="78"/>
      <c r="N65" s="183"/>
      <c r="O65" s="78"/>
      <c r="P65" s="78"/>
      <c r="Q65" s="78"/>
      <c r="R65" s="78"/>
      <c r="S65" s="78"/>
      <c r="T65" s="78"/>
      <c r="U65" s="78"/>
      <c r="V65" s="78"/>
      <c r="W65" s="78"/>
      <c r="X65" s="78"/>
      <c r="Y65" s="78"/>
      <c r="Z65" s="78"/>
      <c r="AA65" s="78"/>
      <c r="AB65" s="78"/>
      <c r="AC65" s="78"/>
      <c r="AD65" s="78"/>
      <c r="AE65" s="78"/>
    </row>
    <row r="66" spans="1:31">
      <c r="A66" s="77"/>
      <c r="B66" s="77"/>
      <c r="C66" s="77"/>
      <c r="D66" s="77"/>
      <c r="E66" s="77"/>
      <c r="F66" s="77"/>
      <c r="G66" s="78"/>
      <c r="H66" s="78"/>
      <c r="I66" s="78"/>
      <c r="J66" s="78"/>
      <c r="K66" s="78"/>
      <c r="L66" s="78"/>
      <c r="M66" s="78"/>
      <c r="N66" s="183"/>
      <c r="O66" s="78"/>
      <c r="P66" s="78"/>
      <c r="Q66" s="78"/>
      <c r="R66" s="78"/>
      <c r="S66" s="78"/>
      <c r="T66" s="78"/>
      <c r="U66" s="78"/>
      <c r="V66" s="78"/>
      <c r="W66" s="78"/>
      <c r="X66" s="78"/>
      <c r="Y66" s="78"/>
      <c r="Z66" s="78"/>
      <c r="AA66" s="78"/>
      <c r="AB66" s="78"/>
      <c r="AC66" s="78"/>
      <c r="AD66" s="78"/>
      <c r="AE66" s="78"/>
    </row>
  </sheetData>
  <mergeCells count="5">
    <mergeCell ref="O3:S3"/>
    <mergeCell ref="O4:S4"/>
    <mergeCell ref="B5:R5"/>
    <mergeCell ref="B6:R6"/>
    <mergeCell ref="B7:R7"/>
  </mergeCells>
  <printOptions horizontalCentered="1"/>
  <pageMargins left="0" right="0" top="0.5" bottom="0.5" header="0.3" footer="0.3"/>
  <pageSetup paperSize="5" scale="77" orientation="landscape" r:id="rId1"/>
  <headerFooter scaleWithDoc="0" alignWithMargins="0">
    <oddHeader>&amp;RDocket No. UG-19___
Exhibit _____ (MCP-5)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36"/>
  <sheetViews>
    <sheetView tabSelected="1" topLeftCell="G1" workbookViewId="0">
      <selection activeCell="U16" sqref="U16"/>
    </sheetView>
  </sheetViews>
  <sheetFormatPr defaultRowHeight="15.75"/>
  <cols>
    <col min="1" max="1" width="98.7109375" style="103" customWidth="1"/>
    <col min="2" max="2" width="29.42578125" style="103" customWidth="1"/>
    <col min="3" max="16384" width="9.140625" style="103"/>
  </cols>
  <sheetData>
    <row r="1" spans="1:7">
      <c r="A1" s="17" t="s">
        <v>2133</v>
      </c>
    </row>
    <row r="2" spans="1:7">
      <c r="A2" s="17" t="s">
        <v>2134</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04"/>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869</v>
      </c>
    </row>
    <row r="25" spans="1:1">
      <c r="A25" s="20"/>
    </row>
    <row r="26" spans="1:1">
      <c r="A26" s="20"/>
    </row>
    <row r="27" spans="1:1">
      <c r="A27" s="20"/>
    </row>
    <row r="28" spans="1:1">
      <c r="A28" s="20"/>
    </row>
    <row r="29" spans="1:1">
      <c r="A29" s="20"/>
    </row>
    <row r="30" spans="1:1">
      <c r="A30" s="377" t="s">
        <v>1669</v>
      </c>
    </row>
    <row r="31" spans="1:1">
      <c r="A31" s="105"/>
    </row>
    <row r="32" spans="1:1">
      <c r="A32" s="104"/>
    </row>
    <row r="33" spans="1:1">
      <c r="A33" s="104"/>
    </row>
    <row r="34" spans="1:1">
      <c r="A34" s="104"/>
    </row>
    <row r="35" spans="1:1">
      <c r="A35" s="104"/>
    </row>
    <row r="36" spans="1:1">
      <c r="A36" s="104"/>
    </row>
  </sheetData>
  <pageMargins left="0.7" right="0.7" top="0.75" bottom="0.75" header="0.3" footer="0.3"/>
  <pageSetup scale="99"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2A143B775EEB47B26371B22E6028EB" ma:contentTypeVersion="48" ma:contentTypeDescription="" ma:contentTypeScope="" ma:versionID="57225535d4ae0bfbfa2efb1b5fb9ed5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190210</DocketNumber>
    <DelegatedOrder xmlns="dc463f71-b30c-4ab2-9473-d307f9d35888">false</DelegatedOrder>
  </documentManagement>
</p:properties>
</file>

<file path=customXml/itemProps1.xml><?xml version="1.0" encoding="utf-8"?>
<ds:datastoreItem xmlns:ds="http://schemas.openxmlformats.org/officeDocument/2006/customXml" ds:itemID="{B73680A0-B474-48C6-ADA3-DD4827FFB544}"/>
</file>

<file path=customXml/itemProps2.xml><?xml version="1.0" encoding="utf-8"?>
<ds:datastoreItem xmlns:ds="http://schemas.openxmlformats.org/officeDocument/2006/customXml" ds:itemID="{4D976525-DC40-4746-A01D-7146BFF2229A}"/>
</file>

<file path=customXml/itemProps3.xml><?xml version="1.0" encoding="utf-8"?>
<ds:datastoreItem xmlns:ds="http://schemas.openxmlformats.org/officeDocument/2006/customXml" ds:itemID="{6DFB9719-540F-4452-9DD5-7B4AA31F2BA2}"/>
</file>

<file path=customXml/itemProps4.xml><?xml version="1.0" encoding="utf-8"?>
<ds:datastoreItem xmlns:ds="http://schemas.openxmlformats.org/officeDocument/2006/customXml" ds:itemID="{9B568588-0E4B-40FB-8FE3-952FECE3BF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 Page MCP-2</vt:lpstr>
      <vt:lpstr>Exh MCP-2 - ROO Summary Sheet</vt:lpstr>
      <vt:lpstr>Cover Page MCP-3</vt:lpstr>
      <vt:lpstr>Exh MCP-3 - Rev Req Calc</vt:lpstr>
      <vt:lpstr>Cover Page MCP-4</vt:lpstr>
      <vt:lpstr>Exh MCP-4 - Conversion Factor</vt:lpstr>
      <vt:lpstr>Cover Page MCP-5</vt:lpstr>
      <vt:lpstr>Exh MCP-5 - Summary of Adj</vt:lpstr>
      <vt:lpstr>Cover Page MCP-6</vt:lpstr>
      <vt:lpstr>MCP-6 -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 Working Capital (AMA)</vt:lpstr>
      <vt:lpstr>Working Capital (EOP)</vt:lpstr>
      <vt:lpstr>'Capital Structure Calculation'!Print_Area</vt:lpstr>
      <vt:lpstr>'Exh MCP-2 - ROO Summary Sheet'!Print_Area</vt:lpstr>
      <vt:lpstr>'Exh MCP-5 - Summary of Adj'!Print_Area</vt:lpstr>
      <vt:lpstr>Index!Print_Area</vt:lpstr>
      <vt:lpstr>'Operating Report'!Print_Area</vt:lpstr>
      <vt:lpstr>'Pro Forma Plant Additions'!Print_Area</vt:lpstr>
      <vt:lpstr>'Restate &amp; Pro Forma Wage Adjust'!Print_Area</vt:lpstr>
      <vt:lpstr>'State Allocation Formulas'!Print_Area</vt:lpstr>
      <vt:lpstr>'Working Capital (EOP)'!Print_Area</vt:lpstr>
      <vt:lpstr>'Workpaper - Support Documents &gt;'!Print_Area</vt:lpstr>
      <vt:lpstr>' Working Capital (AMA)'!Print_Titles</vt:lpstr>
      <vt:lpstr>'Adv for Const. &amp; Def Tax'!Print_Titles</vt:lpstr>
      <vt:lpstr>'Advertising Adj'!Print_Titles</vt:lpstr>
      <vt:lpstr>'MCP-6 - Plant Additions'!Print_Titles</vt:lpstr>
      <vt:lpstr>'MCP-6 - Supporting Explanations'!Print_Titles</vt:lpstr>
      <vt:lpstr>'Operating Report'!Print_Titles</vt:lpstr>
      <vt:lpstr>'Plant in Serv &amp; Accum Depr'!Print_Titles</vt:lpstr>
      <vt:lpstr>'Restate &amp; Pro Forma Wage Adjust'!Print_Titles</vt:lpstr>
      <vt:lpstr>'Working Capital (EOP)'!Print_Titles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2019-03-28T20:41:09Z</cp:lastPrinted>
  <dcterms:created xsi:type="dcterms:W3CDTF">2014-12-11T21:48:04Z</dcterms:created>
  <dcterms:modified xsi:type="dcterms:W3CDTF">2019-03-28T20:41:43Z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0x0101006E56B4D1795A2E4DB2F0B01679ED314A004C2A143B775EEB47B26371B22E6028EB</vt:lpwstr>
  </property>
  <property fmtid="{D5CDD505-2E9C-101B-9397-08002B2CF9AE}" pid="3" name="_docset_NoMedatataSyncRequired">
    <vt:lpwstr>False</vt:lpwstr>
  </property>
  <property fmtid="{D5CDD505-2E9C-101B-9397-08002B2CF9AE}" pid="4" name="IsEFSEC">
    <vt:bool>false</vt:bool>
  </property>
</Properties>
</file>