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6.xml" ContentType="application/vnd.openxmlformats-officedocument.spreadsheetml.worksheet+xml"/>
  <Override PartName="/xl/drawings/drawing2.xml" ContentType="application/vnd.openxmlformats-officedocument.drawing+xml"/>
  <Override PartName="/xl/worksheets/sheet7.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01m107\c01m107\2019\2019_ WA Elec and Gas General Rate Case\Adjustments\3.13 PF Colstrip Reg Asset Amortization\"/>
    </mc:Choice>
  </mc:AlternateContent>
  <bookViews>
    <workbookView xWindow="0" yWindow="0" windowWidth="28800" windowHeight="13065" tabRatio="747"/>
  </bookViews>
  <sheets>
    <sheet name="Entries-Summary" sheetId="8" r:id="rId1"/>
    <sheet name="GL-Forecast" sheetId="6" r:id="rId2"/>
    <sheet name="Tax Entry" sheetId="16" r:id="rId3"/>
    <sheet name="Defered-Amm Calc" sheetId="10" r:id="rId4"/>
    <sheet name="Generation-deprec exp Updated" sheetId="14" r:id="rId5"/>
    <sheet name="Transmission-deprec exp Updated" sheetId="15" r:id="rId6"/>
    <sheet name="Accretion &amp; Depr forecast" sheetId="9" r:id="rId7"/>
  </sheets>
  <definedNames>
    <definedName name="_xlnm._FilterDatabase" localSheetId="1" hidden="1">'GL-Forecast'!$A$10:$BO$93</definedName>
    <definedName name="_xlnm.Print_Area" localSheetId="6">'Accretion &amp; Depr forecast'!$A$7:$K$129</definedName>
    <definedName name="_xlnm.Print_Area" localSheetId="0">'Entries-Summary'!$A$1:$L$57</definedName>
    <definedName name="_xlnm.Print_Area" localSheetId="5">'Transmission-deprec exp Updated'!$C$47:$Q$67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6" l="1"/>
  <c r="G50" i="14" l="1"/>
  <c r="H50" i="14"/>
  <c r="G51" i="14"/>
  <c r="H51" i="14"/>
  <c r="D52" i="14"/>
  <c r="G52" i="14"/>
  <c r="H52" i="14"/>
  <c r="J52" i="14"/>
  <c r="M52" i="14" s="1"/>
  <c r="M50" i="14" s="1"/>
  <c r="K52" i="14"/>
  <c r="N50" i="14" l="1"/>
  <c r="M51" i="14"/>
  <c r="BJ72" i="6"/>
  <c r="AQ47" i="6"/>
  <c r="H57" i="6"/>
  <c r="F14" i="10"/>
  <c r="F73" i="8" s="1"/>
  <c r="H75" i="8" s="1"/>
  <c r="F13" i="10"/>
  <c r="P29" i="6"/>
  <c r="P59" i="6" s="1"/>
  <c r="O29" i="6"/>
  <c r="O59" i="6" s="1"/>
  <c r="N29" i="6"/>
  <c r="N59" i="6" s="1"/>
  <c r="M29" i="6"/>
  <c r="M59" i="6" s="1"/>
  <c r="L29" i="6"/>
  <c r="L59" i="6" s="1"/>
  <c r="K29" i="6"/>
  <c r="K59" i="6" s="1"/>
  <c r="J29" i="6"/>
  <c r="J59" i="6" s="1"/>
  <c r="I29" i="6"/>
  <c r="I59" i="6" s="1"/>
  <c r="H29" i="6"/>
  <c r="P28" i="6"/>
  <c r="O28" i="6"/>
  <c r="N28" i="6"/>
  <c r="M28" i="6"/>
  <c r="L28" i="6"/>
  <c r="K28" i="6"/>
  <c r="J28" i="6"/>
  <c r="I28" i="6"/>
  <c r="H28" i="6"/>
  <c r="H58" i="6" s="1"/>
  <c r="F68" i="8"/>
  <c r="H69" i="8" s="1"/>
  <c r="Q29" i="6" l="1"/>
  <c r="BO29" i="6" s="1"/>
  <c r="H59" i="6"/>
  <c r="Q59" i="6" s="1"/>
  <c r="BM59" i="6" s="1"/>
  <c r="F54" i="8"/>
  <c r="H44" i="8"/>
  <c r="F79" i="8" s="1"/>
  <c r="H42" i="8"/>
  <c r="E17" i="6" s="1"/>
  <c r="H43" i="8"/>
  <c r="F78" i="8" s="1"/>
  <c r="H41" i="8"/>
  <c r="E16" i="6" s="1"/>
  <c r="F40" i="8"/>
  <c r="E53" i="6" s="1"/>
  <c r="F39" i="8"/>
  <c r="E52" i="6" s="1"/>
  <c r="F38" i="8"/>
  <c r="E79" i="6" s="1"/>
  <c r="BM79" i="6" s="1"/>
  <c r="F37" i="8"/>
  <c r="J31" i="16"/>
  <c r="I31" i="16"/>
  <c r="G31" i="16"/>
  <c r="F31" i="16"/>
  <c r="E31" i="16"/>
  <c r="D31" i="16"/>
  <c r="C31" i="16"/>
  <c r="J30" i="16"/>
  <c r="F29" i="16"/>
  <c r="I30" i="16"/>
  <c r="I29" i="16"/>
  <c r="J29" i="16"/>
  <c r="C30" i="16"/>
  <c r="C29" i="16"/>
  <c r="U13" i="16"/>
  <c r="Z18" i="16"/>
  <c r="AA18" i="16" s="1"/>
  <c r="Z17" i="16"/>
  <c r="Z20" i="16" s="1"/>
  <c r="AA17" i="16"/>
  <c r="Y20" i="16"/>
  <c r="X20" i="16"/>
  <c r="W20" i="16"/>
  <c r="V20" i="16"/>
  <c r="U20" i="16"/>
  <c r="S20" i="16"/>
  <c r="R20" i="16"/>
  <c r="Q20" i="16"/>
  <c r="P20" i="16"/>
  <c r="T20" i="16"/>
  <c r="T17" i="16"/>
  <c r="BM29" i="6" l="1"/>
  <c r="E69" i="6"/>
  <c r="I53" i="6"/>
  <c r="M53" i="6"/>
  <c r="H53" i="6"/>
  <c r="N70" i="6"/>
  <c r="J70" i="6"/>
  <c r="J53" i="6"/>
  <c r="N53" i="6"/>
  <c r="M70" i="6"/>
  <c r="I70" i="6"/>
  <c r="K53" i="6"/>
  <c r="O53" i="6"/>
  <c r="P70" i="6"/>
  <c r="L70" i="6"/>
  <c r="H70" i="6"/>
  <c r="L53" i="6"/>
  <c r="P53" i="6"/>
  <c r="O70" i="6"/>
  <c r="K70" i="6"/>
  <c r="K52" i="6"/>
  <c r="O52" i="6"/>
  <c r="H52" i="6"/>
  <c r="L52" i="6"/>
  <c r="P52" i="6"/>
  <c r="I52" i="6"/>
  <c r="M52" i="6"/>
  <c r="J52" i="6"/>
  <c r="N52" i="6"/>
  <c r="E70" i="6"/>
  <c r="H80" i="8"/>
  <c r="H81" i="8"/>
  <c r="G44" i="8"/>
  <c r="F30" i="16"/>
  <c r="AA20" i="16"/>
  <c r="Q70" i="6" l="1"/>
  <c r="BM70" i="6" s="1"/>
  <c r="G81" i="8"/>
  <c r="Q52" i="6"/>
  <c r="BM52" i="6" s="1"/>
  <c r="Z14" i="16"/>
  <c r="W18" i="16"/>
  <c r="W17" i="16"/>
  <c r="T18" i="16"/>
  <c r="P18" i="16"/>
  <c r="G33" i="16"/>
  <c r="G34" i="16" s="1"/>
  <c r="U15" i="16"/>
  <c r="U14" i="16"/>
  <c r="AQ72" i="6" l="1"/>
  <c r="F89" i="8"/>
  <c r="BK34" i="6"/>
  <c r="F6" i="6"/>
  <c r="H102" i="8"/>
  <c r="K26" i="16"/>
  <c r="K25" i="16"/>
  <c r="H33" i="8"/>
  <c r="H32" i="8"/>
  <c r="F31" i="8"/>
  <c r="H27" i="8"/>
  <c r="H26" i="8"/>
  <c r="F25" i="8"/>
  <c r="BM16" i="6" l="1"/>
  <c r="BO16" i="6"/>
  <c r="J26" i="16"/>
  <c r="J25" i="16"/>
  <c r="E34" i="16" l="1"/>
  <c r="C34" i="16"/>
  <c r="F72" i="8" s="1"/>
  <c r="Q32" i="16"/>
  <c r="R32" i="16" s="1"/>
  <c r="R31" i="16"/>
  <c r="R28" i="16"/>
  <c r="Z15" i="16"/>
  <c r="AA15" i="16" s="1"/>
  <c r="H74" i="8" l="1"/>
  <c r="G75" i="8" s="1"/>
  <c r="R33" i="16"/>
  <c r="D34" i="16"/>
  <c r="AA14" i="16"/>
  <c r="K29" i="16" l="1"/>
  <c r="F34" i="16" l="1"/>
  <c r="K31" i="16"/>
  <c r="H69" i="6" l="1"/>
  <c r="K69" i="6"/>
  <c r="J69" i="6"/>
  <c r="M69" i="6"/>
  <c r="I69" i="6"/>
  <c r="P69" i="6"/>
  <c r="L69" i="6"/>
  <c r="O69" i="6"/>
  <c r="N69" i="6"/>
  <c r="BJ44" i="6"/>
  <c r="P57" i="6"/>
  <c r="O57" i="6"/>
  <c r="N57" i="6"/>
  <c r="M57" i="6"/>
  <c r="L57" i="6"/>
  <c r="K57" i="6"/>
  <c r="J57" i="6"/>
  <c r="I57" i="6"/>
  <c r="F64" i="8"/>
  <c r="H65" i="8" s="1"/>
  <c r="F9" i="10"/>
  <c r="L58" i="15"/>
  <c r="L57" i="15"/>
  <c r="G57" i="6"/>
  <c r="Q14" i="14"/>
  <c r="I31" i="14" s="1"/>
  <c r="H14" i="14"/>
  <c r="G66" i="15"/>
  <c r="D66" i="15"/>
  <c r="G65" i="15"/>
  <c r="D65" i="15"/>
  <c r="G64" i="15"/>
  <c r="D64" i="15"/>
  <c r="G63" i="15"/>
  <c r="G67" i="15" s="1"/>
  <c r="D63" i="15"/>
  <c r="G62" i="15"/>
  <c r="D62" i="15"/>
  <c r="G61" i="15"/>
  <c r="D61" i="15"/>
  <c r="G60" i="15"/>
  <c r="D60" i="15"/>
  <c r="J55" i="15"/>
  <c r="H55" i="15"/>
  <c r="D55" i="15"/>
  <c r="G55" i="15" s="1"/>
  <c r="E66" i="15" s="1"/>
  <c r="J54" i="15"/>
  <c r="H54" i="15"/>
  <c r="D54" i="15"/>
  <c r="G54" i="15" s="1"/>
  <c r="E65" i="15" s="1"/>
  <c r="J53" i="15"/>
  <c r="H53" i="15"/>
  <c r="D53" i="15"/>
  <c r="G53" i="15" s="1"/>
  <c r="E64" i="15" s="1"/>
  <c r="J52" i="15"/>
  <c r="H52" i="15"/>
  <c r="D52" i="15"/>
  <c r="G52" i="15" s="1"/>
  <c r="E63" i="15" s="1"/>
  <c r="J51" i="15"/>
  <c r="H51" i="15"/>
  <c r="D51" i="15"/>
  <c r="J50" i="15"/>
  <c r="J56" i="15" s="1"/>
  <c r="H50" i="15"/>
  <c r="D50" i="15"/>
  <c r="G50" i="15" s="1"/>
  <c r="E61" i="15" s="1"/>
  <c r="Q49" i="15"/>
  <c r="H49" i="15"/>
  <c r="H56" i="15" s="1"/>
  <c r="G49" i="15"/>
  <c r="E60" i="15" s="1"/>
  <c r="D49" i="15"/>
  <c r="D56" i="15" s="1"/>
  <c r="D45" i="15"/>
  <c r="D25" i="15"/>
  <c r="H24" i="15"/>
  <c r="G24" i="15"/>
  <c r="G23" i="15"/>
  <c r="F23" i="15"/>
  <c r="H23" i="15" s="1"/>
  <c r="G22" i="15"/>
  <c r="F22" i="15"/>
  <c r="H22" i="15" s="1"/>
  <c r="H21" i="15"/>
  <c r="G21" i="15"/>
  <c r="H20" i="15"/>
  <c r="G20" i="15"/>
  <c r="H19" i="15"/>
  <c r="G19" i="15"/>
  <c r="F19" i="15"/>
  <c r="H18" i="15"/>
  <c r="G18" i="15"/>
  <c r="F18" i="15"/>
  <c r="G17" i="15"/>
  <c r="F17" i="15"/>
  <c r="H17" i="15" s="1"/>
  <c r="H16" i="15"/>
  <c r="G16" i="15"/>
  <c r="H15" i="15"/>
  <c r="G15" i="15"/>
  <c r="G14" i="15"/>
  <c r="F14" i="15"/>
  <c r="H14" i="15" s="1"/>
  <c r="H13" i="15"/>
  <c r="G13" i="15"/>
  <c r="F13" i="15"/>
  <c r="H12" i="15"/>
  <c r="G12" i="15"/>
  <c r="G25" i="15" s="1"/>
  <c r="E25" i="15" s="1"/>
  <c r="F12" i="15"/>
  <c r="H11" i="15"/>
  <c r="G11" i="15"/>
  <c r="H10" i="15"/>
  <c r="G10" i="15"/>
  <c r="H9" i="15"/>
  <c r="G9" i="15"/>
  <c r="H8" i="15"/>
  <c r="G8" i="15"/>
  <c r="G51" i="15" s="1"/>
  <c r="E62" i="15" s="1"/>
  <c r="D43" i="14"/>
  <c r="G42" i="14"/>
  <c r="G41" i="14"/>
  <c r="E41" i="14"/>
  <c r="L24" i="14" s="1"/>
  <c r="M24" i="14" s="1"/>
  <c r="G40" i="14"/>
  <c r="G39" i="14"/>
  <c r="G38" i="14"/>
  <c r="G37" i="14"/>
  <c r="E37" i="14"/>
  <c r="G36" i="14"/>
  <c r="G35" i="14"/>
  <c r="G34" i="14"/>
  <c r="G33" i="14"/>
  <c r="E33" i="14"/>
  <c r="G32" i="14"/>
  <c r="G31" i="14"/>
  <c r="G43" i="14" s="1"/>
  <c r="P26" i="14"/>
  <c r="J26" i="14"/>
  <c r="D26" i="14"/>
  <c r="Q25" i="14"/>
  <c r="I42" i="14" s="1"/>
  <c r="H25" i="14"/>
  <c r="G25" i="14"/>
  <c r="E42" i="14" s="1"/>
  <c r="Q24" i="14"/>
  <c r="I41" i="14" s="1"/>
  <c r="H24" i="14"/>
  <c r="G24" i="14"/>
  <c r="Q23" i="14"/>
  <c r="I40" i="14" s="1"/>
  <c r="H23" i="14"/>
  <c r="G23" i="14"/>
  <c r="E40" i="14" s="1"/>
  <c r="L23" i="14" s="1"/>
  <c r="Q22" i="14"/>
  <c r="I39" i="14" s="1"/>
  <c r="H22" i="14"/>
  <c r="G22" i="14"/>
  <c r="E39" i="14" s="1"/>
  <c r="L22" i="14" s="1"/>
  <c r="Q21" i="14"/>
  <c r="I38" i="14" s="1"/>
  <c r="H21" i="14"/>
  <c r="G21" i="14"/>
  <c r="E38" i="14" s="1"/>
  <c r="Q20" i="14"/>
  <c r="I37" i="14" s="1"/>
  <c r="H20" i="14"/>
  <c r="G20" i="14"/>
  <c r="Q19" i="14"/>
  <c r="I36" i="14" s="1"/>
  <c r="H19" i="14"/>
  <c r="G19" i="14"/>
  <c r="E36" i="14" s="1"/>
  <c r="Q18" i="14"/>
  <c r="I35" i="14" s="1"/>
  <c r="H18" i="14"/>
  <c r="G18" i="14"/>
  <c r="E35" i="14" s="1"/>
  <c r="Q17" i="14"/>
  <c r="I34" i="14" s="1"/>
  <c r="H17" i="14"/>
  <c r="G17" i="14"/>
  <c r="E34" i="14" s="1"/>
  <c r="Q16" i="14"/>
  <c r="I33" i="14" s="1"/>
  <c r="H16" i="14"/>
  <c r="G16" i="14"/>
  <c r="Q15" i="14"/>
  <c r="I32" i="14" s="1"/>
  <c r="H15" i="14"/>
  <c r="H26" i="14" s="1"/>
  <c r="F26" i="14" s="1"/>
  <c r="G15" i="14"/>
  <c r="E32" i="14" s="1"/>
  <c r="G14" i="14"/>
  <c r="E31" i="14" s="1"/>
  <c r="L14" i="14" s="1"/>
  <c r="D11" i="14"/>
  <c r="M14" i="14" l="1"/>
  <c r="G26" i="14"/>
  <c r="E26" i="14" s="1"/>
  <c r="Q26" i="14"/>
  <c r="Q53" i="6"/>
  <c r="BM53" i="6" s="1"/>
  <c r="Q69" i="6"/>
  <c r="BM69" i="6" s="1"/>
  <c r="L21" i="14"/>
  <c r="I43" i="14"/>
  <c r="H25" i="15"/>
  <c r="F25" i="15" s="1"/>
  <c r="E67" i="15"/>
  <c r="L17" i="14"/>
  <c r="L19" i="14"/>
  <c r="F56" i="15"/>
  <c r="L25" i="14"/>
  <c r="M25" i="14" s="1"/>
  <c r="L15" i="14"/>
  <c r="L26" i="14" s="1"/>
  <c r="L51" i="15"/>
  <c r="E43" i="14"/>
  <c r="Q50" i="15"/>
  <c r="I61" i="15" s="1"/>
  <c r="Q51" i="15"/>
  <c r="I62" i="15" s="1"/>
  <c r="Q52" i="15"/>
  <c r="I63" i="15" s="1"/>
  <c r="Q53" i="15"/>
  <c r="I64" i="15" s="1"/>
  <c r="Q54" i="15"/>
  <c r="I65" i="15" s="1"/>
  <c r="Q55" i="15"/>
  <c r="I66" i="15" s="1"/>
  <c r="G56" i="15"/>
  <c r="E56" i="15" s="1"/>
  <c r="I60" i="15"/>
  <c r="D67" i="15"/>
  <c r="L49" i="15"/>
  <c r="L50" i="15"/>
  <c r="L52" i="15"/>
  <c r="L53" i="15"/>
  <c r="L54" i="15"/>
  <c r="L55" i="15"/>
  <c r="L16" i="14"/>
  <c r="L18" i="14"/>
  <c r="L20" i="14"/>
  <c r="H56" i="6" l="1"/>
  <c r="N56" i="6"/>
  <c r="J56" i="6"/>
  <c r="L29" i="14"/>
  <c r="M56" i="6"/>
  <c r="I56" i="6"/>
  <c r="P56" i="6"/>
  <c r="L56" i="6"/>
  <c r="L43" i="14"/>
  <c r="O56" i="6"/>
  <c r="K56" i="6"/>
  <c r="L28" i="14"/>
  <c r="G56" i="6"/>
  <c r="F39" i="14"/>
  <c r="H39" i="14" s="1"/>
  <c r="J39" i="14" s="1"/>
  <c r="M22" i="14"/>
  <c r="N22" i="14" s="1"/>
  <c r="M20" i="14"/>
  <c r="N20" i="14" s="1"/>
  <c r="F37" i="14"/>
  <c r="H37" i="14" s="1"/>
  <c r="J37" i="14" s="1"/>
  <c r="M55" i="15"/>
  <c r="N55" i="15" s="1"/>
  <c r="F66" i="15"/>
  <c r="H66" i="15" s="1"/>
  <c r="J66" i="15" s="1"/>
  <c r="M50" i="15"/>
  <c r="N50" i="15" s="1"/>
  <c r="F61" i="15"/>
  <c r="H61" i="15" s="1"/>
  <c r="J61" i="15" s="1"/>
  <c r="M51" i="15"/>
  <c r="N51" i="15" s="1"/>
  <c r="F62" i="15"/>
  <c r="H62" i="15" s="1"/>
  <c r="J62" i="15" s="1"/>
  <c r="F40" i="14"/>
  <c r="H40" i="14" s="1"/>
  <c r="J40" i="14" s="1"/>
  <c r="M23" i="14"/>
  <c r="N23" i="14" s="1"/>
  <c r="F36" i="14"/>
  <c r="M19" i="14"/>
  <c r="N19" i="14" s="1"/>
  <c r="F63" i="15"/>
  <c r="H63" i="15" s="1"/>
  <c r="J63" i="15" s="1"/>
  <c r="M52" i="15"/>
  <c r="N52" i="15" s="1"/>
  <c r="F34" i="14"/>
  <c r="H34" i="14" s="1"/>
  <c r="J34" i="14" s="1"/>
  <c r="M17" i="14"/>
  <c r="N17" i="14" s="1"/>
  <c r="F35" i="14"/>
  <c r="H35" i="14" s="1"/>
  <c r="J35" i="14" s="1"/>
  <c r="M18" i="14"/>
  <c r="N18" i="14" s="1"/>
  <c r="M54" i="15"/>
  <c r="N54" i="15" s="1"/>
  <c r="F65" i="15"/>
  <c r="H65" i="15" s="1"/>
  <c r="J65" i="15" s="1"/>
  <c r="M49" i="15"/>
  <c r="F60" i="15"/>
  <c r="L56" i="15"/>
  <c r="Q56" i="15"/>
  <c r="F42" i="14"/>
  <c r="N25" i="14"/>
  <c r="F38" i="14"/>
  <c r="H38" i="14" s="1"/>
  <c r="J38" i="14" s="1"/>
  <c r="M21" i="14"/>
  <c r="N21" i="14" s="1"/>
  <c r="F31" i="14"/>
  <c r="I67" i="15"/>
  <c r="N24" i="14"/>
  <c r="F41" i="14"/>
  <c r="H41" i="14" s="1"/>
  <c r="J41" i="14" s="1"/>
  <c r="M16" i="14"/>
  <c r="N16" i="14" s="1"/>
  <c r="F33" i="14"/>
  <c r="H33" i="14" s="1"/>
  <c r="J33" i="14" s="1"/>
  <c r="M53" i="15"/>
  <c r="N53" i="15" s="1"/>
  <c r="F64" i="15"/>
  <c r="H64" i="15" s="1"/>
  <c r="J64" i="15" s="1"/>
  <c r="F32" i="14"/>
  <c r="H32" i="14" s="1"/>
  <c r="J32" i="14" s="1"/>
  <c r="M15" i="14"/>
  <c r="N15" i="14" s="1"/>
  <c r="M26" i="14" l="1"/>
  <c r="F60" i="8"/>
  <c r="H61" i="8" s="1"/>
  <c r="F8" i="10"/>
  <c r="F11" i="10" s="1"/>
  <c r="F15" i="10" s="1"/>
  <c r="J36" i="14"/>
  <c r="H36" i="14"/>
  <c r="Q56" i="6"/>
  <c r="H42" i="14"/>
  <c r="J42" i="14" s="1"/>
  <c r="N26" i="14"/>
  <c r="N14" i="14"/>
  <c r="N49" i="15"/>
  <c r="M56" i="15"/>
  <c r="N56" i="15" s="1"/>
  <c r="F67" i="15"/>
  <c r="H60" i="15"/>
  <c r="F43" i="14"/>
  <c r="H31" i="14"/>
  <c r="H43" i="14" s="1"/>
  <c r="J31" i="14" l="1"/>
  <c r="J43" i="14" s="1"/>
  <c r="J60" i="15"/>
  <c r="J67" i="15" s="1"/>
  <c r="H67" i="15"/>
  <c r="BO13" i="6" l="1"/>
  <c r="BO12" i="6"/>
  <c r="BO11" i="6"/>
  <c r="F17" i="10" l="1"/>
  <c r="H90" i="8" l="1"/>
  <c r="G8" i="6"/>
  <c r="H8" i="6" s="1"/>
  <c r="I8" i="6" s="1"/>
  <c r="J8" i="6" s="1"/>
  <c r="K8" i="6" s="1"/>
  <c r="L8" i="6" s="1"/>
  <c r="M8" i="6" s="1"/>
  <c r="N8" i="6" s="1"/>
  <c r="O8" i="6" s="1"/>
  <c r="P8" i="6" s="1"/>
  <c r="BI72" i="6"/>
  <c r="BI44" i="6" s="1"/>
  <c r="BH72" i="6"/>
  <c r="BH64" i="6" s="1"/>
  <c r="BH46" i="6" s="1"/>
  <c r="BG72" i="6"/>
  <c r="BG64" i="6" s="1"/>
  <c r="BG46" i="6" s="1"/>
  <c r="BF72" i="6"/>
  <c r="BF44" i="6" s="1"/>
  <c r="BE72" i="6"/>
  <c r="BE44" i="6" s="1"/>
  <c r="BD72" i="6"/>
  <c r="BD64" i="6" s="1"/>
  <c r="BD46" i="6" s="1"/>
  <c r="BC72" i="6"/>
  <c r="BC64" i="6" s="1"/>
  <c r="BC46" i="6" s="1"/>
  <c r="BB72" i="6"/>
  <c r="BB44" i="6" s="1"/>
  <c r="BA72" i="6"/>
  <c r="BA44" i="6" s="1"/>
  <c r="AZ72" i="6"/>
  <c r="AZ64" i="6" s="1"/>
  <c r="AZ46" i="6" s="1"/>
  <c r="AY72" i="6"/>
  <c r="AY64" i="6" s="1"/>
  <c r="AY46" i="6" s="1"/>
  <c r="AX72" i="6"/>
  <c r="AX44" i="6" s="1"/>
  <c r="AW72" i="6"/>
  <c r="AW44" i="6" s="1"/>
  <c r="AV72" i="6"/>
  <c r="AV64" i="6" s="1"/>
  <c r="AV46" i="6" s="1"/>
  <c r="AU72" i="6"/>
  <c r="AR72" i="6"/>
  <c r="AR44" i="6" s="1"/>
  <c r="AP72" i="6"/>
  <c r="AP64" i="6" s="1"/>
  <c r="AP34" i="6" s="1"/>
  <c r="AO72" i="6"/>
  <c r="AO64" i="6" s="1"/>
  <c r="AO34" i="6" s="1"/>
  <c r="AN72" i="6"/>
  <c r="AN44" i="6" s="1"/>
  <c r="AM72" i="6"/>
  <c r="AM44" i="6" s="1"/>
  <c r="AL72" i="6"/>
  <c r="AL64" i="6" s="1"/>
  <c r="AL34" i="6" s="1"/>
  <c r="AK72" i="6"/>
  <c r="AK64" i="6" s="1"/>
  <c r="AK34" i="6" s="1"/>
  <c r="AJ72" i="6"/>
  <c r="AJ44" i="6" s="1"/>
  <c r="AI72" i="6"/>
  <c r="AI44" i="6" s="1"/>
  <c r="AH72" i="6"/>
  <c r="AH64" i="6" s="1"/>
  <c r="AH34" i="6" s="1"/>
  <c r="AG72" i="6"/>
  <c r="AG44" i="6" s="1"/>
  <c r="AF72" i="6"/>
  <c r="AF44" i="6" s="1"/>
  <c r="AE72" i="6"/>
  <c r="AE44" i="6" s="1"/>
  <c r="AD72" i="6"/>
  <c r="AD64" i="6" s="1"/>
  <c r="AD34" i="6" s="1"/>
  <c r="AC72" i="6"/>
  <c r="AC44" i="6" s="1"/>
  <c r="AB72" i="6"/>
  <c r="AB44" i="6" s="1"/>
  <c r="AA72" i="6"/>
  <c r="AA44" i="6" s="1"/>
  <c r="Z72" i="6"/>
  <c r="Z64" i="6" s="1"/>
  <c r="Z34" i="6" s="1"/>
  <c r="Y72" i="6"/>
  <c r="Y44" i="6" s="1"/>
  <c r="X72" i="6"/>
  <c r="X44" i="6" s="1"/>
  <c r="W72" i="6"/>
  <c r="W44" i="6" s="1"/>
  <c r="V72" i="6"/>
  <c r="V64" i="6" s="1"/>
  <c r="V34" i="6" s="1"/>
  <c r="U72" i="6"/>
  <c r="U44" i="6" s="1"/>
  <c r="T72" i="6"/>
  <c r="T44" i="6" s="1"/>
  <c r="S72" i="6"/>
  <c r="S44" i="6" s="1"/>
  <c r="P72" i="6"/>
  <c r="P64" i="6" s="1"/>
  <c r="P34" i="6" s="1"/>
  <c r="O72" i="6"/>
  <c r="O64" i="6" s="1"/>
  <c r="O34" i="6" s="1"/>
  <c r="N72" i="6"/>
  <c r="N64" i="6" s="1"/>
  <c r="N34" i="6" s="1"/>
  <c r="M72" i="6"/>
  <c r="M64" i="6" s="1"/>
  <c r="M34" i="6" s="1"/>
  <c r="L72" i="6"/>
  <c r="L64" i="6" s="1"/>
  <c r="L34" i="6" s="1"/>
  <c r="K72" i="6"/>
  <c r="K64" i="6" s="1"/>
  <c r="K34" i="6" s="1"/>
  <c r="J72" i="6"/>
  <c r="J64" i="6" s="1"/>
  <c r="J34" i="6" s="1"/>
  <c r="I72" i="6"/>
  <c r="I64" i="6" s="1"/>
  <c r="I34" i="6" s="1"/>
  <c r="H72" i="6"/>
  <c r="G72" i="6"/>
  <c r="G64" i="6" s="1"/>
  <c r="O16" i="9"/>
  <c r="R14" i="9"/>
  <c r="S14" i="9" s="1"/>
  <c r="T14" i="9" s="1"/>
  <c r="U14" i="9" s="1"/>
  <c r="V14" i="9" s="1"/>
  <c r="W14" i="9" s="1"/>
  <c r="X14" i="9" s="1"/>
  <c r="Y14" i="9" s="1"/>
  <c r="Z14" i="9" s="1"/>
  <c r="AA14" i="9" s="1"/>
  <c r="AB14" i="9" s="1"/>
  <c r="AC14" i="9" s="1"/>
  <c r="AD14" i="9" s="1"/>
  <c r="AE14" i="9" s="1"/>
  <c r="AF14" i="9" s="1"/>
  <c r="AG14" i="9" s="1"/>
  <c r="AH14" i="9" s="1"/>
  <c r="AI14" i="9" s="1"/>
  <c r="AJ14" i="9" s="1"/>
  <c r="AK14" i="9" s="1"/>
  <c r="AL14" i="9" s="1"/>
  <c r="AM14" i="9" s="1"/>
  <c r="AN14" i="9" s="1"/>
  <c r="AO14" i="9" s="1"/>
  <c r="AP14" i="9" s="1"/>
  <c r="AQ14" i="9" s="1"/>
  <c r="AR14" i="9" s="1"/>
  <c r="AS14" i="9" s="1"/>
  <c r="AT14" i="9" s="1"/>
  <c r="AU14" i="9" s="1"/>
  <c r="AV14" i="9" s="1"/>
  <c r="AW14" i="9" s="1"/>
  <c r="AX14" i="9" s="1"/>
  <c r="AY14" i="9" s="1"/>
  <c r="AZ14" i="9" s="1"/>
  <c r="BA14" i="9" s="1"/>
  <c r="BB14" i="9" s="1"/>
  <c r="BC14" i="9" s="1"/>
  <c r="BD14" i="9" s="1"/>
  <c r="BE14" i="9" s="1"/>
  <c r="BF14" i="9" s="1"/>
  <c r="BG14" i="9" s="1"/>
  <c r="BH14" i="9" s="1"/>
  <c r="BI14" i="9" s="1"/>
  <c r="BJ14" i="9" s="1"/>
  <c r="BK14" i="9" s="1"/>
  <c r="BL14" i="9" s="1"/>
  <c r="BM14" i="9" s="1"/>
  <c r="BN14" i="9" s="1"/>
  <c r="BO14" i="9" s="1"/>
  <c r="BO16" i="9"/>
  <c r="BN16" i="9"/>
  <c r="BM16" i="9"/>
  <c r="BL16" i="9"/>
  <c r="BK16" i="9"/>
  <c r="BJ16" i="9"/>
  <c r="BI16" i="9"/>
  <c r="BH16" i="9"/>
  <c r="BG16" i="9"/>
  <c r="BF16" i="9"/>
  <c r="BE16" i="9"/>
  <c r="BD16" i="9"/>
  <c r="BC16" i="9"/>
  <c r="BB16" i="9"/>
  <c r="BA16" i="9"/>
  <c r="AZ16" i="9"/>
  <c r="AY16" i="9"/>
  <c r="AX16" i="9"/>
  <c r="AW16" i="9"/>
  <c r="AV16" i="9"/>
  <c r="AU16" i="9"/>
  <c r="AT16" i="9"/>
  <c r="AS16" i="9"/>
  <c r="AR16" i="9"/>
  <c r="AQ16" i="9"/>
  <c r="AP16" i="9"/>
  <c r="AO16" i="9"/>
  <c r="AN16" i="9"/>
  <c r="AM16" i="9"/>
  <c r="AL16" i="9"/>
  <c r="AK16" i="9"/>
  <c r="AJ16" i="9"/>
  <c r="AI16" i="9"/>
  <c r="AH16" i="9"/>
  <c r="AG16" i="9"/>
  <c r="AF16" i="9"/>
  <c r="AE16" i="9"/>
  <c r="AD16" i="9"/>
  <c r="AC16" i="9"/>
  <c r="AB16" i="9"/>
  <c r="AA16" i="9"/>
  <c r="Z16" i="9"/>
  <c r="Y16" i="9"/>
  <c r="X16" i="9"/>
  <c r="W16" i="9"/>
  <c r="V16" i="9"/>
  <c r="U16" i="9"/>
  <c r="T16" i="9"/>
  <c r="S16" i="9"/>
  <c r="R16" i="9"/>
  <c r="Q16" i="9"/>
  <c r="P16" i="9"/>
  <c r="H64" i="6" l="1"/>
  <c r="Q64" i="6" s="1"/>
  <c r="BK72" i="6"/>
  <c r="H95" i="8"/>
  <c r="F93" i="8"/>
  <c r="AU64" i="6"/>
  <c r="AQ44" i="6"/>
  <c r="AQ64" i="6"/>
  <c r="AQ34" i="6" s="1"/>
  <c r="S8" i="6"/>
  <c r="T8" i="6" s="1"/>
  <c r="U8" i="6" s="1"/>
  <c r="V8" i="6" s="1"/>
  <c r="W8" i="6" s="1"/>
  <c r="X8" i="6" s="1"/>
  <c r="Y8" i="6" s="1"/>
  <c r="Z8" i="6" s="1"/>
  <c r="AA8" i="6" s="1"/>
  <c r="AB8" i="6" s="1"/>
  <c r="AC8" i="6" s="1"/>
  <c r="AD8" i="6" s="1"/>
  <c r="AE8" i="6" s="1"/>
  <c r="AF8" i="6" s="1"/>
  <c r="AG8" i="6" s="1"/>
  <c r="AH8" i="6" s="1"/>
  <c r="AI8" i="6" s="1"/>
  <c r="AJ8" i="6" s="1"/>
  <c r="AK8" i="6" s="1"/>
  <c r="AL8" i="6" s="1"/>
  <c r="AM8" i="6" s="1"/>
  <c r="AN8" i="6" s="1"/>
  <c r="AO8" i="6" s="1"/>
  <c r="AP8" i="6" s="1"/>
  <c r="Q8" i="6"/>
  <c r="G90" i="8"/>
  <c r="AS72" i="6"/>
  <c r="Z44" i="6"/>
  <c r="AH44" i="6"/>
  <c r="AO44" i="6"/>
  <c r="BG44" i="6"/>
  <c r="W64" i="6"/>
  <c r="W34" i="6" s="1"/>
  <c r="AM64" i="6"/>
  <c r="AM34" i="6" s="1"/>
  <c r="BE64" i="6"/>
  <c r="BE46" i="6" s="1"/>
  <c r="BE9" i="6" s="1"/>
  <c r="I44" i="6"/>
  <c r="AD44" i="6"/>
  <c r="AU44" i="6"/>
  <c r="AA64" i="6"/>
  <c r="AA34" i="6" s="1"/>
  <c r="BI64" i="6"/>
  <c r="BI46" i="6" s="1"/>
  <c r="BI9" i="6" s="1"/>
  <c r="M44" i="6"/>
  <c r="AY44" i="6"/>
  <c r="AE64" i="6"/>
  <c r="AE34" i="6" s="1"/>
  <c r="AW64" i="6"/>
  <c r="AW46" i="6" s="1"/>
  <c r="AW9" i="6" s="1"/>
  <c r="V44" i="6"/>
  <c r="AK44" i="6"/>
  <c r="BC44" i="6"/>
  <c r="S64" i="6"/>
  <c r="AI64" i="6"/>
  <c r="AI34" i="6" s="1"/>
  <c r="BA64" i="6"/>
  <c r="BA46" i="6" s="1"/>
  <c r="BA9" i="6" s="1"/>
  <c r="G34" i="6"/>
  <c r="J44" i="6"/>
  <c r="N44" i="6"/>
  <c r="AL44" i="6"/>
  <c r="AP44" i="6"/>
  <c r="AV44" i="6"/>
  <c r="AZ44" i="6"/>
  <c r="BD44" i="6"/>
  <c r="BH44" i="6"/>
  <c r="T64" i="6"/>
  <c r="T34" i="6" s="1"/>
  <c r="X64" i="6"/>
  <c r="X34" i="6" s="1"/>
  <c r="AB64" i="6"/>
  <c r="AB34" i="6" s="1"/>
  <c r="AF64" i="6"/>
  <c r="AF34" i="6" s="1"/>
  <c r="AJ64" i="6"/>
  <c r="AJ34" i="6" s="1"/>
  <c r="AN64" i="6"/>
  <c r="AN34" i="6" s="1"/>
  <c r="AR64" i="6"/>
  <c r="AR46" i="6" s="1"/>
  <c r="AX64" i="6"/>
  <c r="AX46" i="6" s="1"/>
  <c r="AX9" i="6" s="1"/>
  <c r="BB64" i="6"/>
  <c r="BB46" i="6" s="1"/>
  <c r="BB9" i="6" s="1"/>
  <c r="BF64" i="6"/>
  <c r="BF46" i="6" s="1"/>
  <c r="BF9" i="6" s="1"/>
  <c r="BJ64" i="6"/>
  <c r="BJ46" i="6" s="1"/>
  <c r="G44" i="6"/>
  <c r="K44" i="6"/>
  <c r="O44" i="6"/>
  <c r="U64" i="6"/>
  <c r="U34" i="6" s="1"/>
  <c r="Y64" i="6"/>
  <c r="Y34" i="6" s="1"/>
  <c r="AC64" i="6"/>
  <c r="AC34" i="6" s="1"/>
  <c r="AG64" i="6"/>
  <c r="AG34" i="6" s="1"/>
  <c r="H44" i="6"/>
  <c r="L44" i="6"/>
  <c r="P44" i="6"/>
  <c r="Q72" i="6"/>
  <c r="H34" i="6" l="1"/>
  <c r="Q34" i="6" s="1"/>
  <c r="BM72" i="6"/>
  <c r="BF6" i="6"/>
  <c r="BB6" i="6"/>
  <c r="BH9" i="6"/>
  <c r="BH6" i="6"/>
  <c r="BG9" i="6"/>
  <c r="BG6" i="6"/>
  <c r="BI6" i="6"/>
  <c r="BJ9" i="6"/>
  <c r="BJ6" i="6"/>
  <c r="BD9" i="6"/>
  <c r="BD6" i="6"/>
  <c r="BC9" i="6"/>
  <c r="BC6" i="6"/>
  <c r="BE6" i="6"/>
  <c r="AZ9" i="6"/>
  <c r="AZ6" i="6"/>
  <c r="AY9" i="6"/>
  <c r="AY6" i="6"/>
  <c r="AX6" i="6"/>
  <c r="BA6" i="6"/>
  <c r="AV9" i="6"/>
  <c r="AV6" i="6"/>
  <c r="AW6" i="6"/>
  <c r="BK44" i="6"/>
  <c r="AU46" i="6"/>
  <c r="AU9" i="6" s="1"/>
  <c r="AS44" i="6"/>
  <c r="AS64" i="6"/>
  <c r="BK64" i="6"/>
  <c r="S34" i="6"/>
  <c r="Q44" i="6"/>
  <c r="AU6" i="6" l="1"/>
  <c r="BK46" i="6"/>
  <c r="BK9" i="6" s="1"/>
  <c r="BM64" i="6"/>
  <c r="AS34" i="6"/>
  <c r="BK6" i="6" l="1"/>
  <c r="BM34" i="6"/>
  <c r="BO34" i="6"/>
  <c r="G61" i="6"/>
  <c r="G63" i="6" s="1"/>
  <c r="G26" i="6" l="1"/>
  <c r="E33" i="6" l="1"/>
  <c r="E68" i="6" l="1"/>
  <c r="BM68" i="6" s="1"/>
  <c r="E38" i="6"/>
  <c r="E39" i="6"/>
  <c r="BM39" i="6" s="1"/>
  <c r="D39" i="6"/>
  <c r="D50" i="6"/>
  <c r="E67" i="6"/>
  <c r="BM67" i="6" s="1"/>
  <c r="E49" i="6"/>
  <c r="BO49" i="6" s="1"/>
  <c r="BO39" i="6" l="1"/>
  <c r="BM38" i="6"/>
  <c r="BO38" i="6"/>
  <c r="BM49" i="6"/>
  <c r="G69" i="8"/>
  <c r="G65" i="8"/>
  <c r="G61" i="8"/>
  <c r="G33" i="8"/>
  <c r="G27" i="8"/>
  <c r="G95" i="8" l="1"/>
  <c r="BO52" i="6" l="1"/>
  <c r="D43" i="6"/>
  <c r="M58" i="6" l="1"/>
  <c r="I58" i="6"/>
  <c r="F18" i="10"/>
  <c r="P58" i="6"/>
  <c r="L58" i="6"/>
  <c r="O58" i="6"/>
  <c r="K58" i="6"/>
  <c r="N58" i="6"/>
  <c r="J58" i="6"/>
  <c r="BO53" i="6"/>
  <c r="H50" i="8"/>
  <c r="BO14" i="6"/>
  <c r="H55" i="8" l="1"/>
  <c r="E43" i="6"/>
  <c r="Q28" i="6"/>
  <c r="E78" i="6"/>
  <c r="BM78" i="6" s="1"/>
  <c r="G50" i="8"/>
  <c r="E31" i="6"/>
  <c r="BO31" i="6" s="1"/>
  <c r="J61" i="6"/>
  <c r="J63" i="6" s="1"/>
  <c r="O61" i="6"/>
  <c r="O63" i="6" s="1"/>
  <c r="P61" i="6"/>
  <c r="P63" i="6" s="1"/>
  <c r="M61" i="6"/>
  <c r="M63" i="6" s="1"/>
  <c r="N61" i="6"/>
  <c r="N63" i="6" s="1"/>
  <c r="I61" i="6"/>
  <c r="I63" i="6" s="1"/>
  <c r="L61" i="6"/>
  <c r="L63" i="6" s="1"/>
  <c r="K61" i="6"/>
  <c r="K63" i="6" s="1"/>
  <c r="H61" i="6"/>
  <c r="H63" i="6" s="1"/>
  <c r="BO43" i="6" l="1"/>
  <c r="BM43" i="6"/>
  <c r="G55" i="8"/>
  <c r="E44" i="6"/>
  <c r="BO44" i="6" s="1"/>
  <c r="BO28" i="6"/>
  <c r="BM28" i="6"/>
  <c r="BO17" i="6"/>
  <c r="BP28" i="6" s="1"/>
  <c r="BM17" i="6"/>
  <c r="Q61" i="6"/>
  <c r="BM61" i="6" s="1"/>
  <c r="BM31" i="6"/>
  <c r="I26" i="6"/>
  <c r="O26" i="6"/>
  <c r="H26" i="6"/>
  <c r="N26" i="6"/>
  <c r="J26" i="6"/>
  <c r="K26" i="6"/>
  <c r="M26" i="6"/>
  <c r="L26" i="6"/>
  <c r="P26" i="6"/>
  <c r="H25" i="6"/>
  <c r="BM44" i="6" l="1"/>
  <c r="F83" i="8"/>
  <c r="Q58" i="6"/>
  <c r="BM58" i="6" s="1"/>
  <c r="Q26" i="6"/>
  <c r="G25" i="6"/>
  <c r="I25" i="6"/>
  <c r="F22" i="10" l="1"/>
  <c r="G75" i="6" s="1"/>
  <c r="BM26" i="6"/>
  <c r="BO26" i="6"/>
  <c r="BP13" i="6" s="1"/>
  <c r="E50" i="6"/>
  <c r="E9" i="6" s="1"/>
  <c r="E6" i="6" l="1"/>
  <c r="AC75" i="6"/>
  <c r="G35" i="6"/>
  <c r="L75" i="6"/>
  <c r="AJ75" i="6"/>
  <c r="AI75" i="6"/>
  <c r="AF75" i="6"/>
  <c r="AQ75" i="6"/>
  <c r="Z75" i="6"/>
  <c r="U75" i="6"/>
  <c r="J75" i="6"/>
  <c r="AH75" i="6"/>
  <c r="N75" i="6"/>
  <c r="O75" i="6"/>
  <c r="AO75" i="6"/>
  <c r="AO35" i="6" s="1"/>
  <c r="H75" i="6"/>
  <c r="AP75" i="6"/>
  <c r="AK75" i="6"/>
  <c r="Y75" i="6"/>
  <c r="S75" i="6"/>
  <c r="AN75" i="6"/>
  <c r="AA75" i="6"/>
  <c r="AG75" i="6"/>
  <c r="AB75" i="6"/>
  <c r="AD75" i="6"/>
  <c r="M75" i="6"/>
  <c r="K75" i="6"/>
  <c r="AM75" i="6"/>
  <c r="W75" i="6"/>
  <c r="F100" i="8"/>
  <c r="H101" i="8" s="1"/>
  <c r="P75" i="6"/>
  <c r="T75" i="6"/>
  <c r="V75" i="6"/>
  <c r="AL75" i="6"/>
  <c r="X75" i="6"/>
  <c r="AR75" i="6"/>
  <c r="I75" i="6"/>
  <c r="AE75" i="6"/>
  <c r="BM50" i="6"/>
  <c r="BO50" i="6"/>
  <c r="AQ8" i="6" l="1"/>
  <c r="AQ35" i="6"/>
  <c r="AQ6" i="6" s="1"/>
  <c r="AR47" i="6"/>
  <c r="AR6" i="6" s="1"/>
  <c r="J25" i="6"/>
  <c r="K25" i="6"/>
  <c r="AQ9" i="6" l="1"/>
  <c r="AR9" i="6"/>
  <c r="G33" i="6"/>
  <c r="G7" i="6" s="1"/>
  <c r="G24" i="6"/>
  <c r="G6" i="6" l="1"/>
  <c r="H33" i="6"/>
  <c r="L25" i="6"/>
  <c r="H24" i="6"/>
  <c r="M25" i="6"/>
  <c r="I33" i="6" l="1"/>
  <c r="I24" i="6"/>
  <c r="N25" i="6"/>
  <c r="J33" i="6" l="1"/>
  <c r="J24" i="6"/>
  <c r="O25" i="6"/>
  <c r="K33" i="6" l="1"/>
  <c r="K24" i="6"/>
  <c r="Q57" i="6"/>
  <c r="BM57" i="6" s="1"/>
  <c r="L33" i="6" l="1"/>
  <c r="L24" i="6"/>
  <c r="P25" i="6"/>
  <c r="M33" i="6" l="1"/>
  <c r="Q25" i="6"/>
  <c r="BO25" i="6" s="1"/>
  <c r="M24" i="6"/>
  <c r="N33" i="6" l="1"/>
  <c r="BM25" i="6"/>
  <c r="N24" i="6"/>
  <c r="Q63" i="6" l="1"/>
  <c r="BM56" i="6"/>
  <c r="P24" i="6"/>
  <c r="O24" i="6"/>
  <c r="Q24" i="6" l="1"/>
  <c r="O33" i="6"/>
  <c r="P33" i="6"/>
  <c r="BO24" i="6" l="1"/>
  <c r="Q33" i="6"/>
  <c r="BM33" i="6" s="1"/>
  <c r="BM24" i="6"/>
  <c r="BM63" i="6"/>
  <c r="BO33" i="6" l="1"/>
  <c r="G102" i="8"/>
  <c r="AK35" i="6"/>
  <c r="AI35" i="6"/>
  <c r="AG35" i="6"/>
  <c r="O35" i="6"/>
  <c r="O6" i="6" s="1"/>
  <c r="K35" i="6"/>
  <c r="K6" i="6" s="1"/>
  <c r="X35" i="6"/>
  <c r="T35" i="6"/>
  <c r="AA35" i="6"/>
  <c r="AD35" i="6"/>
  <c r="Z35" i="6"/>
  <c r="L35" i="6"/>
  <c r="L6" i="6" s="1"/>
  <c r="H35" i="6"/>
  <c r="H6" i="6" s="1"/>
  <c r="H84" i="8"/>
  <c r="G84" i="8" s="1"/>
  <c r="H9" i="6" l="1"/>
  <c r="AA9" i="6"/>
  <c r="AA6" i="6"/>
  <c r="T9" i="6"/>
  <c r="T6" i="6"/>
  <c r="AG9" i="6"/>
  <c r="AG6" i="6"/>
  <c r="Z9" i="6"/>
  <c r="Z6" i="6"/>
  <c r="X9" i="6"/>
  <c r="X6" i="6"/>
  <c r="AI9" i="6"/>
  <c r="AI6" i="6"/>
  <c r="AD9" i="6"/>
  <c r="AD6" i="6"/>
  <c r="AK9" i="6"/>
  <c r="AK6" i="6"/>
  <c r="P35" i="6"/>
  <c r="P6" i="6" s="1"/>
  <c r="I35" i="6"/>
  <c r="I6" i="6" s="1"/>
  <c r="AE35" i="6"/>
  <c r="AB35" i="6"/>
  <c r="Y35" i="6"/>
  <c r="AM35" i="6"/>
  <c r="V35" i="6"/>
  <c r="M35" i="6"/>
  <c r="M6" i="6" s="1"/>
  <c r="J35" i="6"/>
  <c r="J6" i="6" s="1"/>
  <c r="AC35" i="6"/>
  <c r="AH35" i="6"/>
  <c r="W35" i="6"/>
  <c r="N35" i="6"/>
  <c r="N6" i="6" s="1"/>
  <c r="AF35" i="6"/>
  <c r="U35" i="6"/>
  <c r="AL35" i="6"/>
  <c r="AN35" i="6"/>
  <c r="AP35" i="6"/>
  <c r="AJ35" i="6"/>
  <c r="AS47" i="6"/>
  <c r="AS46" i="6"/>
  <c r="S35" i="6"/>
  <c r="AP9" i="6" l="1"/>
  <c r="AP6" i="6"/>
  <c r="AF9" i="6"/>
  <c r="AF6" i="6"/>
  <c r="AC9" i="6"/>
  <c r="AC6" i="6"/>
  <c r="AM9" i="6"/>
  <c r="AM6" i="6"/>
  <c r="AN9" i="6"/>
  <c r="AN6" i="6"/>
  <c r="Y9" i="6"/>
  <c r="Y6" i="6"/>
  <c r="AO9" i="6"/>
  <c r="AO6" i="6"/>
  <c r="AL9" i="6"/>
  <c r="AL6" i="6"/>
  <c r="W9" i="6"/>
  <c r="W6" i="6"/>
  <c r="AB9" i="6"/>
  <c r="AB6" i="6"/>
  <c r="S9" i="6"/>
  <c r="S6" i="6"/>
  <c r="AJ9" i="6"/>
  <c r="AJ6" i="6"/>
  <c r="U9" i="6"/>
  <c r="U6" i="6"/>
  <c r="AH9" i="6"/>
  <c r="AH6" i="6"/>
  <c r="V9" i="6"/>
  <c r="V6" i="6"/>
  <c r="AE9" i="6"/>
  <c r="AE6" i="6"/>
  <c r="BM46" i="6"/>
  <c r="BO46" i="6"/>
  <c r="BM47" i="6"/>
  <c r="BO47" i="6"/>
  <c r="H7" i="6"/>
  <c r="I7" i="6" s="1"/>
  <c r="J7" i="6" s="1"/>
  <c r="K7" i="6" s="1"/>
  <c r="L7" i="6" s="1"/>
  <c r="M7" i="6" s="1"/>
  <c r="N7" i="6" s="1"/>
  <c r="O7" i="6" s="1"/>
  <c r="P7" i="6" s="1"/>
  <c r="G9" i="6"/>
  <c r="Q75" i="6"/>
  <c r="Q35" i="6"/>
  <c r="AS75" i="6"/>
  <c r="AR8" i="6"/>
  <c r="AS8" i="6" s="1"/>
  <c r="AS35" i="6"/>
  <c r="K9" i="6"/>
  <c r="AS6" i="6" l="1"/>
  <c r="Q6" i="6"/>
  <c r="Q9" i="6"/>
  <c r="S7" i="6"/>
  <c r="T7" i="6" s="1"/>
  <c r="U7" i="6" s="1"/>
  <c r="V7" i="6" s="1"/>
  <c r="W7" i="6" s="1"/>
  <c r="X7" i="6" s="1"/>
  <c r="Y7" i="6" s="1"/>
  <c r="Z7" i="6" s="1"/>
  <c r="AA7" i="6" s="1"/>
  <c r="AB7" i="6" s="1"/>
  <c r="AC7" i="6" s="1"/>
  <c r="AD7" i="6" s="1"/>
  <c r="AE7" i="6" s="1"/>
  <c r="AF7" i="6" s="1"/>
  <c r="AG7" i="6" s="1"/>
  <c r="AH7" i="6" s="1"/>
  <c r="AI7" i="6" s="1"/>
  <c r="AJ7" i="6" s="1"/>
  <c r="AK7" i="6" s="1"/>
  <c r="AL7" i="6" s="1"/>
  <c r="Q7" i="6"/>
  <c r="BP47" i="6"/>
  <c r="BO35" i="6"/>
  <c r="BP35" i="6" s="1"/>
  <c r="AU8" i="6"/>
  <c r="AV8" i="6" s="1"/>
  <c r="AW8" i="6" s="1"/>
  <c r="AX8" i="6" s="1"/>
  <c r="AY8" i="6" s="1"/>
  <c r="AZ8" i="6" s="1"/>
  <c r="BA8" i="6" s="1"/>
  <c r="BB8" i="6" s="1"/>
  <c r="BC8" i="6" s="1"/>
  <c r="BD8" i="6" s="1"/>
  <c r="BE8" i="6" s="1"/>
  <c r="BF8" i="6" s="1"/>
  <c r="BG8" i="6" s="1"/>
  <c r="BH8" i="6" s="1"/>
  <c r="BI8" i="6" s="1"/>
  <c r="BJ8" i="6" s="1"/>
  <c r="BK8" i="6" s="1"/>
  <c r="AS9" i="6"/>
  <c r="BM75" i="6"/>
  <c r="BM35" i="6"/>
  <c r="J9" i="6"/>
  <c r="I9" i="6"/>
  <c r="L9" i="6"/>
  <c r="BM6" i="6" l="1"/>
  <c r="BM9" i="6"/>
  <c r="AM7" i="6"/>
  <c r="AN7" i="6" s="1"/>
  <c r="AO7" i="6" s="1"/>
  <c r="AP7" i="6" s="1"/>
  <c r="AQ7" i="6" s="1"/>
  <c r="M9" i="6"/>
  <c r="AR7" i="6" l="1"/>
  <c r="O9" i="6"/>
  <c r="N9" i="6"/>
  <c r="AU7" i="6" l="1"/>
  <c r="AV7" i="6" s="1"/>
  <c r="AW7" i="6" s="1"/>
  <c r="AX7" i="6" s="1"/>
  <c r="AY7" i="6" s="1"/>
  <c r="AZ7" i="6" s="1"/>
  <c r="BA7" i="6" s="1"/>
  <c r="BB7" i="6" s="1"/>
  <c r="BC7" i="6" s="1"/>
  <c r="BD7" i="6" s="1"/>
  <c r="BE7" i="6" s="1"/>
  <c r="BF7" i="6" s="1"/>
  <c r="BG7" i="6" s="1"/>
  <c r="BH7" i="6" s="1"/>
  <c r="BI7" i="6" s="1"/>
  <c r="BJ7" i="6" s="1"/>
  <c r="BK7" i="6" s="1"/>
  <c r="AS7" i="6"/>
  <c r="P9" i="6" l="1"/>
  <c r="B9" i="6" s="1"/>
</calcChain>
</file>

<file path=xl/comments1.xml><?xml version="1.0" encoding="utf-8"?>
<comments xmlns="http://schemas.openxmlformats.org/spreadsheetml/2006/main">
  <authors>
    <author>Baldwin Bonney, Justin</author>
  </authors>
  <commentList>
    <comment ref="BJ8" authorId="0" shapeId="0">
      <text>
        <r>
          <rPr>
            <b/>
            <sz val="9"/>
            <color indexed="81"/>
            <rFont val="Tahoma"/>
            <family val="2"/>
          </rPr>
          <t>Baldwin Bonney, Justin:</t>
        </r>
        <r>
          <rPr>
            <sz val="9"/>
            <color indexed="81"/>
            <rFont val="Tahoma"/>
            <family val="2"/>
          </rPr>
          <t xml:space="preserve">
Rounding Error
</t>
        </r>
      </text>
    </comment>
    <comment ref="AQ47" authorId="0" shapeId="0">
      <text>
        <r>
          <rPr>
            <b/>
            <sz val="9"/>
            <color indexed="81"/>
            <rFont val="Tahoma"/>
            <family val="2"/>
          </rPr>
          <t>Baldwin Bonney, Justin:</t>
        </r>
        <r>
          <rPr>
            <sz val="9"/>
            <color indexed="81"/>
            <rFont val="Tahoma"/>
            <family val="2"/>
          </rPr>
          <t xml:space="preserve">
Caclulated to adjust for timing of recovery prior to payment of monitoring activities
</t>
        </r>
      </text>
    </comment>
    <comment ref="BJ72" authorId="0" shapeId="0">
      <text>
        <r>
          <rPr>
            <b/>
            <sz val="9"/>
            <color indexed="81"/>
            <rFont val="Tahoma"/>
            <family val="2"/>
          </rPr>
          <t>Baldwin Bonney, Justin:</t>
        </r>
        <r>
          <rPr>
            <sz val="9"/>
            <color indexed="81"/>
            <rFont val="Tahoma"/>
            <family val="2"/>
          </rPr>
          <t xml:space="preserve">
Adjusted to agree with total cost per schedule
</t>
        </r>
      </text>
    </comment>
  </commentList>
</comments>
</file>

<file path=xl/comments2.xml><?xml version="1.0" encoding="utf-8"?>
<comments xmlns="http://schemas.openxmlformats.org/spreadsheetml/2006/main">
  <authors>
    <author>Baldwin Bonney, Justin</author>
  </authors>
  <commentList>
    <comment ref="B14" authorId="0" shapeId="0">
      <text>
        <r>
          <rPr>
            <b/>
            <sz val="9"/>
            <color indexed="81"/>
            <rFont val="Tahoma"/>
            <family val="2"/>
          </rPr>
          <t>Baldwin Bonney, Justin:</t>
        </r>
        <r>
          <rPr>
            <sz val="9"/>
            <color indexed="81"/>
            <rFont val="Tahoma"/>
            <family val="2"/>
          </rPr>
          <t xml:space="preserve">
1030 - Asset
Filtered for:
Major Location - Allocated North-Substations
Asst Locations as follows:
   BVW - BROADVIEW SUB (AN)
   GARLN - GARRISON LINE ELECTRIC (AN)
   SYB - SYS OPER-BUTTE MONTANA (AN)</t>
        </r>
      </text>
    </comment>
    <comment ref="B15" authorId="0" shapeId="0">
      <text>
        <r>
          <rPr>
            <b/>
            <sz val="9"/>
            <color indexed="81"/>
            <rFont val="Tahoma"/>
            <family val="2"/>
          </rPr>
          <t>Baldwin Bonney, Justin:</t>
        </r>
        <r>
          <rPr>
            <sz val="9"/>
            <color indexed="81"/>
            <rFont val="Tahoma"/>
            <family val="2"/>
          </rPr>
          <t xml:space="preserve">
Asset - 1030
Filtered to Major Location :
Colstrip-Townsend 500 KV
</t>
        </r>
      </text>
    </comment>
    <comment ref="B21" authorId="0" shapeId="0">
      <text>
        <r>
          <rPr>
            <b/>
            <sz val="9"/>
            <color indexed="81"/>
            <rFont val="Tahoma"/>
            <family val="2"/>
          </rPr>
          <t>Baldwin Bonney, Justin:</t>
        </r>
        <r>
          <rPr>
            <sz val="9"/>
            <color indexed="81"/>
            <rFont val="Tahoma"/>
            <family val="2"/>
          </rPr>
          <t xml:space="preserve">
Asset - 1030
Filtered to Major Location :
Colstrip-Townsend 500 KV-
429T</t>
        </r>
      </text>
    </comment>
    <comment ref="B34" authorId="0" shapeId="0">
      <text>
        <r>
          <rPr>
            <b/>
            <sz val="9"/>
            <color indexed="81"/>
            <rFont val="Tahoma"/>
            <family val="2"/>
          </rPr>
          <t>Baldwin Bonney, Justin:</t>
        </r>
        <r>
          <rPr>
            <sz val="9"/>
            <color indexed="81"/>
            <rFont val="Tahoma"/>
            <family val="2"/>
          </rPr>
          <t xml:space="preserve">
1030 - Asset
Filtered for:
Major Location - Allocated North-Substations
Asst Locations as follows:
   BVW - BROADVIEW SUB (AN)
   GARLN - GARRISON LINE ELECTRIC (AN)
   SYB - SYS OPER-BUTTE MONTANA (AN)</t>
        </r>
      </text>
    </comment>
    <comment ref="B35" authorId="0" shapeId="0">
      <text>
        <r>
          <rPr>
            <b/>
            <sz val="9"/>
            <color indexed="81"/>
            <rFont val="Tahoma"/>
            <family val="2"/>
          </rPr>
          <t>Baldwin Bonney, Justin:</t>
        </r>
        <r>
          <rPr>
            <sz val="9"/>
            <color indexed="81"/>
            <rFont val="Tahoma"/>
            <family val="2"/>
          </rPr>
          <t xml:space="preserve">
Asset - 1030
Filtered to Major Location :
Colstrip-Townsend 500 KV
</t>
        </r>
      </text>
    </comment>
    <comment ref="B41" authorId="0" shapeId="0">
      <text>
        <r>
          <rPr>
            <b/>
            <sz val="9"/>
            <color indexed="81"/>
            <rFont val="Tahoma"/>
            <family val="2"/>
          </rPr>
          <t>Baldwin Bonney, Justin:</t>
        </r>
        <r>
          <rPr>
            <sz val="9"/>
            <color indexed="81"/>
            <rFont val="Tahoma"/>
            <family val="2"/>
          </rPr>
          <t xml:space="preserve">
Asset - 1030
Filtered to Major Location :
Colstrip-Townsend 500 KV-
429T</t>
        </r>
      </text>
    </comment>
  </commentList>
</comments>
</file>

<file path=xl/comments3.xml><?xml version="1.0" encoding="utf-8"?>
<comments xmlns="http://schemas.openxmlformats.org/spreadsheetml/2006/main">
  <authors>
    <author>qzy7wl</author>
  </authors>
  <commentList>
    <comment ref="E13" authorId="0" shapeId="0">
      <text>
        <r>
          <rPr>
            <b/>
            <sz val="9"/>
            <color indexed="81"/>
            <rFont val="Tahoma"/>
            <family val="2"/>
          </rPr>
          <t>qzy7wl:</t>
        </r>
        <r>
          <rPr>
            <sz val="9"/>
            <color indexed="81"/>
            <rFont val="Tahoma"/>
            <family val="2"/>
          </rPr>
          <t xml:space="preserve">
liability as of Q2 2015</t>
        </r>
      </text>
    </comment>
    <comment ref="B14" authorId="0" shapeId="0">
      <text>
        <r>
          <rPr>
            <b/>
            <sz val="9"/>
            <color indexed="81"/>
            <rFont val="Tahoma"/>
            <family val="2"/>
          </rPr>
          <t>qzy7wl:</t>
        </r>
        <r>
          <rPr>
            <sz val="9"/>
            <color indexed="81"/>
            <rFont val="Tahoma"/>
            <family val="2"/>
          </rPr>
          <t xml:space="preserve">
liability updated Jan 2017</t>
        </r>
      </text>
    </comment>
  </commentList>
</comments>
</file>

<file path=xl/sharedStrings.xml><?xml version="1.0" encoding="utf-8"?>
<sst xmlns="http://schemas.openxmlformats.org/spreadsheetml/2006/main" count="698" uniqueCount="277">
  <si>
    <t>101000</t>
  </si>
  <si>
    <t>ED.C3.310200</t>
  </si>
  <si>
    <t>STM PROD PLT-LAND OWN FEE</t>
  </si>
  <si>
    <t>ED.C3.311000</t>
  </si>
  <si>
    <t>STEAM PROD PLT-STR &amp; IMPR</t>
  </si>
  <si>
    <t>ED.C3.312000</t>
  </si>
  <si>
    <t>STM PROD-BOILER PLANT EQ</t>
  </si>
  <si>
    <t>ED.C3.313000</t>
  </si>
  <si>
    <t>STEAM PROD PLT-GENERATORS</t>
  </si>
  <si>
    <t>ED.C3.314000</t>
  </si>
  <si>
    <t>STM PROD PLT-TURBOGENERAT</t>
  </si>
  <si>
    <t>ED.C3.315000</t>
  </si>
  <si>
    <t>STM PROD PLT-ACCESSORY EQ</t>
  </si>
  <si>
    <t>ED.C3.316000</t>
  </si>
  <si>
    <t>STEAM PROD PLT-MISC EQUIP</t>
  </si>
  <si>
    <t>ED.C3.317000</t>
  </si>
  <si>
    <t>STEAM PROD PLANT-ARO</t>
  </si>
  <si>
    <t>ED.C4.310200</t>
  </si>
  <si>
    <t>ED.C4.311000</t>
  </si>
  <si>
    <t>ED.C4.312000</t>
  </si>
  <si>
    <t>ED.C4.313000</t>
  </si>
  <si>
    <t>ED.C4.314000</t>
  </si>
  <si>
    <t>ED.C4.315000</t>
  </si>
  <si>
    <t>ED.C4.316000</t>
  </si>
  <si>
    <t>ED.C4.317000</t>
  </si>
  <si>
    <t>108000</t>
  </si>
  <si>
    <t>ASSET RETIREMENT OBLIGATION</t>
  </si>
  <si>
    <t>Location 048</t>
  </si>
  <si>
    <t>Location 424 (Line A)</t>
  </si>
  <si>
    <t>Location 429 (Line B)</t>
  </si>
  <si>
    <t>Colstrip Unit 3 (410)</t>
  </si>
  <si>
    <t>Colstrip Unit 4 (411)</t>
  </si>
  <si>
    <t>Old Dprec Rate</t>
  </si>
  <si>
    <t xml:space="preserve"> REG LIAB - NONPLANT EXCESS DEFERRED			 </t>
  </si>
  <si>
    <t>403000</t>
  </si>
  <si>
    <t>403100</t>
  </si>
  <si>
    <t xml:space="preserve">DEPR EXPENSE ASSET RETIREMENT COSTS			</t>
  </si>
  <si>
    <t>411101</t>
  </si>
  <si>
    <t xml:space="preserve">ARO ACCRETION EXPENSE			</t>
  </si>
  <si>
    <t>4073XX</t>
  </si>
  <si>
    <t>REGULATORY ASSET FAS 143 ARO</t>
  </si>
  <si>
    <t>COLSTRIP WRITE-DOWN</t>
  </si>
  <si>
    <t>ACCUMULATED AMORT-COLSTRIP WRITE-DOWN</t>
  </si>
  <si>
    <t>Deprec Exp-Old Rate</t>
  </si>
  <si>
    <t>COR</t>
  </si>
  <si>
    <t>Total</t>
  </si>
  <si>
    <t>NBV</t>
  </si>
  <si>
    <t>ED.AN</t>
  </si>
  <si>
    <t>Generation Land - Colstrip</t>
  </si>
  <si>
    <t>Generation Assets - Colstrip</t>
  </si>
  <si>
    <t>ED.ID</t>
  </si>
  <si>
    <t>ED.WA</t>
  </si>
  <si>
    <t>Generation A/D - Colstrip</t>
  </si>
  <si>
    <t>Retirements</t>
  </si>
  <si>
    <t>Ending Balance</t>
  </si>
  <si>
    <t>Transmission Assets - Colstrip</t>
  </si>
  <si>
    <t>Transmission A/D - Colstrip</t>
  </si>
  <si>
    <t>DEPRECIATION EXPENSE (Generation)</t>
  </si>
  <si>
    <t>DEPRECIATION EXPENSE (Transmission)</t>
  </si>
  <si>
    <t>1823XX</t>
  </si>
  <si>
    <t>Regulatory Asset - Deferred Colstrip Costs</t>
  </si>
  <si>
    <t>Day 1 Transaction</t>
  </si>
  <si>
    <t>2 Buckets of Expense</t>
  </si>
  <si>
    <t>Through</t>
  </si>
  <si>
    <t>(for 2017 amounts)</t>
  </si>
  <si>
    <t>Depreciation</t>
  </si>
  <si>
    <t>Accretion</t>
  </si>
  <si>
    <t>3 Buckets of Recovery</t>
  </si>
  <si>
    <t xml:space="preserve">Tax Dollars Return </t>
  </si>
  <si>
    <t>Day 1</t>
  </si>
  <si>
    <t>A</t>
  </si>
  <si>
    <t>Expense/Def</t>
  </si>
  <si>
    <t>D</t>
  </si>
  <si>
    <t xml:space="preserve">NONPLANT EXCESS DEFERRED GROSS UP   </t>
  </si>
  <si>
    <t>DFIT EXPENSE DR</t>
  </si>
  <si>
    <t xml:space="preserve">NONPLANT EXCESS DEFERRED GROSS UP 	 </t>
  </si>
  <si>
    <t>COLSTRIP WRITEDOWN</t>
  </si>
  <si>
    <t>A-1</t>
  </si>
  <si>
    <t>A-2</t>
  </si>
  <si>
    <t>A-3</t>
  </si>
  <si>
    <t>A-4</t>
  </si>
  <si>
    <t>Depreciation Expense and Deferral - 10 YR</t>
  </si>
  <si>
    <t>B-1</t>
  </si>
  <si>
    <t>DEPR EXPENSE ASSET RETIREMENT COSTS</t>
  </si>
  <si>
    <t>A-5</t>
  </si>
  <si>
    <t>B-2</t>
  </si>
  <si>
    <t>B-3</t>
  </si>
  <si>
    <t>C-1</t>
  </si>
  <si>
    <t>B / C</t>
  </si>
  <si>
    <t>E</t>
  </si>
  <si>
    <t>ACCRETION EXPENSE</t>
  </si>
  <si>
    <t>ZZ.ZZ</t>
  </si>
  <si>
    <t>D-1</t>
  </si>
  <si>
    <t>D-2</t>
  </si>
  <si>
    <t>Regulatory Asset - Colstrip Settlement</t>
  </si>
  <si>
    <t>E-1</t>
  </si>
  <si>
    <t>Amortization of Colstrip - Recovery</t>
  </si>
  <si>
    <t>254XXX</t>
  </si>
  <si>
    <t>254xxx</t>
  </si>
  <si>
    <t>NONPLANT EXCESS DEFERRED GROSS UP</t>
  </si>
  <si>
    <t>425XXX</t>
  </si>
  <si>
    <t>AMORTIZATION OF COLSTRIP WRITEDOWN</t>
  </si>
  <si>
    <t>2017 NET</t>
  </si>
  <si>
    <t>2018 DEP</t>
  </si>
  <si>
    <t>19-27 DEP/YR</t>
  </si>
  <si>
    <t>Colstrip Coal Combustion Residual (CCR) 2016</t>
  </si>
  <si>
    <t>Expenditure Year</t>
  </si>
  <si>
    <t>Credit Adjusted Risk Free Rate</t>
  </si>
  <si>
    <t>Credit adjusted Risk Free Rate (Annual Eff)</t>
  </si>
  <si>
    <t>Discount Rate</t>
  </si>
  <si>
    <t>CPI</t>
  </si>
  <si>
    <t>Life</t>
  </si>
  <si>
    <t>remaining (23 years plus 30 years post closure monitoring)</t>
  </si>
  <si>
    <t>liability updated March 2017</t>
  </si>
  <si>
    <t>Year</t>
  </si>
  <si>
    <t>Beginning Liability</t>
  </si>
  <si>
    <t>Cash</t>
  </si>
  <si>
    <t>Ending Liability</t>
  </si>
  <si>
    <t>Beginning AD</t>
  </si>
  <si>
    <t>CY Dep Expense</t>
  </si>
  <si>
    <t>Ending AD</t>
  </si>
  <si>
    <t>Asset</t>
  </si>
  <si>
    <t>March 2017 Calculation</t>
  </si>
  <si>
    <t>2044 onward</t>
  </si>
  <si>
    <t>ownership</t>
  </si>
  <si>
    <t>C3/C4 EACH</t>
  </si>
  <si>
    <t>Direct Dollars</t>
  </si>
  <si>
    <t>Future Dollars</t>
  </si>
  <si>
    <t>Risk Premium Rate</t>
  </si>
  <si>
    <t>Final Accretion and Reg Ent</t>
  </si>
  <si>
    <t>Totals 
Journals</t>
  </si>
  <si>
    <t>Regulatory Asset - Deferred Colstrip Costs Amortization</t>
  </si>
  <si>
    <t>Running total of Reg Asset</t>
  </si>
  <si>
    <t>Running total of Reg Liability</t>
  </si>
  <si>
    <t>Regulatory Liability - Colstrip Settlement</t>
  </si>
  <si>
    <t>Check</t>
  </si>
  <si>
    <t>Transactions over 10 Yrs</t>
  </si>
  <si>
    <t>B-4</t>
  </si>
  <si>
    <t>DEPRECIATION EXPENSE (Gen/Trans)</t>
  </si>
  <si>
    <t>DEPRECIATION EXPENSE (Writedown)</t>
  </si>
  <si>
    <t>4074XX</t>
  </si>
  <si>
    <t>Regulatory Credit - Colstrip Settlement</t>
  </si>
  <si>
    <t>ARC (317000) A/D - Colstrip</t>
  </si>
  <si>
    <t>Total Depreciation over 10 years</t>
  </si>
  <si>
    <t xml:space="preserve">  Less Allowable Recovery of Depreciation</t>
  </si>
  <si>
    <t>Future Accretion of ARO</t>
  </si>
  <si>
    <t>Amortizable amount for 36 years</t>
  </si>
  <si>
    <t>Deferred Depreciation of Plant Accounts over 10 years</t>
  </si>
  <si>
    <t>Transactions over next 26 Yr</t>
  </si>
  <si>
    <t>Regulatory Asset Reclassification (current ARO to Colstrip Recovery)</t>
  </si>
  <si>
    <t>Gain/Loss - Reclass</t>
  </si>
  <si>
    <t>Defrd Ex Recv/Early Recv</t>
  </si>
  <si>
    <t>B/S Accounts
Total</t>
  </si>
  <si>
    <t>Total writedown</t>
  </si>
  <si>
    <t>Total ARC</t>
  </si>
  <si>
    <t>Non Colstrip portion of 2017 balance</t>
  </si>
  <si>
    <t>Total Reg Asset - Colstrip</t>
  </si>
  <si>
    <t>Will reduce with cash payments for settlement</t>
  </si>
  <si>
    <t>Total Reg Liability Colstrip</t>
  </si>
  <si>
    <t>Tax B/S Accounts</t>
  </si>
  <si>
    <t>Ref</t>
  </si>
  <si>
    <t>Excess depreciation (over 2017 levels) that is deferred for 36 year recovery</t>
  </si>
  <si>
    <t>Total expected accretion of ARO liability per the original estimates tracked in PowerPlan ARO module</t>
  </si>
  <si>
    <t>Movement of Regulatory Asset of ARO costs as the current reg asset is not set to amortize/recover.  Value will be updated based on date of settlement.</t>
  </si>
  <si>
    <t>Accelerated Depreciation of NBV ARC (ARO Asset) over shortened life</t>
  </si>
  <si>
    <t>(a)</t>
  </si>
  <si>
    <t>(b)</t>
  </si>
  <si>
    <t>(c)</t>
  </si>
  <si>
    <t>(d)</t>
  </si>
  <si>
    <t>(e)</t>
  </si>
  <si>
    <t>(f)</t>
  </si>
  <si>
    <t>(g)</t>
  </si>
  <si>
    <t>(h)</t>
  </si>
  <si>
    <t>(i)</t>
  </si>
  <si>
    <t>(j)</t>
  </si>
  <si>
    <t>(k)</t>
  </si>
  <si>
    <t>Study New Deprec Rate</t>
  </si>
  <si>
    <t>Deprec Exp-Study New Rate</t>
  </si>
  <si>
    <t>Depreciation Exp 2019-2027 plus COR</t>
  </si>
  <si>
    <t>Annual Deprec Exp 2019-2027</t>
  </si>
  <si>
    <t>Calculated Proposed Depreciation Rate</t>
  </si>
  <si>
    <t>Interim Retirements</t>
  </si>
  <si>
    <t>Plant Balance after Interim Retirements</t>
  </si>
  <si>
    <t>A/D 12/31/2017</t>
  </si>
  <si>
    <t>Deprec Exp 2018</t>
  </si>
  <si>
    <t>Deprec Exp 2019-2027</t>
  </si>
  <si>
    <t>A/D 12/31/2027</t>
  </si>
  <si>
    <t>Cost 12/31/2027</t>
  </si>
  <si>
    <t>NBV 12/31/2027 (equals COR)</t>
  </si>
  <si>
    <t>Plant Acct</t>
  </si>
  <si>
    <t>Old Deprec Rate</t>
  </si>
  <si>
    <t>This is used as the depreciation of generation plant assets for the proposed accounting to determine the total Regulatory Asset and its amortization for recovery.</t>
  </si>
  <si>
    <t>This is used as the depreciation of transmission plant assets for the proposed accounting to determine the total Regulatory Asset and its amortization for recovery.</t>
  </si>
  <si>
    <t>formula</t>
  </si>
  <si>
    <t>Static</t>
  </si>
  <si>
    <t>Though each line will adjust, in aggregate this will remain consistent</t>
  </si>
  <si>
    <t>2018 Depr</t>
  </si>
  <si>
    <t>Colstrip Regulatory Deferral (Recovery)</t>
  </si>
  <si>
    <t>Total Post 2017 Expected Depreciation Expense (Plant/Cor) - Generation</t>
  </si>
  <si>
    <t>Total Post 2017 Expected Depreciation Expense  (Plant/Cor) - Transmission</t>
  </si>
  <si>
    <t>Subtotal: Expected Depreciation</t>
  </si>
  <si>
    <t>formula from 'Tax Entry'</t>
  </si>
  <si>
    <t>Purpose:</t>
  </si>
  <si>
    <t>To calculate the total amount of Plant that will be written off and amortized over the life of the assets due to use of funds due to customers.</t>
  </si>
  <si>
    <t>Source:</t>
  </si>
  <si>
    <t>Accounts</t>
  </si>
  <si>
    <t>Net P&amp;L</t>
  </si>
  <si>
    <t>Recognize change in tax rates as a perm item</t>
  </si>
  <si>
    <t>Plant</t>
  </si>
  <si>
    <t>Provision for rate refund</t>
  </si>
  <si>
    <t>taxes Payable</t>
  </si>
  <si>
    <t>Regulatory Liability</t>
  </si>
  <si>
    <t>DFIT - Plant</t>
  </si>
  <si>
    <t>DFIT - Non-Plant</t>
  </si>
  <si>
    <t>Loss on Plant</t>
  </si>
  <si>
    <t>Regulatory deferral / amortization</t>
  </si>
  <si>
    <t>Current Tax</t>
  </si>
  <si>
    <t>Deferred tax expense</t>
  </si>
  <si>
    <t>Opening Balance</t>
  </si>
  <si>
    <t>WA Excess Tax Liability</t>
  </si>
  <si>
    <t>ID Excess Tax Liability</t>
  </si>
  <si>
    <t>Pre-Tax</t>
  </si>
  <si>
    <t>Tax effect</t>
  </si>
  <si>
    <t>Pre-Tax Loss (Income)</t>
  </si>
  <si>
    <t>Expected Tax Expense, net</t>
  </si>
  <si>
    <t>Write off of Plant</t>
  </si>
  <si>
    <t>Deferred Tax Expense</t>
  </si>
  <si>
    <t>Taxable Income</t>
  </si>
  <si>
    <t>Current Tax Expense</t>
  </si>
  <si>
    <t>Tax Entry Model</t>
  </si>
  <si>
    <t>Fed and State Blended Rate</t>
  </si>
  <si>
    <t>Current Balance</t>
  </si>
  <si>
    <t>Provision for Rate Refund</t>
  </si>
  <si>
    <t>Reg. Liability</t>
  </si>
  <si>
    <t>D-FIT Plant</t>
  </si>
  <si>
    <t>D-FIT Non-Plant</t>
  </si>
  <si>
    <t>ADSIT</t>
  </si>
  <si>
    <t>B-5</t>
  </si>
  <si>
    <t>DFIT EXPENSE CR</t>
  </si>
  <si>
    <t>2019-2027 Depreciation</t>
  </si>
  <si>
    <t>Total Future Depr - to Defered-Amm Calc</t>
  </si>
  <si>
    <t>Total - Used at 'Defered-Amm Calc</t>
  </si>
  <si>
    <t>Total Post 2017 Expected Depreciation Expense - ARC (317000)</t>
  </si>
  <si>
    <t>Generation-deprec exp Updated'</t>
  </si>
  <si>
    <t>Transmission-deprec exp Updated'</t>
  </si>
  <si>
    <t>SUBTOTAL OF TRANSACTIONS</t>
  </si>
  <si>
    <t>Summary</t>
  </si>
  <si>
    <t>Confidential</t>
  </si>
  <si>
    <t>10 yrs.</t>
  </si>
  <si>
    <t>ARO Expense/Defer</t>
  </si>
  <si>
    <t>52 yrs.</t>
  </si>
  <si>
    <t>36 yrs.</t>
  </si>
  <si>
    <t>ACCUM AMORTIZATION (Colstrip Write-down)</t>
  </si>
  <si>
    <t>ARO  Accretion - 52 Yrs. (through 2069)</t>
  </si>
  <si>
    <t>Summarized totals of effects of deferral of accretion expense over next 52 years</t>
  </si>
  <si>
    <t>Recovery of Excess costs - 36 yrs.</t>
  </si>
  <si>
    <t>Regulatory Liab - Colstrip Settlement</t>
  </si>
  <si>
    <t>Summarized amortization of Colstrip costs and future anticipated accretion of ARO liability</t>
  </si>
  <si>
    <t>General Approach</t>
  </si>
  <si>
    <t>WA W/O of Plant</t>
  </si>
  <si>
    <t>ID W/O of Plant</t>
  </si>
  <si>
    <t>ED.lD</t>
  </si>
  <si>
    <t>Accelerated Depreciation of Generation assets and COR as stated in 2016 Depreciation Study</t>
  </si>
  <si>
    <t>23000X</t>
  </si>
  <si>
    <t>Colstrip Asset Retirement Obligation</t>
  </si>
  <si>
    <t>Depreciation and A/D for assets recovered on Day 1 from tax dollars(A-3 above).</t>
  </si>
  <si>
    <t>20300X</t>
  </si>
  <si>
    <t>Placing Colstrip specific ARO liabilities in segregated GL account</t>
  </si>
  <si>
    <t xml:space="preserve">  Less Write-down of Plant Amortization WA</t>
  </si>
  <si>
    <t>A-5 / D-1</t>
  </si>
  <si>
    <t>A-3, B-5</t>
  </si>
  <si>
    <t>A-4 / C-1</t>
  </si>
  <si>
    <t xml:space="preserve">From Current setup of Colstrip CCR ARO - Cash Flow Report within PowerPlan </t>
  </si>
  <si>
    <t>Deferred Exp</t>
  </si>
  <si>
    <t>Reversal of non-plant regulatory liability and associated gross up account originally booked due to change in tax laws.  Accounts and entry approved by Tax Dpt.  The parties to the depreciation study dockets have agreed to use the tax funds for Colstrip entry.</t>
  </si>
  <si>
    <t>The values were discussed in November of 2018, and final decission was made with a meeting of Adam Munson, Amy Parsons, Dan Loeutzenhiser, Megan Kennedy, and Justin Baldwin-Bonney.  The model to the right, was the model used with calculations currently for specic GL accounts for the depreciation study.  Specific amounts from the closing books in December 2018 were used to determine the  expected entries, shown below</t>
  </si>
  <si>
    <t>Income statement impact is neutral for aggregate entries (A-1 through A-3).  This specific entry is to reduce the book cost of Colstrip as it will not be recovered through depreciation.  Deferred tax will reverse as the write-down is recognized through depreciation.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</si>
</sst>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43" formatCode="_(* #,##0.00_);_(* \(#,##0.00\);_(* &quot;-&quot;??_);_(@_)"/>
    <numFmt numFmtId="164" formatCode="_(* #,##0_);_(* \(#,##0\);_(* &quot;-&quot;??_);_(@_)"/>
    <numFmt numFmtId="165" formatCode="0.000%"/>
    <numFmt numFmtId="166" formatCode="_ * #,##0.00_ ;_ * \-#,##0.00_ ;_ * &quot;-&quot;??_ ;_ @_ "/>
    <numFmt numFmtId="167" formatCode="0.0000"/>
    <numFmt numFmtId="168" formatCode="_([$$-409]* #,##0.00_);_([$$-409]* \(#,##0.00\);_([$$-409]* &quot;-&quot;??_);_(@_)"/>
  </numFmts>
  <fonts count="3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1"/>
      <color theme="1"/>
      <name val="Calibri"/>
      <family val="2"/>
      <scheme val="minor"/>
    </font>
    <font>
      <sz val="10"/>
      <color rgb="FF222222"/>
      <name val="Arial"/>
      <family val="2"/>
    </font>
    <font>
      <sz val="10"/>
      <name val="Arial"/>
      <family val="2"/>
    </font>
    <font>
      <b/>
      <sz val="9"/>
      <color indexed="81"/>
      <name val="Tahoma"/>
      <family val="2"/>
    </font>
    <font>
      <sz val="9"/>
      <color indexed="81"/>
      <name val="Tahoma"/>
      <family val="2"/>
    </font>
    <font>
      <sz val="8"/>
      <color theme="1"/>
      <name val="Calibri"/>
      <family val="2"/>
      <scheme val="minor"/>
    </font>
    <font>
      <b/>
      <sz val="10"/>
      <color theme="1"/>
      <name val="Arial"/>
      <family val="2"/>
    </font>
    <font>
      <sz val="10"/>
      <color theme="1"/>
      <name val="Arial"/>
      <family val="2"/>
    </font>
    <font>
      <sz val="10"/>
      <color rgb="FFFF0000"/>
      <name val="Arial"/>
      <family val="2"/>
    </font>
    <font>
      <b/>
      <sz val="10"/>
      <color rgb="FFFF0000"/>
      <name val="Arial"/>
      <family val="2"/>
    </font>
    <font>
      <sz val="11"/>
      <color rgb="FFFF0000"/>
      <name val="Calibri"/>
      <family val="2"/>
      <scheme val="minor"/>
    </font>
    <font>
      <sz val="11"/>
      <color theme="1"/>
      <name val="Calibri"/>
      <family val="2"/>
    </font>
    <font>
      <b/>
      <sz val="11"/>
      <color theme="1"/>
      <name val="Calibri"/>
      <family val="2"/>
    </font>
    <font>
      <sz val="11"/>
      <color indexed="8"/>
      <name val="Calibri"/>
      <family val="2"/>
    </font>
    <font>
      <i/>
      <sz val="11"/>
      <color theme="1" tint="0.499984740745262"/>
      <name val="Calibri"/>
      <family val="2"/>
      <scheme val="minor"/>
    </font>
    <font>
      <i/>
      <sz val="11"/>
      <color theme="1"/>
      <name val="Calibri"/>
      <family val="2"/>
      <scheme val="minor"/>
    </font>
    <font>
      <i/>
      <sz val="11"/>
      <color rgb="FFFF0000"/>
      <name val="Calibri"/>
      <family val="2"/>
      <scheme val="minor"/>
    </font>
    <font>
      <sz val="11"/>
      <name val="Calibri"/>
      <family val="2"/>
      <scheme val="minor"/>
    </font>
    <font>
      <b/>
      <sz val="9"/>
      <color rgb="FFFF0000"/>
      <name val="Calibri"/>
      <family val="2"/>
      <scheme val="minor"/>
    </font>
    <font>
      <sz val="9"/>
      <color theme="1"/>
      <name val="Calibri"/>
      <family val="2"/>
      <scheme val="minor"/>
    </font>
    <font>
      <sz val="11"/>
      <color theme="9" tint="-0.499984740745262"/>
      <name val="Calibri"/>
      <family val="2"/>
      <scheme val="minor"/>
    </font>
    <font>
      <b/>
      <sz val="11"/>
      <name val="Calibri"/>
      <family val="2"/>
      <scheme val="minor"/>
    </font>
    <font>
      <b/>
      <sz val="22"/>
      <color theme="1"/>
      <name val="Calibri"/>
      <family val="2"/>
      <scheme val="minor"/>
    </font>
    <font>
      <sz val="11"/>
      <color rgb="FFFF0000"/>
      <name val="Calibri"/>
      <family val="2"/>
    </font>
    <font>
      <b/>
      <sz val="62"/>
      <color theme="1"/>
      <name val="Calibri"/>
      <family val="2"/>
      <scheme val="minor"/>
    </font>
    <font>
      <b/>
      <sz val="62"/>
      <color indexed="8"/>
      <name val="Calibri"/>
      <family val="2"/>
    </font>
    <font>
      <b/>
      <sz val="62"/>
      <color indexed="8"/>
      <name val="Calibri"/>
      <family val="2"/>
      <scheme val="minor"/>
    </font>
    <font>
      <b/>
      <sz val="62"/>
      <color indexed="8"/>
      <name val="Arial"/>
      <family val="2"/>
    </font>
    <font>
      <sz val="50"/>
      <color theme="1"/>
      <name val="Arial"/>
      <family val="2"/>
    </font>
  </fonts>
  <fills count="1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rgb="FF92D050"/>
        <bgColor indexed="64"/>
      </patternFill>
    </fill>
  </fills>
  <borders count="29">
    <border>
      <left/>
      <right/>
      <top/>
      <bottom/>
      <diagonal/>
    </border>
    <border>
      <left style="medium">
        <color rgb="FFE2E2E2"/>
      </left>
      <right style="medium">
        <color rgb="FFE2E2E2"/>
      </right>
      <top/>
      <bottom style="medium">
        <color rgb="FFE2E2E2"/>
      </bottom>
      <diagonal/>
    </border>
    <border>
      <left/>
      <right/>
      <top style="thin">
        <color indexed="64"/>
      </top>
      <bottom style="thin">
        <color indexed="64"/>
      </bottom>
      <diagonal/>
    </border>
    <border>
      <left style="medium">
        <color rgb="FFE2E2E2"/>
      </left>
      <right style="medium">
        <color rgb="FFE2E2E2"/>
      </right>
      <top/>
      <bottom/>
      <diagonal/>
    </border>
    <border>
      <left/>
      <right/>
      <top style="thin">
        <color indexed="64"/>
      </top>
      <bottom/>
      <diagonal/>
    </border>
    <border>
      <left style="medium">
        <color rgb="FFE2E2E2"/>
      </left>
      <right/>
      <top/>
      <bottom style="medium">
        <color rgb="FFE2E2E2"/>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right/>
      <top style="thin">
        <color rgb="FFFF0000"/>
      </top>
      <bottom style="double">
        <color rgb="FFFF0000"/>
      </bottom>
      <diagonal/>
    </border>
    <border>
      <left style="thin">
        <color rgb="FFFF0000"/>
      </left>
      <right style="thin">
        <color rgb="FFFF0000"/>
      </right>
      <top style="thin">
        <color indexed="64"/>
      </top>
      <bottom style="thin">
        <color rgb="FFFF0000"/>
      </bottom>
      <diagonal/>
    </border>
    <border>
      <left style="thin">
        <color rgb="FFFF0000"/>
      </left>
      <right/>
      <top/>
      <bottom/>
      <diagonal/>
    </border>
  </borders>
  <cellStyleXfs count="10">
    <xf numFmtId="0" fontId="0" fillId="0" borderId="0"/>
    <xf numFmtId="43" fontId="8" fillId="0" borderId="0" applyFont="0" applyFill="0" applyBorder="0" applyAlignment="0" applyProtection="0"/>
    <xf numFmtId="9" fontId="8" fillId="0" borderId="0" applyFont="0" applyFill="0" applyBorder="0" applyAlignment="0" applyProtection="0"/>
    <xf numFmtId="0" fontId="11" fillId="0" borderId="0"/>
    <xf numFmtId="9" fontId="11" fillId="0" borderId="0" applyFont="0" applyFill="0" applyBorder="0" applyAlignment="0" applyProtection="0"/>
    <xf numFmtId="166" fontId="8" fillId="0" borderId="0" applyFont="0" applyFill="0" applyBorder="0" applyAlignment="0" applyProtection="0"/>
    <xf numFmtId="0" fontId="20" fillId="0" borderId="0"/>
    <xf numFmtId="43" fontId="22" fillId="0" borderId="0" applyFont="0" applyFill="0" applyBorder="0" applyAlignment="0" applyProtection="0"/>
    <xf numFmtId="9" fontId="20" fillId="0" borderId="0" applyFont="0" applyFill="0" applyBorder="0" applyAlignment="0" applyProtection="0"/>
    <xf numFmtId="43" fontId="11" fillId="0" borderId="0" applyFont="0" applyFill="0" applyBorder="0" applyAlignment="0" applyProtection="0"/>
  </cellStyleXfs>
  <cellXfs count="338">
    <xf numFmtId="0" fontId="0" fillId="0" borderId="0" xfId="0"/>
    <xf numFmtId="0" fontId="10" fillId="0" borderId="1" xfId="0" applyFont="1" applyBorder="1" applyAlignment="1">
      <alignment horizontal="left" vertical="top"/>
    </xf>
    <xf numFmtId="164" fontId="10" fillId="0" borderId="1" xfId="1" applyNumberFormat="1" applyFont="1" applyBorder="1" applyAlignment="1">
      <alignment horizontal="right" vertical="top"/>
    </xf>
    <xf numFmtId="164" fontId="0" fillId="0" borderId="0" xfId="1" applyNumberFormat="1" applyFont="1"/>
    <xf numFmtId="164" fontId="10" fillId="0" borderId="3" xfId="1" applyNumberFormat="1" applyFont="1" applyBorder="1" applyAlignment="1">
      <alignment horizontal="right" vertical="top"/>
    </xf>
    <xf numFmtId="164" fontId="0" fillId="0" borderId="2" xfId="1" applyNumberFormat="1" applyFont="1" applyBorder="1"/>
    <xf numFmtId="0" fontId="11" fillId="0" borderId="0" xfId="3" applyFill="1" applyAlignment="1">
      <alignment horizontal="right"/>
    </xf>
    <xf numFmtId="0" fontId="11" fillId="0" borderId="0" xfId="3" applyFill="1"/>
    <xf numFmtId="0" fontId="11" fillId="0" borderId="0" xfId="3" applyFont="1" applyFill="1"/>
    <xf numFmtId="0" fontId="11" fillId="0" borderId="0" xfId="3" quotePrefix="1" applyFill="1"/>
    <xf numFmtId="0" fontId="11" fillId="0" borderId="0" xfId="3" quotePrefix="1" applyFill="1" applyAlignment="1">
      <alignment horizontal="right"/>
    </xf>
    <xf numFmtId="0" fontId="11" fillId="0" borderId="0" xfId="3" applyFill="1" applyAlignment="1">
      <alignment horizontal="left"/>
    </xf>
    <xf numFmtId="0" fontId="11" fillId="0" borderId="0" xfId="3" applyFont="1" applyFill="1" applyAlignment="1">
      <alignment horizontal="left"/>
    </xf>
    <xf numFmtId="0" fontId="0" fillId="0" borderId="0" xfId="0" applyAlignment="1">
      <alignment horizontal="left"/>
    </xf>
    <xf numFmtId="0" fontId="9" fillId="0" borderId="0" xfId="0" applyFont="1" applyAlignment="1">
      <alignment horizontal="center" wrapText="1"/>
    </xf>
    <xf numFmtId="14" fontId="9" fillId="0" borderId="0" xfId="1" applyNumberFormat="1" applyFont="1" applyAlignment="1">
      <alignment horizontal="center" wrapText="1"/>
    </xf>
    <xf numFmtId="164" fontId="0" fillId="0" borderId="0" xfId="0" applyNumberFormat="1"/>
    <xf numFmtId="165" fontId="11" fillId="0" borderId="0" xfId="4" quotePrefix="1" applyNumberFormat="1" applyFont="1" applyFill="1"/>
    <xf numFmtId="165" fontId="0" fillId="0" borderId="0" xfId="2" applyNumberFormat="1" applyFont="1"/>
    <xf numFmtId="164" fontId="0" fillId="0" borderId="2" xfId="0" applyNumberFormat="1" applyBorder="1"/>
    <xf numFmtId="0" fontId="9" fillId="0" borderId="0" xfId="0" applyFont="1"/>
    <xf numFmtId="0" fontId="9" fillId="0" borderId="0" xfId="0" applyFont="1" applyAlignment="1">
      <alignment horizontal="center"/>
    </xf>
    <xf numFmtId="164" fontId="0" fillId="0" borderId="0" xfId="1" applyNumberFormat="1" applyFont="1" applyBorder="1"/>
    <xf numFmtId="43" fontId="0" fillId="0" borderId="0" xfId="0" applyNumberFormat="1"/>
    <xf numFmtId="0" fontId="16" fillId="0" borderId="0" xfId="0" applyFont="1"/>
    <xf numFmtId="49" fontId="16" fillId="0" borderId="0" xfId="5" applyNumberFormat="1" applyFont="1" applyFill="1"/>
    <xf numFmtId="164" fontId="16" fillId="0" borderId="0" xfId="1" applyNumberFormat="1" applyFont="1" applyBorder="1"/>
    <xf numFmtId="0" fontId="16" fillId="0" borderId="0" xfId="0" applyFont="1" applyBorder="1"/>
    <xf numFmtId="164" fontId="16" fillId="0" borderId="0" xfId="0" applyNumberFormat="1" applyFont="1" applyBorder="1"/>
    <xf numFmtId="0" fontId="16" fillId="0" borderId="0" xfId="0" applyFont="1" applyAlignment="1">
      <alignment horizontal="left"/>
    </xf>
    <xf numFmtId="10" fontId="0" fillId="0" borderId="0" xfId="2" applyNumberFormat="1" applyFont="1"/>
    <xf numFmtId="0" fontId="10" fillId="0" borderId="0" xfId="0" applyFont="1" applyBorder="1" applyAlignment="1">
      <alignment horizontal="left" vertical="top"/>
    </xf>
    <xf numFmtId="164" fontId="9" fillId="0" borderId="0" xfId="1" applyNumberFormat="1" applyFont="1" applyAlignment="1">
      <alignment horizontal="center" vertical="center" wrapText="1"/>
    </xf>
    <xf numFmtId="164" fontId="17" fillId="0" borderId="0" xfId="1" applyNumberFormat="1" applyFont="1"/>
    <xf numFmtId="0" fontId="17" fillId="0" borderId="0" xfId="0" applyFont="1"/>
    <xf numFmtId="0" fontId="17" fillId="0" borderId="0" xfId="0" applyFont="1" applyAlignment="1">
      <alignment wrapText="1"/>
    </xf>
    <xf numFmtId="0" fontId="16" fillId="0" borderId="0" xfId="0" applyFont="1" applyAlignment="1">
      <alignment wrapText="1"/>
    </xf>
    <xf numFmtId="0" fontId="10" fillId="0" borderId="5" xfId="0" applyFont="1" applyBorder="1" applyAlignment="1">
      <alignment horizontal="left" vertical="top" wrapText="1"/>
    </xf>
    <xf numFmtId="0" fontId="10" fillId="0" borderId="0" xfId="0" applyFont="1" applyFill="1" applyBorder="1" applyAlignment="1">
      <alignment horizontal="left" vertical="top" wrapText="1"/>
    </xf>
    <xf numFmtId="166" fontId="16" fillId="0" borderId="0" xfId="5" applyFont="1" applyFill="1" applyAlignment="1">
      <alignment wrapText="1"/>
    </xf>
    <xf numFmtId="0" fontId="7" fillId="0" borderId="0" xfId="0" applyFont="1"/>
    <xf numFmtId="164" fontId="17" fillId="0" borderId="6" xfId="1" applyNumberFormat="1" applyFont="1" applyBorder="1"/>
    <xf numFmtId="164" fontId="16" fillId="0" borderId="6" xfId="1" applyNumberFormat="1" applyFont="1" applyBorder="1"/>
    <xf numFmtId="164" fontId="17" fillId="0" borderId="7" xfId="1" applyNumberFormat="1" applyFont="1" applyBorder="1"/>
    <xf numFmtId="164" fontId="10" fillId="0" borderId="7" xfId="1" applyNumberFormat="1" applyFont="1" applyBorder="1" applyAlignment="1">
      <alignment horizontal="right" vertical="top"/>
    </xf>
    <xf numFmtId="164" fontId="16" fillId="0" borderId="7" xfId="1" applyNumberFormat="1" applyFont="1" applyBorder="1"/>
    <xf numFmtId="43" fontId="16" fillId="0" borderId="0" xfId="1" applyFont="1" applyBorder="1"/>
    <xf numFmtId="164" fontId="16" fillId="0" borderId="6" xfId="0" applyNumberFormat="1" applyFont="1" applyBorder="1"/>
    <xf numFmtId="0" fontId="16" fillId="0" borderId="6" xfId="0" applyFont="1" applyBorder="1"/>
    <xf numFmtId="49" fontId="7" fillId="0" borderId="0" xfId="5" applyNumberFormat="1" applyFont="1" applyFill="1"/>
    <xf numFmtId="0" fontId="7" fillId="0" borderId="0" xfId="0" applyFont="1" applyAlignment="1">
      <alignment wrapText="1"/>
    </xf>
    <xf numFmtId="0" fontId="0" fillId="0" borderId="0" xfId="0" applyFill="1"/>
    <xf numFmtId="0" fontId="0" fillId="3" borderId="0" xfId="0" applyFill="1"/>
    <xf numFmtId="0" fontId="19" fillId="0" borderId="0" xfId="0" applyFont="1" applyAlignment="1">
      <alignment horizontal="right"/>
    </xf>
    <xf numFmtId="0" fontId="0" fillId="5" borderId="0" xfId="0" applyFill="1" applyAlignment="1">
      <alignment horizontal="left"/>
    </xf>
    <xf numFmtId="0" fontId="0" fillId="4" borderId="0" xfId="0" applyFill="1"/>
    <xf numFmtId="0" fontId="0" fillId="2" borderId="0" xfId="0" applyFill="1"/>
    <xf numFmtId="0" fontId="19" fillId="0" borderId="0" xfId="0" quotePrefix="1" applyFont="1" applyAlignment="1">
      <alignment horizontal="right"/>
    </xf>
    <xf numFmtId="0" fontId="0" fillId="0" borderId="0" xfId="0" applyAlignment="1">
      <alignment horizontal="center"/>
    </xf>
    <xf numFmtId="0" fontId="19" fillId="0" borderId="0" xfId="0" applyFont="1"/>
    <xf numFmtId="0" fontId="0" fillId="0" borderId="0" xfId="0"/>
    <xf numFmtId="0" fontId="0" fillId="0" borderId="0" xfId="0" applyAlignment="1">
      <alignment horizontal="right"/>
    </xf>
    <xf numFmtId="43" fontId="14" fillId="0" borderId="0" xfId="1" applyFont="1" applyAlignment="1">
      <alignment horizontal="center" vertical="center"/>
    </xf>
    <xf numFmtId="0" fontId="14" fillId="0" borderId="0" xfId="0" applyFont="1" applyAlignment="1">
      <alignment horizontal="center" vertical="center"/>
    </xf>
    <xf numFmtId="0" fontId="14" fillId="0" borderId="0" xfId="0" applyFont="1" applyFill="1" applyAlignment="1">
      <alignment horizontal="center" vertical="center"/>
    </xf>
    <xf numFmtId="0" fontId="14" fillId="4" borderId="0" xfId="0" applyFont="1" applyFill="1" applyAlignment="1">
      <alignment horizontal="center" vertical="center"/>
    </xf>
    <xf numFmtId="0" fontId="14" fillId="2" borderId="0" xfId="0" applyFont="1" applyFill="1" applyAlignment="1">
      <alignment horizontal="center" vertical="center"/>
    </xf>
    <xf numFmtId="164" fontId="14" fillId="0" borderId="0" xfId="1" applyNumberFormat="1" applyFont="1" applyAlignment="1">
      <alignment horizontal="center" vertical="center"/>
    </xf>
    <xf numFmtId="0" fontId="0" fillId="5" borderId="0" xfId="0" applyFill="1"/>
    <xf numFmtId="0" fontId="14" fillId="5" borderId="0" xfId="0" applyFont="1" applyFill="1" applyAlignment="1">
      <alignment horizontal="center" vertical="center"/>
    </xf>
    <xf numFmtId="0" fontId="19" fillId="2" borderId="0" xfId="0" applyFont="1" applyFill="1"/>
    <xf numFmtId="164" fontId="0" fillId="5" borderId="0" xfId="1" applyNumberFormat="1" applyFont="1" applyFill="1"/>
    <xf numFmtId="0" fontId="0" fillId="7" borderId="0" xfId="0" applyFill="1"/>
    <xf numFmtId="0" fontId="14" fillId="7" borderId="0" xfId="0" applyFont="1" applyFill="1" applyAlignment="1">
      <alignment horizontal="center" vertical="center"/>
    </xf>
    <xf numFmtId="0" fontId="19" fillId="7" borderId="0" xfId="0" quotePrefix="1" applyFont="1" applyFill="1" applyAlignment="1">
      <alignment horizontal="left"/>
    </xf>
    <xf numFmtId="0" fontId="17" fillId="0" borderId="6" xfId="0" applyFont="1" applyBorder="1"/>
    <xf numFmtId="0" fontId="16" fillId="0" borderId="9" xfId="0" applyFont="1" applyBorder="1"/>
    <xf numFmtId="0" fontId="0" fillId="0" borderId="0" xfId="0"/>
    <xf numFmtId="164" fontId="16" fillId="0" borderId="6" xfId="1" applyNumberFormat="1" applyFont="1" applyFill="1" applyBorder="1"/>
    <xf numFmtId="164" fontId="10" fillId="0" borderId="6" xfId="1" applyNumberFormat="1" applyFont="1" applyFill="1" applyBorder="1" applyAlignment="1">
      <alignment horizontal="right" vertical="top"/>
    </xf>
    <xf numFmtId="164" fontId="18" fillId="0" borderId="9" xfId="1" applyNumberFormat="1" applyFont="1" applyBorder="1"/>
    <xf numFmtId="164" fontId="18" fillId="0" borderId="9" xfId="1" applyNumberFormat="1" applyFont="1" applyFill="1" applyBorder="1"/>
    <xf numFmtId="164" fontId="18" fillId="0" borderId="9" xfId="1" applyNumberFormat="1" applyFont="1" applyFill="1" applyBorder="1" applyAlignment="1">
      <alignment horizontal="right" vertical="top"/>
    </xf>
    <xf numFmtId="0" fontId="6" fillId="0" borderId="0" xfId="0" applyFont="1"/>
    <xf numFmtId="0" fontId="10" fillId="0" borderId="0" xfId="0" applyFont="1" applyBorder="1" applyAlignment="1">
      <alignment horizontal="left" vertical="top" wrapText="1"/>
    </xf>
    <xf numFmtId="0" fontId="6" fillId="0" borderId="0" xfId="0" applyFont="1" applyAlignment="1">
      <alignment wrapText="1"/>
    </xf>
    <xf numFmtId="0" fontId="16" fillId="0" borderId="0" xfId="0" applyFont="1" applyFill="1"/>
    <xf numFmtId="0" fontId="16" fillId="0" borderId="0" xfId="0" applyFont="1" applyFill="1" applyAlignment="1">
      <alignment wrapText="1"/>
    </xf>
    <xf numFmtId="164" fontId="16" fillId="0" borderId="7" xfId="1" applyNumberFormat="1" applyFont="1" applyFill="1" applyBorder="1"/>
    <xf numFmtId="164" fontId="16" fillId="0" borderId="0" xfId="0" applyNumberFormat="1" applyFont="1" applyFill="1" applyBorder="1"/>
    <xf numFmtId="164" fontId="16" fillId="0" borderId="6" xfId="0" applyNumberFormat="1" applyFont="1" applyFill="1" applyBorder="1"/>
    <xf numFmtId="0" fontId="16" fillId="0" borderId="0" xfId="0" applyFont="1" applyFill="1" applyBorder="1"/>
    <xf numFmtId="0" fontId="16" fillId="0" borderId="6" xfId="0" applyFont="1" applyFill="1" applyBorder="1"/>
    <xf numFmtId="0" fontId="6" fillId="0" borderId="0" xfId="0" applyFont="1" applyFill="1"/>
    <xf numFmtId="0" fontId="6" fillId="0" borderId="0" xfId="0" applyFont="1" applyFill="1" applyAlignment="1">
      <alignment wrapText="1"/>
    </xf>
    <xf numFmtId="164" fontId="18" fillId="0" borderId="9" xfId="0" applyNumberFormat="1" applyFont="1" applyBorder="1"/>
    <xf numFmtId="164" fontId="18" fillId="0" borderId="9" xfId="0" applyNumberFormat="1" applyFont="1" applyFill="1" applyBorder="1"/>
    <xf numFmtId="0" fontId="18" fillId="0" borderId="9" xfId="0" applyFont="1" applyBorder="1"/>
    <xf numFmtId="0" fontId="0" fillId="9" borderId="0" xfId="0" applyFill="1"/>
    <xf numFmtId="164" fontId="0" fillId="9" borderId="0" xfId="0" applyNumberFormat="1" applyFill="1"/>
    <xf numFmtId="164" fontId="0" fillId="9" borderId="0" xfId="1" applyNumberFormat="1" applyFont="1" applyFill="1"/>
    <xf numFmtId="166" fontId="6" fillId="0" borderId="0" xfId="5" applyFont="1" applyFill="1" applyAlignment="1">
      <alignment wrapText="1"/>
    </xf>
    <xf numFmtId="0" fontId="20" fillId="0" borderId="0" xfId="6" applyFill="1"/>
    <xf numFmtId="43" fontId="0" fillId="0" borderId="0" xfId="7" applyFont="1" applyFill="1"/>
    <xf numFmtId="167" fontId="20" fillId="0" borderId="0" xfId="6" applyNumberFormat="1" applyFill="1"/>
    <xf numFmtId="0" fontId="20" fillId="0" borderId="0" xfId="6" applyFont="1" applyFill="1"/>
    <xf numFmtId="0" fontId="21" fillId="0" borderId="0" xfId="6" applyFont="1" applyFill="1"/>
    <xf numFmtId="8" fontId="0" fillId="0" borderId="0" xfId="7" applyNumberFormat="1" applyFont="1" applyFill="1"/>
    <xf numFmtId="0" fontId="20" fillId="0" borderId="0" xfId="6"/>
    <xf numFmtId="43" fontId="21" fillId="0" borderId="0" xfId="7" applyFont="1" applyFill="1" applyAlignment="1">
      <alignment horizontal="center"/>
    </xf>
    <xf numFmtId="0" fontId="21" fillId="0" borderId="0" xfId="6" applyFont="1" applyFill="1" applyAlignment="1">
      <alignment horizontal="center"/>
    </xf>
    <xf numFmtId="43" fontId="21" fillId="0" borderId="0" xfId="7" applyFont="1" applyFill="1" applyBorder="1"/>
    <xf numFmtId="43" fontId="21" fillId="0" borderId="0" xfId="7" applyFont="1" applyFill="1"/>
    <xf numFmtId="10" fontId="21" fillId="0" borderId="0" xfId="8" applyNumberFormat="1" applyFont="1" applyFill="1"/>
    <xf numFmtId="8" fontId="21" fillId="0" borderId="0" xfId="7" applyNumberFormat="1" applyFont="1" applyFill="1" applyBorder="1"/>
    <xf numFmtId="43" fontId="21" fillId="0" borderId="10" xfId="7" applyFont="1" applyFill="1" applyBorder="1"/>
    <xf numFmtId="164" fontId="20" fillId="0" borderId="0" xfId="6" applyNumberFormat="1" applyFill="1"/>
    <xf numFmtId="0" fontId="18" fillId="0" borderId="9" xfId="0" applyFont="1" applyFill="1" applyBorder="1"/>
    <xf numFmtId="164" fontId="16" fillId="0" borderId="0" xfId="1" applyNumberFormat="1" applyFont="1"/>
    <xf numFmtId="164" fontId="16" fillId="0" borderId="0" xfId="1" applyNumberFormat="1" applyFont="1" applyFill="1"/>
    <xf numFmtId="0" fontId="17" fillId="0" borderId="0" xfId="0" applyFont="1" applyFill="1"/>
    <xf numFmtId="0" fontId="18" fillId="0" borderId="0" xfId="0" applyFont="1"/>
    <xf numFmtId="0" fontId="18" fillId="0" borderId="0" xfId="0" applyFont="1" applyFill="1"/>
    <xf numFmtId="164" fontId="16" fillId="0" borderId="0" xfId="1" applyNumberFormat="1" applyFont="1" applyFill="1" applyBorder="1"/>
    <xf numFmtId="164" fontId="16" fillId="0" borderId="0" xfId="0" applyNumberFormat="1" applyFont="1"/>
    <xf numFmtId="164" fontId="18" fillId="0" borderId="0" xfId="1" applyNumberFormat="1" applyFont="1" applyBorder="1"/>
    <xf numFmtId="0" fontId="18" fillId="0" borderId="0" xfId="0" applyFont="1" applyBorder="1"/>
    <xf numFmtId="0" fontId="18" fillId="0" borderId="0" xfId="0" applyFont="1" applyFill="1" applyBorder="1"/>
    <xf numFmtId="0" fontId="16" fillId="0" borderId="4" xfId="0" applyFont="1" applyBorder="1"/>
    <xf numFmtId="0" fontId="6" fillId="0" borderId="4" xfId="0" applyFont="1" applyBorder="1"/>
    <xf numFmtId="0" fontId="6" fillId="0" borderId="4" xfId="0" applyFont="1" applyBorder="1" applyAlignment="1">
      <alignment wrapText="1"/>
    </xf>
    <xf numFmtId="164" fontId="16" fillId="0" borderId="11" xfId="1" applyNumberFormat="1" applyFont="1" applyBorder="1"/>
    <xf numFmtId="164" fontId="16" fillId="0" borderId="12" xfId="1" applyNumberFormat="1" applyFont="1" applyFill="1" applyBorder="1"/>
    <xf numFmtId="164" fontId="18" fillId="0" borderId="13" xfId="1" applyNumberFormat="1" applyFont="1" applyFill="1" applyBorder="1"/>
    <xf numFmtId="164" fontId="16" fillId="0" borderId="12" xfId="0" applyNumberFormat="1" applyFont="1" applyBorder="1"/>
    <xf numFmtId="164" fontId="18" fillId="0" borderId="13" xfId="0" applyNumberFormat="1" applyFont="1" applyBorder="1"/>
    <xf numFmtId="0" fontId="16" fillId="0" borderId="12" xfId="0" applyFont="1" applyBorder="1"/>
    <xf numFmtId="0" fontId="18" fillId="0" borderId="13" xfId="0" applyFont="1" applyBorder="1"/>
    <xf numFmtId="0" fontId="18" fillId="0" borderId="4" xfId="0" applyFont="1" applyBorder="1"/>
    <xf numFmtId="0" fontId="17" fillId="0" borderId="4" xfId="0" applyFont="1" applyBorder="1"/>
    <xf numFmtId="164" fontId="16" fillId="0" borderId="4" xfId="1" applyNumberFormat="1" applyFont="1" applyBorder="1"/>
    <xf numFmtId="1" fontId="15" fillId="0" borderId="0" xfId="0" applyNumberFormat="1" applyFont="1" applyAlignment="1">
      <alignment horizontal="center" vertical="top" wrapText="1"/>
    </xf>
    <xf numFmtId="1" fontId="18" fillId="8" borderId="6" xfId="0" applyNumberFormat="1" applyFont="1" applyFill="1" applyBorder="1" applyAlignment="1">
      <alignment horizontal="center" vertical="top" wrapText="1"/>
    </xf>
    <xf numFmtId="1" fontId="18" fillId="8" borderId="9" xfId="0" applyNumberFormat="1" applyFont="1" applyFill="1" applyBorder="1" applyAlignment="1">
      <alignment horizontal="center" vertical="top" wrapText="1"/>
    </xf>
    <xf numFmtId="1" fontId="18" fillId="7" borderId="6" xfId="0" applyNumberFormat="1" applyFont="1" applyFill="1" applyBorder="1" applyAlignment="1">
      <alignment horizontal="center" vertical="top" wrapText="1"/>
    </xf>
    <xf numFmtId="1" fontId="15" fillId="0" borderId="6" xfId="0" applyNumberFormat="1" applyFont="1" applyBorder="1" applyAlignment="1">
      <alignment horizontal="center" vertical="top" wrapText="1"/>
    </xf>
    <xf numFmtId="1" fontId="18" fillId="0" borderId="0" xfId="0" applyNumberFormat="1" applyFont="1" applyBorder="1" applyAlignment="1">
      <alignment horizontal="center" vertical="top" wrapText="1"/>
    </xf>
    <xf numFmtId="1" fontId="18" fillId="0" borderId="0" xfId="0" applyNumberFormat="1" applyFont="1" applyAlignment="1">
      <alignment horizontal="center" vertical="top" wrapText="1"/>
    </xf>
    <xf numFmtId="0" fontId="17" fillId="5" borderId="0" xfId="0" applyFont="1" applyFill="1"/>
    <xf numFmtId="0" fontId="17" fillId="5" borderId="0" xfId="0" applyFont="1" applyFill="1" applyAlignment="1">
      <alignment wrapText="1"/>
    </xf>
    <xf numFmtId="164" fontId="17" fillId="5" borderId="7" xfId="1" applyNumberFormat="1" applyFont="1" applyFill="1" applyBorder="1"/>
    <xf numFmtId="164" fontId="17" fillId="5" borderId="6" xfId="1" applyNumberFormat="1" applyFont="1" applyFill="1" applyBorder="1"/>
    <xf numFmtId="164" fontId="18" fillId="5" borderId="9" xfId="1" applyNumberFormat="1" applyFont="1" applyFill="1" applyBorder="1"/>
    <xf numFmtId="164" fontId="17" fillId="5" borderId="9" xfId="1" applyNumberFormat="1" applyFont="1" applyFill="1" applyBorder="1"/>
    <xf numFmtId="164" fontId="17" fillId="5" borderId="0" xfId="1" applyNumberFormat="1" applyFont="1" applyFill="1"/>
    <xf numFmtId="0" fontId="18" fillId="5" borderId="9" xfId="0" applyFont="1" applyFill="1" applyBorder="1"/>
    <xf numFmtId="0" fontId="18" fillId="5" borderId="0" xfId="0" applyFont="1" applyFill="1"/>
    <xf numFmtId="164" fontId="18" fillId="5" borderId="0" xfId="1" applyNumberFormat="1" applyFont="1" applyFill="1" applyBorder="1"/>
    <xf numFmtId="0" fontId="17" fillId="5" borderId="6" xfId="0" applyFont="1" applyFill="1" applyBorder="1"/>
    <xf numFmtId="164" fontId="17" fillId="0" borderId="0" xfId="1" applyNumberFormat="1" applyFont="1" applyAlignment="1">
      <alignment wrapText="1"/>
    </xf>
    <xf numFmtId="164" fontId="18" fillId="0" borderId="0" xfId="1" applyNumberFormat="1" applyFont="1"/>
    <xf numFmtId="164" fontId="18" fillId="0" borderId="13" xfId="1" applyNumberFormat="1" applyFont="1" applyBorder="1"/>
    <xf numFmtId="164" fontId="16" fillId="0" borderId="0" xfId="0" applyNumberFormat="1" applyFont="1" applyFill="1"/>
    <xf numFmtId="164" fontId="0" fillId="0" borderId="0" xfId="1" applyNumberFormat="1" applyFont="1" applyFill="1"/>
    <xf numFmtId="14" fontId="15" fillId="0" borderId="7" xfId="1" applyNumberFormat="1" applyFont="1" applyBorder="1" applyAlignment="1">
      <alignment horizontal="center" vertical="top" wrapText="1"/>
    </xf>
    <xf numFmtId="0" fontId="5" fillId="0" borderId="0" xfId="0" applyFont="1" applyAlignment="1">
      <alignment wrapText="1"/>
    </xf>
    <xf numFmtId="166" fontId="5" fillId="0" borderId="0" xfId="5" applyFont="1" applyFill="1" applyAlignment="1">
      <alignment wrapText="1"/>
    </xf>
    <xf numFmtId="0" fontId="16" fillId="0" borderId="0" xfId="0" applyFont="1" applyFill="1" applyAlignment="1">
      <alignment horizontal="left"/>
    </xf>
    <xf numFmtId="43" fontId="17" fillId="5" borderId="6" xfId="1" applyFont="1" applyFill="1" applyBorder="1"/>
    <xf numFmtId="164" fontId="0" fillId="0" borderId="8" xfId="1" applyNumberFormat="1" applyFont="1" applyBorder="1"/>
    <xf numFmtId="0" fontId="19" fillId="0" borderId="0" xfId="0" quotePrefix="1" applyFont="1"/>
    <xf numFmtId="0" fontId="19" fillId="0" borderId="0" xfId="0" quotePrefix="1" applyFont="1" applyFill="1" applyAlignment="1">
      <alignment horizontal="right"/>
    </xf>
    <xf numFmtId="164" fontId="14" fillId="0" borderId="0" xfId="1" applyNumberFormat="1" applyFont="1" applyFill="1" applyAlignment="1">
      <alignment horizontal="center" vertical="center"/>
    </xf>
    <xf numFmtId="0" fontId="0" fillId="0" borderId="0" xfId="0" applyFill="1" applyAlignment="1">
      <alignment horizontal="right"/>
    </xf>
    <xf numFmtId="1" fontId="18" fillId="4" borderId="6" xfId="0" applyNumberFormat="1" applyFont="1" applyFill="1" applyBorder="1" applyAlignment="1">
      <alignment horizontal="center" vertical="top" wrapText="1"/>
    </xf>
    <xf numFmtId="49" fontId="5" fillId="0" borderId="0" xfId="5" applyNumberFormat="1" applyFont="1" applyFill="1"/>
    <xf numFmtId="43" fontId="17" fillId="5" borderId="0" xfId="1" applyFont="1" applyFill="1"/>
    <xf numFmtId="0" fontId="5" fillId="0" borderId="0" xfId="0" applyFont="1"/>
    <xf numFmtId="164" fontId="17" fillId="0" borderId="0" xfId="0" applyNumberFormat="1" applyFont="1"/>
    <xf numFmtId="0" fontId="5" fillId="0" borderId="0" xfId="0" applyFont="1" applyFill="1"/>
    <xf numFmtId="164" fontId="17" fillId="0" borderId="0" xfId="0" applyNumberFormat="1" applyFont="1" applyFill="1"/>
    <xf numFmtId="164" fontId="0" fillId="5" borderId="0" xfId="1" applyNumberFormat="1" applyFont="1" applyFill="1" applyAlignment="1">
      <alignment horizontal="left"/>
    </xf>
    <xf numFmtId="164" fontId="0" fillId="4" borderId="0" xfId="1" applyNumberFormat="1" applyFont="1" applyFill="1"/>
    <xf numFmtId="164" fontId="0" fillId="2" borderId="0" xfId="1" applyNumberFormat="1" applyFont="1" applyFill="1"/>
    <xf numFmtId="164" fontId="0" fillId="7" borderId="0" xfId="1" applyNumberFormat="1" applyFont="1" applyFill="1"/>
    <xf numFmtId="0" fontId="0" fillId="10" borderId="0" xfId="0" applyFill="1"/>
    <xf numFmtId="0" fontId="0" fillId="0" borderId="0" xfId="0"/>
    <xf numFmtId="0" fontId="19" fillId="0" borderId="0" xfId="0" applyFont="1" applyFill="1"/>
    <xf numFmtId="0" fontId="0" fillId="0" borderId="0" xfId="0"/>
    <xf numFmtId="0" fontId="0" fillId="0" borderId="0" xfId="0" applyAlignment="1">
      <alignment horizontal="right"/>
    </xf>
    <xf numFmtId="164" fontId="16" fillId="4" borderId="7" xfId="1" applyNumberFormat="1" applyFont="1" applyFill="1" applyBorder="1"/>
    <xf numFmtId="164" fontId="9" fillId="0" borderId="0" xfId="1" applyNumberFormat="1" applyFont="1" applyAlignment="1">
      <alignment horizontal="center"/>
    </xf>
    <xf numFmtId="164" fontId="9" fillId="0" borderId="0" xfId="1" quotePrefix="1" applyNumberFormat="1" applyFont="1" applyAlignment="1">
      <alignment horizontal="center"/>
    </xf>
    <xf numFmtId="0" fontId="9" fillId="10" borderId="0" xfId="0" applyFont="1" applyFill="1" applyAlignment="1">
      <alignment horizontal="center" wrapText="1"/>
    </xf>
    <xf numFmtId="10" fontId="0" fillId="10" borderId="0" xfId="2" applyNumberFormat="1" applyFont="1" applyFill="1"/>
    <xf numFmtId="0" fontId="9" fillId="0" borderId="0" xfId="0" applyFont="1" applyAlignment="1">
      <alignment horizontal="center" vertical="center" wrapText="1"/>
    </xf>
    <xf numFmtId="0" fontId="9" fillId="0" borderId="0" xfId="0" applyFont="1" applyFill="1" applyBorder="1" applyAlignment="1">
      <alignment horizontal="center" wrapText="1"/>
    </xf>
    <xf numFmtId="0" fontId="0" fillId="0" borderId="0" xfId="0" applyFill="1" applyBorder="1"/>
    <xf numFmtId="164" fontId="0" fillId="0" borderId="0" xfId="0" applyNumberFormat="1" applyFill="1" applyBorder="1"/>
    <xf numFmtId="10" fontId="0" fillId="0" borderId="0" xfId="2" applyNumberFormat="1" applyFont="1" applyFill="1" applyBorder="1"/>
    <xf numFmtId="164" fontId="0" fillId="0" borderId="0" xfId="1" applyNumberFormat="1" applyFont="1" applyFill="1" applyBorder="1"/>
    <xf numFmtId="164" fontId="0" fillId="0" borderId="0" xfId="0" applyNumberFormat="1" applyBorder="1"/>
    <xf numFmtId="165" fontId="0" fillId="0" borderId="0" xfId="2" applyNumberFormat="1" applyFont="1" applyBorder="1"/>
    <xf numFmtId="0" fontId="0" fillId="0" borderId="0" xfId="0" applyBorder="1"/>
    <xf numFmtId="164" fontId="16" fillId="3" borderId="0" xfId="0" applyNumberFormat="1" applyFont="1" applyFill="1" applyBorder="1"/>
    <xf numFmtId="164" fontId="16" fillId="5" borderId="0" xfId="0" applyNumberFormat="1" applyFont="1" applyFill="1" applyBorder="1"/>
    <xf numFmtId="0" fontId="0" fillId="3" borderId="0" xfId="0" applyFill="1" applyAlignment="1">
      <alignment horizontal="right"/>
    </xf>
    <xf numFmtId="1" fontId="15" fillId="4" borderId="0" xfId="0" applyNumberFormat="1" applyFont="1" applyFill="1" applyAlignment="1">
      <alignment horizontal="center" vertical="top" wrapText="1"/>
    </xf>
    <xf numFmtId="1" fontId="15" fillId="8" borderId="0" xfId="0" applyNumberFormat="1" applyFont="1" applyFill="1" applyAlignment="1">
      <alignment horizontal="center" vertical="top" wrapText="1"/>
    </xf>
    <xf numFmtId="1" fontId="15" fillId="7" borderId="0" xfId="1" applyNumberFormat="1" applyFont="1" applyFill="1" applyAlignment="1">
      <alignment horizontal="center" vertical="top" wrapText="1"/>
    </xf>
    <xf numFmtId="1" fontId="15" fillId="7" borderId="0" xfId="0" applyNumberFormat="1" applyFont="1" applyFill="1" applyAlignment="1">
      <alignment horizontal="center" vertical="top" wrapText="1"/>
    </xf>
    <xf numFmtId="1" fontId="18" fillId="7" borderId="9" xfId="0" applyNumberFormat="1" applyFont="1" applyFill="1" applyBorder="1" applyAlignment="1">
      <alignment horizontal="center" vertical="top" wrapText="1"/>
    </xf>
    <xf numFmtId="1" fontId="18" fillId="4" borderId="0" xfId="0" applyNumberFormat="1" applyFont="1" applyFill="1" applyAlignment="1">
      <alignment horizontal="center" vertical="top" wrapText="1"/>
    </xf>
    <xf numFmtId="164" fontId="0" fillId="0" borderId="2" xfId="1" applyNumberFormat="1" applyFont="1" applyFill="1" applyBorder="1"/>
    <xf numFmtId="164" fontId="0" fillId="0" borderId="2" xfId="0" applyNumberFormat="1" applyFill="1" applyBorder="1"/>
    <xf numFmtId="0" fontId="16" fillId="0" borderId="7" xfId="0" applyFont="1" applyBorder="1"/>
    <xf numFmtId="0" fontId="4" fillId="0" borderId="0" xfId="0" applyFont="1" applyAlignment="1">
      <alignment wrapText="1"/>
    </xf>
    <xf numFmtId="164" fontId="16" fillId="0" borderId="14" xfId="1" applyNumberFormat="1" applyFont="1" applyFill="1" applyBorder="1"/>
    <xf numFmtId="164" fontId="16" fillId="7" borderId="0" xfId="1" applyNumberFormat="1" applyFont="1" applyFill="1"/>
    <xf numFmtId="0" fontId="24" fillId="0" borderId="0" xfId="0" applyFont="1"/>
    <xf numFmtId="0" fontId="25" fillId="0" borderId="0" xfId="0" applyFont="1"/>
    <xf numFmtId="0" fontId="0" fillId="0" borderId="0" xfId="0"/>
    <xf numFmtId="0" fontId="0" fillId="0" borderId="0" xfId="0" applyAlignment="1">
      <alignment horizontal="right"/>
    </xf>
    <xf numFmtId="0" fontId="0" fillId="0" borderId="0" xfId="0" quotePrefix="1"/>
    <xf numFmtId="0" fontId="0" fillId="0" borderId="0" xfId="0"/>
    <xf numFmtId="0" fontId="0" fillId="0" borderId="8" xfId="0" applyBorder="1"/>
    <xf numFmtId="0" fontId="26" fillId="0" borderId="0" xfId="0" applyFont="1"/>
    <xf numFmtId="164" fontId="26" fillId="0" borderId="0" xfId="1" applyNumberFormat="1" applyFont="1"/>
    <xf numFmtId="43" fontId="0" fillId="0" borderId="0" xfId="1" applyFont="1" applyBorder="1"/>
    <xf numFmtId="43" fontId="0" fillId="0" borderId="4" xfId="1" applyFont="1" applyBorder="1"/>
    <xf numFmtId="0" fontId="0" fillId="0" borderId="15" xfId="0" applyBorder="1"/>
    <xf numFmtId="0" fontId="0" fillId="0" borderId="16" xfId="0" applyBorder="1"/>
    <xf numFmtId="168" fontId="0" fillId="0" borderId="16" xfId="0" applyNumberFormat="1" applyBorder="1"/>
    <xf numFmtId="0" fontId="0" fillId="0" borderId="17" xfId="0" applyBorder="1"/>
    <xf numFmtId="0" fontId="0" fillId="0" borderId="18" xfId="0" applyBorder="1"/>
    <xf numFmtId="0" fontId="0" fillId="2" borderId="0" xfId="0" applyFill="1" applyBorder="1"/>
    <xf numFmtId="0" fontId="9" fillId="2" borderId="0" xfId="0" applyFont="1" applyFill="1" applyBorder="1" applyAlignment="1">
      <alignment horizontal="center"/>
    </xf>
    <xf numFmtId="0" fontId="0" fillId="0" borderId="19" xfId="0" applyBorder="1"/>
    <xf numFmtId="0" fontId="27" fillId="0" borderId="0" xfId="0" applyFont="1" applyBorder="1" applyAlignment="1">
      <alignment horizontal="center" wrapText="1"/>
    </xf>
    <xf numFmtId="0" fontId="28" fillId="0" borderId="0" xfId="0" applyFont="1" applyBorder="1" applyAlignment="1">
      <alignment horizontal="center" wrapText="1"/>
    </xf>
    <xf numFmtId="43" fontId="0" fillId="11" borderId="0" xfId="1" applyFont="1" applyFill="1" applyBorder="1"/>
    <xf numFmtId="0" fontId="0" fillId="0" borderId="20" xfId="0" applyBorder="1"/>
    <xf numFmtId="0" fontId="0" fillId="0" borderId="21" xfId="0" applyBorder="1"/>
    <xf numFmtId="0" fontId="0" fillId="0" borderId="22" xfId="0" applyBorder="1"/>
    <xf numFmtId="0" fontId="26" fillId="3" borderId="0" xfId="0" applyFont="1" applyFill="1"/>
    <xf numFmtId="0" fontId="26" fillId="3" borderId="0" xfId="0" applyFont="1" applyFill="1" applyAlignment="1">
      <alignment horizontal="right"/>
    </xf>
    <xf numFmtId="164" fontId="26" fillId="11" borderId="2" xfId="1" applyNumberFormat="1" applyFont="1" applyFill="1" applyBorder="1"/>
    <xf numFmtId="164" fontId="0" fillId="0" borderId="0" xfId="1" applyNumberFormat="1" applyFont="1" applyAlignment="1">
      <alignment horizontal="right"/>
    </xf>
    <xf numFmtId="0" fontId="0" fillId="0" borderId="8" xfId="0" applyBorder="1" applyAlignment="1">
      <alignment horizontal="right"/>
    </xf>
    <xf numFmtId="10" fontId="0" fillId="0" borderId="8" xfId="2" applyNumberFormat="1" applyFont="1" applyBorder="1"/>
    <xf numFmtId="0" fontId="19" fillId="0" borderId="0" xfId="0" applyFont="1" applyAlignment="1">
      <alignment horizontal="right" vertical="center" wrapText="1"/>
    </xf>
    <xf numFmtId="0" fontId="0" fillId="0" borderId="0" xfId="0" applyAlignment="1">
      <alignment horizontal="right" vertical="center" wrapText="1"/>
    </xf>
    <xf numFmtId="0" fontId="0" fillId="0" borderId="0" xfId="0" applyAlignment="1">
      <alignment horizontal="right"/>
    </xf>
    <xf numFmtId="0" fontId="0" fillId="0" borderId="0" xfId="0"/>
    <xf numFmtId="0" fontId="23" fillId="0" borderId="0" xfId="0" applyFont="1" applyAlignment="1">
      <alignment horizontal="left" wrapText="1"/>
    </xf>
    <xf numFmtId="164" fontId="0" fillId="11" borderId="2" xfId="1" applyNumberFormat="1" applyFont="1" applyFill="1" applyBorder="1"/>
    <xf numFmtId="0" fontId="26" fillId="0" borderId="8" xfId="0" applyFont="1" applyBorder="1"/>
    <xf numFmtId="164" fontId="26" fillId="0" borderId="8" xfId="1" applyNumberFormat="1" applyFont="1" applyBorder="1"/>
    <xf numFmtId="164" fontId="0" fillId="0" borderId="8" xfId="0" applyNumberFormat="1" applyBorder="1"/>
    <xf numFmtId="0" fontId="26" fillId="0" borderId="2" xfId="0" applyFont="1" applyBorder="1"/>
    <xf numFmtId="164" fontId="26" fillId="0" borderId="2" xfId="1" applyNumberFormat="1" applyFont="1" applyBorder="1"/>
    <xf numFmtId="0" fontId="26" fillId="0" borderId="4" xfId="0" applyFont="1" applyBorder="1"/>
    <xf numFmtId="164" fontId="26" fillId="0" borderId="4" xfId="1" applyNumberFormat="1" applyFont="1" applyBorder="1"/>
    <xf numFmtId="164" fontId="0" fillId="0" borderId="4" xfId="0" applyNumberFormat="1" applyBorder="1"/>
    <xf numFmtId="164" fontId="0" fillId="0" borderId="23" xfId="1" applyNumberFormat="1" applyFont="1" applyBorder="1"/>
    <xf numFmtId="0" fontId="0" fillId="0" borderId="24" xfId="0" applyBorder="1"/>
    <xf numFmtId="164" fontId="0" fillId="0" borderId="25" xfId="0" applyNumberFormat="1" applyFill="1" applyBorder="1"/>
    <xf numFmtId="164" fontId="0" fillId="3" borderId="26" xfId="1" applyNumberFormat="1" applyFont="1" applyFill="1" applyBorder="1"/>
    <xf numFmtId="164" fontId="29" fillId="0" borderId="0" xfId="0" applyNumberFormat="1" applyFont="1"/>
    <xf numFmtId="164" fontId="0" fillId="0" borderId="23" xfId="0" applyNumberFormat="1" applyBorder="1"/>
    <xf numFmtId="164" fontId="0" fillId="0" borderId="27" xfId="0" applyNumberFormat="1" applyBorder="1"/>
    <xf numFmtId="164" fontId="0" fillId="5" borderId="26" xfId="0" applyNumberFormat="1" applyFill="1" applyBorder="1"/>
    <xf numFmtId="0" fontId="17" fillId="0" borderId="0" xfId="0" applyFont="1" applyAlignment="1">
      <alignment horizontal="right" wrapText="1"/>
    </xf>
    <xf numFmtId="43" fontId="17" fillId="0" borderId="6" xfId="1" applyFont="1" applyBorder="1"/>
    <xf numFmtId="43" fontId="18" fillId="0" borderId="9" xfId="1" applyFont="1" applyBorder="1"/>
    <xf numFmtId="43" fontId="17" fillId="0" borderId="0" xfId="1" applyFont="1"/>
    <xf numFmtId="0" fontId="3" fillId="0" borderId="0" xfId="0" applyFont="1" applyFill="1" applyAlignment="1">
      <alignment wrapText="1"/>
    </xf>
    <xf numFmtId="0" fontId="3" fillId="0" borderId="0" xfId="0" applyFont="1" applyAlignment="1">
      <alignment wrapText="1"/>
    </xf>
    <xf numFmtId="164" fontId="17" fillId="0" borderId="28" xfId="1" applyNumberFormat="1" applyFont="1" applyBorder="1"/>
    <xf numFmtId="0" fontId="0" fillId="0" borderId="0" xfId="0" applyFill="1"/>
    <xf numFmtId="1" fontId="15" fillId="12" borderId="6" xfId="1" applyNumberFormat="1" applyFont="1" applyFill="1" applyBorder="1" applyAlignment="1">
      <alignment horizontal="center" vertical="top" wrapText="1"/>
    </xf>
    <xf numFmtId="1" fontId="18" fillId="12" borderId="9" xfId="1" applyNumberFormat="1" applyFont="1" applyFill="1" applyBorder="1" applyAlignment="1">
      <alignment horizontal="center" vertical="top" wrapText="1"/>
    </xf>
    <xf numFmtId="0" fontId="30" fillId="0" borderId="0" xfId="0" applyFont="1" applyAlignment="1">
      <alignment horizontal="right"/>
    </xf>
    <xf numFmtId="0" fontId="0" fillId="0" borderId="0" xfId="0" applyFill="1"/>
    <xf numFmtId="0" fontId="0" fillId="0" borderId="0" xfId="0"/>
    <xf numFmtId="164" fontId="0" fillId="0" borderId="4" xfId="1" applyNumberFormat="1" applyFont="1" applyFill="1" applyBorder="1"/>
    <xf numFmtId="164" fontId="26" fillId="0" borderId="4" xfId="1" applyNumberFormat="1" applyFont="1" applyFill="1" applyBorder="1"/>
    <xf numFmtId="164" fontId="26" fillId="0" borderId="8" xfId="1" applyNumberFormat="1" applyFont="1" applyFill="1" applyBorder="1"/>
    <xf numFmtId="43" fontId="0" fillId="0" borderId="0" xfId="0" applyNumberFormat="1" applyBorder="1"/>
    <xf numFmtId="164" fontId="18" fillId="0" borderId="0" xfId="1" applyNumberFormat="1" applyFont="1" applyFill="1" applyBorder="1"/>
    <xf numFmtId="0" fontId="2" fillId="0" borderId="0" xfId="0" applyFont="1"/>
    <xf numFmtId="0" fontId="2" fillId="0" borderId="0" xfId="0" applyFont="1" applyFill="1"/>
    <xf numFmtId="0" fontId="0" fillId="0" borderId="0" xfId="0" applyNumberFormat="1"/>
    <xf numFmtId="164" fontId="18" fillId="0" borderId="9" xfId="1" applyNumberFormat="1" applyFont="1" applyFill="1" applyBorder="1" applyAlignment="1">
      <alignment horizontal="left"/>
    </xf>
    <xf numFmtId="164" fontId="18" fillId="0" borderId="9" xfId="1" applyNumberFormat="1" applyFont="1" applyFill="1" applyBorder="1" applyAlignment="1">
      <alignment horizontal="left" vertical="top"/>
    </xf>
    <xf numFmtId="164" fontId="18" fillId="0" borderId="9" xfId="1" applyNumberFormat="1" applyFont="1" applyBorder="1" applyAlignment="1">
      <alignment horizontal="left"/>
    </xf>
    <xf numFmtId="164" fontId="16" fillId="13" borderId="0" xfId="0" applyNumberFormat="1" applyFont="1" applyFill="1" applyBorder="1"/>
    <xf numFmtId="164" fontId="16" fillId="13" borderId="0" xfId="1" applyNumberFormat="1" applyFont="1" applyFill="1" applyBorder="1"/>
    <xf numFmtId="0" fontId="1" fillId="0" borderId="0" xfId="0" applyFont="1" applyFill="1"/>
    <xf numFmtId="0" fontId="1" fillId="0" borderId="0" xfId="0" applyFont="1"/>
    <xf numFmtId="164" fontId="1" fillId="0" borderId="6" xfId="0" applyNumberFormat="1" applyFont="1" applyBorder="1"/>
    <xf numFmtId="43" fontId="17" fillId="0" borderId="0" xfId="1" applyFont="1" applyFill="1"/>
    <xf numFmtId="0" fontId="32" fillId="0" borderId="0" xfId="6" applyFont="1" applyFill="1"/>
    <xf numFmtId="0" fontId="0" fillId="0" borderId="0" xfId="0"/>
    <xf numFmtId="0" fontId="0" fillId="0" borderId="0" xfId="0" applyAlignment="1">
      <alignment horizontal="right"/>
    </xf>
    <xf numFmtId="0" fontId="0" fillId="0" borderId="0" xfId="0" applyFill="1" applyAlignment="1">
      <alignment horizontal="right"/>
    </xf>
    <xf numFmtId="164" fontId="17" fillId="5" borderId="0" xfId="0" applyNumberFormat="1" applyFont="1" applyFill="1"/>
    <xf numFmtId="0" fontId="31" fillId="0" borderId="0" xfId="0" applyFont="1" applyAlignment="1"/>
    <xf numFmtId="164" fontId="36" fillId="0" borderId="0" xfId="1" applyNumberFormat="1" applyFont="1" applyFill="1" applyBorder="1" applyAlignment="1"/>
    <xf numFmtId="164" fontId="18" fillId="0" borderId="0" xfId="0" applyNumberFormat="1" applyFont="1" applyBorder="1"/>
    <xf numFmtId="0" fontId="0" fillId="0" borderId="0" xfId="0" applyFill="1" applyAlignment="1">
      <alignment horizontal="left"/>
    </xf>
    <xf numFmtId="164" fontId="0" fillId="10" borderId="0" xfId="1" applyNumberFormat="1" applyFont="1" applyFill="1"/>
    <xf numFmtId="0" fontId="0" fillId="0" borderId="0" xfId="0" applyFill="1"/>
    <xf numFmtId="0" fontId="0" fillId="0" borderId="0" xfId="0"/>
    <xf numFmtId="0" fontId="0" fillId="0" borderId="0" xfId="0" applyAlignment="1"/>
    <xf numFmtId="0" fontId="0" fillId="0" borderId="0" xfId="0" applyAlignment="1">
      <alignment horizontal="right"/>
    </xf>
    <xf numFmtId="0" fontId="0" fillId="6" borderId="0" xfId="0" applyFill="1" applyAlignment="1">
      <alignment horizontal="left"/>
    </xf>
    <xf numFmtId="0" fontId="23" fillId="0" borderId="0" xfId="0" applyFont="1" applyAlignment="1">
      <alignment horizontal="left" wrapText="1"/>
    </xf>
    <xf numFmtId="0" fontId="23" fillId="0" borderId="0" xfId="0" applyFont="1" applyAlignment="1">
      <alignment horizontal="left"/>
    </xf>
    <xf numFmtId="0" fontId="23" fillId="0" borderId="0" xfId="0" applyFont="1" applyFill="1" applyAlignment="1">
      <alignment horizontal="left"/>
    </xf>
    <xf numFmtId="0" fontId="0" fillId="0" borderId="0" xfId="0" applyFill="1" applyAlignment="1">
      <alignment horizontal="right"/>
    </xf>
    <xf numFmtId="0" fontId="23" fillId="0" borderId="0" xfId="0" applyFont="1" applyFill="1" applyAlignment="1">
      <alignment horizontal="left" wrapText="1"/>
    </xf>
    <xf numFmtId="0" fontId="23" fillId="0" borderId="0" xfId="0" applyFont="1"/>
    <xf numFmtId="0" fontId="19" fillId="4" borderId="0" xfId="0" quotePrefix="1" applyFont="1" applyFill="1" applyAlignment="1">
      <alignment horizontal="left"/>
    </xf>
    <xf numFmtId="0" fontId="19" fillId="5" borderId="0" xfId="0" quotePrefix="1" applyFont="1" applyFill="1" applyAlignment="1">
      <alignment horizontal="left"/>
    </xf>
    <xf numFmtId="0" fontId="37" fillId="0" borderId="0" xfId="0" applyFont="1" applyAlignment="1">
      <alignment horizontal="center"/>
    </xf>
    <xf numFmtId="0" fontId="37" fillId="0" borderId="9" xfId="0" applyFont="1" applyBorder="1" applyAlignment="1">
      <alignment horizontal="center"/>
    </xf>
    <xf numFmtId="0" fontId="35" fillId="0" borderId="0" xfId="0" applyFont="1" applyAlignment="1">
      <alignment horizontal="center" vertical="center"/>
    </xf>
    <xf numFmtId="0" fontId="0" fillId="0" borderId="0" xfId="0" applyBorder="1" applyAlignment="1">
      <alignment horizontal="right"/>
    </xf>
    <xf numFmtId="0" fontId="0" fillId="0" borderId="0" xfId="0" applyAlignment="1">
      <alignment horizontal="left" vertical="top" wrapText="1"/>
    </xf>
    <xf numFmtId="0" fontId="0" fillId="0" borderId="0" xfId="0" applyAlignment="1">
      <alignment horizontal="right" vertical="center"/>
    </xf>
    <xf numFmtId="0" fontId="0" fillId="3" borderId="0" xfId="0" applyFill="1" applyAlignment="1">
      <alignment horizontal="left" vertical="top" wrapText="1"/>
    </xf>
    <xf numFmtId="0" fontId="19" fillId="3" borderId="0" xfId="0" applyFont="1" applyFill="1" applyAlignment="1">
      <alignment horizontal="left" vertical="top" wrapText="1"/>
    </xf>
    <xf numFmtId="164" fontId="0" fillId="9" borderId="0" xfId="0" applyNumberFormat="1" applyFill="1"/>
    <xf numFmtId="164" fontId="35" fillId="0" borderId="0" xfId="1" applyNumberFormat="1" applyFont="1" applyAlignment="1">
      <alignment horizontal="center" vertical="center"/>
    </xf>
    <xf numFmtId="0" fontId="19" fillId="5" borderId="0" xfId="0" applyFont="1" applyFill="1" applyAlignment="1">
      <alignment horizontal="left" vertical="top" wrapText="1"/>
    </xf>
    <xf numFmtId="0" fontId="34" fillId="0" borderId="0" xfId="6" applyFont="1" applyFill="1" applyAlignment="1">
      <alignment horizontal="center" vertical="center"/>
    </xf>
    <xf numFmtId="0" fontId="33" fillId="0" borderId="0" xfId="0" applyFont="1" applyAlignment="1">
      <alignment vertical="center"/>
    </xf>
  </cellXfs>
  <cellStyles count="10">
    <cellStyle name="Comma" xfId="1" builtinId="3"/>
    <cellStyle name="Comma 2" xfId="5"/>
    <cellStyle name="Comma 3" xfId="7"/>
    <cellStyle name="Comma 4" xfId="9"/>
    <cellStyle name="Normal" xfId="0" builtinId="0"/>
    <cellStyle name="Normal 2" xfId="6"/>
    <cellStyle name="Normal 2 2" xfId="3"/>
    <cellStyle name="Percent" xfId="2" builtinId="5"/>
    <cellStyle name="Percent 2" xfId="4"/>
    <cellStyle name="Percent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67</xdr:col>
      <xdr:colOff>180975</xdr:colOff>
      <xdr:row>48</xdr:row>
      <xdr:rowOff>66675</xdr:rowOff>
    </xdr:from>
    <xdr:to>
      <xdr:col>67</xdr:col>
      <xdr:colOff>180975</xdr:colOff>
      <xdr:row>51</xdr:row>
      <xdr:rowOff>114300</xdr:rowOff>
    </xdr:to>
    <xdr:cxnSp macro="">
      <xdr:nvCxnSpPr>
        <xdr:cNvPr id="3" name="Straight Arrow Connector 2"/>
        <xdr:cNvCxnSpPr/>
      </xdr:nvCxnSpPr>
      <xdr:spPr>
        <a:xfrm>
          <a:off x="15325725" y="6543675"/>
          <a:ext cx="0" cy="8572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112059</xdr:colOff>
      <xdr:row>20</xdr:row>
      <xdr:rowOff>56030</xdr:rowOff>
    </xdr:from>
    <xdr:to>
      <xdr:col>26</xdr:col>
      <xdr:colOff>112059</xdr:colOff>
      <xdr:row>24</xdr:row>
      <xdr:rowOff>168088</xdr:rowOff>
    </xdr:to>
    <xdr:sp macro="" textlink="">
      <xdr:nvSpPr>
        <xdr:cNvPr id="2" name="TextBox 1"/>
        <xdr:cNvSpPr txBox="1"/>
      </xdr:nvSpPr>
      <xdr:spPr>
        <a:xfrm>
          <a:off x="9827559" y="4381501"/>
          <a:ext cx="8695765" cy="10645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r>
            <a:rPr lang="en-US" sz="1100" baseline="0"/>
            <a:t> The impact to the income statement should be the same under all scenarios. </a:t>
          </a:r>
        </a:p>
        <a:p>
          <a:r>
            <a:rPr lang="en-US" sz="1100" baseline="0"/>
            <a:t>- ASC 980-740-25-1(a) does not allow for net of tax reporting for regulatory asset and liabilities (hence the gross up on the balance sheet. Changes in the tax rate should be recognized as a component not DFIT and essentially effect the effective tax rate for the year.</a:t>
          </a:r>
        </a:p>
        <a:p>
          <a:r>
            <a:rPr lang="en-US" sz="1100"/>
            <a:t>- We should</a:t>
          </a:r>
          <a:r>
            <a:rPr lang="en-US" sz="1100" baseline="0"/>
            <a:t> return the same cash flows to the customer as that generated from the gross-up.</a:t>
          </a:r>
        </a:p>
        <a:p>
          <a:r>
            <a:rPr lang="en-US" sz="1100" baseline="0"/>
            <a:t>- Only deferred taxes should be impacted from this entry. See following example:</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581025</xdr:colOff>
      <xdr:row>27</xdr:row>
      <xdr:rowOff>152400</xdr:rowOff>
    </xdr:from>
    <xdr:to>
      <xdr:col>11</xdr:col>
      <xdr:colOff>0</xdr:colOff>
      <xdr:row>41</xdr:row>
      <xdr:rowOff>180975</xdr:rowOff>
    </xdr:to>
    <xdr:cxnSp macro="">
      <xdr:nvCxnSpPr>
        <xdr:cNvPr id="5" name="Straight Arrow Connector 4"/>
        <xdr:cNvCxnSpPr/>
      </xdr:nvCxnSpPr>
      <xdr:spPr>
        <a:xfrm flipV="1">
          <a:off x="4905375" y="6000750"/>
          <a:ext cx="4524375" cy="3200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828675</xdr:colOff>
      <xdr:row>29</xdr:row>
      <xdr:rowOff>28575</xdr:rowOff>
    </xdr:from>
    <xdr:to>
      <xdr:col>13</xdr:col>
      <xdr:colOff>9525</xdr:colOff>
      <xdr:row>29</xdr:row>
      <xdr:rowOff>180975</xdr:rowOff>
    </xdr:to>
    <xdr:cxnSp macro="">
      <xdr:nvCxnSpPr>
        <xdr:cNvPr id="3" name="Straight Arrow Connector 2"/>
        <xdr:cNvCxnSpPr/>
      </xdr:nvCxnSpPr>
      <xdr:spPr>
        <a:xfrm>
          <a:off x="10258425" y="6267450"/>
          <a:ext cx="790575" cy="152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714375</xdr:colOff>
      <xdr:row>58</xdr:row>
      <xdr:rowOff>104775</xdr:rowOff>
    </xdr:from>
    <xdr:to>
      <xdr:col>12</xdr:col>
      <xdr:colOff>676275</xdr:colOff>
      <xdr:row>60</xdr:row>
      <xdr:rowOff>133350</xdr:rowOff>
    </xdr:to>
    <xdr:cxnSp macro="">
      <xdr:nvCxnSpPr>
        <xdr:cNvPr id="3" name="Straight Arrow Connector 2"/>
        <xdr:cNvCxnSpPr/>
      </xdr:nvCxnSpPr>
      <xdr:spPr>
        <a:xfrm>
          <a:off x="9515475" y="11477625"/>
          <a:ext cx="790575" cy="7905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866775</xdr:colOff>
      <xdr:row>56</xdr:row>
      <xdr:rowOff>123825</xdr:rowOff>
    </xdr:from>
    <xdr:to>
      <xdr:col>10</xdr:col>
      <xdr:colOff>104775</xdr:colOff>
      <xdr:row>66</xdr:row>
      <xdr:rowOff>66675</xdr:rowOff>
    </xdr:to>
    <xdr:cxnSp macro="">
      <xdr:nvCxnSpPr>
        <xdr:cNvPr id="4" name="Straight Arrow Connector 3"/>
        <xdr:cNvCxnSpPr/>
      </xdr:nvCxnSpPr>
      <xdr:spPr>
        <a:xfrm flipV="1">
          <a:off x="4505325" y="11115675"/>
          <a:ext cx="4229100" cy="22288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5"/>
  <sheetViews>
    <sheetView tabSelected="1" zoomScale="85" zoomScaleNormal="85" workbookViewId="0">
      <selection activeCell="Q12" sqref="Q12"/>
    </sheetView>
  </sheetViews>
  <sheetFormatPr defaultRowHeight="15" x14ac:dyDescent="0.25"/>
  <cols>
    <col min="3" max="3" width="3.85546875" customWidth="1"/>
    <col min="4" max="4" width="15.42578125" customWidth="1"/>
    <col min="5" max="5" width="41.85546875" customWidth="1"/>
    <col min="6" max="6" width="15.42578125" style="3" customWidth="1"/>
    <col min="7" max="7" width="5.85546875" style="63" customWidth="1"/>
    <col min="8" max="8" width="15.42578125" style="3" customWidth="1"/>
    <col min="9" max="9" width="4.28515625" bestFit="1" customWidth="1"/>
    <col min="13" max="13" width="14" bestFit="1" customWidth="1"/>
    <col min="18" max="18" width="11.5703125" bestFit="1" customWidth="1"/>
  </cols>
  <sheetData>
    <row r="1" spans="1:14" s="303" customFormat="1" x14ac:dyDescent="0.25">
      <c r="F1" s="3"/>
      <c r="G1" s="63"/>
      <c r="H1" s="3"/>
    </row>
    <row r="2" spans="1:14" s="303" customFormat="1" ht="15" customHeight="1" x14ac:dyDescent="0.25">
      <c r="D2" s="337"/>
      <c r="E2" s="337"/>
      <c r="F2" s="337"/>
      <c r="G2" s="337"/>
      <c r="H2" s="337"/>
      <c r="I2" s="337"/>
      <c r="J2" s="337"/>
      <c r="K2" s="337"/>
      <c r="L2" s="337"/>
    </row>
    <row r="3" spans="1:14" s="303" customFormat="1" ht="15" customHeight="1" x14ac:dyDescent="0.25">
      <c r="D3" s="337"/>
      <c r="E3" s="337"/>
      <c r="F3" s="337"/>
      <c r="G3" s="337"/>
      <c r="H3" s="337"/>
      <c r="I3" s="337"/>
      <c r="J3" s="337"/>
      <c r="K3" s="337"/>
      <c r="L3" s="337"/>
    </row>
    <row r="4" spans="1:14" s="303" customFormat="1" ht="15" customHeight="1" x14ac:dyDescent="0.25">
      <c r="D4" s="337"/>
      <c r="E4" s="337"/>
      <c r="F4" s="337"/>
      <c r="G4" s="337"/>
      <c r="H4" s="337"/>
      <c r="I4" s="337"/>
      <c r="J4" s="337"/>
      <c r="K4" s="337"/>
      <c r="L4" s="337"/>
    </row>
    <row r="5" spans="1:14" s="303" customFormat="1" ht="15" customHeight="1" x14ac:dyDescent="0.25">
      <c r="D5" s="337"/>
      <c r="E5" s="337"/>
      <c r="F5" s="337"/>
      <c r="G5" s="337"/>
      <c r="H5" s="337"/>
      <c r="I5" s="337"/>
      <c r="J5" s="337"/>
      <c r="K5" s="337"/>
      <c r="L5" s="337"/>
    </row>
    <row r="6" spans="1:14" ht="15" customHeight="1" x14ac:dyDescent="0.45">
      <c r="A6" s="20" t="s">
        <v>258</v>
      </c>
      <c r="E6" s="307"/>
      <c r="F6" s="307"/>
      <c r="G6" s="307"/>
      <c r="H6" s="307"/>
      <c r="I6" s="307"/>
      <c r="J6" s="307"/>
      <c r="K6" s="307"/>
      <c r="L6" s="3"/>
      <c r="M6" s="3"/>
      <c r="N6" s="3"/>
    </row>
    <row r="7" spans="1:14" ht="15" customHeight="1" x14ac:dyDescent="0.45">
      <c r="E7" s="307"/>
      <c r="F7" s="307"/>
      <c r="G7" s="307"/>
      <c r="H7" s="307"/>
      <c r="I7" s="307"/>
      <c r="J7" s="307"/>
      <c r="K7" s="307"/>
      <c r="L7" s="3"/>
      <c r="M7" s="3"/>
      <c r="N7" s="3"/>
    </row>
    <row r="8" spans="1:14" ht="15" customHeight="1" x14ac:dyDescent="0.25">
      <c r="B8" t="s">
        <v>62</v>
      </c>
      <c r="E8" s="252" t="s">
        <v>63</v>
      </c>
      <c r="F8" s="3" t="s">
        <v>64</v>
      </c>
      <c r="I8" s="3"/>
      <c r="J8" s="3"/>
      <c r="K8" s="3"/>
      <c r="L8" s="3"/>
      <c r="M8" s="3"/>
      <c r="N8" s="3"/>
    </row>
    <row r="9" spans="1:14" x14ac:dyDescent="0.25">
      <c r="B9">
        <v>1</v>
      </c>
      <c r="C9" t="s">
        <v>65</v>
      </c>
      <c r="E9">
        <v>2027</v>
      </c>
      <c r="I9" s="3"/>
      <c r="J9" s="3"/>
      <c r="K9" s="3"/>
      <c r="L9" s="3"/>
      <c r="M9" s="3"/>
      <c r="N9" s="3"/>
    </row>
    <row r="10" spans="1:14" x14ac:dyDescent="0.25">
      <c r="B10">
        <v>2</v>
      </c>
      <c r="C10" t="s">
        <v>66</v>
      </c>
      <c r="E10">
        <v>2069</v>
      </c>
      <c r="I10" s="3"/>
      <c r="J10" s="3"/>
      <c r="K10" s="3"/>
      <c r="L10" s="3"/>
      <c r="M10" s="3"/>
      <c r="N10" s="3"/>
    </row>
    <row r="11" spans="1:14" x14ac:dyDescent="0.25">
      <c r="I11" s="3"/>
      <c r="J11" s="3"/>
      <c r="K11" s="3"/>
      <c r="L11" s="3"/>
      <c r="M11" s="3"/>
      <c r="N11" s="3"/>
    </row>
    <row r="12" spans="1:14" x14ac:dyDescent="0.25">
      <c r="B12" t="s">
        <v>67</v>
      </c>
      <c r="I12" s="3"/>
      <c r="J12" s="3"/>
      <c r="K12" s="3"/>
      <c r="L12" s="3"/>
      <c r="M12" s="3"/>
      <c r="N12" s="3"/>
    </row>
    <row r="13" spans="1:14" x14ac:dyDescent="0.25">
      <c r="B13">
        <v>1</v>
      </c>
      <c r="C13" t="s">
        <v>68</v>
      </c>
      <c r="E13" s="61" t="s">
        <v>69</v>
      </c>
    </row>
    <row r="14" spans="1:14" x14ac:dyDescent="0.25">
      <c r="B14">
        <v>2</v>
      </c>
      <c r="C14" t="s">
        <v>65</v>
      </c>
      <c r="E14">
        <v>2027</v>
      </c>
    </row>
    <row r="15" spans="1:14" x14ac:dyDescent="0.25">
      <c r="B15">
        <v>3</v>
      </c>
      <c r="C15" t="s">
        <v>273</v>
      </c>
      <c r="E15">
        <v>2053</v>
      </c>
    </row>
    <row r="17" spans="1:11" x14ac:dyDescent="0.25">
      <c r="A17" s="53" t="s">
        <v>70</v>
      </c>
      <c r="B17" s="312" t="s">
        <v>150</v>
      </c>
      <c r="C17" s="312"/>
      <c r="D17" s="312"/>
      <c r="E17" s="56" t="s">
        <v>69</v>
      </c>
    </row>
    <row r="18" spans="1:11" x14ac:dyDescent="0.25">
      <c r="A18" s="53" t="s">
        <v>88</v>
      </c>
      <c r="B18" s="313" t="s">
        <v>71</v>
      </c>
      <c r="C18" s="313"/>
      <c r="D18" s="313"/>
      <c r="E18" s="54" t="s">
        <v>248</v>
      </c>
      <c r="F18" s="181"/>
      <c r="G18" s="64"/>
    </row>
    <row r="19" spans="1:11" x14ac:dyDescent="0.25">
      <c r="A19" s="53" t="s">
        <v>72</v>
      </c>
      <c r="B19" s="313" t="s">
        <v>249</v>
      </c>
      <c r="C19" s="313"/>
      <c r="D19" s="313"/>
      <c r="E19" s="55" t="s">
        <v>250</v>
      </c>
      <c r="F19" s="182"/>
      <c r="G19" s="65"/>
      <c r="H19" s="182"/>
    </row>
    <row r="20" spans="1:11" x14ac:dyDescent="0.25">
      <c r="A20" s="53" t="s">
        <v>89</v>
      </c>
      <c r="B20" s="313" t="s">
        <v>151</v>
      </c>
      <c r="C20" s="313"/>
      <c r="D20" s="313"/>
      <c r="E20" s="316" t="s">
        <v>251</v>
      </c>
      <c r="F20" s="316"/>
      <c r="G20" s="316"/>
    </row>
    <row r="21" spans="1:11" s="224" customFormat="1" x14ac:dyDescent="0.25">
      <c r="A21" s="53"/>
      <c r="E21" s="310"/>
      <c r="F21" s="310"/>
      <c r="G21" s="310"/>
      <c r="H21" s="3"/>
    </row>
    <row r="22" spans="1:11" x14ac:dyDescent="0.25">
      <c r="A22" s="282" t="s">
        <v>246</v>
      </c>
    </row>
    <row r="23" spans="1:11" x14ac:dyDescent="0.25">
      <c r="A23" s="70" t="s">
        <v>69</v>
      </c>
      <c r="B23" s="56"/>
      <c r="C23" s="56"/>
      <c r="D23" s="56"/>
      <c r="E23" s="56"/>
      <c r="F23" s="183"/>
      <c r="G23" s="66"/>
      <c r="H23" s="183"/>
      <c r="I23" s="56"/>
    </row>
    <row r="25" spans="1:11" x14ac:dyDescent="0.25">
      <c r="A25" s="57" t="s">
        <v>77</v>
      </c>
      <c r="B25">
        <v>254910</v>
      </c>
      <c r="D25" t="s">
        <v>51</v>
      </c>
      <c r="E25" t="s">
        <v>33</v>
      </c>
      <c r="F25" s="3">
        <f>'Tax Entry'!E25</f>
        <v>10903002.199999999</v>
      </c>
      <c r="G25" s="67"/>
      <c r="H25" s="163"/>
      <c r="I25" s="59"/>
      <c r="J25" s="220"/>
    </row>
    <row r="26" spans="1:11" x14ac:dyDescent="0.25">
      <c r="A26" s="57"/>
      <c r="B26" s="313">
        <v>190930</v>
      </c>
      <c r="C26" s="313"/>
      <c r="D26" t="s">
        <v>51</v>
      </c>
      <c r="E26" t="s">
        <v>73</v>
      </c>
      <c r="F26" s="163"/>
      <c r="G26" s="67"/>
      <c r="H26" s="3">
        <f>-'Tax Entry'!G25</f>
        <v>2513142.08</v>
      </c>
      <c r="I26" s="59"/>
      <c r="J26" s="51"/>
    </row>
    <row r="27" spans="1:11" x14ac:dyDescent="0.25">
      <c r="A27" s="57"/>
      <c r="B27" s="313">
        <v>410100</v>
      </c>
      <c r="C27" s="313"/>
      <c r="D27" t="s">
        <v>51</v>
      </c>
      <c r="E27" t="s">
        <v>74</v>
      </c>
      <c r="G27" s="67">
        <f>SUM(F25:F27)-SUM(H25:H27)</f>
        <v>0</v>
      </c>
      <c r="H27" s="3">
        <f>-'Tax Entry'!J25</f>
        <v>8389860.1199999992</v>
      </c>
    </row>
    <row r="28" spans="1:11" s="186" customFormat="1" x14ac:dyDescent="0.25">
      <c r="A28" s="57"/>
      <c r="B28" s="317" t="s">
        <v>274</v>
      </c>
      <c r="C28" s="317"/>
      <c r="D28" s="317"/>
      <c r="E28" s="317"/>
      <c r="F28" s="317"/>
      <c r="G28" s="317"/>
      <c r="H28" s="317"/>
      <c r="I28" s="59"/>
      <c r="K28" s="220"/>
    </row>
    <row r="29" spans="1:11" s="186" customFormat="1" x14ac:dyDescent="0.25">
      <c r="A29" s="57"/>
      <c r="B29" s="317"/>
      <c r="C29" s="317"/>
      <c r="D29" s="317"/>
      <c r="E29" s="317"/>
      <c r="F29" s="317"/>
      <c r="G29" s="317"/>
      <c r="H29" s="317"/>
      <c r="I29" s="59"/>
    </row>
    <row r="30" spans="1:11" s="51" customFormat="1" x14ac:dyDescent="0.25">
      <c r="A30" s="171"/>
      <c r="F30" s="163"/>
      <c r="G30" s="172"/>
      <c r="H30" s="163"/>
      <c r="I30" s="187"/>
    </row>
    <row r="31" spans="1:11" x14ac:dyDescent="0.25">
      <c r="A31" s="57" t="s">
        <v>78</v>
      </c>
      <c r="B31">
        <v>254910</v>
      </c>
      <c r="D31" t="s">
        <v>50</v>
      </c>
      <c r="E31" t="s">
        <v>33</v>
      </c>
      <c r="F31" s="3">
        <f>'Tax Entry'!E26</f>
        <v>6408654.2800000003</v>
      </c>
      <c r="G31" s="67"/>
      <c r="I31" s="59"/>
      <c r="J31" s="219"/>
    </row>
    <row r="32" spans="1:11" x14ac:dyDescent="0.25">
      <c r="A32" s="57"/>
      <c r="B32" s="315">
        <v>190930</v>
      </c>
      <c r="C32" s="315"/>
      <c r="D32" t="s">
        <v>50</v>
      </c>
      <c r="E32" t="s">
        <v>75</v>
      </c>
      <c r="G32" s="67"/>
      <c r="H32" s="3">
        <f>-'Tax Entry'!G26</f>
        <v>1477192.94</v>
      </c>
      <c r="I32" s="59"/>
      <c r="J32" s="51"/>
      <c r="K32" s="188"/>
    </row>
    <row r="33" spans="1:18" x14ac:dyDescent="0.25">
      <c r="A33" s="57"/>
      <c r="B33" s="313">
        <v>410100</v>
      </c>
      <c r="C33" s="313"/>
      <c r="D33" t="s">
        <v>50</v>
      </c>
      <c r="E33" t="s">
        <v>74</v>
      </c>
      <c r="G33" s="67">
        <f>SUM(F31:F33)-SUM(H31:H33)</f>
        <v>0</v>
      </c>
      <c r="H33" s="3">
        <f>-'Tax Entry'!J26</f>
        <v>4931461.34</v>
      </c>
      <c r="J33" s="188"/>
      <c r="K33" s="188"/>
    </row>
    <row r="34" spans="1:18" s="186" customFormat="1" ht="15" customHeight="1" x14ac:dyDescent="0.25">
      <c r="A34" s="57"/>
      <c r="B34" s="317" t="s">
        <v>274</v>
      </c>
      <c r="C34" s="317"/>
      <c r="D34" s="317"/>
      <c r="E34" s="317"/>
      <c r="F34" s="317"/>
      <c r="G34" s="317"/>
      <c r="H34" s="317"/>
      <c r="I34" s="59"/>
    </row>
    <row r="35" spans="1:18" s="186" customFormat="1" x14ac:dyDescent="0.25">
      <c r="A35" s="57"/>
      <c r="B35" s="317"/>
      <c r="C35" s="317"/>
      <c r="D35" s="317"/>
      <c r="E35" s="317"/>
      <c r="F35" s="317"/>
      <c r="G35" s="317"/>
      <c r="H35" s="317"/>
      <c r="I35" s="59"/>
    </row>
    <row r="36" spans="1:18" x14ac:dyDescent="0.25">
      <c r="A36" s="57"/>
      <c r="G36" s="67"/>
      <c r="I36" s="59"/>
      <c r="J36" s="219"/>
    </row>
    <row r="37" spans="1:18" x14ac:dyDescent="0.25">
      <c r="A37" s="171" t="s">
        <v>79</v>
      </c>
      <c r="B37" s="252" t="s">
        <v>100</v>
      </c>
      <c r="D37" t="s">
        <v>51</v>
      </c>
      <c r="E37" t="s">
        <v>101</v>
      </c>
      <c r="F37" s="163">
        <f>'Tax Entry'!I29</f>
        <v>10903002.105263157</v>
      </c>
      <c r="I37" s="59"/>
      <c r="J37" s="51"/>
      <c r="M37" s="23"/>
      <c r="N37" s="223"/>
      <c r="Q37" s="222"/>
      <c r="R37" s="16"/>
    </row>
    <row r="38" spans="1:18" s="221" customFormat="1" x14ac:dyDescent="0.25">
      <c r="A38" s="57"/>
      <c r="B38" s="252" t="s">
        <v>100</v>
      </c>
      <c r="C38" s="253"/>
      <c r="D38" s="253" t="s">
        <v>50</v>
      </c>
      <c r="E38" s="253" t="s">
        <v>101</v>
      </c>
      <c r="F38" s="3">
        <f>'Tax Entry'!I30</f>
        <v>6408656.712150747</v>
      </c>
      <c r="G38" s="63"/>
      <c r="H38" s="3"/>
      <c r="I38" s="59"/>
      <c r="J38" s="51"/>
      <c r="M38" s="23"/>
      <c r="N38" s="223"/>
    </row>
    <row r="39" spans="1:18" s="253" customFormat="1" x14ac:dyDescent="0.25">
      <c r="A39" s="57"/>
      <c r="B39" s="253">
        <v>282400</v>
      </c>
      <c r="D39" s="253" t="s">
        <v>51</v>
      </c>
      <c r="E39" s="253" t="s">
        <v>236</v>
      </c>
      <c r="F39" s="3">
        <f>'Tax Entry'!F29</f>
        <v>2513142</v>
      </c>
      <c r="G39" s="63"/>
      <c r="H39" s="3"/>
      <c r="I39" s="59"/>
      <c r="J39" s="279"/>
      <c r="M39" s="23"/>
      <c r="N39" s="223"/>
    </row>
    <row r="40" spans="1:18" s="253" customFormat="1" x14ac:dyDescent="0.25">
      <c r="A40" s="57"/>
      <c r="B40" s="253">
        <v>282400</v>
      </c>
      <c r="D40" s="253" t="s">
        <v>261</v>
      </c>
      <c r="E40" s="253" t="s">
        <v>236</v>
      </c>
      <c r="F40" s="3">
        <f>'Tax Entry'!F30</f>
        <v>1477196</v>
      </c>
      <c r="G40" s="63"/>
      <c r="H40" s="3"/>
      <c r="I40" s="59"/>
      <c r="J40" s="279"/>
      <c r="M40" s="23"/>
      <c r="N40" s="223"/>
    </row>
    <row r="41" spans="1:18" s="253" customFormat="1" x14ac:dyDescent="0.25">
      <c r="A41" s="57"/>
      <c r="B41" s="313">
        <v>101090</v>
      </c>
      <c r="C41" s="313"/>
      <c r="D41" s="253" t="s">
        <v>51</v>
      </c>
      <c r="E41" s="253" t="s">
        <v>76</v>
      </c>
      <c r="F41" s="3"/>
      <c r="G41" s="63"/>
      <c r="H41" s="311">
        <f>-'Tax Entry'!C29</f>
        <v>10903002.105263157</v>
      </c>
      <c r="I41" s="59"/>
      <c r="J41" s="279"/>
      <c r="M41" s="23"/>
      <c r="N41" s="223"/>
    </row>
    <row r="42" spans="1:18" s="253" customFormat="1" x14ac:dyDescent="0.25">
      <c r="A42" s="57"/>
      <c r="B42" s="313">
        <v>101090</v>
      </c>
      <c r="C42" s="313"/>
      <c r="D42" s="253" t="s">
        <v>50</v>
      </c>
      <c r="E42" s="253" t="s">
        <v>76</v>
      </c>
      <c r="F42" s="3"/>
      <c r="G42" s="63"/>
      <c r="H42" s="3">
        <f>-'Tax Entry'!C30</f>
        <v>6408656.712150747</v>
      </c>
      <c r="I42" s="59"/>
      <c r="J42" s="279"/>
      <c r="M42" s="23"/>
      <c r="N42" s="223"/>
    </row>
    <row r="43" spans="1:18" s="221" customFormat="1" x14ac:dyDescent="0.25">
      <c r="A43" s="57"/>
      <c r="B43" s="315">
        <v>410100</v>
      </c>
      <c r="C43" s="315"/>
      <c r="D43" s="224" t="s">
        <v>51</v>
      </c>
      <c r="E43" s="279" t="s">
        <v>238</v>
      </c>
      <c r="F43" s="3"/>
      <c r="G43" s="63"/>
      <c r="H43" s="163">
        <f>-'Tax Entry'!J29</f>
        <v>2513142</v>
      </c>
      <c r="I43" s="59"/>
      <c r="J43" s="51"/>
      <c r="M43" s="23"/>
      <c r="N43" s="223"/>
    </row>
    <row r="44" spans="1:18" x14ac:dyDescent="0.25">
      <c r="A44" s="57"/>
      <c r="B44" s="320">
        <v>410100</v>
      </c>
      <c r="C44" s="320"/>
      <c r="D44" s="51" t="s">
        <v>50</v>
      </c>
      <c r="E44" s="51" t="s">
        <v>238</v>
      </c>
      <c r="F44" s="163"/>
      <c r="G44" s="172">
        <f>SUM(F37:F44)-SUM(H37:H44)</f>
        <v>0</v>
      </c>
      <c r="H44" s="3">
        <f>-'Tax Entry'!J30</f>
        <v>1477196</v>
      </c>
      <c r="J44" s="59"/>
    </row>
    <row r="45" spans="1:18" s="186" customFormat="1" x14ac:dyDescent="0.25">
      <c r="A45" s="57"/>
      <c r="B45" s="321" t="s">
        <v>276</v>
      </c>
      <c r="C45" s="321"/>
      <c r="D45" s="321"/>
      <c r="E45" s="321"/>
      <c r="F45" s="321"/>
      <c r="G45" s="321"/>
      <c r="H45" s="321"/>
      <c r="I45" s="59"/>
      <c r="M45" s="16"/>
    </row>
    <row r="46" spans="1:18" s="188" customFormat="1" x14ac:dyDescent="0.25">
      <c r="A46" s="57"/>
      <c r="B46" s="321"/>
      <c r="C46" s="321"/>
      <c r="D46" s="321"/>
      <c r="E46" s="321"/>
      <c r="F46" s="321"/>
      <c r="G46" s="321"/>
      <c r="H46" s="321"/>
      <c r="I46" s="59"/>
    </row>
    <row r="47" spans="1:18" s="186" customFormat="1" x14ac:dyDescent="0.25">
      <c r="A47" s="57"/>
      <c r="B47" s="321"/>
      <c r="C47" s="321"/>
      <c r="D47" s="321"/>
      <c r="E47" s="321"/>
      <c r="F47" s="321"/>
      <c r="G47" s="321"/>
      <c r="H47" s="321"/>
      <c r="I47" s="59"/>
    </row>
    <row r="48" spans="1:18" x14ac:dyDescent="0.25">
      <c r="A48" s="57"/>
    </row>
    <row r="49" spans="1:10" x14ac:dyDescent="0.25">
      <c r="A49" s="171" t="s">
        <v>80</v>
      </c>
      <c r="B49" t="s">
        <v>59</v>
      </c>
      <c r="D49" t="s">
        <v>47</v>
      </c>
      <c r="E49" t="s">
        <v>94</v>
      </c>
      <c r="F49" s="3">
        <v>2150955.08</v>
      </c>
      <c r="G49" s="58"/>
    </row>
    <row r="50" spans="1:10" x14ac:dyDescent="0.25">
      <c r="A50" s="57"/>
      <c r="B50" s="314">
        <v>182376</v>
      </c>
      <c r="C50" s="314"/>
      <c r="D50" t="s">
        <v>47</v>
      </c>
      <c r="E50" t="s">
        <v>40</v>
      </c>
      <c r="G50" s="67">
        <f>SUM(F48:F50)-SUM(H48:H50)</f>
        <v>0</v>
      </c>
      <c r="H50" s="3">
        <f>F49</f>
        <v>2150955.08</v>
      </c>
      <c r="J50" s="59"/>
    </row>
    <row r="51" spans="1:10" s="186" customFormat="1" x14ac:dyDescent="0.25">
      <c r="A51" s="57"/>
      <c r="B51" s="317" t="s">
        <v>163</v>
      </c>
      <c r="C51" s="317"/>
      <c r="D51" s="317"/>
      <c r="E51" s="317"/>
      <c r="F51" s="317"/>
      <c r="G51" s="317"/>
      <c r="H51" s="317"/>
      <c r="I51" s="59"/>
    </row>
    <row r="52" spans="1:10" s="186" customFormat="1" x14ac:dyDescent="0.25">
      <c r="A52" s="57"/>
      <c r="B52" s="317"/>
      <c r="C52" s="317"/>
      <c r="D52" s="317"/>
      <c r="E52" s="317"/>
      <c r="F52" s="317"/>
      <c r="G52" s="317"/>
      <c r="H52" s="317"/>
      <c r="I52" s="59"/>
    </row>
    <row r="53" spans="1:10" s="253" customFormat="1" x14ac:dyDescent="0.25">
      <c r="A53" s="57"/>
      <c r="B53" s="254"/>
      <c r="C53" s="254"/>
      <c r="D53" s="254"/>
      <c r="E53" s="254"/>
      <c r="F53" s="254"/>
      <c r="G53" s="254"/>
      <c r="H53" s="254"/>
      <c r="I53" s="59"/>
    </row>
    <row r="54" spans="1:10" s="253" customFormat="1" x14ac:dyDescent="0.25">
      <c r="A54" s="171" t="s">
        <v>84</v>
      </c>
      <c r="B54" s="253">
        <v>230000</v>
      </c>
      <c r="D54" s="253" t="s">
        <v>47</v>
      </c>
      <c r="E54" s="253" t="s">
        <v>26</v>
      </c>
      <c r="F54" s="3">
        <f>-SUM('GL-Forecast'!D41:D42)</f>
        <v>15447274.460000001</v>
      </c>
      <c r="G54" s="58"/>
      <c r="H54" s="3"/>
      <c r="I54" s="59"/>
    </row>
    <row r="55" spans="1:10" s="253" customFormat="1" x14ac:dyDescent="0.25">
      <c r="A55" s="57"/>
      <c r="B55" s="315" t="s">
        <v>263</v>
      </c>
      <c r="C55" s="315"/>
      <c r="D55" s="253" t="s">
        <v>47</v>
      </c>
      <c r="E55" s="253" t="s">
        <v>264</v>
      </c>
      <c r="F55" s="3"/>
      <c r="G55" s="67">
        <f>SUM(F53:F55)-SUM(H53:H55)</f>
        <v>0</v>
      </c>
      <c r="H55" s="3">
        <f>F54</f>
        <v>15447274.460000001</v>
      </c>
      <c r="I55" s="59"/>
    </row>
    <row r="56" spans="1:10" s="253" customFormat="1" x14ac:dyDescent="0.25">
      <c r="A56" s="57"/>
      <c r="B56" s="317" t="s">
        <v>267</v>
      </c>
      <c r="C56" s="317"/>
      <c r="D56" s="317"/>
      <c r="E56" s="317"/>
      <c r="F56" s="317"/>
      <c r="G56" s="317"/>
      <c r="H56" s="317"/>
      <c r="I56" s="59"/>
    </row>
    <row r="57" spans="1:10" x14ac:dyDescent="0.25">
      <c r="A57" s="57"/>
    </row>
    <row r="58" spans="1:10" x14ac:dyDescent="0.25">
      <c r="A58" s="324" t="s">
        <v>81</v>
      </c>
      <c r="B58" s="324"/>
      <c r="C58" s="324"/>
      <c r="D58" s="324"/>
      <c r="E58" s="324"/>
      <c r="F58" s="324"/>
      <c r="G58" s="69"/>
      <c r="H58" s="71"/>
      <c r="I58" s="68"/>
    </row>
    <row r="59" spans="1:10" x14ac:dyDescent="0.25">
      <c r="A59" s="57"/>
    </row>
    <row r="60" spans="1:10" x14ac:dyDescent="0.25">
      <c r="A60" s="57" t="s">
        <v>82</v>
      </c>
      <c r="B60">
        <v>403000</v>
      </c>
      <c r="D60" t="s">
        <v>47</v>
      </c>
      <c r="E60" t="s">
        <v>57</v>
      </c>
      <c r="F60" s="3">
        <f>'Generation-deprec exp Updated'!L29</f>
        <v>104307957.24000001</v>
      </c>
      <c r="G60" s="62"/>
      <c r="I60" s="51"/>
    </row>
    <row r="61" spans="1:10" x14ac:dyDescent="0.25">
      <c r="A61" s="57"/>
      <c r="B61" s="313">
        <v>108000</v>
      </c>
      <c r="C61" s="313"/>
      <c r="D61" t="s">
        <v>47</v>
      </c>
      <c r="E61" t="s">
        <v>52</v>
      </c>
      <c r="G61" s="67">
        <f>SUM(F59:F61)-SUM(H59:H61)</f>
        <v>0</v>
      </c>
      <c r="H61" s="3">
        <f>F60</f>
        <v>104307957.24000001</v>
      </c>
      <c r="I61" s="51"/>
    </row>
    <row r="62" spans="1:10" s="186" customFormat="1" x14ac:dyDescent="0.25">
      <c r="A62" s="57"/>
      <c r="B62" s="322" t="s">
        <v>262</v>
      </c>
      <c r="C62" s="322"/>
      <c r="D62" s="322"/>
      <c r="E62" s="322"/>
      <c r="F62" s="322"/>
      <c r="G62" s="322"/>
      <c r="H62" s="322"/>
      <c r="I62" s="51"/>
    </row>
    <row r="63" spans="1:10" x14ac:dyDescent="0.25">
      <c r="A63" s="57"/>
      <c r="G63" s="62"/>
      <c r="I63" s="51"/>
    </row>
    <row r="64" spans="1:10" x14ac:dyDescent="0.25">
      <c r="A64" s="57" t="s">
        <v>85</v>
      </c>
      <c r="B64">
        <v>403000</v>
      </c>
      <c r="D64" t="s">
        <v>47</v>
      </c>
      <c r="E64" t="s">
        <v>58</v>
      </c>
      <c r="F64" s="3">
        <f>'Transmission-deprec exp Updated'!L58</f>
        <v>26197264.82</v>
      </c>
      <c r="G64" s="62"/>
      <c r="I64" s="51"/>
      <c r="J64" s="59"/>
    </row>
    <row r="65" spans="1:10" x14ac:dyDescent="0.25">
      <c r="A65" s="57"/>
      <c r="B65" s="313">
        <v>108000</v>
      </c>
      <c r="C65" s="313"/>
      <c r="D65" t="s">
        <v>47</v>
      </c>
      <c r="E65" t="s">
        <v>52</v>
      </c>
      <c r="G65" s="67">
        <f>SUM(F64:F65)-SUM(H64:H65)</f>
        <v>0</v>
      </c>
      <c r="H65" s="3">
        <f>F64</f>
        <v>26197264.82</v>
      </c>
      <c r="I65" s="51"/>
    </row>
    <row r="66" spans="1:10" s="186" customFormat="1" x14ac:dyDescent="0.25">
      <c r="A66" s="57"/>
      <c r="B66" s="322" t="s">
        <v>262</v>
      </c>
      <c r="C66" s="322"/>
      <c r="D66" s="322"/>
      <c r="E66" s="322"/>
      <c r="F66" s="322"/>
      <c r="G66" s="322"/>
      <c r="H66" s="322"/>
      <c r="I66" s="51"/>
    </row>
    <row r="67" spans="1:10" x14ac:dyDescent="0.25">
      <c r="A67" s="57"/>
      <c r="G67" s="62"/>
      <c r="I67" s="51"/>
    </row>
    <row r="68" spans="1:10" s="60" customFormat="1" x14ac:dyDescent="0.25">
      <c r="A68" s="57" t="s">
        <v>86</v>
      </c>
      <c r="B68">
        <v>403100</v>
      </c>
      <c r="C68"/>
      <c r="D68" t="s">
        <v>47</v>
      </c>
      <c r="E68" t="s">
        <v>83</v>
      </c>
      <c r="F68" s="3">
        <f>'Defered-Amm Calc'!F10</f>
        <v>13296419</v>
      </c>
      <c r="G68" s="62"/>
      <c r="H68" s="3"/>
      <c r="I68" s="51"/>
    </row>
    <row r="69" spans="1:10" s="60" customFormat="1" x14ac:dyDescent="0.25">
      <c r="B69" s="313">
        <v>108000</v>
      </c>
      <c r="C69" s="313"/>
      <c r="D69" t="s">
        <v>47</v>
      </c>
      <c r="E69" t="s">
        <v>142</v>
      </c>
      <c r="F69" s="3"/>
      <c r="G69" s="67">
        <f>SUM(F68:F69)-SUM(H68:H69)</f>
        <v>0</v>
      </c>
      <c r="H69" s="3">
        <f>F68</f>
        <v>13296419</v>
      </c>
      <c r="I69" s="51"/>
    </row>
    <row r="70" spans="1:10" s="186" customFormat="1" x14ac:dyDescent="0.25">
      <c r="A70" s="57"/>
      <c r="B70" s="322" t="s">
        <v>164</v>
      </c>
      <c r="C70" s="322"/>
      <c r="D70" s="322"/>
      <c r="E70" s="322"/>
      <c r="F70" s="322"/>
      <c r="G70" s="322"/>
      <c r="H70" s="322"/>
      <c r="I70" s="51"/>
    </row>
    <row r="71" spans="1:10" x14ac:dyDescent="0.25">
      <c r="A71" s="57"/>
      <c r="I71" s="51"/>
    </row>
    <row r="72" spans="1:10" x14ac:dyDescent="0.25">
      <c r="A72" s="57" t="s">
        <v>137</v>
      </c>
      <c r="B72">
        <v>108090</v>
      </c>
      <c r="D72" t="s">
        <v>51</v>
      </c>
      <c r="E72" t="s">
        <v>252</v>
      </c>
      <c r="F72" s="163">
        <f>-'Defered-Amm Calc'!F13</f>
        <v>10903002.105263157</v>
      </c>
      <c r="I72" s="51"/>
    </row>
    <row r="73" spans="1:10" s="284" customFormat="1" x14ac:dyDescent="0.25">
      <c r="A73" s="57"/>
      <c r="B73" s="284">
        <v>108090</v>
      </c>
      <c r="D73" s="284" t="s">
        <v>50</v>
      </c>
      <c r="E73" s="284" t="s">
        <v>252</v>
      </c>
      <c r="F73" s="163">
        <f>-'Defered-Amm Calc'!F14</f>
        <v>6408656.712150747</v>
      </c>
      <c r="G73" s="63"/>
      <c r="H73" s="3"/>
      <c r="I73" s="283"/>
    </row>
    <row r="74" spans="1:10" x14ac:dyDescent="0.25">
      <c r="A74" s="57"/>
      <c r="B74" s="315">
        <v>403000</v>
      </c>
      <c r="C74" s="315"/>
      <c r="D74" s="186" t="s">
        <v>51</v>
      </c>
      <c r="E74" t="s">
        <v>138</v>
      </c>
      <c r="H74" s="163">
        <f>F72</f>
        <v>10903002.105263157</v>
      </c>
      <c r="I74" s="51"/>
    </row>
    <row r="75" spans="1:10" s="284" customFormat="1" x14ac:dyDescent="0.25">
      <c r="A75" s="57"/>
      <c r="B75" s="315">
        <v>403000</v>
      </c>
      <c r="C75" s="315"/>
      <c r="D75" s="284" t="s">
        <v>50</v>
      </c>
      <c r="E75" s="284" t="s">
        <v>138</v>
      </c>
      <c r="F75" s="3"/>
      <c r="G75" s="67">
        <f>SUM(F72:F75)-SUM(H72:H75)</f>
        <v>0</v>
      </c>
      <c r="H75" s="163">
        <f>F73</f>
        <v>6408656.712150747</v>
      </c>
      <c r="I75" s="283"/>
    </row>
    <row r="76" spans="1:10" s="186" customFormat="1" x14ac:dyDescent="0.25">
      <c r="A76" s="57"/>
      <c r="B76" s="317" t="s">
        <v>265</v>
      </c>
      <c r="C76" s="317"/>
      <c r="D76" s="317"/>
      <c r="E76" s="317"/>
      <c r="F76" s="317"/>
      <c r="G76" s="317"/>
      <c r="H76" s="317"/>
      <c r="I76" s="51"/>
    </row>
    <row r="77" spans="1:10" s="51" customFormat="1" x14ac:dyDescent="0.25">
      <c r="A77" s="171"/>
      <c r="F77" s="163"/>
      <c r="G77" s="172"/>
      <c r="H77" s="163"/>
    </row>
    <row r="78" spans="1:10" s="51" customFormat="1" x14ac:dyDescent="0.25">
      <c r="A78" s="171" t="s">
        <v>237</v>
      </c>
      <c r="B78" s="51">
        <v>410100</v>
      </c>
      <c r="D78" s="51" t="s">
        <v>51</v>
      </c>
      <c r="E78" s="51" t="s">
        <v>74</v>
      </c>
      <c r="F78" s="163">
        <f>H43</f>
        <v>2513142</v>
      </c>
      <c r="G78" s="172"/>
      <c r="H78" s="163"/>
      <c r="J78" s="187"/>
    </row>
    <row r="79" spans="1:10" s="279" customFormat="1" x14ac:dyDescent="0.25">
      <c r="A79" s="171"/>
      <c r="B79" s="279">
        <v>410100</v>
      </c>
      <c r="D79" s="279" t="s">
        <v>50</v>
      </c>
      <c r="E79" s="279" t="s">
        <v>74</v>
      </c>
      <c r="F79" s="163">
        <f>H44</f>
        <v>1477196</v>
      </c>
      <c r="G79" s="172"/>
      <c r="H79" s="163"/>
      <c r="J79" s="187"/>
    </row>
    <row r="80" spans="1:10" s="51" customFormat="1" x14ac:dyDescent="0.25">
      <c r="A80" s="171"/>
      <c r="B80" s="320">
        <v>282400</v>
      </c>
      <c r="C80" s="320"/>
      <c r="D80" s="51" t="s">
        <v>51</v>
      </c>
      <c r="E80" s="51" t="s">
        <v>236</v>
      </c>
      <c r="F80" s="163"/>
      <c r="G80" s="172"/>
      <c r="H80" s="163">
        <f>F39</f>
        <v>2513142</v>
      </c>
    </row>
    <row r="81" spans="1:15" s="279" customFormat="1" x14ac:dyDescent="0.25">
      <c r="A81" s="171"/>
      <c r="B81" s="320">
        <v>282400</v>
      </c>
      <c r="C81" s="320"/>
      <c r="D81" s="279" t="s">
        <v>50</v>
      </c>
      <c r="E81" s="279" t="s">
        <v>236</v>
      </c>
      <c r="F81" s="163"/>
      <c r="G81" s="172">
        <f>SUM(F78:F81)-SUM(H78:H81)</f>
        <v>0</v>
      </c>
      <c r="H81" s="163">
        <f>F40</f>
        <v>1477196</v>
      </c>
    </row>
    <row r="82" spans="1:15" s="51" customFormat="1" x14ac:dyDescent="0.25">
      <c r="A82" s="171"/>
      <c r="F82" s="163"/>
      <c r="G82" s="172"/>
      <c r="H82" s="163"/>
    </row>
    <row r="83" spans="1:15" x14ac:dyDescent="0.25">
      <c r="A83" s="57" t="s">
        <v>87</v>
      </c>
      <c r="B83" s="61" t="s">
        <v>59</v>
      </c>
      <c r="C83" s="51"/>
      <c r="D83" t="s">
        <v>47</v>
      </c>
      <c r="E83" t="s">
        <v>94</v>
      </c>
      <c r="F83" s="163">
        <f>'Defered-Amm Calc'!F18</f>
        <v>55054852.242586091</v>
      </c>
      <c r="I83" s="51"/>
    </row>
    <row r="84" spans="1:15" x14ac:dyDescent="0.25">
      <c r="A84" s="57"/>
      <c r="B84" s="320" t="s">
        <v>140</v>
      </c>
      <c r="C84" s="320"/>
      <c r="D84" t="s">
        <v>47</v>
      </c>
      <c r="E84" t="s">
        <v>141</v>
      </c>
      <c r="G84" s="67">
        <f>SUM(F83:F84)-SUM(H83:H84)</f>
        <v>0</v>
      </c>
      <c r="H84" s="163">
        <f>F83</f>
        <v>55054852.242586091</v>
      </c>
      <c r="I84" s="51"/>
      <c r="J84" s="59"/>
    </row>
    <row r="85" spans="1:15" s="186" customFormat="1" x14ac:dyDescent="0.25">
      <c r="A85" s="57"/>
      <c r="B85" s="319" t="s">
        <v>161</v>
      </c>
      <c r="C85" s="319"/>
      <c r="D85" s="319"/>
      <c r="E85" s="319"/>
      <c r="F85" s="319"/>
      <c r="G85" s="319"/>
      <c r="H85" s="319"/>
      <c r="J85" s="59"/>
    </row>
    <row r="86" spans="1:15" x14ac:dyDescent="0.25">
      <c r="A86" s="57"/>
    </row>
    <row r="87" spans="1:15" x14ac:dyDescent="0.25">
      <c r="A87" s="323" t="s">
        <v>253</v>
      </c>
      <c r="B87" s="323"/>
      <c r="C87" s="323"/>
      <c r="D87" s="323"/>
      <c r="E87" s="323"/>
      <c r="F87" s="323"/>
      <c r="G87" s="65"/>
      <c r="H87" s="182"/>
      <c r="I87" s="55"/>
    </row>
    <row r="88" spans="1:15" x14ac:dyDescent="0.25">
      <c r="A88" s="57"/>
    </row>
    <row r="89" spans="1:15" x14ac:dyDescent="0.25">
      <c r="A89" s="57" t="s">
        <v>92</v>
      </c>
      <c r="B89">
        <v>411101</v>
      </c>
      <c r="D89" t="s">
        <v>47</v>
      </c>
      <c r="E89" t="s">
        <v>90</v>
      </c>
      <c r="F89" s="3">
        <f>'Defered-Amm Calc'!F21</f>
        <v>21443120.539999999</v>
      </c>
      <c r="G89" s="58"/>
      <c r="I89" s="51"/>
    </row>
    <row r="90" spans="1:15" x14ac:dyDescent="0.25">
      <c r="A90" s="57"/>
      <c r="B90" s="315" t="s">
        <v>266</v>
      </c>
      <c r="C90" s="315"/>
      <c r="D90" t="s">
        <v>91</v>
      </c>
      <c r="E90" s="253" t="s">
        <v>264</v>
      </c>
      <c r="G90" s="67">
        <f>SUM(F89:F90)-SUM(H89:H90)</f>
        <v>0</v>
      </c>
      <c r="H90" s="3">
        <f>F89</f>
        <v>21443120.539999999</v>
      </c>
      <c r="I90" s="51"/>
    </row>
    <row r="91" spans="1:15" s="186" customFormat="1" x14ac:dyDescent="0.25">
      <c r="A91" s="57"/>
      <c r="B91" s="318" t="s">
        <v>162</v>
      </c>
      <c r="C91" s="318"/>
      <c r="D91" s="318"/>
      <c r="E91" s="318"/>
      <c r="F91" s="318"/>
      <c r="G91" s="318"/>
      <c r="H91" s="318"/>
      <c r="I91" s="51"/>
    </row>
    <row r="92" spans="1:15" x14ac:dyDescent="0.25">
      <c r="A92" s="57"/>
      <c r="I92" s="51"/>
      <c r="J92" s="59"/>
    </row>
    <row r="93" spans="1:15" x14ac:dyDescent="0.25">
      <c r="A93" s="57" t="s">
        <v>93</v>
      </c>
      <c r="B93" t="s">
        <v>59</v>
      </c>
      <c r="D93" t="s">
        <v>47</v>
      </c>
      <c r="E93" t="s">
        <v>94</v>
      </c>
      <c r="F93" s="163">
        <f>H90-F94</f>
        <v>18600174.539999999</v>
      </c>
      <c r="I93" s="51"/>
      <c r="J93" s="51"/>
      <c r="K93" s="51"/>
      <c r="L93" s="51"/>
      <c r="M93" s="51"/>
      <c r="N93" s="51"/>
      <c r="O93" s="51"/>
    </row>
    <row r="94" spans="1:15" s="60" customFormat="1" x14ac:dyDescent="0.25">
      <c r="A94" s="57"/>
      <c r="B94" t="s">
        <v>97</v>
      </c>
      <c r="D94" s="60" t="s">
        <v>47</v>
      </c>
      <c r="E94" s="60" t="s">
        <v>134</v>
      </c>
      <c r="F94" s="163">
        <v>2842946</v>
      </c>
      <c r="G94" s="63"/>
      <c r="H94" s="3"/>
      <c r="I94" s="51"/>
    </row>
    <row r="95" spans="1:15" x14ac:dyDescent="0.25">
      <c r="A95" s="57"/>
      <c r="B95" s="320" t="s">
        <v>140</v>
      </c>
      <c r="C95" s="320"/>
      <c r="D95" s="77" t="s">
        <v>47</v>
      </c>
      <c r="E95" s="77" t="s">
        <v>141</v>
      </c>
      <c r="G95" s="67">
        <f>SUM(F93:F95)-SUM(H93:H95)</f>
        <v>0</v>
      </c>
      <c r="H95" s="3">
        <f>H90</f>
        <v>21443120.539999999</v>
      </c>
      <c r="I95" s="51"/>
      <c r="J95" s="59"/>
    </row>
    <row r="96" spans="1:15" x14ac:dyDescent="0.25">
      <c r="A96" s="57"/>
      <c r="B96" s="318" t="s">
        <v>254</v>
      </c>
      <c r="C96" s="318"/>
      <c r="D96" s="318"/>
      <c r="E96" s="318"/>
      <c r="F96" s="318"/>
      <c r="G96" s="318"/>
      <c r="H96" s="318"/>
    </row>
    <row r="97" spans="1:10" x14ac:dyDescent="0.25">
      <c r="A97" s="57"/>
    </row>
    <row r="98" spans="1:10" x14ac:dyDescent="0.25">
      <c r="A98" s="74" t="s">
        <v>255</v>
      </c>
      <c r="B98" s="72"/>
      <c r="C98" s="72"/>
      <c r="D98" s="72"/>
      <c r="E98" s="72"/>
      <c r="F98" s="184"/>
      <c r="G98" s="73"/>
      <c r="H98" s="184"/>
      <c r="I98" s="72"/>
    </row>
    <row r="99" spans="1:10" x14ac:dyDescent="0.25">
      <c r="A99" s="57"/>
    </row>
    <row r="100" spans="1:10" x14ac:dyDescent="0.25">
      <c r="A100" s="57" t="s">
        <v>95</v>
      </c>
      <c r="B100" s="51" t="s">
        <v>39</v>
      </c>
      <c r="C100" s="51"/>
      <c r="D100" s="51" t="s">
        <v>47</v>
      </c>
      <c r="E100" s="51" t="s">
        <v>96</v>
      </c>
      <c r="F100" s="163">
        <f>'Defered-Amm Calc'!F22</f>
        <v>78648927.782586098</v>
      </c>
      <c r="G100" s="64"/>
      <c r="H100" s="163"/>
      <c r="I100" s="51"/>
      <c r="J100" s="59"/>
    </row>
    <row r="101" spans="1:10" x14ac:dyDescent="0.25">
      <c r="A101" s="57"/>
      <c r="B101" s="320" t="s">
        <v>59</v>
      </c>
      <c r="C101" s="320"/>
      <c r="D101" s="51" t="s">
        <v>47</v>
      </c>
      <c r="E101" s="51" t="s">
        <v>94</v>
      </c>
      <c r="F101" s="163"/>
      <c r="G101" s="64"/>
      <c r="H101" s="163">
        <f>F100-H102</f>
        <v>75805981.782586098</v>
      </c>
      <c r="I101" s="51"/>
    </row>
    <row r="102" spans="1:10" x14ac:dyDescent="0.25">
      <c r="A102" s="57"/>
      <c r="B102" s="320" t="s">
        <v>98</v>
      </c>
      <c r="C102" s="320"/>
      <c r="D102" s="51" t="s">
        <v>47</v>
      </c>
      <c r="E102" s="51" t="s">
        <v>256</v>
      </c>
      <c r="F102" s="163"/>
      <c r="G102" s="172">
        <f>SUM(F100:F102)-SUM(H100:H102)</f>
        <v>0</v>
      </c>
      <c r="H102" s="163">
        <f>F94</f>
        <v>2842946</v>
      </c>
      <c r="I102" s="51"/>
      <c r="J102" s="59"/>
    </row>
    <row r="103" spans="1:10" x14ac:dyDescent="0.25">
      <c r="A103" s="57"/>
      <c r="B103" s="319" t="s">
        <v>257</v>
      </c>
      <c r="C103" s="319"/>
      <c r="D103" s="319"/>
      <c r="E103" s="319"/>
      <c r="F103" s="319"/>
      <c r="G103" s="319"/>
      <c r="H103" s="319"/>
      <c r="I103" s="51"/>
    </row>
    <row r="104" spans="1:10" s="51" customFormat="1" x14ac:dyDescent="0.25">
      <c r="A104" s="171"/>
      <c r="B104" s="173"/>
      <c r="F104" s="163"/>
      <c r="G104" s="64"/>
      <c r="H104" s="163"/>
    </row>
    <row r="105" spans="1:10" s="51" customFormat="1" x14ac:dyDescent="0.25">
      <c r="A105" s="171"/>
      <c r="F105" s="163"/>
      <c r="G105" s="172"/>
      <c r="H105" s="163"/>
    </row>
    <row r="106" spans="1:10" x14ac:dyDescent="0.25">
      <c r="A106" s="57"/>
    </row>
    <row r="107" spans="1:10" x14ac:dyDescent="0.25">
      <c r="A107" s="57"/>
    </row>
    <row r="108" spans="1:10" x14ac:dyDescent="0.25">
      <c r="A108" s="57"/>
    </row>
    <row r="109" spans="1:10" x14ac:dyDescent="0.25">
      <c r="A109" s="57"/>
    </row>
    <row r="110" spans="1:10" x14ac:dyDescent="0.25">
      <c r="A110" s="57"/>
    </row>
    <row r="111" spans="1:10" x14ac:dyDescent="0.25">
      <c r="A111" s="57"/>
    </row>
    <row r="112" spans="1:10" x14ac:dyDescent="0.25">
      <c r="A112" s="57"/>
    </row>
    <row r="113" spans="1:1" x14ac:dyDescent="0.25">
      <c r="A113" s="57"/>
    </row>
    <row r="114" spans="1:1" x14ac:dyDescent="0.25">
      <c r="A114" s="57"/>
    </row>
    <row r="115" spans="1:1" x14ac:dyDescent="0.25">
      <c r="A115" s="57"/>
    </row>
    <row r="116" spans="1:1" x14ac:dyDescent="0.25">
      <c r="A116" s="57"/>
    </row>
    <row r="117" spans="1:1" x14ac:dyDescent="0.25">
      <c r="A117" s="57"/>
    </row>
    <row r="118" spans="1:1" x14ac:dyDescent="0.25">
      <c r="A118" s="57"/>
    </row>
    <row r="119" spans="1:1" x14ac:dyDescent="0.25">
      <c r="A119" s="57"/>
    </row>
    <row r="120" spans="1:1" x14ac:dyDescent="0.25">
      <c r="A120" s="57"/>
    </row>
    <row r="121" spans="1:1" x14ac:dyDescent="0.25">
      <c r="A121" s="57"/>
    </row>
    <row r="122" spans="1:1" x14ac:dyDescent="0.25">
      <c r="A122" s="57"/>
    </row>
    <row r="123" spans="1:1" x14ac:dyDescent="0.25">
      <c r="A123" s="57"/>
    </row>
    <row r="124" spans="1:1" x14ac:dyDescent="0.25">
      <c r="A124" s="57"/>
    </row>
    <row r="125" spans="1:1" x14ac:dyDescent="0.25">
      <c r="A125" s="57"/>
    </row>
    <row r="126" spans="1:1" x14ac:dyDescent="0.25">
      <c r="A126" s="57"/>
    </row>
    <row r="127" spans="1:1" x14ac:dyDescent="0.25">
      <c r="A127" s="57"/>
    </row>
    <row r="128" spans="1:1" x14ac:dyDescent="0.25">
      <c r="A128" s="57"/>
    </row>
    <row r="129" spans="1:1" x14ac:dyDescent="0.25">
      <c r="A129" s="57"/>
    </row>
    <row r="130" spans="1:1" x14ac:dyDescent="0.25">
      <c r="A130" s="57"/>
    </row>
    <row r="131" spans="1:1" x14ac:dyDescent="0.25">
      <c r="A131" s="57"/>
    </row>
    <row r="132" spans="1:1" x14ac:dyDescent="0.25">
      <c r="A132" s="57"/>
    </row>
    <row r="133" spans="1:1" x14ac:dyDescent="0.25">
      <c r="A133" s="57"/>
    </row>
    <row r="134" spans="1:1" x14ac:dyDescent="0.25">
      <c r="A134" s="57"/>
    </row>
    <row r="135" spans="1:1" x14ac:dyDescent="0.25">
      <c r="A135" s="57"/>
    </row>
    <row r="136" spans="1:1" x14ac:dyDescent="0.25">
      <c r="A136" s="57"/>
    </row>
    <row r="137" spans="1:1" x14ac:dyDescent="0.25">
      <c r="A137" s="57"/>
    </row>
    <row r="138" spans="1:1" x14ac:dyDescent="0.25">
      <c r="A138" s="57"/>
    </row>
    <row r="139" spans="1:1" x14ac:dyDescent="0.25">
      <c r="A139" s="57"/>
    </row>
    <row r="140" spans="1:1" x14ac:dyDescent="0.25">
      <c r="A140" s="57"/>
    </row>
    <row r="141" spans="1:1" x14ac:dyDescent="0.25">
      <c r="A141" s="57"/>
    </row>
    <row r="142" spans="1:1" x14ac:dyDescent="0.25">
      <c r="A142" s="57"/>
    </row>
    <row r="143" spans="1:1" x14ac:dyDescent="0.25">
      <c r="A143" s="57"/>
    </row>
    <row r="144" spans="1:1" x14ac:dyDescent="0.25">
      <c r="A144" s="57"/>
    </row>
    <row r="145" spans="1:1" x14ac:dyDescent="0.25">
      <c r="A145" s="57"/>
    </row>
    <row r="146" spans="1:1" x14ac:dyDescent="0.25">
      <c r="A146" s="57"/>
    </row>
    <row r="147" spans="1:1" x14ac:dyDescent="0.25">
      <c r="A147" s="57"/>
    </row>
    <row r="148" spans="1:1" x14ac:dyDescent="0.25">
      <c r="A148" s="57"/>
    </row>
    <row r="149" spans="1:1" x14ac:dyDescent="0.25">
      <c r="A149" s="57"/>
    </row>
    <row r="150" spans="1:1" x14ac:dyDescent="0.25">
      <c r="A150" s="57"/>
    </row>
    <row r="151" spans="1:1" x14ac:dyDescent="0.25">
      <c r="A151" s="57"/>
    </row>
    <row r="152" spans="1:1" x14ac:dyDescent="0.25">
      <c r="A152" s="57"/>
    </row>
    <row r="153" spans="1:1" x14ac:dyDescent="0.25">
      <c r="A153" s="57"/>
    </row>
    <row r="154" spans="1:1" x14ac:dyDescent="0.25">
      <c r="A154" s="57"/>
    </row>
    <row r="155" spans="1:1" x14ac:dyDescent="0.25">
      <c r="A155" s="57"/>
    </row>
    <row r="156" spans="1:1" x14ac:dyDescent="0.25">
      <c r="A156" s="57"/>
    </row>
    <row r="157" spans="1:1" x14ac:dyDescent="0.25">
      <c r="A157" s="57"/>
    </row>
    <row r="158" spans="1:1" x14ac:dyDescent="0.25">
      <c r="A158" s="57"/>
    </row>
    <row r="159" spans="1:1" x14ac:dyDescent="0.25">
      <c r="A159" s="57"/>
    </row>
    <row r="160" spans="1:1" x14ac:dyDescent="0.25">
      <c r="A160" s="57"/>
    </row>
    <row r="161" spans="1:1" x14ac:dyDescent="0.25">
      <c r="A161" s="57"/>
    </row>
    <row r="162" spans="1:1" x14ac:dyDescent="0.25">
      <c r="A162" s="57"/>
    </row>
    <row r="163" spans="1:1" x14ac:dyDescent="0.25">
      <c r="A163" s="57"/>
    </row>
    <row r="164" spans="1:1" x14ac:dyDescent="0.25">
      <c r="A164" s="57"/>
    </row>
    <row r="165" spans="1:1" x14ac:dyDescent="0.25">
      <c r="A165" s="57"/>
    </row>
  </sheetData>
  <mergeCells count="42">
    <mergeCell ref="A58:F58"/>
    <mergeCell ref="B61:C61"/>
    <mergeCell ref="B65:C65"/>
    <mergeCell ref="B56:H56"/>
    <mergeCell ref="B75:C75"/>
    <mergeCell ref="B103:H103"/>
    <mergeCell ref="B34:H35"/>
    <mergeCell ref="B45:H47"/>
    <mergeCell ref="B51:H52"/>
    <mergeCell ref="B95:C95"/>
    <mergeCell ref="B74:C74"/>
    <mergeCell ref="B84:C84"/>
    <mergeCell ref="B62:H62"/>
    <mergeCell ref="B66:H66"/>
    <mergeCell ref="B70:H70"/>
    <mergeCell ref="B43:C43"/>
    <mergeCell ref="B101:C101"/>
    <mergeCell ref="B102:C102"/>
    <mergeCell ref="B80:C80"/>
    <mergeCell ref="B44:C44"/>
    <mergeCell ref="A87:F87"/>
    <mergeCell ref="B90:C90"/>
    <mergeCell ref="B69:C69"/>
    <mergeCell ref="B96:H96"/>
    <mergeCell ref="B85:H85"/>
    <mergeCell ref="B91:H91"/>
    <mergeCell ref="B76:H76"/>
    <mergeCell ref="B81:C81"/>
    <mergeCell ref="B50:C50"/>
    <mergeCell ref="B41:C41"/>
    <mergeCell ref="B42:C42"/>
    <mergeCell ref="B55:C55"/>
    <mergeCell ref="E20:G20"/>
    <mergeCell ref="B26:C26"/>
    <mergeCell ref="B33:C33"/>
    <mergeCell ref="B27:C27"/>
    <mergeCell ref="B32:C32"/>
    <mergeCell ref="B28:H29"/>
    <mergeCell ref="B17:D17"/>
    <mergeCell ref="B18:D18"/>
    <mergeCell ref="B19:D19"/>
    <mergeCell ref="B20:D20"/>
  </mergeCells>
  <pageMargins left="0.7" right="0.7" top="0.75" bottom="0.75" header="0.3" footer="0.3"/>
  <pageSetup scale="61"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X100"/>
  <sheetViews>
    <sheetView zoomScaleNormal="100" workbookViewId="0">
      <pane xSplit="3" ySplit="10" topLeftCell="D71" activePane="bottomRight" state="frozen"/>
      <selection activeCell="G137" sqref="G137"/>
      <selection pane="topRight" activeCell="G137" sqref="G137"/>
      <selection pane="bottomLeft" activeCell="G137" sqref="G137"/>
      <selection pane="bottomRight" activeCell="BQ13" sqref="BQ13"/>
    </sheetView>
  </sheetViews>
  <sheetFormatPr defaultColWidth="8.85546875" defaultRowHeight="12.75" outlineLevelRow="1" outlineLevelCol="1" x14ac:dyDescent="0.2"/>
  <cols>
    <col min="1" max="1" width="7.7109375" style="24" bestFit="1" customWidth="1"/>
    <col min="2" max="2" width="13.140625" style="24" bestFit="1" customWidth="1"/>
    <col min="3" max="3" width="41.7109375" style="36" customWidth="1"/>
    <col min="4" max="4" width="14.85546875" style="45" bestFit="1" customWidth="1"/>
    <col min="5" max="5" width="13.140625" style="42" bestFit="1" customWidth="1"/>
    <col min="6" max="6" width="7.7109375" style="80" customWidth="1"/>
    <col min="7" max="7" width="13.28515625" style="24" hidden="1" customWidth="1" outlineLevel="1"/>
    <col min="8" max="8" width="13.7109375" style="24" hidden="1" customWidth="1" outlineLevel="1"/>
    <col min="9" max="16" width="13.140625" style="24" hidden="1" customWidth="1" outlineLevel="1"/>
    <col min="17" max="17" width="14.5703125" style="48" bestFit="1" customWidth="1" collapsed="1"/>
    <col min="18" max="18" width="7.7109375" style="97" customWidth="1"/>
    <col min="19" max="33" width="11.28515625" style="118" hidden="1" customWidth="1" outlineLevel="1"/>
    <col min="34" max="34" width="12.85546875" style="118" hidden="1" customWidth="1" outlineLevel="1"/>
    <col min="35" max="37" width="14" style="24" hidden="1" customWidth="1" outlineLevel="1"/>
    <col min="38" max="42" width="12.85546875" style="24" hidden="1" customWidth="1" outlineLevel="1"/>
    <col min="43" max="43" width="18.140625" style="24" hidden="1" customWidth="1" outlineLevel="1"/>
    <col min="44" max="44" width="13.5703125" style="24" hidden="1" customWidth="1" outlineLevel="1"/>
    <col min="45" max="45" width="14.85546875" style="48" customWidth="1" collapsed="1"/>
    <col min="46" max="46" width="7.7109375" style="97" customWidth="1"/>
    <col min="47" max="47" width="13.5703125" style="24" hidden="1" customWidth="1" outlineLevel="1"/>
    <col min="48" max="53" width="10.85546875" style="24" hidden="1" customWidth="1" outlineLevel="1"/>
    <col min="54" max="62" width="10.28515625" style="24" hidden="1" customWidth="1" outlineLevel="1"/>
    <col min="63" max="63" width="14.5703125" style="48" bestFit="1" customWidth="1" collapsed="1"/>
    <col min="64" max="64" width="7.7109375" style="121" customWidth="1"/>
    <col min="65" max="65" width="14" style="48" bestFit="1" customWidth="1"/>
    <col min="66" max="66" width="8.85546875" style="126" customWidth="1"/>
    <col min="67" max="67" width="14" style="48" bestFit="1" customWidth="1"/>
    <col min="68" max="68" width="12.85546875" style="34" customWidth="1"/>
    <col min="69" max="69" width="23" style="24" bestFit="1" customWidth="1"/>
    <col min="70" max="16384" width="8.85546875" style="24"/>
  </cols>
  <sheetData>
    <row r="1" spans="1:76" x14ac:dyDescent="0.2">
      <c r="A1" s="325" t="s">
        <v>247</v>
      </c>
      <c r="B1" s="325"/>
      <c r="C1" s="326"/>
      <c r="D1" s="42"/>
      <c r="E1" s="26"/>
      <c r="F1" s="125"/>
    </row>
    <row r="2" spans="1:76" ht="12.75" customHeight="1" x14ac:dyDescent="1.05">
      <c r="A2" s="325"/>
      <c r="B2" s="325"/>
      <c r="C2" s="326"/>
      <c r="BP2" s="308"/>
      <c r="BQ2" s="308"/>
      <c r="BR2" s="308"/>
      <c r="BS2" s="308"/>
      <c r="BT2" s="308"/>
      <c r="BU2" s="308"/>
      <c r="BV2" s="308"/>
      <c r="BW2" s="308"/>
      <c r="BX2" s="308"/>
    </row>
    <row r="3" spans="1:76" ht="12.75" customHeight="1" x14ac:dyDescent="1.05">
      <c r="A3" s="325"/>
      <c r="B3" s="325"/>
      <c r="C3" s="326"/>
      <c r="BP3" s="308"/>
      <c r="BQ3" s="308"/>
      <c r="BR3" s="308"/>
      <c r="BS3" s="308"/>
      <c r="BT3" s="308"/>
      <c r="BU3" s="308"/>
      <c r="BV3" s="308"/>
      <c r="BW3" s="308"/>
      <c r="BX3" s="308"/>
    </row>
    <row r="4" spans="1:76" ht="12.75" customHeight="1" x14ac:dyDescent="1.05">
      <c r="A4" s="325"/>
      <c r="B4" s="325"/>
      <c r="C4" s="326"/>
      <c r="BP4" s="308"/>
      <c r="BQ4" s="308"/>
      <c r="BR4" s="308"/>
      <c r="BS4" s="308"/>
      <c r="BT4" s="308"/>
      <c r="BU4" s="308"/>
      <c r="BV4" s="308"/>
      <c r="BW4" s="308"/>
      <c r="BX4" s="308"/>
    </row>
    <row r="5" spans="1:76" ht="12.75" customHeight="1" x14ac:dyDescent="1.05">
      <c r="BP5" s="308"/>
      <c r="BQ5" s="308"/>
      <c r="BR5" s="308"/>
      <c r="BS5" s="308"/>
      <c r="BT5" s="308"/>
      <c r="BU5" s="308"/>
      <c r="BV5" s="308"/>
      <c r="BW5" s="308"/>
      <c r="BX5" s="308"/>
    </row>
    <row r="6" spans="1:76" s="34" customFormat="1" x14ac:dyDescent="0.2">
      <c r="C6" s="272" t="s">
        <v>245</v>
      </c>
      <c r="D6" s="43"/>
      <c r="E6" s="273">
        <f t="shared" ref="E6:Q6" si="0">SUBTOTAL(9,E11:E98)</f>
        <v>0</v>
      </c>
      <c r="F6" s="274">
        <f t="shared" si="0"/>
        <v>0</v>
      </c>
      <c r="G6" s="275">
        <f t="shared" si="0"/>
        <v>0</v>
      </c>
      <c r="H6" s="275">
        <f t="shared" si="0"/>
        <v>0</v>
      </c>
      <c r="I6" s="275">
        <f t="shared" si="0"/>
        <v>0</v>
      </c>
      <c r="J6" s="275">
        <f t="shared" si="0"/>
        <v>0</v>
      </c>
      <c r="K6" s="275">
        <f t="shared" si="0"/>
        <v>0</v>
      </c>
      <c r="L6" s="275">
        <f t="shared" si="0"/>
        <v>0</v>
      </c>
      <c r="M6" s="275">
        <f t="shared" si="0"/>
        <v>0</v>
      </c>
      <c r="N6" s="275">
        <f t="shared" si="0"/>
        <v>0</v>
      </c>
      <c r="O6" s="275">
        <f t="shared" si="0"/>
        <v>0</v>
      </c>
      <c r="P6" s="275">
        <f t="shared" si="0"/>
        <v>0</v>
      </c>
      <c r="Q6" s="273">
        <f t="shared" si="0"/>
        <v>0</v>
      </c>
      <c r="R6" s="274"/>
      <c r="S6" s="275">
        <f t="shared" ref="S6:AS6" si="1">SUBTOTAL(9,S11:S98)</f>
        <v>0</v>
      </c>
      <c r="T6" s="275">
        <f t="shared" si="1"/>
        <v>0</v>
      </c>
      <c r="U6" s="275">
        <f t="shared" si="1"/>
        <v>0</v>
      </c>
      <c r="V6" s="275">
        <f t="shared" si="1"/>
        <v>0</v>
      </c>
      <c r="W6" s="275">
        <f t="shared" si="1"/>
        <v>0</v>
      </c>
      <c r="X6" s="275">
        <f t="shared" si="1"/>
        <v>0</v>
      </c>
      <c r="Y6" s="275">
        <f t="shared" si="1"/>
        <v>0</v>
      </c>
      <c r="Z6" s="275">
        <f t="shared" si="1"/>
        <v>0</v>
      </c>
      <c r="AA6" s="275">
        <f t="shared" si="1"/>
        <v>0</v>
      </c>
      <c r="AB6" s="275">
        <f t="shared" si="1"/>
        <v>0</v>
      </c>
      <c r="AC6" s="275">
        <f t="shared" si="1"/>
        <v>0</v>
      </c>
      <c r="AD6" s="275">
        <f t="shared" si="1"/>
        <v>0</v>
      </c>
      <c r="AE6" s="275">
        <f t="shared" si="1"/>
        <v>0</v>
      </c>
      <c r="AF6" s="275">
        <f t="shared" si="1"/>
        <v>0</v>
      </c>
      <c r="AG6" s="275">
        <f t="shared" si="1"/>
        <v>0</v>
      </c>
      <c r="AH6" s="275">
        <f t="shared" si="1"/>
        <v>0</v>
      </c>
      <c r="AI6" s="275">
        <f t="shared" si="1"/>
        <v>0</v>
      </c>
      <c r="AJ6" s="275">
        <f t="shared" si="1"/>
        <v>0</v>
      </c>
      <c r="AK6" s="275">
        <f t="shared" si="1"/>
        <v>0</v>
      </c>
      <c r="AL6" s="275">
        <f t="shared" si="1"/>
        <v>0</v>
      </c>
      <c r="AM6" s="275">
        <f t="shared" si="1"/>
        <v>0</v>
      </c>
      <c r="AN6" s="275">
        <f t="shared" si="1"/>
        <v>0</v>
      </c>
      <c r="AO6" s="275">
        <f t="shared" si="1"/>
        <v>0</v>
      </c>
      <c r="AP6" s="275">
        <f t="shared" si="1"/>
        <v>0</v>
      </c>
      <c r="AQ6" s="301">
        <f t="shared" si="1"/>
        <v>0</v>
      </c>
      <c r="AR6" s="275">
        <f t="shared" si="1"/>
        <v>0</v>
      </c>
      <c r="AS6" s="273">
        <f t="shared" si="1"/>
        <v>0</v>
      </c>
      <c r="AT6" s="274"/>
      <c r="AU6" s="275">
        <f t="shared" ref="AU6:BK6" si="2">SUBTOTAL(9,AU11:AU98)</f>
        <v>0</v>
      </c>
      <c r="AV6" s="275">
        <f t="shared" si="2"/>
        <v>0</v>
      </c>
      <c r="AW6" s="275">
        <f t="shared" si="2"/>
        <v>0</v>
      </c>
      <c r="AX6" s="275">
        <f t="shared" si="2"/>
        <v>0</v>
      </c>
      <c r="AY6" s="275">
        <f t="shared" si="2"/>
        <v>0</v>
      </c>
      <c r="AZ6" s="275">
        <f t="shared" si="2"/>
        <v>0</v>
      </c>
      <c r="BA6" s="275">
        <f t="shared" si="2"/>
        <v>0</v>
      </c>
      <c r="BB6" s="275">
        <f t="shared" si="2"/>
        <v>0</v>
      </c>
      <c r="BC6" s="275">
        <f t="shared" si="2"/>
        <v>0</v>
      </c>
      <c r="BD6" s="275">
        <f t="shared" si="2"/>
        <v>0</v>
      </c>
      <c r="BE6" s="275">
        <f t="shared" si="2"/>
        <v>0</v>
      </c>
      <c r="BF6" s="275">
        <f t="shared" si="2"/>
        <v>0</v>
      </c>
      <c r="BG6" s="275">
        <f t="shared" si="2"/>
        <v>0</v>
      </c>
      <c r="BH6" s="275">
        <f t="shared" si="2"/>
        <v>0</v>
      </c>
      <c r="BI6" s="275">
        <f t="shared" si="2"/>
        <v>0</v>
      </c>
      <c r="BJ6" s="275">
        <f t="shared" si="2"/>
        <v>0</v>
      </c>
      <c r="BK6" s="273">
        <f t="shared" si="2"/>
        <v>0</v>
      </c>
      <c r="BL6" s="121"/>
      <c r="BM6" s="41">
        <f>SUBTOTAL(9,BM11:BM95)</f>
        <v>-3.7252902984619141E-8</v>
      </c>
      <c r="BN6" s="126"/>
      <c r="BO6" s="75"/>
    </row>
    <row r="7" spans="1:76" s="33" customFormat="1" x14ac:dyDescent="0.2">
      <c r="C7" s="159" t="s">
        <v>132</v>
      </c>
      <c r="D7" s="43"/>
      <c r="E7" s="41"/>
      <c r="F7" s="80"/>
      <c r="G7" s="33">
        <f>SUM(E33,G33:G35)</f>
        <v>835322.83290543128</v>
      </c>
      <c r="H7" s="33">
        <f t="shared" ref="H7:P7" si="3">G7+SUM(H33:H35)</f>
        <v>5398883.2179753175</v>
      </c>
      <c r="I7" s="33">
        <f t="shared" si="3"/>
        <v>9951873.6030452028</v>
      </c>
      <c r="J7" s="33">
        <f t="shared" si="3"/>
        <v>14510048.988115089</v>
      </c>
      <c r="K7" s="33">
        <f t="shared" si="3"/>
        <v>19090852.373184975</v>
      </c>
      <c r="L7" s="33">
        <f t="shared" si="3"/>
        <v>23638232.758254863</v>
      </c>
      <c r="M7" s="33">
        <f t="shared" si="3"/>
        <v>28104998.143324748</v>
      </c>
      <c r="N7" s="33">
        <f t="shared" si="3"/>
        <v>32505455.528394632</v>
      </c>
      <c r="O7" s="33">
        <f t="shared" si="3"/>
        <v>36923881.913464516</v>
      </c>
      <c r="P7" s="33">
        <f t="shared" si="3"/>
        <v>41360988.298534401</v>
      </c>
      <c r="Q7" s="41">
        <f>P7</f>
        <v>41360988.298534401</v>
      </c>
      <c r="R7" s="80"/>
      <c r="S7" s="33">
        <f>P7+SUM(S33:S35)</f>
        <v>39723352.86012923</v>
      </c>
      <c r="T7" s="33">
        <f t="shared" ref="T7:AQ7" si="4">S7+SUM(T34:T35)</f>
        <v>38105909.421724059</v>
      </c>
      <c r="U7" s="33">
        <f t="shared" si="4"/>
        <v>36509462.983318888</v>
      </c>
      <c r="V7" s="33">
        <f t="shared" si="4"/>
        <v>34934849.544913717</v>
      </c>
      <c r="W7" s="33">
        <f t="shared" si="4"/>
        <v>33382940.106508546</v>
      </c>
      <c r="X7" s="33">
        <f t="shared" si="4"/>
        <v>31854643.668103375</v>
      </c>
      <c r="Y7" s="33">
        <f t="shared" si="4"/>
        <v>30350905.229698204</v>
      </c>
      <c r="Z7" s="33">
        <f t="shared" si="4"/>
        <v>28872709.791293032</v>
      </c>
      <c r="AA7" s="33">
        <f t="shared" si="4"/>
        <v>27421083.352887861</v>
      </c>
      <c r="AB7" s="33">
        <f t="shared" si="4"/>
        <v>25997094.91448269</v>
      </c>
      <c r="AC7" s="33">
        <f t="shared" si="4"/>
        <v>24599893.476077519</v>
      </c>
      <c r="AD7" s="33">
        <f t="shared" si="4"/>
        <v>23107293.037672348</v>
      </c>
      <c r="AE7" s="33">
        <f t="shared" si="4"/>
        <v>21504410.599267177</v>
      </c>
      <c r="AF7" s="33">
        <f t="shared" si="4"/>
        <v>19696127.160862006</v>
      </c>
      <c r="AG7" s="33">
        <f t="shared" si="4"/>
        <v>17883033.722456835</v>
      </c>
      <c r="AH7" s="33">
        <f t="shared" si="4"/>
        <v>16064501.284051666</v>
      </c>
      <c r="AI7" s="33">
        <f t="shared" si="4"/>
        <v>14239864.845646497</v>
      </c>
      <c r="AJ7" s="33">
        <f t="shared" si="4"/>
        <v>12408422.407241328</v>
      </c>
      <c r="AK7" s="33">
        <f t="shared" si="4"/>
        <v>10569431.968836159</v>
      </c>
      <c r="AL7" s="33">
        <f t="shared" si="4"/>
        <v>8722112.5304309893</v>
      </c>
      <c r="AM7" s="33">
        <f>AL7+SUM(AM34:AM35)</f>
        <v>6865638.0920258202</v>
      </c>
      <c r="AN7" s="33">
        <f t="shared" si="4"/>
        <v>4999138.653620651</v>
      </c>
      <c r="AO7" s="33">
        <f t="shared" si="4"/>
        <v>3121697.2152154818</v>
      </c>
      <c r="AP7" s="33">
        <f t="shared" si="4"/>
        <v>1236158.7768103126</v>
      </c>
      <c r="AQ7" s="33">
        <f t="shared" si="4"/>
        <v>0</v>
      </c>
      <c r="AR7" s="33">
        <f>AQ7+SUM(AR34:AR35)</f>
        <v>0</v>
      </c>
      <c r="AS7" s="41">
        <f>AR7</f>
        <v>0</v>
      </c>
      <c r="AT7" s="161"/>
      <c r="AU7" s="33">
        <f>AR7+SUM(AU34:AU35)</f>
        <v>0</v>
      </c>
      <c r="AV7" s="33">
        <f>SUM(AU7,AV34:AV35)</f>
        <v>0</v>
      </c>
      <c r="AW7" s="33">
        <f t="shared" ref="AW7:BJ7" si="5">SUM(AV7,AW34:AW35)</f>
        <v>0</v>
      </c>
      <c r="AX7" s="33">
        <f t="shared" si="5"/>
        <v>0</v>
      </c>
      <c r="AY7" s="33">
        <f t="shared" si="5"/>
        <v>0</v>
      </c>
      <c r="AZ7" s="33">
        <f t="shared" si="5"/>
        <v>0</v>
      </c>
      <c r="BA7" s="33">
        <f t="shared" si="5"/>
        <v>0</v>
      </c>
      <c r="BB7" s="33">
        <f t="shared" si="5"/>
        <v>0</v>
      </c>
      <c r="BC7" s="33">
        <f t="shared" si="5"/>
        <v>0</v>
      </c>
      <c r="BD7" s="33">
        <f t="shared" si="5"/>
        <v>0</v>
      </c>
      <c r="BE7" s="33">
        <f t="shared" si="5"/>
        <v>0</v>
      </c>
      <c r="BF7" s="33">
        <f t="shared" si="5"/>
        <v>0</v>
      </c>
      <c r="BG7" s="33">
        <f t="shared" si="5"/>
        <v>0</v>
      </c>
      <c r="BH7" s="33">
        <f t="shared" si="5"/>
        <v>0</v>
      </c>
      <c r="BI7" s="33">
        <f t="shared" si="5"/>
        <v>0</v>
      </c>
      <c r="BJ7" s="33">
        <f t="shared" si="5"/>
        <v>0</v>
      </c>
      <c r="BK7" s="41">
        <f>BJ7</f>
        <v>0</v>
      </c>
      <c r="BL7" s="160"/>
      <c r="BM7" s="41"/>
      <c r="BN7" s="125"/>
      <c r="BO7" s="41"/>
    </row>
    <row r="8" spans="1:76" s="33" customFormat="1" x14ac:dyDescent="0.2">
      <c r="C8" s="159" t="s">
        <v>133</v>
      </c>
      <c r="D8" s="43"/>
      <c r="E8" s="41"/>
      <c r="F8" s="80"/>
      <c r="G8" s="33">
        <f>SUM(D46:E47)+SUM(G46:G47)</f>
        <v>0</v>
      </c>
      <c r="H8" s="33">
        <f t="shared" ref="H8:P8" si="6">G8+SUM(H46:H47)</f>
        <v>0</v>
      </c>
      <c r="I8" s="33">
        <f t="shared" si="6"/>
        <v>0</v>
      </c>
      <c r="J8" s="33">
        <f t="shared" si="6"/>
        <v>0</v>
      </c>
      <c r="K8" s="33">
        <f t="shared" si="6"/>
        <v>0</v>
      </c>
      <c r="L8" s="33">
        <f t="shared" si="6"/>
        <v>0</v>
      </c>
      <c r="M8" s="33">
        <f t="shared" si="6"/>
        <v>0</v>
      </c>
      <c r="N8" s="33">
        <f t="shared" si="6"/>
        <v>0</v>
      </c>
      <c r="O8" s="33">
        <f t="shared" si="6"/>
        <v>0</v>
      </c>
      <c r="P8" s="33">
        <f t="shared" si="6"/>
        <v>0</v>
      </c>
      <c r="Q8" s="41">
        <f>P8</f>
        <v>0</v>
      </c>
      <c r="R8" s="80"/>
      <c r="S8" s="33">
        <f>P8+SUM(S46:S47)</f>
        <v>0</v>
      </c>
      <c r="T8" s="33">
        <f t="shared" ref="T8:AR8" si="7">S8+SUM(T46:T47)</f>
        <v>0</v>
      </c>
      <c r="U8" s="33">
        <f t="shared" si="7"/>
        <v>0</v>
      </c>
      <c r="V8" s="33">
        <f t="shared" si="7"/>
        <v>0</v>
      </c>
      <c r="W8" s="33">
        <f t="shared" si="7"/>
        <v>0</v>
      </c>
      <c r="X8" s="33">
        <f t="shared" si="7"/>
        <v>0</v>
      </c>
      <c r="Y8" s="33">
        <f t="shared" si="7"/>
        <v>0</v>
      </c>
      <c r="Z8" s="33">
        <f t="shared" si="7"/>
        <v>0</v>
      </c>
      <c r="AA8" s="33">
        <f t="shared" si="7"/>
        <v>0</v>
      </c>
      <c r="AB8" s="33">
        <f t="shared" si="7"/>
        <v>0</v>
      </c>
      <c r="AC8" s="33">
        <f t="shared" si="7"/>
        <v>0</v>
      </c>
      <c r="AD8" s="33">
        <f t="shared" si="7"/>
        <v>0</v>
      </c>
      <c r="AE8" s="33">
        <f t="shared" si="7"/>
        <v>0</v>
      </c>
      <c r="AF8" s="33">
        <f t="shared" si="7"/>
        <v>0</v>
      </c>
      <c r="AG8" s="33">
        <f t="shared" si="7"/>
        <v>0</v>
      </c>
      <c r="AH8" s="33">
        <f t="shared" si="7"/>
        <v>0</v>
      </c>
      <c r="AI8" s="33">
        <f t="shared" si="7"/>
        <v>0</v>
      </c>
      <c r="AJ8" s="33">
        <f t="shared" si="7"/>
        <v>0</v>
      </c>
      <c r="AK8" s="33">
        <f t="shared" si="7"/>
        <v>0</v>
      </c>
      <c r="AL8" s="33">
        <f t="shared" si="7"/>
        <v>0</v>
      </c>
      <c r="AM8" s="33">
        <f t="shared" si="7"/>
        <v>0</v>
      </c>
      <c r="AN8" s="33">
        <f t="shared" si="7"/>
        <v>0</v>
      </c>
      <c r="AO8" s="33">
        <f t="shared" si="7"/>
        <v>0</v>
      </c>
      <c r="AP8" s="33">
        <f t="shared" si="7"/>
        <v>0</v>
      </c>
      <c r="AQ8" s="278">
        <f t="shared" si="7"/>
        <v>-658253.66159485665</v>
      </c>
      <c r="AR8" s="33">
        <f t="shared" si="7"/>
        <v>-2562359.1000000257</v>
      </c>
      <c r="AS8" s="41">
        <f>AR8</f>
        <v>-2562359.1000000257</v>
      </c>
      <c r="AT8" s="80"/>
      <c r="AU8" s="33">
        <f>AR8+SUM(AU46:AU47)</f>
        <v>-2292329.1000000257</v>
      </c>
      <c r="AV8" s="33">
        <f t="shared" ref="AV8:BI8" si="8">AU8+SUM(AV46:AV47)</f>
        <v>-2033766.1000000257</v>
      </c>
      <c r="AW8" s="33">
        <f t="shared" si="8"/>
        <v>-1787627.1000000257</v>
      </c>
      <c r="AX8" s="33">
        <f t="shared" si="8"/>
        <v>-1554921.1000000257</v>
      </c>
      <c r="AY8" s="33">
        <f t="shared" si="8"/>
        <v>-1336710.1000000257</v>
      </c>
      <c r="AZ8" s="33">
        <f t="shared" si="8"/>
        <v>-1134110.1000000257</v>
      </c>
      <c r="BA8" s="33">
        <f t="shared" si="8"/>
        <v>-948297.1000000257</v>
      </c>
      <c r="BB8" s="33">
        <f t="shared" si="8"/>
        <v>-775861.1000000257</v>
      </c>
      <c r="BC8" s="33">
        <f t="shared" si="8"/>
        <v>-617808.1000000257</v>
      </c>
      <c r="BD8" s="33">
        <f t="shared" si="8"/>
        <v>-475195.1000000257</v>
      </c>
      <c r="BE8" s="33">
        <f t="shared" si="8"/>
        <v>-349135.1000000257</v>
      </c>
      <c r="BF8" s="33">
        <f t="shared" si="8"/>
        <v>-240798.1000000257</v>
      </c>
      <c r="BG8" s="33">
        <f t="shared" si="8"/>
        <v>-151412.1000000257</v>
      </c>
      <c r="BH8" s="33">
        <f t="shared" si="8"/>
        <v>-82269.100000025705</v>
      </c>
      <c r="BI8" s="33">
        <f t="shared" si="8"/>
        <v>-34725.100000025705</v>
      </c>
      <c r="BJ8" s="33">
        <f>ROUND(BI8+SUM(BJ46:BJ47),0)</f>
        <v>0</v>
      </c>
      <c r="BK8" s="41">
        <f>BJ8</f>
        <v>0</v>
      </c>
      <c r="BL8" s="160"/>
      <c r="BM8" s="41"/>
      <c r="BN8" s="125"/>
      <c r="BO8" s="41"/>
    </row>
    <row r="9" spans="1:76" s="148" customFormat="1" x14ac:dyDescent="0.2">
      <c r="B9" s="306">
        <f>SUM(E9:BP9)</f>
        <v>-3.7252902984619141E-8</v>
      </c>
      <c r="C9" s="149" t="s">
        <v>135</v>
      </c>
      <c r="D9" s="150"/>
      <c r="E9" s="151">
        <f>SUM(E11:E125)</f>
        <v>0</v>
      </c>
      <c r="F9" s="152"/>
      <c r="G9" s="154">
        <f t="shared" ref="G9:P9" si="9">SUBTOTAL(9,G11:G125)</f>
        <v>0</v>
      </c>
      <c r="H9" s="154">
        <f t="shared" si="9"/>
        <v>0</v>
      </c>
      <c r="I9" s="154">
        <f t="shared" si="9"/>
        <v>0</v>
      </c>
      <c r="J9" s="154">
        <f t="shared" si="9"/>
        <v>0</v>
      </c>
      <c r="K9" s="154">
        <f t="shared" si="9"/>
        <v>0</v>
      </c>
      <c r="L9" s="154">
        <f t="shared" si="9"/>
        <v>0</v>
      </c>
      <c r="M9" s="154">
        <f t="shared" si="9"/>
        <v>0</v>
      </c>
      <c r="N9" s="154">
        <f t="shared" si="9"/>
        <v>0</v>
      </c>
      <c r="O9" s="154">
        <f t="shared" si="9"/>
        <v>0</v>
      </c>
      <c r="P9" s="154">
        <f t="shared" si="9"/>
        <v>0</v>
      </c>
      <c r="Q9" s="168">
        <f>SUM(Q11:Q125)</f>
        <v>0</v>
      </c>
      <c r="R9" s="153"/>
      <c r="S9" s="168">
        <f t="shared" ref="S9:AS9" si="10">SUM(S11:S125)</f>
        <v>0</v>
      </c>
      <c r="T9" s="154">
        <f t="shared" si="10"/>
        <v>0</v>
      </c>
      <c r="U9" s="154">
        <f t="shared" si="10"/>
        <v>0</v>
      </c>
      <c r="V9" s="154">
        <f t="shared" si="10"/>
        <v>0</v>
      </c>
      <c r="W9" s="154">
        <f t="shared" si="10"/>
        <v>0</v>
      </c>
      <c r="X9" s="154">
        <f t="shared" si="10"/>
        <v>0</v>
      </c>
      <c r="Y9" s="154">
        <f t="shared" si="10"/>
        <v>0</v>
      </c>
      <c r="Z9" s="154">
        <f t="shared" si="10"/>
        <v>0</v>
      </c>
      <c r="AA9" s="154">
        <f t="shared" si="10"/>
        <v>0</v>
      </c>
      <c r="AB9" s="154">
        <f t="shared" si="10"/>
        <v>0</v>
      </c>
      <c r="AC9" s="154">
        <f t="shared" si="10"/>
        <v>0</v>
      </c>
      <c r="AD9" s="154">
        <f t="shared" si="10"/>
        <v>0</v>
      </c>
      <c r="AE9" s="154">
        <f t="shared" si="10"/>
        <v>0</v>
      </c>
      <c r="AF9" s="154">
        <f t="shared" si="10"/>
        <v>0</v>
      </c>
      <c r="AG9" s="154">
        <f t="shared" si="10"/>
        <v>0</v>
      </c>
      <c r="AH9" s="154">
        <f t="shared" si="10"/>
        <v>0</v>
      </c>
      <c r="AI9" s="154">
        <f t="shared" si="10"/>
        <v>0</v>
      </c>
      <c r="AJ9" s="154">
        <f t="shared" si="10"/>
        <v>0</v>
      </c>
      <c r="AK9" s="154">
        <f t="shared" si="10"/>
        <v>0</v>
      </c>
      <c r="AL9" s="154">
        <f t="shared" si="10"/>
        <v>0</v>
      </c>
      <c r="AM9" s="154">
        <f t="shared" si="10"/>
        <v>0</v>
      </c>
      <c r="AN9" s="154">
        <f t="shared" si="10"/>
        <v>0</v>
      </c>
      <c r="AO9" s="154">
        <f t="shared" si="10"/>
        <v>0</v>
      </c>
      <c r="AP9" s="154">
        <f t="shared" si="10"/>
        <v>0</v>
      </c>
      <c r="AQ9" s="154">
        <f t="shared" si="10"/>
        <v>0</v>
      </c>
      <c r="AR9" s="154">
        <f t="shared" si="10"/>
        <v>0</v>
      </c>
      <c r="AS9" s="151">
        <f t="shared" si="10"/>
        <v>0</v>
      </c>
      <c r="AT9" s="155"/>
      <c r="AU9" s="176">
        <f t="shared" ref="AU9:BK9" si="11">SUM(AU11:AU125)</f>
        <v>0</v>
      </c>
      <c r="AV9" s="176">
        <f t="shared" si="11"/>
        <v>0</v>
      </c>
      <c r="AW9" s="176">
        <f t="shared" si="11"/>
        <v>0</v>
      </c>
      <c r="AX9" s="176">
        <f t="shared" si="11"/>
        <v>0</v>
      </c>
      <c r="AY9" s="176">
        <f t="shared" si="11"/>
        <v>0</v>
      </c>
      <c r="AZ9" s="176">
        <f t="shared" si="11"/>
        <v>0</v>
      </c>
      <c r="BA9" s="176">
        <f t="shared" si="11"/>
        <v>0</v>
      </c>
      <c r="BB9" s="176">
        <f t="shared" si="11"/>
        <v>0</v>
      </c>
      <c r="BC9" s="176">
        <f t="shared" si="11"/>
        <v>0</v>
      </c>
      <c r="BD9" s="176">
        <f t="shared" si="11"/>
        <v>0</v>
      </c>
      <c r="BE9" s="176">
        <f t="shared" si="11"/>
        <v>0</v>
      </c>
      <c r="BF9" s="176">
        <f t="shared" si="11"/>
        <v>0</v>
      </c>
      <c r="BG9" s="176">
        <f t="shared" si="11"/>
        <v>0</v>
      </c>
      <c r="BH9" s="176">
        <f t="shared" si="11"/>
        <v>0</v>
      </c>
      <c r="BI9" s="176">
        <f t="shared" si="11"/>
        <v>0</v>
      </c>
      <c r="BJ9" s="176">
        <f t="shared" si="11"/>
        <v>0</v>
      </c>
      <c r="BK9" s="151">
        <f t="shared" si="11"/>
        <v>0</v>
      </c>
      <c r="BL9" s="156"/>
      <c r="BM9" s="151">
        <f>SUM(BM11:BM125)</f>
        <v>-3.7252902984619141E-8</v>
      </c>
      <c r="BN9" s="157"/>
      <c r="BO9" s="158"/>
    </row>
    <row r="10" spans="1:76" s="141" customFormat="1" ht="30" customHeight="1" x14ac:dyDescent="0.25">
      <c r="D10" s="164">
        <v>43100</v>
      </c>
      <c r="E10" s="280" t="s">
        <v>61</v>
      </c>
      <c r="F10" s="281" t="s">
        <v>160</v>
      </c>
      <c r="G10" s="208">
        <v>2018</v>
      </c>
      <c r="H10" s="208">
        <v>2019</v>
      </c>
      <c r="I10" s="208">
        <v>2020</v>
      </c>
      <c r="J10" s="208">
        <v>2021</v>
      </c>
      <c r="K10" s="208">
        <v>2022</v>
      </c>
      <c r="L10" s="208">
        <v>2023</v>
      </c>
      <c r="M10" s="208">
        <v>2024</v>
      </c>
      <c r="N10" s="208">
        <v>2025</v>
      </c>
      <c r="O10" s="208">
        <v>2026</v>
      </c>
      <c r="P10" s="208">
        <v>2027</v>
      </c>
      <c r="Q10" s="142" t="s">
        <v>136</v>
      </c>
      <c r="R10" s="143" t="s">
        <v>160</v>
      </c>
      <c r="S10" s="209">
        <v>2028</v>
      </c>
      <c r="T10" s="209">
        <v>2029</v>
      </c>
      <c r="U10" s="209">
        <v>2030</v>
      </c>
      <c r="V10" s="209">
        <v>2031</v>
      </c>
      <c r="W10" s="209">
        <v>2032</v>
      </c>
      <c r="X10" s="209">
        <v>2033</v>
      </c>
      <c r="Y10" s="209">
        <v>2034</v>
      </c>
      <c r="Z10" s="209">
        <v>2035</v>
      </c>
      <c r="AA10" s="209">
        <v>2036</v>
      </c>
      <c r="AB10" s="209">
        <v>2037</v>
      </c>
      <c r="AC10" s="209">
        <v>2038</v>
      </c>
      <c r="AD10" s="209">
        <v>2039</v>
      </c>
      <c r="AE10" s="209">
        <v>2040</v>
      </c>
      <c r="AF10" s="209">
        <v>2041</v>
      </c>
      <c r="AG10" s="209">
        <v>2042</v>
      </c>
      <c r="AH10" s="209">
        <v>2043</v>
      </c>
      <c r="AI10" s="210">
        <v>2044</v>
      </c>
      <c r="AJ10" s="210">
        <v>2045</v>
      </c>
      <c r="AK10" s="210">
        <v>2046</v>
      </c>
      <c r="AL10" s="210">
        <v>2047</v>
      </c>
      <c r="AM10" s="210">
        <v>2048</v>
      </c>
      <c r="AN10" s="210">
        <v>2049</v>
      </c>
      <c r="AO10" s="210">
        <v>2050</v>
      </c>
      <c r="AP10" s="210">
        <v>2051</v>
      </c>
      <c r="AQ10" s="210">
        <v>2052</v>
      </c>
      <c r="AR10" s="210">
        <v>2053</v>
      </c>
      <c r="AS10" s="144" t="s">
        <v>148</v>
      </c>
      <c r="AT10" s="211" t="s">
        <v>160</v>
      </c>
      <c r="AU10" s="207">
        <v>2054</v>
      </c>
      <c r="AV10" s="207">
        <v>2055</v>
      </c>
      <c r="AW10" s="207">
        <v>2056</v>
      </c>
      <c r="AX10" s="207">
        <v>2057</v>
      </c>
      <c r="AY10" s="207">
        <v>2058</v>
      </c>
      <c r="AZ10" s="207">
        <v>2059</v>
      </c>
      <c r="BA10" s="207">
        <v>2060</v>
      </c>
      <c r="BB10" s="207">
        <v>2061</v>
      </c>
      <c r="BC10" s="207">
        <v>2062</v>
      </c>
      <c r="BD10" s="207">
        <v>2063</v>
      </c>
      <c r="BE10" s="207">
        <v>2064</v>
      </c>
      <c r="BF10" s="207">
        <v>2065</v>
      </c>
      <c r="BG10" s="207">
        <v>2066</v>
      </c>
      <c r="BH10" s="207">
        <v>2067</v>
      </c>
      <c r="BI10" s="207">
        <v>2068</v>
      </c>
      <c r="BJ10" s="207">
        <v>2069</v>
      </c>
      <c r="BK10" s="174" t="s">
        <v>129</v>
      </c>
      <c r="BL10" s="212" t="s">
        <v>160</v>
      </c>
      <c r="BM10" s="145" t="s">
        <v>130</v>
      </c>
      <c r="BN10" s="146" t="s">
        <v>160</v>
      </c>
      <c r="BO10" s="145" t="s">
        <v>152</v>
      </c>
      <c r="BP10" s="147"/>
    </row>
    <row r="11" spans="1:76" ht="13.5" customHeight="1" thickBot="1" x14ac:dyDescent="0.25">
      <c r="A11" s="1" t="s">
        <v>0</v>
      </c>
      <c r="B11" s="24" t="s">
        <v>47</v>
      </c>
      <c r="C11" s="36" t="s">
        <v>48</v>
      </c>
      <c r="D11" s="45">
        <v>1288611.69</v>
      </c>
      <c r="G11" s="26"/>
      <c r="H11" s="26"/>
      <c r="I11" s="26"/>
      <c r="J11" s="26"/>
      <c r="K11" s="26"/>
      <c r="L11" s="26"/>
      <c r="M11" s="26"/>
      <c r="N11" s="26"/>
      <c r="O11" s="26"/>
      <c r="P11" s="26"/>
      <c r="Q11" s="42"/>
      <c r="R11" s="80"/>
      <c r="S11" s="26"/>
      <c r="BO11" s="47">
        <f>SUM(D11,E11,Q11,AS11,BK11)</f>
        <v>1288611.69</v>
      </c>
    </row>
    <row r="12" spans="1:76" ht="13.5" customHeight="1" thickBot="1" x14ac:dyDescent="0.25">
      <c r="A12" s="1" t="s">
        <v>0</v>
      </c>
      <c r="B12" s="24" t="s">
        <v>47</v>
      </c>
      <c r="C12" s="36" t="s">
        <v>49</v>
      </c>
      <c r="D12" s="45">
        <v>320963895.20999992</v>
      </c>
      <c r="G12" s="26"/>
      <c r="H12" s="26"/>
      <c r="I12" s="26"/>
      <c r="J12" s="26"/>
      <c r="K12" s="26"/>
      <c r="L12" s="26"/>
      <c r="M12" s="26"/>
      <c r="N12" s="26"/>
      <c r="O12" s="26"/>
      <c r="P12" s="26"/>
      <c r="Q12" s="42"/>
      <c r="R12" s="80"/>
      <c r="S12" s="26"/>
      <c r="BO12" s="47">
        <f>SUM(D12,E12,Q12,AS12,BK12)</f>
        <v>320963895.20999992</v>
      </c>
    </row>
    <row r="13" spans="1:76" ht="13.5" customHeight="1" thickBot="1" x14ac:dyDescent="0.25">
      <c r="A13" s="1" t="s">
        <v>0</v>
      </c>
      <c r="B13" s="24" t="s">
        <v>47</v>
      </c>
      <c r="C13" s="37" t="s">
        <v>16</v>
      </c>
      <c r="D13" s="45">
        <v>13876819.140000001</v>
      </c>
      <c r="E13" s="78"/>
      <c r="F13" s="81"/>
      <c r="G13" s="26"/>
      <c r="H13" s="26"/>
      <c r="I13" s="26"/>
      <c r="J13" s="26"/>
      <c r="K13" s="26"/>
      <c r="L13" s="26"/>
      <c r="M13" s="26"/>
      <c r="N13" s="26"/>
      <c r="O13" s="26"/>
      <c r="P13" s="26"/>
      <c r="Q13" s="42"/>
      <c r="R13" s="80"/>
      <c r="S13" s="26"/>
      <c r="BO13" s="47">
        <f>SUM(D13,E13,Q13,AS13,BK13)</f>
        <v>13876819.140000001</v>
      </c>
      <c r="BP13" s="178">
        <f>SUM(BO13,BO26)</f>
        <v>0</v>
      </c>
      <c r="BQ13" s="177" t="s">
        <v>154</v>
      </c>
    </row>
    <row r="14" spans="1:76" ht="13.5" customHeight="1" thickBot="1" x14ac:dyDescent="0.25">
      <c r="A14" s="1" t="s">
        <v>0</v>
      </c>
      <c r="B14" s="24" t="s">
        <v>47</v>
      </c>
      <c r="C14" s="36" t="s">
        <v>55</v>
      </c>
      <c r="D14" s="45">
        <f>'Transmission-deprec exp Updated'!D25</f>
        <v>41030662.420000002</v>
      </c>
      <c r="E14" s="78"/>
      <c r="F14" s="81"/>
      <c r="G14" s="26"/>
      <c r="H14" s="26"/>
      <c r="I14" s="26"/>
      <c r="J14" s="26"/>
      <c r="K14" s="26"/>
      <c r="L14" s="26"/>
      <c r="M14" s="26"/>
      <c r="N14" s="26"/>
      <c r="O14" s="26"/>
      <c r="P14" s="26"/>
      <c r="Q14" s="42"/>
      <c r="R14" s="80"/>
      <c r="S14" s="26"/>
      <c r="BO14" s="47">
        <f>SUM(D14,E14,Q14,AS14,BK14)</f>
        <v>41030662.420000002</v>
      </c>
    </row>
    <row r="15" spans="1:76" ht="12.75" customHeight="1" x14ac:dyDescent="0.2">
      <c r="E15" s="78"/>
      <c r="F15" s="81"/>
      <c r="G15" s="27"/>
      <c r="H15" s="27"/>
      <c r="I15" s="27"/>
      <c r="J15" s="27"/>
      <c r="K15" s="27"/>
      <c r="L15" s="27"/>
      <c r="M15" s="27"/>
      <c r="N15" s="27"/>
      <c r="O15" s="27"/>
      <c r="P15" s="27"/>
      <c r="Q15" s="47"/>
      <c r="R15" s="95"/>
      <c r="S15" s="26"/>
    </row>
    <row r="16" spans="1:76" ht="12.75" customHeight="1" x14ac:dyDescent="0.2">
      <c r="A16" s="29">
        <v>101090</v>
      </c>
      <c r="B16" s="290" t="s">
        <v>51</v>
      </c>
      <c r="C16" s="38" t="s">
        <v>41</v>
      </c>
      <c r="D16" s="45">
        <v>0</v>
      </c>
      <c r="E16" s="78">
        <f>-'Entries-Summary'!H41</f>
        <v>-10903002.105263157</v>
      </c>
      <c r="F16" s="81" t="s">
        <v>79</v>
      </c>
      <c r="G16" s="27"/>
      <c r="H16" s="27"/>
      <c r="I16" s="27"/>
      <c r="J16" s="27"/>
      <c r="K16" s="27"/>
      <c r="L16" s="27"/>
      <c r="M16" s="27"/>
      <c r="N16" s="27"/>
      <c r="O16" s="27"/>
      <c r="P16" s="27"/>
      <c r="Q16" s="47"/>
      <c r="R16" s="95"/>
      <c r="S16" s="26"/>
      <c r="BM16" s="47">
        <f>SUM(E16,Q16,AS16,BK16)</f>
        <v>-10903002.105263157</v>
      </c>
      <c r="BN16" s="81" t="s">
        <v>79</v>
      </c>
      <c r="BO16" s="47">
        <f>SUM(D16,E16,Q16,AS16,BK16)</f>
        <v>-10903002.105263157</v>
      </c>
    </row>
    <row r="17" spans="1:69" ht="12.75" customHeight="1" x14ac:dyDescent="0.2">
      <c r="A17" s="29">
        <v>101090</v>
      </c>
      <c r="B17" s="290" t="s">
        <v>50</v>
      </c>
      <c r="C17" s="38" t="s">
        <v>41</v>
      </c>
      <c r="D17" s="45">
        <v>0</v>
      </c>
      <c r="E17" s="78">
        <f>-'Entries-Summary'!H42</f>
        <v>-6408656.712150747</v>
      </c>
      <c r="F17" s="81" t="s">
        <v>79</v>
      </c>
      <c r="G17" s="46"/>
      <c r="H17" s="46"/>
      <c r="I17" s="46"/>
      <c r="J17" s="46"/>
      <c r="K17" s="46"/>
      <c r="L17" s="46"/>
      <c r="M17" s="46"/>
      <c r="N17" s="46"/>
      <c r="O17" s="46"/>
      <c r="P17" s="46"/>
      <c r="Q17" s="47"/>
      <c r="R17" s="95"/>
      <c r="S17" s="26"/>
      <c r="BM17" s="47">
        <f>SUM(E17,Q17,AS17,BK17)</f>
        <v>-6408656.712150747</v>
      </c>
      <c r="BN17" s="81" t="s">
        <v>79</v>
      </c>
      <c r="BO17" s="47">
        <f>SUM(D17,E17,Q17,AS17,BK17)</f>
        <v>-6408656.712150747</v>
      </c>
    </row>
    <row r="18" spans="1:69" ht="12.75" customHeight="1" x14ac:dyDescent="0.2">
      <c r="A18" s="29"/>
      <c r="B18" s="40"/>
      <c r="C18" s="38"/>
      <c r="E18" s="78"/>
      <c r="F18" s="81"/>
      <c r="G18" s="46"/>
      <c r="H18" s="46"/>
      <c r="I18" s="46"/>
      <c r="J18" s="46"/>
      <c r="K18" s="46"/>
      <c r="L18" s="46"/>
      <c r="M18" s="46"/>
      <c r="N18" s="46"/>
      <c r="O18" s="46"/>
      <c r="P18" s="46"/>
      <c r="Q18" s="47"/>
      <c r="R18" s="95"/>
      <c r="S18" s="26"/>
      <c r="BM18" s="47"/>
      <c r="BN18" s="289"/>
      <c r="BO18" s="47"/>
    </row>
    <row r="19" spans="1:69" ht="12.75" customHeight="1" x14ac:dyDescent="0.2">
      <c r="A19" s="29"/>
      <c r="B19" s="40"/>
      <c r="C19" s="38"/>
      <c r="E19" s="78"/>
      <c r="F19" s="81"/>
      <c r="G19" s="46"/>
      <c r="H19" s="46"/>
      <c r="I19" s="46"/>
      <c r="J19" s="46"/>
      <c r="K19" s="46"/>
      <c r="L19" s="46"/>
      <c r="M19" s="46"/>
      <c r="N19" s="46"/>
      <c r="O19" s="46"/>
      <c r="P19" s="46"/>
      <c r="Q19" s="47"/>
      <c r="R19" s="95"/>
      <c r="S19" s="26"/>
      <c r="BM19" s="47"/>
      <c r="BN19" s="289"/>
      <c r="BO19" s="47"/>
    </row>
    <row r="20" spans="1:69" ht="12.75" customHeight="1" x14ac:dyDescent="0.2">
      <c r="A20" s="29"/>
      <c r="B20" s="40"/>
      <c r="C20" s="38"/>
      <c r="E20" s="78"/>
      <c r="F20" s="81"/>
      <c r="G20" s="46"/>
      <c r="H20" s="46"/>
      <c r="I20" s="46"/>
      <c r="J20" s="46"/>
      <c r="K20" s="46"/>
      <c r="L20" s="46"/>
      <c r="M20" s="46"/>
      <c r="N20" s="46"/>
      <c r="O20" s="46"/>
      <c r="P20" s="46"/>
      <c r="Q20" s="47"/>
      <c r="R20" s="95"/>
      <c r="S20" s="26"/>
      <c r="BM20" s="47"/>
      <c r="BN20" s="289"/>
      <c r="BO20" s="47"/>
    </row>
    <row r="21" spans="1:69" ht="12.75" customHeight="1" x14ac:dyDescent="0.2">
      <c r="A21" s="29"/>
      <c r="B21" s="40"/>
      <c r="C21" s="38"/>
      <c r="E21" s="78"/>
      <c r="F21" s="81"/>
      <c r="G21" s="46"/>
      <c r="H21" s="46"/>
      <c r="I21" s="46"/>
      <c r="J21" s="46"/>
      <c r="K21" s="46"/>
      <c r="L21" s="46"/>
      <c r="M21" s="46"/>
      <c r="N21" s="46"/>
      <c r="O21" s="46"/>
      <c r="P21" s="46"/>
      <c r="Q21" s="47"/>
      <c r="R21" s="95"/>
      <c r="S21" s="26"/>
      <c r="BM21" s="47"/>
      <c r="BN21" s="289"/>
      <c r="BO21" s="47"/>
    </row>
    <row r="22" spans="1:69" ht="12.75" customHeight="1" x14ac:dyDescent="0.2">
      <c r="A22" s="29"/>
      <c r="B22" s="40"/>
      <c r="C22" s="38"/>
      <c r="E22" s="78"/>
      <c r="F22" s="81"/>
      <c r="G22" s="46"/>
      <c r="H22" s="46"/>
      <c r="I22" s="46"/>
      <c r="J22" s="46"/>
      <c r="K22" s="46"/>
      <c r="L22" s="46"/>
      <c r="M22" s="46"/>
      <c r="N22" s="46"/>
      <c r="O22" s="46"/>
      <c r="P22" s="46"/>
      <c r="Q22" s="47"/>
      <c r="R22" s="95"/>
      <c r="S22" s="26"/>
      <c r="BM22" s="47"/>
      <c r="BN22" s="289"/>
      <c r="BO22" s="47"/>
    </row>
    <row r="23" spans="1:69" ht="12.75" customHeight="1" x14ac:dyDescent="0.2">
      <c r="E23" s="78"/>
      <c r="F23" s="81"/>
      <c r="G23" s="27"/>
      <c r="H23" s="27"/>
      <c r="I23" s="27"/>
      <c r="J23" s="27"/>
      <c r="K23" s="27"/>
      <c r="L23" s="27"/>
      <c r="M23" s="27"/>
      <c r="N23" s="27"/>
      <c r="O23" s="27"/>
      <c r="P23" s="27"/>
      <c r="Q23" s="47"/>
      <c r="R23" s="95"/>
      <c r="S23" s="26"/>
    </row>
    <row r="24" spans="1:69" ht="13.5" customHeight="1" thickBot="1" x14ac:dyDescent="0.25">
      <c r="A24" s="1" t="s">
        <v>25</v>
      </c>
      <c r="B24" s="24" t="s">
        <v>47</v>
      </c>
      <c r="C24" s="36" t="s">
        <v>52</v>
      </c>
      <c r="D24" s="45">
        <v>-230433475.96999997</v>
      </c>
      <c r="E24" s="78"/>
      <c r="F24" s="81"/>
      <c r="G24" s="26">
        <f>-G56</f>
        <v>-6335818</v>
      </c>
      <c r="H24" s="26">
        <f t="shared" ref="H24:P24" si="12">-H56</f>
        <v>-10885793.248888889</v>
      </c>
      <c r="I24" s="26">
        <f t="shared" si="12"/>
        <v>-10885793.248888889</v>
      </c>
      <c r="J24" s="26">
        <f t="shared" si="12"/>
        <v>-10885793.248888889</v>
      </c>
      <c r="K24" s="26">
        <f t="shared" si="12"/>
        <v>-10885793.248888889</v>
      </c>
      <c r="L24" s="26">
        <f t="shared" si="12"/>
        <v>-10885793.248888889</v>
      </c>
      <c r="M24" s="26">
        <f t="shared" si="12"/>
        <v>-10885793.248888889</v>
      </c>
      <c r="N24" s="26">
        <f t="shared" si="12"/>
        <v>-10885793.248888889</v>
      </c>
      <c r="O24" s="26">
        <f t="shared" si="12"/>
        <v>-10885793.248888889</v>
      </c>
      <c r="P24" s="26">
        <f t="shared" si="12"/>
        <v>-10885793.248888889</v>
      </c>
      <c r="Q24" s="47">
        <f>SUBTOTAL(9,G24:P24)</f>
        <v>-104307957.24000001</v>
      </c>
      <c r="R24" s="80" t="s">
        <v>82</v>
      </c>
      <c r="S24" s="26"/>
      <c r="BM24" s="47">
        <f>SUM(E24,Q24,AS24,BK24)</f>
        <v>-104307957.24000001</v>
      </c>
      <c r="BN24" s="80" t="s">
        <v>82</v>
      </c>
      <c r="BO24" s="47">
        <f>SUM(D24,E24,Q24,AS24,BK24)</f>
        <v>-334741433.20999998</v>
      </c>
    </row>
    <row r="25" spans="1:69" ht="13.5" customHeight="1" thickBot="1" x14ac:dyDescent="0.25">
      <c r="A25" s="1" t="s">
        <v>25</v>
      </c>
      <c r="B25" s="24" t="s">
        <v>47</v>
      </c>
      <c r="C25" s="36" t="s">
        <v>56</v>
      </c>
      <c r="D25" s="45">
        <v>-22139607.599999998</v>
      </c>
      <c r="E25" s="78"/>
      <c r="F25" s="81"/>
      <c r="G25" s="26">
        <f>-G57</f>
        <v>-759373.19131060003</v>
      </c>
      <c r="H25" s="26">
        <f t="shared" ref="H25:P25" si="13">-H57</f>
        <v>-2826432.4031877113</v>
      </c>
      <c r="I25" s="26">
        <f t="shared" si="13"/>
        <v>-2826432.4031877113</v>
      </c>
      <c r="J25" s="26">
        <f t="shared" si="13"/>
        <v>-2826432.4031877113</v>
      </c>
      <c r="K25" s="26">
        <f t="shared" si="13"/>
        <v>-2826432.4031877113</v>
      </c>
      <c r="L25" s="26">
        <f t="shared" si="13"/>
        <v>-2826432.4031877113</v>
      </c>
      <c r="M25" s="26">
        <f t="shared" si="13"/>
        <v>-2826432.4031877113</v>
      </c>
      <c r="N25" s="26">
        <f t="shared" si="13"/>
        <v>-2826432.4031877113</v>
      </c>
      <c r="O25" s="26">
        <f t="shared" si="13"/>
        <v>-2826432.4031877113</v>
      </c>
      <c r="P25" s="26">
        <f t="shared" si="13"/>
        <v>-2826432.4031877113</v>
      </c>
      <c r="Q25" s="42">
        <f>SUBTOTAL(9,G25:P25)</f>
        <v>-26197264.82</v>
      </c>
      <c r="R25" s="80" t="s">
        <v>85</v>
      </c>
      <c r="S25" s="26"/>
      <c r="BM25" s="47">
        <f>SUM(E25,Q25,AS25,BK25)</f>
        <v>-26197264.82</v>
      </c>
      <c r="BN25" s="80" t="s">
        <v>85</v>
      </c>
      <c r="BO25" s="47">
        <f>SUM(D25,E25,Q25,AS25,BK25)</f>
        <v>-48336872.420000002</v>
      </c>
    </row>
    <row r="26" spans="1:69" ht="13.5" customHeight="1" thickBot="1" x14ac:dyDescent="0.25">
      <c r="A26" s="1" t="s">
        <v>25</v>
      </c>
      <c r="B26" s="24" t="s">
        <v>47</v>
      </c>
      <c r="C26" s="36" t="s">
        <v>16</v>
      </c>
      <c r="D26" s="45">
        <v>-580399.78</v>
      </c>
      <c r="E26" s="78"/>
      <c r="F26" s="81"/>
      <c r="G26" s="26">
        <f t="shared" ref="G26:P26" si="14">-G61</f>
        <v>-255700</v>
      </c>
      <c r="H26" s="26">
        <f t="shared" si="14"/>
        <v>-1448968.817777778</v>
      </c>
      <c r="I26" s="26">
        <f t="shared" si="14"/>
        <v>-1448968.817777778</v>
      </c>
      <c r="J26" s="26">
        <f t="shared" si="14"/>
        <v>-1448968.817777778</v>
      </c>
      <c r="K26" s="26">
        <f t="shared" si="14"/>
        <v>-1448968.817777778</v>
      </c>
      <c r="L26" s="26">
        <f t="shared" si="14"/>
        <v>-1448968.817777778</v>
      </c>
      <c r="M26" s="26">
        <f t="shared" si="14"/>
        <v>-1448968.817777778</v>
      </c>
      <c r="N26" s="26">
        <f t="shared" si="14"/>
        <v>-1448968.817777778</v>
      </c>
      <c r="O26" s="26">
        <f t="shared" si="14"/>
        <v>-1448968.817777778</v>
      </c>
      <c r="P26" s="26">
        <f t="shared" si="14"/>
        <v>-1448968.817777778</v>
      </c>
      <c r="Q26" s="42">
        <f>SUBTOTAL(9,G26:P26)</f>
        <v>-13296419.360000003</v>
      </c>
      <c r="R26" s="96" t="s">
        <v>86</v>
      </c>
      <c r="S26" s="26"/>
      <c r="BM26" s="47">
        <f>SUM(E26,Q26,AS26,BK26)</f>
        <v>-13296419.360000003</v>
      </c>
      <c r="BN26" s="80" t="s">
        <v>86</v>
      </c>
      <c r="BO26" s="47">
        <f>SUM(D26,E26,Q26,AS26,BK26)</f>
        <v>-13876819.140000002</v>
      </c>
    </row>
    <row r="27" spans="1:69" ht="12.75" customHeight="1" x14ac:dyDescent="0.2">
      <c r="E27" s="78"/>
      <c r="F27" s="81"/>
      <c r="G27" s="27"/>
      <c r="H27" s="27"/>
      <c r="I27" s="27"/>
      <c r="J27" s="27"/>
      <c r="K27" s="27"/>
      <c r="L27" s="27"/>
      <c r="M27" s="27"/>
      <c r="N27" s="27"/>
      <c r="O27" s="27"/>
      <c r="P27" s="27"/>
      <c r="Q27" s="90"/>
      <c r="S27" s="26"/>
    </row>
    <row r="28" spans="1:69" s="86" customFormat="1" ht="25.5" customHeight="1" x14ac:dyDescent="0.2">
      <c r="A28" s="167">
        <v>108090</v>
      </c>
      <c r="B28" s="298" t="s">
        <v>51</v>
      </c>
      <c r="C28" s="87" t="s">
        <v>42</v>
      </c>
      <c r="D28" s="88"/>
      <c r="E28" s="78"/>
      <c r="F28" s="81"/>
      <c r="G28" s="91"/>
      <c r="H28" s="296">
        <f>-'Tax Entry'!$C$29/9</f>
        <v>1211444.678362573</v>
      </c>
      <c r="I28" s="296">
        <f>-'Tax Entry'!$C$29/9</f>
        <v>1211444.678362573</v>
      </c>
      <c r="J28" s="296">
        <f>-'Tax Entry'!$C$29/9</f>
        <v>1211444.678362573</v>
      </c>
      <c r="K28" s="296">
        <f>-'Tax Entry'!$C$29/9</f>
        <v>1211444.678362573</v>
      </c>
      <c r="L28" s="296">
        <f>-'Tax Entry'!$C$29/9</f>
        <v>1211444.678362573</v>
      </c>
      <c r="M28" s="296">
        <f>-'Tax Entry'!$C$29/9</f>
        <v>1211444.678362573</v>
      </c>
      <c r="N28" s="296">
        <f>-'Tax Entry'!$C$29/9</f>
        <v>1211444.678362573</v>
      </c>
      <c r="O28" s="296">
        <f>-'Tax Entry'!$C$29/9</f>
        <v>1211444.678362573</v>
      </c>
      <c r="P28" s="296">
        <f>-'Tax Entry'!$C$29/9</f>
        <v>1211444.678362573</v>
      </c>
      <c r="Q28" s="90">
        <f>SUBTOTAL(9,G28:P28)</f>
        <v>10903002.105263155</v>
      </c>
      <c r="R28" s="80" t="s">
        <v>137</v>
      </c>
      <c r="S28" s="123"/>
      <c r="T28" s="119"/>
      <c r="U28" s="119"/>
      <c r="V28" s="119"/>
      <c r="W28" s="119"/>
      <c r="X28" s="119"/>
      <c r="Y28" s="119"/>
      <c r="Z28" s="119"/>
      <c r="AA28" s="119"/>
      <c r="AB28" s="119"/>
      <c r="AC28" s="119"/>
      <c r="AD28" s="119"/>
      <c r="AE28" s="119"/>
      <c r="AF28" s="119"/>
      <c r="AG28" s="119"/>
      <c r="AH28" s="119"/>
      <c r="AS28" s="92"/>
      <c r="AT28" s="117"/>
      <c r="BK28" s="92"/>
      <c r="BL28" s="122"/>
      <c r="BM28" s="47">
        <f>SUM(E28,Q28,AS28,BK28)</f>
        <v>10903002.105263155</v>
      </c>
      <c r="BN28" s="80" t="s">
        <v>137</v>
      </c>
      <c r="BO28" s="47">
        <f>SUM(D28,E28,Q28,AS28,BK28)</f>
        <v>10903002.105263155</v>
      </c>
      <c r="BP28" s="180">
        <f>SUM(BO28:BO29,BO16:BO17)</f>
        <v>0</v>
      </c>
      <c r="BQ28" s="179" t="s">
        <v>153</v>
      </c>
    </row>
    <row r="29" spans="1:69" s="86" customFormat="1" ht="25.5" customHeight="1" x14ac:dyDescent="0.2">
      <c r="A29" s="167">
        <v>108090</v>
      </c>
      <c r="B29" s="298" t="s">
        <v>50</v>
      </c>
      <c r="C29" s="87"/>
      <c r="D29" s="88"/>
      <c r="E29" s="78"/>
      <c r="F29" s="81"/>
      <c r="G29" s="91"/>
      <c r="H29" s="296">
        <f>-'Tax Entry'!$C$30/9</f>
        <v>712072.96801674971</v>
      </c>
      <c r="I29" s="296">
        <f>-'Tax Entry'!$C$30/9</f>
        <v>712072.96801674971</v>
      </c>
      <c r="J29" s="296">
        <f>-'Tax Entry'!$C$30/9</f>
        <v>712072.96801674971</v>
      </c>
      <c r="K29" s="296">
        <f>-'Tax Entry'!$C$30/9</f>
        <v>712072.96801674971</v>
      </c>
      <c r="L29" s="296">
        <f>-'Tax Entry'!$C$30/9</f>
        <v>712072.96801674971</v>
      </c>
      <c r="M29" s="296">
        <f>-'Tax Entry'!$C$30/9</f>
        <v>712072.96801674971</v>
      </c>
      <c r="N29" s="296">
        <f>-'Tax Entry'!$C$30/9</f>
        <v>712072.96801674971</v>
      </c>
      <c r="O29" s="296">
        <f>-'Tax Entry'!$C$30/9</f>
        <v>712072.96801674971</v>
      </c>
      <c r="P29" s="296">
        <f>-'Tax Entry'!$C$30/9</f>
        <v>712072.96801674971</v>
      </c>
      <c r="Q29" s="90">
        <f>SUBTOTAL(9,G29:P29)</f>
        <v>6408656.712150747</v>
      </c>
      <c r="R29" s="80" t="s">
        <v>137</v>
      </c>
      <c r="S29" s="123"/>
      <c r="T29" s="119"/>
      <c r="U29" s="119"/>
      <c r="V29" s="119"/>
      <c r="W29" s="119"/>
      <c r="X29" s="119"/>
      <c r="Y29" s="119"/>
      <c r="Z29" s="119"/>
      <c r="AA29" s="119"/>
      <c r="AB29" s="119"/>
      <c r="AC29" s="119"/>
      <c r="AD29" s="119"/>
      <c r="AE29" s="119"/>
      <c r="AF29" s="119"/>
      <c r="AG29" s="119"/>
      <c r="AH29" s="119"/>
      <c r="AS29" s="92"/>
      <c r="AT29" s="117"/>
      <c r="BK29" s="92"/>
      <c r="BL29" s="122"/>
      <c r="BM29" s="47">
        <f>SUM(E29,Q29,AS29,BK29)</f>
        <v>6408656.712150747</v>
      </c>
      <c r="BN29" s="80" t="s">
        <v>137</v>
      </c>
      <c r="BO29" s="47">
        <f>SUM(D29,E29,Q29,AS29,BK29)</f>
        <v>6408656.712150747</v>
      </c>
      <c r="BP29" s="180"/>
      <c r="BQ29" s="179"/>
    </row>
    <row r="30" spans="1:69" ht="12.75" customHeight="1" x14ac:dyDescent="0.2">
      <c r="E30" s="78"/>
      <c r="F30" s="81"/>
      <c r="G30" s="27"/>
      <c r="H30" s="27"/>
      <c r="I30" s="27"/>
      <c r="J30" s="27"/>
      <c r="K30" s="27"/>
      <c r="L30" s="27"/>
      <c r="M30" s="27"/>
      <c r="N30" s="27"/>
      <c r="O30" s="27"/>
      <c r="P30" s="27"/>
      <c r="Q30" s="47"/>
      <c r="R30" s="95"/>
      <c r="S30" s="26"/>
      <c r="BP30" s="178"/>
      <c r="BQ30" s="177"/>
    </row>
    <row r="31" spans="1:69" ht="13.5" customHeight="1" thickBot="1" x14ac:dyDescent="0.25">
      <c r="A31" s="1">
        <v>182376</v>
      </c>
      <c r="B31" s="24" t="s">
        <v>47</v>
      </c>
      <c r="C31" s="37" t="s">
        <v>40</v>
      </c>
      <c r="D31" s="45">
        <v>3571371.17</v>
      </c>
      <c r="E31" s="78">
        <f>-'Entries-Summary'!H50</f>
        <v>-2150955.08</v>
      </c>
      <c r="F31" s="81" t="s">
        <v>80</v>
      </c>
      <c r="G31" s="26"/>
      <c r="H31" s="26"/>
      <c r="I31" s="26"/>
      <c r="J31" s="26"/>
      <c r="K31" s="26"/>
      <c r="L31" s="26"/>
      <c r="M31" s="26"/>
      <c r="N31" s="26"/>
      <c r="O31" s="26"/>
      <c r="P31" s="26"/>
      <c r="Q31" s="42"/>
      <c r="R31" s="80"/>
      <c r="S31" s="26"/>
      <c r="BM31" s="47">
        <f>SUM(E31,Q31,AS31,BK31)</f>
        <v>-2150955.08</v>
      </c>
      <c r="BN31" s="81" t="s">
        <v>80</v>
      </c>
      <c r="BO31" s="47">
        <f>SUM(D31,E31,Q31,AS31,BK31)</f>
        <v>1420416.0899999999</v>
      </c>
      <c r="BP31" s="34" t="s">
        <v>155</v>
      </c>
    </row>
    <row r="32" spans="1:69" ht="12.75" customHeight="1" x14ac:dyDescent="0.2">
      <c r="A32" s="31"/>
      <c r="C32" s="84"/>
      <c r="E32" s="78"/>
      <c r="F32" s="81"/>
      <c r="G32" s="26"/>
      <c r="H32" s="26"/>
      <c r="I32" s="26"/>
      <c r="J32" s="26"/>
      <c r="K32" s="26"/>
      <c r="L32" s="26"/>
      <c r="M32" s="26"/>
      <c r="N32" s="26"/>
      <c r="O32" s="26"/>
      <c r="P32" s="26"/>
      <c r="Q32" s="42"/>
      <c r="R32" s="80"/>
      <c r="S32" s="26"/>
    </row>
    <row r="33" spans="1:69" ht="12.75" customHeight="1" x14ac:dyDescent="0.2">
      <c r="A33" s="24" t="s">
        <v>59</v>
      </c>
      <c r="B33" s="83" t="s">
        <v>47</v>
      </c>
      <c r="C33" s="36" t="s">
        <v>60</v>
      </c>
      <c r="E33" s="78">
        <f>'Entries-Summary'!F49</f>
        <v>2150955.08</v>
      </c>
      <c r="F33" s="81" t="s">
        <v>80</v>
      </c>
      <c r="G33" s="28">
        <f t="shared" ref="G33:P33" si="15">-G63</f>
        <v>207378.19131060038</v>
      </c>
      <c r="H33" s="28">
        <f t="shared" si="15"/>
        <v>6094163.8234750554</v>
      </c>
      <c r="I33" s="28">
        <f t="shared" si="15"/>
        <v>6094163.8234750554</v>
      </c>
      <c r="J33" s="28">
        <f t="shared" si="15"/>
        <v>6094163.8234750554</v>
      </c>
      <c r="K33" s="28">
        <f t="shared" si="15"/>
        <v>6094163.8234750554</v>
      </c>
      <c r="L33" s="28">
        <f t="shared" si="15"/>
        <v>6094163.8234750554</v>
      </c>
      <c r="M33" s="28">
        <f t="shared" si="15"/>
        <v>6094163.8234750554</v>
      </c>
      <c r="N33" s="28">
        <f t="shared" si="15"/>
        <v>6094163.8234750554</v>
      </c>
      <c r="O33" s="28">
        <f t="shared" si="15"/>
        <v>6094163.8234750554</v>
      </c>
      <c r="P33" s="28">
        <f t="shared" si="15"/>
        <v>6094163.8234750554</v>
      </c>
      <c r="Q33" s="42">
        <f>SUBTOTAL(9,G33:P33)</f>
        <v>55054852.602586098</v>
      </c>
      <c r="R33" s="80" t="s">
        <v>87</v>
      </c>
      <c r="S33" s="26"/>
      <c r="BM33" s="47">
        <f>SUM(E33,Q33,AS33,BK33)</f>
        <v>57205807.682586096</v>
      </c>
      <c r="BN33" s="126" t="s">
        <v>271</v>
      </c>
      <c r="BO33" s="47">
        <f>SUM(D33,E33,Q33,AS33,BK33)</f>
        <v>57205807.682586096</v>
      </c>
    </row>
    <row r="34" spans="1:69" ht="12.75" customHeight="1" x14ac:dyDescent="0.2">
      <c r="A34" s="83" t="s">
        <v>59</v>
      </c>
      <c r="B34" s="83" t="s">
        <v>47</v>
      </c>
      <c r="C34" s="165" t="s">
        <v>60</v>
      </c>
      <c r="E34" s="78"/>
      <c r="F34" s="81"/>
      <c r="G34" s="28">
        <f t="shared" ref="G34:P34" si="16">-G64</f>
        <v>661682</v>
      </c>
      <c r="H34" s="28">
        <f t="shared" si="16"/>
        <v>654089</v>
      </c>
      <c r="I34" s="28">
        <f t="shared" si="16"/>
        <v>643519</v>
      </c>
      <c r="J34" s="28">
        <f t="shared" si="16"/>
        <v>648704</v>
      </c>
      <c r="K34" s="28">
        <f t="shared" si="16"/>
        <v>671332</v>
      </c>
      <c r="L34" s="28">
        <f t="shared" si="16"/>
        <v>637909</v>
      </c>
      <c r="M34" s="28">
        <f t="shared" si="16"/>
        <v>557294</v>
      </c>
      <c r="N34" s="28">
        <f t="shared" si="16"/>
        <v>490986</v>
      </c>
      <c r="O34" s="28">
        <f t="shared" si="16"/>
        <v>508955</v>
      </c>
      <c r="P34" s="28">
        <f t="shared" si="16"/>
        <v>527635</v>
      </c>
      <c r="Q34" s="42">
        <f>SUBTOTAL(9,G34:P34)</f>
        <v>6002105</v>
      </c>
      <c r="R34" s="80" t="s">
        <v>93</v>
      </c>
      <c r="S34" s="26">
        <f t="shared" ref="S34:AP34" si="17">-S64</f>
        <v>547057</v>
      </c>
      <c r="T34" s="118">
        <f t="shared" si="17"/>
        <v>567249</v>
      </c>
      <c r="U34" s="118">
        <f t="shared" si="17"/>
        <v>588246</v>
      </c>
      <c r="V34" s="118">
        <f t="shared" si="17"/>
        <v>610079</v>
      </c>
      <c r="W34" s="118">
        <f t="shared" si="17"/>
        <v>632783</v>
      </c>
      <c r="X34" s="118">
        <f t="shared" si="17"/>
        <v>656396</v>
      </c>
      <c r="Y34" s="118">
        <f t="shared" si="17"/>
        <v>680954</v>
      </c>
      <c r="Z34" s="118">
        <f t="shared" si="17"/>
        <v>706497</v>
      </c>
      <c r="AA34" s="118">
        <f t="shared" si="17"/>
        <v>733066</v>
      </c>
      <c r="AB34" s="118">
        <f t="shared" si="17"/>
        <v>760704</v>
      </c>
      <c r="AC34" s="118">
        <f t="shared" si="17"/>
        <v>787491</v>
      </c>
      <c r="AD34" s="118">
        <f t="shared" si="17"/>
        <v>692092</v>
      </c>
      <c r="AE34" s="118">
        <f t="shared" si="17"/>
        <v>581810</v>
      </c>
      <c r="AF34" s="118">
        <f t="shared" si="17"/>
        <v>376409</v>
      </c>
      <c r="AG34" s="118">
        <f t="shared" si="17"/>
        <v>371599</v>
      </c>
      <c r="AH34" s="118">
        <f t="shared" si="17"/>
        <v>366160</v>
      </c>
      <c r="AI34" s="118">
        <f t="shared" si="17"/>
        <v>360056</v>
      </c>
      <c r="AJ34" s="118">
        <f t="shared" si="17"/>
        <v>353250</v>
      </c>
      <c r="AK34" s="118">
        <f t="shared" si="17"/>
        <v>345702</v>
      </c>
      <c r="AL34" s="118">
        <f t="shared" si="17"/>
        <v>337373</v>
      </c>
      <c r="AM34" s="118">
        <f t="shared" si="17"/>
        <v>328218</v>
      </c>
      <c r="AN34" s="118">
        <f t="shared" si="17"/>
        <v>318193</v>
      </c>
      <c r="AO34" s="118">
        <f t="shared" si="17"/>
        <v>307251</v>
      </c>
      <c r="AP34" s="118">
        <f t="shared" si="17"/>
        <v>299154</v>
      </c>
      <c r="AQ34" s="118">
        <f>-AQ64</f>
        <v>290280</v>
      </c>
      <c r="AR34" s="218"/>
      <c r="AS34" s="42">
        <f>SUM(S34:AR34)</f>
        <v>12598069</v>
      </c>
      <c r="AT34" s="97" t="s">
        <v>93</v>
      </c>
      <c r="AU34" s="124"/>
      <c r="BK34" s="78">
        <f>SUBTOTAL(9,AU34:BJ34)</f>
        <v>0</v>
      </c>
      <c r="BL34" s="122" t="s">
        <v>93</v>
      </c>
      <c r="BM34" s="47">
        <f>SUM(E34,Q34,AS34,BK34)</f>
        <v>18600174</v>
      </c>
      <c r="BN34" s="126" t="s">
        <v>93</v>
      </c>
      <c r="BO34" s="47">
        <f>SUM(D34,E34,Q34,AS34,BK34)</f>
        <v>18600174</v>
      </c>
    </row>
    <row r="35" spans="1:69" ht="25.5" customHeight="1" x14ac:dyDescent="0.2">
      <c r="A35" s="93" t="s">
        <v>59</v>
      </c>
      <c r="B35" s="83" t="s">
        <v>47</v>
      </c>
      <c r="C35" s="85" t="s">
        <v>131</v>
      </c>
      <c r="G35" s="118">
        <f>-G75</f>
        <v>-2184692.4384051692</v>
      </c>
      <c r="H35" s="118">
        <f>-H75</f>
        <v>-2184692.4384051692</v>
      </c>
      <c r="I35" s="118">
        <f t="shared" ref="I35:P35" si="18">-I75</f>
        <v>-2184692.4384051692</v>
      </c>
      <c r="J35" s="118">
        <f t="shared" si="18"/>
        <v>-2184692.4384051692</v>
      </c>
      <c r="K35" s="118">
        <f t="shared" si="18"/>
        <v>-2184692.4384051692</v>
      </c>
      <c r="L35" s="118">
        <f t="shared" si="18"/>
        <v>-2184692.4384051692</v>
      </c>
      <c r="M35" s="118">
        <f t="shared" si="18"/>
        <v>-2184692.4384051692</v>
      </c>
      <c r="N35" s="118">
        <f t="shared" si="18"/>
        <v>-2184692.4384051692</v>
      </c>
      <c r="O35" s="118">
        <f t="shared" si="18"/>
        <v>-2184692.4384051692</v>
      </c>
      <c r="P35" s="118">
        <f t="shared" si="18"/>
        <v>-2184692.4384051692</v>
      </c>
      <c r="Q35" s="42">
        <f>SUBTOTAL(9,G35:P35)</f>
        <v>-21846924.384051695</v>
      </c>
      <c r="R35" s="97" t="s">
        <v>95</v>
      </c>
      <c r="S35" s="118">
        <f t="shared" ref="S35:AP35" si="19">-S75</f>
        <v>-2184692.4384051692</v>
      </c>
      <c r="T35" s="118">
        <f t="shared" si="19"/>
        <v>-2184692.4384051692</v>
      </c>
      <c r="U35" s="118">
        <f t="shared" si="19"/>
        <v>-2184692.4384051692</v>
      </c>
      <c r="V35" s="118">
        <f t="shared" si="19"/>
        <v>-2184692.4384051692</v>
      </c>
      <c r="W35" s="118">
        <f t="shared" si="19"/>
        <v>-2184692.4384051692</v>
      </c>
      <c r="X35" s="118">
        <f t="shared" si="19"/>
        <v>-2184692.4384051692</v>
      </c>
      <c r="Y35" s="118">
        <f t="shared" si="19"/>
        <v>-2184692.4384051692</v>
      </c>
      <c r="Z35" s="118">
        <f t="shared" si="19"/>
        <v>-2184692.4384051692</v>
      </c>
      <c r="AA35" s="118">
        <f t="shared" si="19"/>
        <v>-2184692.4384051692</v>
      </c>
      <c r="AB35" s="118">
        <f t="shared" si="19"/>
        <v>-2184692.4384051692</v>
      </c>
      <c r="AC35" s="118">
        <f t="shared" si="19"/>
        <v>-2184692.4384051692</v>
      </c>
      <c r="AD35" s="118">
        <f t="shared" si="19"/>
        <v>-2184692.4384051692</v>
      </c>
      <c r="AE35" s="118">
        <f t="shared" si="19"/>
        <v>-2184692.4384051692</v>
      </c>
      <c r="AF35" s="118">
        <f t="shared" si="19"/>
        <v>-2184692.4384051692</v>
      </c>
      <c r="AG35" s="118">
        <f t="shared" si="19"/>
        <v>-2184692.4384051692</v>
      </c>
      <c r="AH35" s="118">
        <f t="shared" si="19"/>
        <v>-2184692.4384051692</v>
      </c>
      <c r="AI35" s="118">
        <f t="shared" si="19"/>
        <v>-2184692.4384051692</v>
      </c>
      <c r="AJ35" s="118">
        <f t="shared" si="19"/>
        <v>-2184692.4384051692</v>
      </c>
      <c r="AK35" s="118">
        <f t="shared" si="19"/>
        <v>-2184692.4384051692</v>
      </c>
      <c r="AL35" s="118">
        <f t="shared" si="19"/>
        <v>-2184692.4384051692</v>
      </c>
      <c r="AM35" s="118">
        <f t="shared" si="19"/>
        <v>-2184692.4384051692</v>
      </c>
      <c r="AN35" s="118">
        <f t="shared" si="19"/>
        <v>-2184692.4384051692</v>
      </c>
      <c r="AO35" s="118">
        <f t="shared" si="19"/>
        <v>-2184692.4384051692</v>
      </c>
      <c r="AP35" s="118">
        <f t="shared" si="19"/>
        <v>-2184692.4384051692</v>
      </c>
      <c r="AQ35" s="118">
        <f>-AQ75-AQ47</f>
        <v>-1526438.7768103126</v>
      </c>
      <c r="AR35" s="218"/>
      <c r="AS35" s="42">
        <f>SUM(S35:AR35)</f>
        <v>-53959057.298534401</v>
      </c>
      <c r="AT35" s="117" t="s">
        <v>95</v>
      </c>
      <c r="BM35" s="47">
        <f>SUM(E35,Q35,AS35,BK35)</f>
        <v>-75805981.682586104</v>
      </c>
      <c r="BN35" s="127" t="s">
        <v>95</v>
      </c>
      <c r="BO35" s="47">
        <f>SUM(D35,E35,Q35,AS35,BK35)</f>
        <v>-75805981.682586104</v>
      </c>
      <c r="BP35" s="178">
        <f>SUM(BO33:BO35)</f>
        <v>0</v>
      </c>
      <c r="BQ35" s="177" t="s">
        <v>156</v>
      </c>
    </row>
    <row r="36" spans="1:69" s="34" customFormat="1" ht="12.75" customHeight="1" x14ac:dyDescent="0.2">
      <c r="C36" s="35"/>
      <c r="D36" s="43"/>
      <c r="E36" s="41"/>
      <c r="F36" s="80"/>
      <c r="G36" s="33"/>
      <c r="H36" s="33"/>
      <c r="I36" s="33"/>
      <c r="J36" s="33"/>
      <c r="K36" s="33"/>
      <c r="L36" s="33"/>
      <c r="M36" s="33"/>
      <c r="N36" s="33"/>
      <c r="O36" s="33"/>
      <c r="P36" s="33"/>
      <c r="Q36" s="75"/>
      <c r="R36" s="97"/>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75"/>
      <c r="AT36" s="97"/>
      <c r="BK36" s="75"/>
      <c r="BL36" s="121"/>
      <c r="BM36" s="75"/>
      <c r="BN36" s="126"/>
      <c r="BO36" s="75"/>
    </row>
    <row r="37" spans="1:69" ht="12.75" customHeight="1" x14ac:dyDescent="0.2">
      <c r="E37" s="78"/>
      <c r="F37" s="81"/>
      <c r="G37" s="27"/>
      <c r="H37" s="28"/>
      <c r="I37" s="28"/>
      <c r="J37" s="28"/>
      <c r="K37" s="28"/>
      <c r="L37" s="28"/>
      <c r="M37" s="28"/>
      <c r="N37" s="28"/>
      <c r="O37" s="28"/>
      <c r="P37" s="28"/>
      <c r="Q37" s="42"/>
      <c r="R37" s="80"/>
      <c r="S37" s="26"/>
    </row>
    <row r="38" spans="1:69" ht="12.75" customHeight="1" x14ac:dyDescent="0.2">
      <c r="A38" s="31">
        <v>190930</v>
      </c>
      <c r="B38" s="83" t="s">
        <v>51</v>
      </c>
      <c r="C38" s="84" t="s">
        <v>99</v>
      </c>
      <c r="D38" s="45">
        <v>2513142.08</v>
      </c>
      <c r="E38" s="78">
        <f>-'Entries-Summary'!H26</f>
        <v>-2513142.08</v>
      </c>
      <c r="F38" s="81" t="s">
        <v>77</v>
      </c>
      <c r="G38" s="26"/>
      <c r="H38" s="26"/>
      <c r="I38" s="26"/>
      <c r="J38" s="26"/>
      <c r="K38" s="26"/>
      <c r="L38" s="26"/>
      <c r="M38" s="26"/>
      <c r="N38" s="26"/>
      <c r="O38" s="26"/>
      <c r="P38" s="26"/>
      <c r="Q38" s="42"/>
      <c r="R38" s="80"/>
      <c r="S38" s="26"/>
      <c r="BM38" s="47">
        <f>SUM(E38,Q38,AS38,BK38)</f>
        <v>-2513142.08</v>
      </c>
      <c r="BN38" s="81" t="s">
        <v>77</v>
      </c>
      <c r="BO38" s="47">
        <f>SUM(D38,E38,Q38,AS38,BK38)</f>
        <v>0</v>
      </c>
    </row>
    <row r="39" spans="1:69" ht="12.75" customHeight="1" x14ac:dyDescent="0.2">
      <c r="A39" s="31">
        <v>190930</v>
      </c>
      <c r="B39" s="83" t="s">
        <v>50</v>
      </c>
      <c r="C39" s="84" t="s">
        <v>99</v>
      </c>
      <c r="D39" s="45">
        <f>'Entries-Summary'!H32</f>
        <v>1477192.94</v>
      </c>
      <c r="E39" s="78">
        <f>-'Entries-Summary'!H32</f>
        <v>-1477192.94</v>
      </c>
      <c r="F39" s="293" t="s">
        <v>78</v>
      </c>
      <c r="G39" s="26"/>
      <c r="H39" s="26"/>
      <c r="I39" s="26"/>
      <c r="J39" s="26"/>
      <c r="K39" s="26"/>
      <c r="L39" s="26"/>
      <c r="M39" s="26"/>
      <c r="N39" s="26"/>
      <c r="O39" s="26"/>
      <c r="P39" s="26"/>
      <c r="Q39" s="42"/>
      <c r="R39" s="80"/>
      <c r="S39" s="26"/>
      <c r="BM39" s="47">
        <f>SUM(E39,Q39,AS39,BK39)</f>
        <v>-1477192.94</v>
      </c>
      <c r="BN39" s="81" t="s">
        <v>78</v>
      </c>
      <c r="BO39" s="47">
        <f>SUM(D39,E39,Q39,AS39,BK39)</f>
        <v>0</v>
      </c>
    </row>
    <row r="40" spans="1:69" ht="12.75" customHeight="1" x14ac:dyDescent="0.2">
      <c r="A40" s="31"/>
      <c r="B40" s="83"/>
      <c r="C40" s="84"/>
      <c r="E40" s="78"/>
      <c r="F40" s="81"/>
      <c r="G40" s="26"/>
      <c r="H40" s="26"/>
      <c r="I40" s="26"/>
      <c r="J40" s="26"/>
      <c r="K40" s="26"/>
      <c r="L40" s="26"/>
      <c r="M40" s="26"/>
      <c r="N40" s="26"/>
      <c r="O40" s="26"/>
      <c r="P40" s="26"/>
      <c r="Q40" s="42"/>
      <c r="R40" s="80"/>
      <c r="S40" s="26"/>
      <c r="BN40" s="81"/>
    </row>
    <row r="41" spans="1:69" ht="13.5" customHeight="1" outlineLevel="1" thickBot="1" x14ac:dyDescent="0.25">
      <c r="A41" s="1">
        <v>230000</v>
      </c>
      <c r="B41" s="1" t="s">
        <v>15</v>
      </c>
      <c r="C41" s="36" t="s">
        <v>26</v>
      </c>
      <c r="D41" s="44">
        <v>-7723637.2300000004</v>
      </c>
      <c r="E41" s="79"/>
      <c r="F41" s="82"/>
      <c r="G41" s="26"/>
      <c r="H41" s="26"/>
      <c r="I41" s="26"/>
      <c r="J41" s="26"/>
      <c r="K41" s="26"/>
      <c r="L41" s="26"/>
      <c r="M41" s="26"/>
      <c r="N41" s="26"/>
      <c r="O41" s="26"/>
      <c r="P41" s="26"/>
      <c r="Q41" s="47"/>
      <c r="R41" s="95"/>
      <c r="S41" s="26"/>
    </row>
    <row r="42" spans="1:69" ht="13.5" customHeight="1" outlineLevel="1" thickBot="1" x14ac:dyDescent="0.25">
      <c r="A42" s="1">
        <v>230000</v>
      </c>
      <c r="B42" s="1" t="s">
        <v>24</v>
      </c>
      <c r="C42" s="36" t="s">
        <v>26</v>
      </c>
      <c r="D42" s="44">
        <v>-7723637.2300000004</v>
      </c>
      <c r="E42" s="79"/>
      <c r="F42" s="82"/>
      <c r="G42" s="26"/>
      <c r="H42" s="26"/>
      <c r="I42" s="26"/>
      <c r="J42" s="26"/>
      <c r="K42" s="26"/>
      <c r="L42" s="26"/>
      <c r="M42" s="26"/>
      <c r="N42" s="26"/>
      <c r="O42" s="26"/>
      <c r="P42" s="26"/>
      <c r="Q42" s="47"/>
      <c r="R42" s="95"/>
      <c r="S42" s="26"/>
    </row>
    <row r="43" spans="1:69" ht="13.5" customHeight="1" outlineLevel="1" thickBot="1" x14ac:dyDescent="0.25">
      <c r="A43" s="1">
        <v>230000</v>
      </c>
      <c r="B43" s="31" t="s">
        <v>47</v>
      </c>
      <c r="C43" s="36" t="s">
        <v>26</v>
      </c>
      <c r="D43" s="45">
        <f>SUBTOTAL(9,D41:D42)</f>
        <v>-15447274.460000001</v>
      </c>
      <c r="E43" s="79">
        <f>'Entries-Summary'!F54</f>
        <v>15447274.460000001</v>
      </c>
      <c r="F43" s="294" t="s">
        <v>84</v>
      </c>
      <c r="G43" s="26"/>
      <c r="H43" s="26"/>
      <c r="I43" s="26"/>
      <c r="J43" s="26"/>
      <c r="K43" s="26"/>
      <c r="L43" s="26"/>
      <c r="M43" s="26"/>
      <c r="N43" s="26"/>
      <c r="O43" s="26"/>
      <c r="P43" s="26"/>
      <c r="Q43" s="47"/>
      <c r="R43" s="95"/>
      <c r="S43" s="26"/>
      <c r="BM43" s="47">
        <f>SUM(E43,Q43,AS43,BK43)</f>
        <v>15447274.460000001</v>
      </c>
      <c r="BN43" s="126" t="s">
        <v>84</v>
      </c>
      <c r="BO43" s="47">
        <f>SUM(D43,E43,Q43,AS43,BK43)</f>
        <v>0</v>
      </c>
    </row>
    <row r="44" spans="1:69" ht="13.5" customHeight="1" thickBot="1" x14ac:dyDescent="0.3">
      <c r="A44" s="1" t="s">
        <v>263</v>
      </c>
      <c r="B44" s="24" t="s">
        <v>47</v>
      </c>
      <c r="C44" s="253" t="s">
        <v>264</v>
      </c>
      <c r="D44" s="215"/>
      <c r="E44" s="78">
        <f>-'Entries-Summary'!H55</f>
        <v>-15447274.460000001</v>
      </c>
      <c r="F44" s="294" t="s">
        <v>84</v>
      </c>
      <c r="G44" s="26">
        <f>-G72</f>
        <v>-661682</v>
      </c>
      <c r="H44" s="26">
        <f t="shared" ref="H44:P44" si="20">-H72</f>
        <v>-654089</v>
      </c>
      <c r="I44" s="26">
        <f t="shared" si="20"/>
        <v>-643519</v>
      </c>
      <c r="J44" s="26">
        <f t="shared" si="20"/>
        <v>-648704</v>
      </c>
      <c r="K44" s="26">
        <f t="shared" si="20"/>
        <v>-671332</v>
      </c>
      <c r="L44" s="26">
        <f t="shared" si="20"/>
        <v>-637909</v>
      </c>
      <c r="M44" s="26">
        <f t="shared" si="20"/>
        <v>-557294</v>
      </c>
      <c r="N44" s="26">
        <f t="shared" si="20"/>
        <v>-490986</v>
      </c>
      <c r="O44" s="26">
        <f t="shared" si="20"/>
        <v>-508955</v>
      </c>
      <c r="P44" s="26">
        <f t="shared" si="20"/>
        <v>-527635</v>
      </c>
      <c r="Q44" s="42">
        <f>SUBTOTAL(9,G44:P44)</f>
        <v>-6002105</v>
      </c>
      <c r="R44" s="80" t="s">
        <v>92</v>
      </c>
      <c r="S44" s="26">
        <f t="shared" ref="S44:AH44" si="21">-S72</f>
        <v>-547057</v>
      </c>
      <c r="T44" s="118">
        <f t="shared" si="21"/>
        <v>-567249</v>
      </c>
      <c r="U44" s="118">
        <f t="shared" si="21"/>
        <v>-588246</v>
      </c>
      <c r="V44" s="118">
        <f t="shared" si="21"/>
        <v>-610079</v>
      </c>
      <c r="W44" s="118">
        <f t="shared" si="21"/>
        <v>-632783</v>
      </c>
      <c r="X44" s="118">
        <f t="shared" si="21"/>
        <v>-656396</v>
      </c>
      <c r="Y44" s="118">
        <f t="shared" si="21"/>
        <v>-680954</v>
      </c>
      <c r="Z44" s="118">
        <f t="shared" si="21"/>
        <v>-706497</v>
      </c>
      <c r="AA44" s="118">
        <f t="shared" si="21"/>
        <v>-733066</v>
      </c>
      <c r="AB44" s="118">
        <f t="shared" si="21"/>
        <v>-760704</v>
      </c>
      <c r="AC44" s="118">
        <f t="shared" si="21"/>
        <v>-787491</v>
      </c>
      <c r="AD44" s="118">
        <f t="shared" si="21"/>
        <v>-692092</v>
      </c>
      <c r="AE44" s="118">
        <f t="shared" si="21"/>
        <v>-581810</v>
      </c>
      <c r="AF44" s="118">
        <f t="shared" si="21"/>
        <v>-376409</v>
      </c>
      <c r="AG44" s="118">
        <f t="shared" si="21"/>
        <v>-371599</v>
      </c>
      <c r="AH44" s="118">
        <f t="shared" si="21"/>
        <v>-366160</v>
      </c>
      <c r="AI44" s="118">
        <f t="shared" ref="AI44:BI44" si="22">-AI72</f>
        <v>-360056</v>
      </c>
      <c r="AJ44" s="118">
        <f t="shared" si="22"/>
        <v>-353250</v>
      </c>
      <c r="AK44" s="118">
        <f t="shared" si="22"/>
        <v>-345702</v>
      </c>
      <c r="AL44" s="118">
        <f t="shared" si="22"/>
        <v>-337373</v>
      </c>
      <c r="AM44" s="118">
        <f t="shared" si="22"/>
        <v>-328218</v>
      </c>
      <c r="AN44" s="118">
        <f t="shared" si="22"/>
        <v>-318193</v>
      </c>
      <c r="AO44" s="118">
        <f t="shared" si="22"/>
        <v>-307251</v>
      </c>
      <c r="AP44" s="118">
        <f t="shared" si="22"/>
        <v>-299154</v>
      </c>
      <c r="AQ44" s="118">
        <f t="shared" si="22"/>
        <v>-290280</v>
      </c>
      <c r="AR44" s="118">
        <f t="shared" si="22"/>
        <v>-280587</v>
      </c>
      <c r="AS44" s="42">
        <f>SUM(S44:AR44)</f>
        <v>-12878656</v>
      </c>
      <c r="AT44" s="97" t="s">
        <v>92</v>
      </c>
      <c r="AU44" s="118">
        <f t="shared" si="22"/>
        <v>-270030</v>
      </c>
      <c r="AV44" s="118">
        <f t="shared" si="22"/>
        <v>-258563</v>
      </c>
      <c r="AW44" s="118">
        <f t="shared" si="22"/>
        <v>-246139</v>
      </c>
      <c r="AX44" s="118">
        <f t="shared" si="22"/>
        <v>-232706</v>
      </c>
      <c r="AY44" s="118">
        <f t="shared" si="22"/>
        <v>-218211</v>
      </c>
      <c r="AZ44" s="118">
        <f t="shared" si="22"/>
        <v>-202600</v>
      </c>
      <c r="BA44" s="118">
        <f t="shared" si="22"/>
        <v>-185813</v>
      </c>
      <c r="BB44" s="118">
        <f t="shared" si="22"/>
        <v>-172436</v>
      </c>
      <c r="BC44" s="118">
        <f t="shared" si="22"/>
        <v>-158053</v>
      </c>
      <c r="BD44" s="118">
        <f t="shared" si="22"/>
        <v>-142613</v>
      </c>
      <c r="BE44" s="118">
        <f t="shared" si="22"/>
        <v>-126060</v>
      </c>
      <c r="BF44" s="118">
        <f t="shared" si="22"/>
        <v>-108337</v>
      </c>
      <c r="BG44" s="118">
        <f t="shared" si="22"/>
        <v>-89386</v>
      </c>
      <c r="BH44" s="118">
        <f t="shared" si="22"/>
        <v>-69143</v>
      </c>
      <c r="BI44" s="118">
        <f t="shared" si="22"/>
        <v>-47544</v>
      </c>
      <c r="BJ44" s="118">
        <f>-BJ72</f>
        <v>-34725</v>
      </c>
      <c r="BK44" s="42">
        <f>SUBTOTAL(9,AU44:BJ44)</f>
        <v>-2562359</v>
      </c>
      <c r="BL44" s="121" t="s">
        <v>92</v>
      </c>
      <c r="BM44" s="47">
        <f>SUM(E44,Q44,AS44,BK44)</f>
        <v>-36890394.460000001</v>
      </c>
      <c r="BN44" s="126" t="s">
        <v>269</v>
      </c>
      <c r="BO44" s="47">
        <f>SUM(D44,E44,Q44,AS44,BK44)</f>
        <v>-36890394.460000001</v>
      </c>
      <c r="BP44" s="34" t="s">
        <v>157</v>
      </c>
    </row>
    <row r="45" spans="1:69" ht="12.75" customHeight="1" x14ac:dyDescent="0.2">
      <c r="E45" s="78"/>
      <c r="F45" s="81"/>
      <c r="G45" s="27"/>
      <c r="H45" s="27"/>
      <c r="I45" s="27"/>
      <c r="J45" s="27"/>
      <c r="K45" s="27"/>
      <c r="L45" s="27"/>
      <c r="M45" s="27"/>
      <c r="N45" s="27"/>
      <c r="O45" s="27"/>
      <c r="P45" s="27"/>
      <c r="Q45" s="42"/>
      <c r="R45" s="80"/>
      <c r="S45" s="26"/>
      <c r="AS45" s="42"/>
    </row>
    <row r="46" spans="1:69" s="86" customFormat="1" ht="12.75" customHeight="1" x14ac:dyDescent="0.2">
      <c r="A46" s="93" t="s">
        <v>97</v>
      </c>
      <c r="B46" s="93" t="s">
        <v>47</v>
      </c>
      <c r="C46" s="94" t="s">
        <v>134</v>
      </c>
      <c r="D46" s="88"/>
      <c r="E46" s="78"/>
      <c r="F46" s="81"/>
      <c r="G46" s="91"/>
      <c r="H46" s="91"/>
      <c r="I46" s="91"/>
      <c r="J46" s="91"/>
      <c r="K46" s="91"/>
      <c r="L46" s="91"/>
      <c r="M46" s="91"/>
      <c r="N46" s="91"/>
      <c r="O46" s="91"/>
      <c r="P46" s="91"/>
      <c r="Q46" s="78"/>
      <c r="R46" s="81"/>
      <c r="S46" s="123"/>
      <c r="T46" s="119"/>
      <c r="U46" s="119"/>
      <c r="V46" s="119"/>
      <c r="W46" s="119"/>
      <c r="X46" s="119"/>
      <c r="Y46" s="119"/>
      <c r="Z46" s="119"/>
      <c r="AA46" s="119"/>
      <c r="AB46" s="119"/>
      <c r="AC46" s="119"/>
      <c r="AD46" s="119"/>
      <c r="AE46" s="119"/>
      <c r="AF46" s="119"/>
      <c r="AG46" s="119"/>
      <c r="AH46" s="119"/>
      <c r="AQ46" s="162"/>
      <c r="AR46" s="162">
        <f>-AR64</f>
        <v>280587</v>
      </c>
      <c r="AS46" s="78">
        <f>SUM(S46:AR46)</f>
        <v>280587</v>
      </c>
      <c r="AT46" s="117" t="s">
        <v>93</v>
      </c>
      <c r="AU46" s="119">
        <f t="shared" ref="AU46:BJ46" si="23">-AU64</f>
        <v>270030</v>
      </c>
      <c r="AV46" s="119">
        <f t="shared" si="23"/>
        <v>258563</v>
      </c>
      <c r="AW46" s="119">
        <f t="shared" si="23"/>
        <v>246139</v>
      </c>
      <c r="AX46" s="119">
        <f t="shared" si="23"/>
        <v>232706</v>
      </c>
      <c r="AY46" s="119">
        <f t="shared" si="23"/>
        <v>218211</v>
      </c>
      <c r="AZ46" s="119">
        <f t="shared" si="23"/>
        <v>202600</v>
      </c>
      <c r="BA46" s="119">
        <f t="shared" si="23"/>
        <v>185813</v>
      </c>
      <c r="BB46" s="119">
        <f t="shared" si="23"/>
        <v>172436</v>
      </c>
      <c r="BC46" s="119">
        <f t="shared" si="23"/>
        <v>158053</v>
      </c>
      <c r="BD46" s="119">
        <f t="shared" si="23"/>
        <v>142613</v>
      </c>
      <c r="BE46" s="119">
        <f t="shared" si="23"/>
        <v>126060</v>
      </c>
      <c r="BF46" s="119">
        <f t="shared" si="23"/>
        <v>108337</v>
      </c>
      <c r="BG46" s="119">
        <f t="shared" si="23"/>
        <v>89386</v>
      </c>
      <c r="BH46" s="119">
        <f t="shared" si="23"/>
        <v>69143</v>
      </c>
      <c r="BI46" s="119">
        <f t="shared" si="23"/>
        <v>47544</v>
      </c>
      <c r="BJ46" s="119">
        <f t="shared" si="23"/>
        <v>34725</v>
      </c>
      <c r="BK46" s="78">
        <f>SUBTOTAL(9,AU46:BJ46)</f>
        <v>2562359</v>
      </c>
      <c r="BL46" s="122" t="s">
        <v>93</v>
      </c>
      <c r="BM46" s="47">
        <f>SUM(E46,Q46,AS46,BK46)</f>
        <v>2842946</v>
      </c>
      <c r="BN46" s="122" t="s">
        <v>93</v>
      </c>
      <c r="BO46" s="47">
        <f>SUM(D46,E46,Q46,AS46,BK46)</f>
        <v>2842946</v>
      </c>
      <c r="BP46" s="120"/>
    </row>
    <row r="47" spans="1:69" s="86" customFormat="1" ht="12.75" customHeight="1" x14ac:dyDescent="0.2">
      <c r="A47" s="93" t="s">
        <v>97</v>
      </c>
      <c r="B47" s="93" t="s">
        <v>47</v>
      </c>
      <c r="C47" s="94" t="s">
        <v>134</v>
      </c>
      <c r="D47" s="88"/>
      <c r="E47" s="78"/>
      <c r="F47" s="81"/>
      <c r="G47" s="91"/>
      <c r="H47" s="91"/>
      <c r="I47" s="91"/>
      <c r="J47" s="91"/>
      <c r="K47" s="91"/>
      <c r="L47" s="91"/>
      <c r="M47" s="91"/>
      <c r="N47" s="91"/>
      <c r="O47" s="91"/>
      <c r="P47" s="91"/>
      <c r="Q47" s="78"/>
      <c r="R47" s="81"/>
      <c r="S47" s="123"/>
      <c r="T47" s="119"/>
      <c r="U47" s="119"/>
      <c r="V47" s="119"/>
      <c r="W47" s="119"/>
      <c r="X47" s="119"/>
      <c r="Y47" s="119"/>
      <c r="Z47" s="119"/>
      <c r="AA47" s="119"/>
      <c r="AB47" s="119"/>
      <c r="AC47" s="119"/>
      <c r="AD47" s="119"/>
      <c r="AE47" s="119"/>
      <c r="AF47" s="119"/>
      <c r="AG47" s="119"/>
      <c r="AH47" s="119"/>
      <c r="AQ47" s="217">
        <f>-707641+49387.3384051434</f>
        <v>-658253.66159485665</v>
      </c>
      <c r="AR47" s="162">
        <f>-AR75</f>
        <v>-2184692.4384051692</v>
      </c>
      <c r="AS47" s="78">
        <f>SUM(S47:AR47)</f>
        <v>-2842946.1000000257</v>
      </c>
      <c r="AT47" s="117" t="s">
        <v>95</v>
      </c>
      <c r="BK47" s="92"/>
      <c r="BL47" s="122"/>
      <c r="BM47" s="47">
        <f>SUM(E47,Q47,AS47,BK47)</f>
        <v>-2842946.1000000257</v>
      </c>
      <c r="BN47" s="117" t="s">
        <v>95</v>
      </c>
      <c r="BO47" s="47">
        <f>SUM(D47,E47,Q47,AS47,BK47)</f>
        <v>-2842946.1000000257</v>
      </c>
      <c r="BP47" s="180">
        <f>SUM(BO46:BO47)</f>
        <v>-0.10000002570450306</v>
      </c>
      <c r="BQ47" s="179" t="s">
        <v>158</v>
      </c>
    </row>
    <row r="48" spans="1:69" ht="12.75" customHeight="1" x14ac:dyDescent="0.2">
      <c r="A48" s="83"/>
      <c r="B48" s="83"/>
      <c r="C48" s="85"/>
      <c r="E48" s="78"/>
      <c r="F48" s="81"/>
      <c r="G48" s="27"/>
      <c r="H48" s="27"/>
      <c r="I48" s="27"/>
      <c r="J48" s="27"/>
      <c r="K48" s="27"/>
      <c r="L48" s="27"/>
      <c r="M48" s="27"/>
      <c r="N48" s="27"/>
      <c r="O48" s="27"/>
      <c r="P48" s="27"/>
      <c r="Q48" s="42"/>
      <c r="R48" s="80"/>
      <c r="S48" s="26"/>
      <c r="AQ48" s="118"/>
      <c r="AR48" s="124"/>
      <c r="AT48" s="76"/>
    </row>
    <row r="49" spans="1:68" ht="25.5" customHeight="1" x14ac:dyDescent="0.2">
      <c r="A49" s="24">
        <v>254910</v>
      </c>
      <c r="B49" s="83" t="s">
        <v>51</v>
      </c>
      <c r="C49" s="36" t="s">
        <v>33</v>
      </c>
      <c r="D49" s="190">
        <v>-10903002</v>
      </c>
      <c r="E49" s="78">
        <f>'Entries-Summary'!F25</f>
        <v>10903002.199999999</v>
      </c>
      <c r="F49" s="293" t="s">
        <v>77</v>
      </c>
      <c r="G49" s="27"/>
      <c r="H49" s="27"/>
      <c r="I49" s="27"/>
      <c r="J49" s="27"/>
      <c r="K49" s="27"/>
      <c r="L49" s="27"/>
      <c r="M49" s="27"/>
      <c r="N49" s="27"/>
      <c r="O49" s="27"/>
      <c r="P49" s="27"/>
      <c r="Q49" s="47"/>
      <c r="R49" s="95"/>
      <c r="S49" s="26"/>
      <c r="BM49" s="47">
        <f>SUM(E49,Q49,AS49,BK49)</f>
        <v>10903002.199999999</v>
      </c>
      <c r="BN49" s="81" t="s">
        <v>77</v>
      </c>
      <c r="BO49" s="47">
        <f>SUM(D49,E49,Q49,AS49,BK49)</f>
        <v>0.19999999925494194</v>
      </c>
    </row>
    <row r="50" spans="1:68" ht="25.5" customHeight="1" x14ac:dyDescent="0.2">
      <c r="A50" s="24">
        <v>254910</v>
      </c>
      <c r="B50" s="83" t="s">
        <v>50</v>
      </c>
      <c r="C50" s="36" t="s">
        <v>33</v>
      </c>
      <c r="D50" s="45">
        <f>-'Entries-Summary'!F31</f>
        <v>-6408654.2800000003</v>
      </c>
      <c r="E50" s="78">
        <f>-D50</f>
        <v>6408654.2800000003</v>
      </c>
      <c r="F50" s="293" t="s">
        <v>78</v>
      </c>
      <c r="G50" s="27"/>
      <c r="H50" s="27"/>
      <c r="I50" s="27"/>
      <c r="J50" s="27"/>
      <c r="K50" s="27"/>
      <c r="L50" s="27"/>
      <c r="M50" s="27"/>
      <c r="N50" s="27"/>
      <c r="O50" s="27"/>
      <c r="P50" s="27"/>
      <c r="Q50" s="47"/>
      <c r="R50" s="95"/>
      <c r="S50" s="26"/>
      <c r="BM50" s="47">
        <f>SUM(E50,Q50,AS50,BK50)</f>
        <v>6408654.2800000003</v>
      </c>
      <c r="BN50" s="81" t="s">
        <v>78</v>
      </c>
      <c r="BO50" s="47">
        <f>SUM(D50,E50,Q50,AS50,BK50)</f>
        <v>0</v>
      </c>
    </row>
    <row r="51" spans="1:68" ht="12.75" customHeight="1" x14ac:dyDescent="0.2">
      <c r="E51" s="78"/>
      <c r="F51" s="81"/>
      <c r="G51" s="27"/>
      <c r="H51" s="27"/>
      <c r="I51" s="27"/>
      <c r="J51" s="27"/>
      <c r="K51" s="27"/>
      <c r="L51" s="27"/>
      <c r="M51" s="27"/>
      <c r="N51" s="27"/>
      <c r="O51" s="27"/>
      <c r="P51" s="27"/>
      <c r="Q51" s="47"/>
      <c r="R51" s="95"/>
      <c r="S51" s="26"/>
      <c r="BN51" s="81"/>
    </row>
    <row r="52" spans="1:68" s="86" customFormat="1" ht="12.75" customHeight="1" x14ac:dyDescent="0.2">
      <c r="A52" s="86">
        <v>282400</v>
      </c>
      <c r="B52" s="291" t="s">
        <v>51</v>
      </c>
      <c r="C52" s="276" t="s">
        <v>236</v>
      </c>
      <c r="D52" s="88"/>
      <c r="E52" s="78">
        <f>'Entries-Summary'!F39</f>
        <v>2513142</v>
      </c>
      <c r="F52" s="293" t="s">
        <v>79</v>
      </c>
      <c r="G52" s="91"/>
      <c r="H52" s="123">
        <f>-'Entries-Summary'!$F$78/9</f>
        <v>-279238</v>
      </c>
      <c r="I52" s="28">
        <f>-'Entries-Summary'!$F$78/9</f>
        <v>-279238</v>
      </c>
      <c r="J52" s="123">
        <f>-'Entries-Summary'!$F$78/9</f>
        <v>-279238</v>
      </c>
      <c r="K52" s="123">
        <f>-'Entries-Summary'!$F$78/9</f>
        <v>-279238</v>
      </c>
      <c r="L52" s="123">
        <f>-'Entries-Summary'!$F$78/9</f>
        <v>-279238</v>
      </c>
      <c r="M52" s="123">
        <f>-'Entries-Summary'!$F$78/9</f>
        <v>-279238</v>
      </c>
      <c r="N52" s="123">
        <f>-'Entries-Summary'!$F$78/9</f>
        <v>-279238</v>
      </c>
      <c r="O52" s="123">
        <f>-'Entries-Summary'!$F$78/9</f>
        <v>-279238</v>
      </c>
      <c r="P52" s="123">
        <f>-'Entries-Summary'!$F$78/9</f>
        <v>-279238</v>
      </c>
      <c r="Q52" s="90">
        <f>SUBTOTAL(9,H52:P52)</f>
        <v>-2513142</v>
      </c>
      <c r="R52" s="96" t="s">
        <v>237</v>
      </c>
      <c r="S52" s="123"/>
      <c r="T52" s="119"/>
      <c r="U52" s="119"/>
      <c r="V52" s="119"/>
      <c r="W52" s="119"/>
      <c r="X52" s="119"/>
      <c r="Y52" s="119"/>
      <c r="Z52" s="119"/>
      <c r="AA52" s="119"/>
      <c r="AB52" s="119"/>
      <c r="AC52" s="119"/>
      <c r="AD52" s="119"/>
      <c r="AE52" s="119"/>
      <c r="AF52" s="119"/>
      <c r="AG52" s="119"/>
      <c r="AH52" s="119"/>
      <c r="AS52" s="92"/>
      <c r="AT52" s="117"/>
      <c r="BK52" s="92"/>
      <c r="BL52" s="122"/>
      <c r="BM52" s="90">
        <f>SUM(E52,Q52,AS52,BK52)</f>
        <v>0</v>
      </c>
      <c r="BN52" s="81" t="s">
        <v>79</v>
      </c>
      <c r="BO52" s="90">
        <f>SUM(D52,E52,Q52,AS52,BK52)</f>
        <v>0</v>
      </c>
      <c r="BP52" s="120"/>
    </row>
    <row r="53" spans="1:68" s="86" customFormat="1" ht="12.75" customHeight="1" x14ac:dyDescent="0.2">
      <c r="A53" s="86">
        <v>282400</v>
      </c>
      <c r="B53" s="291" t="s">
        <v>50</v>
      </c>
      <c r="C53" s="276" t="s">
        <v>236</v>
      </c>
      <c r="D53" s="88"/>
      <c r="E53" s="78">
        <f>'Entries-Summary'!F40</f>
        <v>1477196</v>
      </c>
      <c r="F53" s="293" t="s">
        <v>79</v>
      </c>
      <c r="G53" s="91"/>
      <c r="H53" s="123">
        <f>-'Entries-Summary'!$F$79/9</f>
        <v>-164132.88888888888</v>
      </c>
      <c r="I53" s="123">
        <f>-'Entries-Summary'!$F$79/9</f>
        <v>-164132.88888888888</v>
      </c>
      <c r="J53" s="123">
        <f>-'Entries-Summary'!$F$79/9</f>
        <v>-164132.88888888888</v>
      </c>
      <c r="K53" s="123">
        <f>-'Entries-Summary'!$F$79/9</f>
        <v>-164132.88888888888</v>
      </c>
      <c r="L53" s="123">
        <f>-'Entries-Summary'!$F$79/9</f>
        <v>-164132.88888888888</v>
      </c>
      <c r="M53" s="123">
        <f>-'Entries-Summary'!$F$79/9</f>
        <v>-164132.88888888888</v>
      </c>
      <c r="N53" s="123">
        <f>-'Entries-Summary'!$F$79/9</f>
        <v>-164132.88888888888</v>
      </c>
      <c r="O53" s="123">
        <f>-'Entries-Summary'!$F$79/9</f>
        <v>-164132.88888888888</v>
      </c>
      <c r="P53" s="123">
        <f>-'Entries-Summary'!$F$79/9</f>
        <v>-164132.88888888888</v>
      </c>
      <c r="Q53" s="90">
        <f>SUBTOTAL(9,H53:P53)</f>
        <v>-1477196</v>
      </c>
      <c r="R53" s="96" t="s">
        <v>237</v>
      </c>
      <c r="S53" s="123"/>
      <c r="T53" s="119"/>
      <c r="U53" s="119"/>
      <c r="V53" s="119"/>
      <c r="W53" s="119"/>
      <c r="X53" s="119"/>
      <c r="Y53" s="119"/>
      <c r="Z53" s="119"/>
      <c r="AA53" s="119"/>
      <c r="AB53" s="119"/>
      <c r="AC53" s="119"/>
      <c r="AD53" s="119"/>
      <c r="AE53" s="119"/>
      <c r="AF53" s="119"/>
      <c r="AG53" s="119"/>
      <c r="AH53" s="119"/>
      <c r="AS53" s="92"/>
      <c r="AT53" s="117"/>
      <c r="BK53" s="92"/>
      <c r="BL53" s="122"/>
      <c r="BM53" s="47">
        <f>SUM(E53,Q53,AS53,BK53)</f>
        <v>0</v>
      </c>
      <c r="BN53" s="81" t="s">
        <v>270</v>
      </c>
      <c r="BO53" s="90">
        <f>SUM(D53,E53,Q53,AS53,BK53)</f>
        <v>0</v>
      </c>
      <c r="BP53" s="120" t="s">
        <v>159</v>
      </c>
    </row>
    <row r="54" spans="1:68" ht="12.75" customHeight="1" x14ac:dyDescent="0.2">
      <c r="B54" s="83"/>
      <c r="C54" s="85"/>
      <c r="E54" s="78"/>
      <c r="F54" s="81"/>
      <c r="G54" s="27"/>
      <c r="H54" s="27"/>
      <c r="I54" s="27"/>
      <c r="J54" s="27"/>
      <c r="K54" s="27"/>
      <c r="L54" s="27"/>
      <c r="M54" s="27"/>
      <c r="N54" s="27"/>
      <c r="O54" s="27"/>
      <c r="P54" s="27"/>
      <c r="Q54" s="47"/>
      <c r="R54" s="95"/>
      <c r="S54" s="26"/>
    </row>
    <row r="55" spans="1:68" s="128" customFormat="1" ht="12.75" customHeight="1" x14ac:dyDescent="0.2">
      <c r="B55" s="129"/>
      <c r="C55" s="130"/>
      <c r="D55" s="131"/>
      <c r="E55" s="132"/>
      <c r="F55" s="133"/>
      <c r="Q55" s="134"/>
      <c r="R55" s="135"/>
      <c r="S55" s="140"/>
      <c r="T55" s="140"/>
      <c r="U55" s="140"/>
      <c r="V55" s="140"/>
      <c r="W55" s="140"/>
      <c r="X55" s="140"/>
      <c r="Y55" s="140"/>
      <c r="Z55" s="140"/>
      <c r="AA55" s="140"/>
      <c r="AB55" s="140"/>
      <c r="AC55" s="140"/>
      <c r="AD55" s="140"/>
      <c r="AE55" s="140"/>
      <c r="AF55" s="140"/>
      <c r="AG55" s="140"/>
      <c r="AH55" s="140"/>
      <c r="AS55" s="136"/>
      <c r="AT55" s="137"/>
      <c r="BK55" s="136"/>
      <c r="BL55" s="138"/>
      <c r="BM55" s="136"/>
      <c r="BN55" s="138"/>
      <c r="BO55" s="136"/>
      <c r="BP55" s="139"/>
    </row>
    <row r="56" spans="1:68" ht="12.75" customHeight="1" x14ac:dyDescent="0.2">
      <c r="A56" s="25" t="s">
        <v>34</v>
      </c>
      <c r="B56" s="24" t="s">
        <v>47</v>
      </c>
      <c r="C56" s="101" t="s">
        <v>57</v>
      </c>
      <c r="D56" s="45">
        <v>6371608</v>
      </c>
      <c r="G56" s="28">
        <f>-'Generation-deprec exp Updated'!E43</f>
        <v>6335818</v>
      </c>
      <c r="H56" s="204">
        <f>'Generation-deprec exp Updated'!$L$26/9</f>
        <v>10885793.248888889</v>
      </c>
      <c r="I56" s="204">
        <f>'Generation-deprec exp Updated'!$L$26/9</f>
        <v>10885793.248888889</v>
      </c>
      <c r="J56" s="204">
        <f>'Generation-deprec exp Updated'!$L$26/9</f>
        <v>10885793.248888889</v>
      </c>
      <c r="K56" s="204">
        <f>'Generation-deprec exp Updated'!$L$26/9</f>
        <v>10885793.248888889</v>
      </c>
      <c r="L56" s="204">
        <f>'Generation-deprec exp Updated'!$L$26/9</f>
        <v>10885793.248888889</v>
      </c>
      <c r="M56" s="204">
        <f>'Generation-deprec exp Updated'!$L$26/9</f>
        <v>10885793.248888889</v>
      </c>
      <c r="N56" s="204">
        <f>'Generation-deprec exp Updated'!$L$26/9</f>
        <v>10885793.248888889</v>
      </c>
      <c r="O56" s="204">
        <f>'Generation-deprec exp Updated'!$L$26/9</f>
        <v>10885793.248888889</v>
      </c>
      <c r="P56" s="204">
        <f>'Generation-deprec exp Updated'!$L$26/9</f>
        <v>10885793.248888889</v>
      </c>
      <c r="Q56" s="47">
        <f>SUBTOTAL(9,G56:P56)</f>
        <v>104307957.24000001</v>
      </c>
      <c r="R56" s="95" t="s">
        <v>82</v>
      </c>
      <c r="S56" s="26"/>
      <c r="BM56" s="47">
        <f>SUM(E56,Q56,AS56,BK56)</f>
        <v>104307957.24000001</v>
      </c>
      <c r="BN56" s="95" t="s">
        <v>82</v>
      </c>
    </row>
    <row r="57" spans="1:68" ht="12.75" customHeight="1" x14ac:dyDescent="0.2">
      <c r="A57" s="25" t="s">
        <v>34</v>
      </c>
      <c r="B57" s="24" t="s">
        <v>47</v>
      </c>
      <c r="C57" s="39" t="s">
        <v>58</v>
      </c>
      <c r="D57" s="45">
        <v>771905</v>
      </c>
      <c r="G57" s="28">
        <f>-'Transmission-deprec exp Updated'!E67</f>
        <v>759373.19131060003</v>
      </c>
      <c r="H57" s="205">
        <f>'Transmission-deprec exp Updated'!$L$56/9</f>
        <v>2826432.4031877113</v>
      </c>
      <c r="I57" s="205">
        <f>'Transmission-deprec exp Updated'!$L$56/9</f>
        <v>2826432.4031877113</v>
      </c>
      <c r="J57" s="205">
        <f>'Transmission-deprec exp Updated'!$L$56/9</f>
        <v>2826432.4031877113</v>
      </c>
      <c r="K57" s="205">
        <f>'Transmission-deprec exp Updated'!$L$56/9</f>
        <v>2826432.4031877113</v>
      </c>
      <c r="L57" s="205">
        <f>'Transmission-deprec exp Updated'!$L$56/9</f>
        <v>2826432.4031877113</v>
      </c>
      <c r="M57" s="205">
        <f>'Transmission-deprec exp Updated'!$L$56/9</f>
        <v>2826432.4031877113</v>
      </c>
      <c r="N57" s="205">
        <f>'Transmission-deprec exp Updated'!$L$56/9</f>
        <v>2826432.4031877113</v>
      </c>
      <c r="O57" s="205">
        <f>'Transmission-deprec exp Updated'!$L$56/9</f>
        <v>2826432.4031877113</v>
      </c>
      <c r="P57" s="205">
        <f>'Transmission-deprec exp Updated'!$L$56/9</f>
        <v>2826432.4031877113</v>
      </c>
      <c r="Q57" s="47">
        <f>SUBTOTAL(9,G57:P57)</f>
        <v>26197264.82</v>
      </c>
      <c r="R57" s="95" t="s">
        <v>85</v>
      </c>
      <c r="S57" s="26"/>
      <c r="BM57" s="47">
        <f>SUM(E57,Q57,AS57,BK57)</f>
        <v>26197264.82</v>
      </c>
      <c r="BN57" s="95" t="s">
        <v>85</v>
      </c>
    </row>
    <row r="58" spans="1:68" ht="12.75" customHeight="1" x14ac:dyDescent="0.2">
      <c r="A58" s="49" t="s">
        <v>34</v>
      </c>
      <c r="B58" s="299" t="s">
        <v>51</v>
      </c>
      <c r="C58" s="166" t="s">
        <v>139</v>
      </c>
      <c r="G58" s="28"/>
      <c r="H58" s="297">
        <f t="shared" ref="H58:P58" si="24">-H28</f>
        <v>-1211444.678362573</v>
      </c>
      <c r="I58" s="297">
        <f t="shared" si="24"/>
        <v>-1211444.678362573</v>
      </c>
      <c r="J58" s="297">
        <f t="shared" si="24"/>
        <v>-1211444.678362573</v>
      </c>
      <c r="K58" s="297">
        <f t="shared" si="24"/>
        <v>-1211444.678362573</v>
      </c>
      <c r="L58" s="297">
        <f t="shared" si="24"/>
        <v>-1211444.678362573</v>
      </c>
      <c r="M58" s="297">
        <f t="shared" si="24"/>
        <v>-1211444.678362573</v>
      </c>
      <c r="N58" s="297">
        <f t="shared" si="24"/>
        <v>-1211444.678362573</v>
      </c>
      <c r="O58" s="297">
        <f t="shared" si="24"/>
        <v>-1211444.678362573</v>
      </c>
      <c r="P58" s="297">
        <f t="shared" si="24"/>
        <v>-1211444.678362573</v>
      </c>
      <c r="Q58" s="90">
        <f>SUBTOTAL(9,G58:P58)</f>
        <v>-10903002.105263155</v>
      </c>
      <c r="R58" s="96" t="s">
        <v>137</v>
      </c>
      <c r="S58" s="26"/>
      <c r="BM58" s="47">
        <f>SUM(E58,Q58,AS58,BK58)</f>
        <v>-10903002.105263155</v>
      </c>
      <c r="BN58" s="80" t="s">
        <v>137</v>
      </c>
    </row>
    <row r="59" spans="1:68" ht="12.75" customHeight="1" x14ac:dyDescent="0.2">
      <c r="A59" s="49" t="s">
        <v>34</v>
      </c>
      <c r="B59" s="299" t="s">
        <v>50</v>
      </c>
      <c r="C59" s="166" t="s">
        <v>139</v>
      </c>
      <c r="D59" s="215"/>
      <c r="E59" s="24"/>
      <c r="F59" s="24"/>
      <c r="G59" s="48"/>
      <c r="H59" s="297">
        <f t="shared" ref="H59:P59" si="25">-H29</f>
        <v>-712072.96801674971</v>
      </c>
      <c r="I59" s="297">
        <f t="shared" si="25"/>
        <v>-712072.96801674971</v>
      </c>
      <c r="J59" s="297">
        <f t="shared" si="25"/>
        <v>-712072.96801674971</v>
      </c>
      <c r="K59" s="297">
        <f t="shared" si="25"/>
        <v>-712072.96801674971</v>
      </c>
      <c r="L59" s="297">
        <f t="shared" si="25"/>
        <v>-712072.96801674971</v>
      </c>
      <c r="M59" s="297">
        <f t="shared" si="25"/>
        <v>-712072.96801674971</v>
      </c>
      <c r="N59" s="297">
        <f t="shared" si="25"/>
        <v>-712072.96801674971</v>
      </c>
      <c r="O59" s="297">
        <f t="shared" si="25"/>
        <v>-712072.96801674971</v>
      </c>
      <c r="P59" s="297">
        <f t="shared" si="25"/>
        <v>-712072.96801674971</v>
      </c>
      <c r="Q59" s="90">
        <f>SUBTOTAL(9,G59:P59)</f>
        <v>-6408656.712150747</v>
      </c>
      <c r="R59" s="96" t="s">
        <v>137</v>
      </c>
      <c r="S59" s="26"/>
      <c r="BM59" s="47">
        <f>SUM(E59,Q59,AS59,BK59)</f>
        <v>-6408656.712150747</v>
      </c>
      <c r="BN59" s="80" t="s">
        <v>137</v>
      </c>
    </row>
    <row r="60" spans="1:68" ht="12.75" customHeight="1" x14ac:dyDescent="0.2">
      <c r="A60" s="25"/>
      <c r="C60" s="39"/>
      <c r="G60" s="28"/>
      <c r="H60" s="28"/>
      <c r="I60" s="28"/>
      <c r="J60" s="28"/>
      <c r="K60" s="28"/>
      <c r="L60" s="28"/>
      <c r="M60" s="28"/>
      <c r="N60" s="28"/>
      <c r="O60" s="28"/>
      <c r="P60" s="28"/>
      <c r="Q60" s="47"/>
      <c r="R60" s="95"/>
      <c r="S60" s="26"/>
      <c r="BN60" s="95"/>
    </row>
    <row r="61" spans="1:68" s="86" customFormat="1" ht="25.5" customHeight="1" x14ac:dyDescent="0.2">
      <c r="A61" s="86" t="s">
        <v>35</v>
      </c>
      <c r="B61" s="86" t="s">
        <v>47</v>
      </c>
      <c r="C61" s="87" t="s">
        <v>36</v>
      </c>
      <c r="D61" s="88"/>
      <c r="E61" s="78"/>
      <c r="F61" s="81"/>
      <c r="G61" s="89">
        <f>'Generation-deprec exp Updated'!K52</f>
        <v>255700</v>
      </c>
      <c r="H61" s="89">
        <f>'Generation-deprec exp Updated'!$M$52</f>
        <v>1448968.817777778</v>
      </c>
      <c r="I61" s="89">
        <f>'Generation-deprec exp Updated'!$M$52</f>
        <v>1448968.817777778</v>
      </c>
      <c r="J61" s="89">
        <f>'Generation-deprec exp Updated'!$M$52</f>
        <v>1448968.817777778</v>
      </c>
      <c r="K61" s="89">
        <f>'Generation-deprec exp Updated'!$M$52</f>
        <v>1448968.817777778</v>
      </c>
      <c r="L61" s="89">
        <f>'Generation-deprec exp Updated'!$M$52</f>
        <v>1448968.817777778</v>
      </c>
      <c r="M61" s="89">
        <f>'Generation-deprec exp Updated'!$M$52</f>
        <v>1448968.817777778</v>
      </c>
      <c r="N61" s="89">
        <f>'Generation-deprec exp Updated'!$M$52</f>
        <v>1448968.817777778</v>
      </c>
      <c r="O61" s="89">
        <f>'Generation-deprec exp Updated'!$M$52</f>
        <v>1448968.817777778</v>
      </c>
      <c r="P61" s="89">
        <f>'Generation-deprec exp Updated'!$M$52</f>
        <v>1448968.817777778</v>
      </c>
      <c r="Q61" s="90">
        <f>SUBTOTAL(9,G61:P61)</f>
        <v>13296419.360000003</v>
      </c>
      <c r="R61" s="95" t="s">
        <v>86</v>
      </c>
      <c r="S61" s="123"/>
      <c r="T61" s="119"/>
      <c r="U61" s="119"/>
      <c r="V61" s="119"/>
      <c r="W61" s="119"/>
      <c r="X61" s="119"/>
      <c r="Y61" s="119"/>
      <c r="Z61" s="119"/>
      <c r="AA61" s="119"/>
      <c r="AB61" s="119"/>
      <c r="AC61" s="119"/>
      <c r="AD61" s="119"/>
      <c r="AE61" s="119"/>
      <c r="AF61" s="119"/>
      <c r="AG61" s="119"/>
      <c r="AH61" s="119"/>
      <c r="AS61" s="92"/>
      <c r="AT61" s="117"/>
      <c r="BK61" s="92"/>
      <c r="BL61" s="122"/>
      <c r="BM61" s="47">
        <f>SUM(E61,Q61,AS61,BK61)</f>
        <v>13296419.360000003</v>
      </c>
      <c r="BN61" s="96" t="s">
        <v>86</v>
      </c>
      <c r="BO61" s="92"/>
      <c r="BP61" s="120"/>
    </row>
    <row r="62" spans="1:68" s="86" customFormat="1" ht="12.75" customHeight="1" x14ac:dyDescent="0.2">
      <c r="C62" s="87"/>
      <c r="D62" s="88"/>
      <c r="E62" s="78"/>
      <c r="F62" s="81"/>
      <c r="G62" s="89"/>
      <c r="H62" s="89"/>
      <c r="I62" s="89"/>
      <c r="J62" s="89"/>
      <c r="K62" s="89"/>
      <c r="L62" s="89"/>
      <c r="M62" s="89"/>
      <c r="N62" s="89"/>
      <c r="O62" s="89"/>
      <c r="P62" s="89"/>
      <c r="Q62" s="90"/>
      <c r="R62" s="96"/>
      <c r="S62" s="123"/>
      <c r="T62" s="119"/>
      <c r="U62" s="119"/>
      <c r="V62" s="119"/>
      <c r="W62" s="119"/>
      <c r="X62" s="119"/>
      <c r="Y62" s="119"/>
      <c r="Z62" s="119"/>
      <c r="AA62" s="119"/>
      <c r="AB62" s="119"/>
      <c r="AC62" s="119"/>
      <c r="AD62" s="119"/>
      <c r="AE62" s="119"/>
      <c r="AF62" s="119"/>
      <c r="AG62" s="119"/>
      <c r="AH62" s="119"/>
      <c r="AS62" s="92"/>
      <c r="AT62" s="117"/>
      <c r="BK62" s="92"/>
      <c r="BL62" s="122"/>
      <c r="BM62" s="92"/>
      <c r="BN62" s="127"/>
      <c r="BO62" s="92"/>
      <c r="BP62" s="120"/>
    </row>
    <row r="63" spans="1:68" ht="12.75" customHeight="1" x14ac:dyDescent="0.2">
      <c r="A63" s="175" t="s">
        <v>140</v>
      </c>
      <c r="B63" s="83" t="s">
        <v>47</v>
      </c>
      <c r="C63" s="101" t="s">
        <v>141</v>
      </c>
      <c r="G63" s="28">
        <f>SUM($D$56:$D$57)-SUM(G56:G58,G61)</f>
        <v>-207378.19131060038</v>
      </c>
      <c r="H63" s="28">
        <f t="shared" ref="H63:P63" si="26">SUM($D$56:$D$57)-SUM(H56:H59,H61)</f>
        <v>-6094163.8234750554</v>
      </c>
      <c r="I63" s="28">
        <f t="shared" si="26"/>
        <v>-6094163.8234750554</v>
      </c>
      <c r="J63" s="28">
        <f t="shared" si="26"/>
        <v>-6094163.8234750554</v>
      </c>
      <c r="K63" s="28">
        <f t="shared" si="26"/>
        <v>-6094163.8234750554</v>
      </c>
      <c r="L63" s="28">
        <f t="shared" si="26"/>
        <v>-6094163.8234750554</v>
      </c>
      <c r="M63" s="28">
        <f t="shared" si="26"/>
        <v>-6094163.8234750554</v>
      </c>
      <c r="N63" s="28">
        <f t="shared" si="26"/>
        <v>-6094163.8234750554</v>
      </c>
      <c r="O63" s="28">
        <f t="shared" si="26"/>
        <v>-6094163.8234750554</v>
      </c>
      <c r="P63" s="28">
        <f t="shared" si="26"/>
        <v>-6094163.8234750554</v>
      </c>
      <c r="Q63" s="47">
        <f>SUBTOTAL(9,G63:P63)</f>
        <v>-55054852.602586098</v>
      </c>
      <c r="R63" s="95" t="s">
        <v>87</v>
      </c>
      <c r="S63" s="26"/>
      <c r="BM63" s="47">
        <f>SUM(E63,Q63,AS63,BK63)</f>
        <v>-55054852.602586098</v>
      </c>
      <c r="BN63" s="309" t="s">
        <v>87</v>
      </c>
    </row>
    <row r="64" spans="1:68" s="86" customFormat="1" ht="12.75" customHeight="1" x14ac:dyDescent="0.2">
      <c r="A64" s="175" t="s">
        <v>140</v>
      </c>
      <c r="B64" s="83" t="s">
        <v>47</v>
      </c>
      <c r="C64" s="101" t="s">
        <v>141</v>
      </c>
      <c r="D64" s="88"/>
      <c r="E64" s="78"/>
      <c r="F64" s="81"/>
      <c r="G64" s="89">
        <f t="shared" ref="G64:P64" si="27">-G72</f>
        <v>-661682</v>
      </c>
      <c r="H64" s="89">
        <f>-H72</f>
        <v>-654089</v>
      </c>
      <c r="I64" s="89">
        <f t="shared" si="27"/>
        <v>-643519</v>
      </c>
      <c r="J64" s="89">
        <f t="shared" si="27"/>
        <v>-648704</v>
      </c>
      <c r="K64" s="89">
        <f t="shared" si="27"/>
        <v>-671332</v>
      </c>
      <c r="L64" s="89">
        <f t="shared" si="27"/>
        <v>-637909</v>
      </c>
      <c r="M64" s="89">
        <f t="shared" si="27"/>
        <v>-557294</v>
      </c>
      <c r="N64" s="89">
        <f t="shared" si="27"/>
        <v>-490986</v>
      </c>
      <c r="O64" s="89">
        <f t="shared" si="27"/>
        <v>-508955</v>
      </c>
      <c r="P64" s="89">
        <f t="shared" si="27"/>
        <v>-527635</v>
      </c>
      <c r="Q64" s="90">
        <f>SUBTOTAL(9,G64:P64)</f>
        <v>-6002105</v>
      </c>
      <c r="R64" s="96" t="s">
        <v>93</v>
      </c>
      <c r="S64" s="123">
        <f t="shared" ref="S64:AR64" si="28">-S72</f>
        <v>-547057</v>
      </c>
      <c r="T64" s="123">
        <f t="shared" si="28"/>
        <v>-567249</v>
      </c>
      <c r="U64" s="123">
        <f t="shared" si="28"/>
        <v>-588246</v>
      </c>
      <c r="V64" s="123">
        <f t="shared" si="28"/>
        <v>-610079</v>
      </c>
      <c r="W64" s="123">
        <f t="shared" si="28"/>
        <v>-632783</v>
      </c>
      <c r="X64" s="123">
        <f t="shared" si="28"/>
        <v>-656396</v>
      </c>
      <c r="Y64" s="123">
        <f t="shared" si="28"/>
        <v>-680954</v>
      </c>
      <c r="Z64" s="123">
        <f t="shared" si="28"/>
        <v>-706497</v>
      </c>
      <c r="AA64" s="123">
        <f t="shared" si="28"/>
        <v>-733066</v>
      </c>
      <c r="AB64" s="123">
        <f t="shared" si="28"/>
        <v>-760704</v>
      </c>
      <c r="AC64" s="123">
        <f t="shared" si="28"/>
        <v>-787491</v>
      </c>
      <c r="AD64" s="123">
        <f t="shared" si="28"/>
        <v>-692092</v>
      </c>
      <c r="AE64" s="123">
        <f t="shared" si="28"/>
        <v>-581810</v>
      </c>
      <c r="AF64" s="123">
        <f t="shared" si="28"/>
        <v>-376409</v>
      </c>
      <c r="AG64" s="123">
        <f t="shared" si="28"/>
        <v>-371599</v>
      </c>
      <c r="AH64" s="123">
        <f t="shared" si="28"/>
        <v>-366160</v>
      </c>
      <c r="AI64" s="89">
        <f t="shared" si="28"/>
        <v>-360056</v>
      </c>
      <c r="AJ64" s="119">
        <f t="shared" si="28"/>
        <v>-353250</v>
      </c>
      <c r="AK64" s="119">
        <f t="shared" si="28"/>
        <v>-345702</v>
      </c>
      <c r="AL64" s="119">
        <f t="shared" si="28"/>
        <v>-337373</v>
      </c>
      <c r="AM64" s="119">
        <f t="shared" si="28"/>
        <v>-328218</v>
      </c>
      <c r="AN64" s="119">
        <f t="shared" si="28"/>
        <v>-318193</v>
      </c>
      <c r="AO64" s="119">
        <f t="shared" si="28"/>
        <v>-307251</v>
      </c>
      <c r="AP64" s="119">
        <f t="shared" si="28"/>
        <v>-299154</v>
      </c>
      <c r="AQ64" s="119">
        <f>-AQ72</f>
        <v>-290280</v>
      </c>
      <c r="AR64" s="119">
        <f t="shared" si="28"/>
        <v>-280587</v>
      </c>
      <c r="AS64" s="42">
        <f>SUM(S64:AR64)</f>
        <v>-12878656</v>
      </c>
      <c r="AT64" s="117" t="s">
        <v>93</v>
      </c>
      <c r="AU64" s="119">
        <f t="shared" ref="AU64:BJ64" si="29">-AU72</f>
        <v>-270030</v>
      </c>
      <c r="AV64" s="119">
        <f t="shared" si="29"/>
        <v>-258563</v>
      </c>
      <c r="AW64" s="119">
        <f t="shared" si="29"/>
        <v>-246139</v>
      </c>
      <c r="AX64" s="119">
        <f t="shared" si="29"/>
        <v>-232706</v>
      </c>
      <c r="AY64" s="119">
        <f t="shared" si="29"/>
        <v>-218211</v>
      </c>
      <c r="AZ64" s="119">
        <f t="shared" si="29"/>
        <v>-202600</v>
      </c>
      <c r="BA64" s="119">
        <f t="shared" si="29"/>
        <v>-185813</v>
      </c>
      <c r="BB64" s="119">
        <f t="shared" si="29"/>
        <v>-172436</v>
      </c>
      <c r="BC64" s="119">
        <f t="shared" si="29"/>
        <v>-158053</v>
      </c>
      <c r="BD64" s="119">
        <f t="shared" si="29"/>
        <v>-142613</v>
      </c>
      <c r="BE64" s="119">
        <f t="shared" si="29"/>
        <v>-126060</v>
      </c>
      <c r="BF64" s="119">
        <f t="shared" si="29"/>
        <v>-108337</v>
      </c>
      <c r="BG64" s="119">
        <f t="shared" si="29"/>
        <v>-89386</v>
      </c>
      <c r="BH64" s="119">
        <f t="shared" si="29"/>
        <v>-69143</v>
      </c>
      <c r="BI64" s="119">
        <f t="shared" si="29"/>
        <v>-47544</v>
      </c>
      <c r="BJ64" s="119">
        <f t="shared" si="29"/>
        <v>-34725</v>
      </c>
      <c r="BK64" s="78">
        <f>SUBTOTAL(9,AU64:BJ64)</f>
        <v>-2562359</v>
      </c>
      <c r="BL64" s="122" t="s">
        <v>93</v>
      </c>
      <c r="BM64" s="47">
        <f>SUM(E64,Q64,AS64,BK64)</f>
        <v>-21443120</v>
      </c>
      <c r="BN64" s="127" t="s">
        <v>93</v>
      </c>
      <c r="BO64" s="78"/>
      <c r="BP64" s="120"/>
    </row>
    <row r="65" spans="1:68" s="86" customFormat="1" ht="12.75" customHeight="1" x14ac:dyDescent="0.2">
      <c r="C65" s="94"/>
      <c r="D65" s="88"/>
      <c r="E65" s="78"/>
      <c r="F65" s="81"/>
      <c r="G65" s="89"/>
      <c r="H65" s="89"/>
      <c r="I65" s="89"/>
      <c r="J65" s="89"/>
      <c r="K65" s="89"/>
      <c r="L65" s="89"/>
      <c r="M65" s="89"/>
      <c r="N65" s="89"/>
      <c r="O65" s="89"/>
      <c r="P65" s="89"/>
      <c r="Q65" s="90"/>
      <c r="R65" s="96"/>
      <c r="S65" s="123"/>
      <c r="T65" s="119"/>
      <c r="U65" s="119"/>
      <c r="V65" s="119"/>
      <c r="W65" s="119"/>
      <c r="X65" s="119"/>
      <c r="Y65" s="119"/>
      <c r="Z65" s="119"/>
      <c r="AA65" s="119"/>
      <c r="AB65" s="119"/>
      <c r="AC65" s="119"/>
      <c r="AD65" s="119"/>
      <c r="AE65" s="119"/>
      <c r="AF65" s="119"/>
      <c r="AG65" s="119"/>
      <c r="AH65" s="119"/>
      <c r="AS65" s="92"/>
      <c r="AT65" s="117"/>
      <c r="BK65" s="92"/>
      <c r="BL65" s="122"/>
      <c r="BM65" s="92"/>
      <c r="BN65" s="127"/>
      <c r="BO65" s="78"/>
      <c r="BP65" s="120"/>
    </row>
    <row r="66" spans="1:68" ht="12.75" customHeight="1" x14ac:dyDescent="0.2">
      <c r="A66" s="25"/>
      <c r="B66" s="83"/>
      <c r="C66" s="101"/>
      <c r="G66" s="28"/>
      <c r="H66" s="28"/>
      <c r="I66" s="28"/>
      <c r="J66" s="28"/>
      <c r="K66" s="28"/>
      <c r="L66" s="28"/>
      <c r="M66" s="28"/>
      <c r="N66" s="28"/>
      <c r="O66" s="28"/>
      <c r="P66" s="28"/>
      <c r="Q66" s="47"/>
      <c r="R66" s="95"/>
      <c r="S66" s="26"/>
      <c r="BM66" s="47"/>
      <c r="BN66" s="309"/>
      <c r="BO66" s="92"/>
      <c r="BP66" s="120"/>
    </row>
    <row r="67" spans="1:68" ht="12.75" customHeight="1" x14ac:dyDescent="0.2">
      <c r="A67" s="24">
        <v>410100</v>
      </c>
      <c r="B67" s="83" t="s">
        <v>51</v>
      </c>
      <c r="C67" s="36" t="s">
        <v>74</v>
      </c>
      <c r="E67" s="42">
        <f>-'Entries-Summary'!H27</f>
        <v>-8389860.1199999992</v>
      </c>
      <c r="F67" s="295" t="s">
        <v>77</v>
      </c>
      <c r="G67" s="28"/>
      <c r="H67" s="28"/>
      <c r="I67" s="28"/>
      <c r="J67" s="28"/>
      <c r="K67" s="28"/>
      <c r="L67" s="28"/>
      <c r="M67" s="28"/>
      <c r="N67" s="28"/>
      <c r="O67" s="28"/>
      <c r="P67" s="28"/>
      <c r="Q67" s="47"/>
      <c r="R67" s="95"/>
      <c r="S67" s="26"/>
      <c r="BM67" s="47">
        <f>SUM(E67,Q67,AS67,BK67)</f>
        <v>-8389860.1199999992</v>
      </c>
      <c r="BN67" s="125" t="s">
        <v>77</v>
      </c>
      <c r="BO67" s="92"/>
      <c r="BP67" s="120"/>
    </row>
    <row r="68" spans="1:68" ht="12.75" customHeight="1" x14ac:dyDescent="0.2">
      <c r="A68" s="24">
        <v>410100</v>
      </c>
      <c r="B68" s="83" t="s">
        <v>50</v>
      </c>
      <c r="C68" s="85" t="s">
        <v>74</v>
      </c>
      <c r="E68" s="42">
        <f>-'Entries-Summary'!H33</f>
        <v>-4931461.34</v>
      </c>
      <c r="F68" s="295" t="s">
        <v>78</v>
      </c>
      <c r="G68" s="28"/>
      <c r="H68" s="28"/>
      <c r="I68" s="28"/>
      <c r="J68" s="28"/>
      <c r="K68" s="28"/>
      <c r="L68" s="28"/>
      <c r="M68" s="28"/>
      <c r="N68" s="28"/>
      <c r="O68" s="28"/>
      <c r="P68" s="28"/>
      <c r="Q68" s="47"/>
      <c r="R68" s="95"/>
      <c r="S68" s="26"/>
      <c r="BM68" s="47">
        <f>SUM(E68,Q68,AS68,BK68)</f>
        <v>-4931461.34</v>
      </c>
      <c r="BN68" s="125" t="s">
        <v>78</v>
      </c>
      <c r="BO68" s="92"/>
      <c r="BP68" s="120"/>
    </row>
    <row r="69" spans="1:68" ht="12.75" customHeight="1" x14ac:dyDescent="0.2">
      <c r="A69" s="24">
        <v>410100</v>
      </c>
      <c r="B69" s="290" t="s">
        <v>51</v>
      </c>
      <c r="C69" s="277" t="s">
        <v>74</v>
      </c>
      <c r="E69" s="78">
        <f>-'Entries-Summary'!H43</f>
        <v>-2513142</v>
      </c>
      <c r="F69" s="295" t="s">
        <v>79</v>
      </c>
      <c r="G69" s="28"/>
      <c r="H69" s="28">
        <f>'Entries-Summary'!$F$78/9</f>
        <v>279238</v>
      </c>
      <c r="I69" s="24">
        <f>'Entries-Summary'!$F$78/9</f>
        <v>279238</v>
      </c>
      <c r="J69" s="28">
        <f>'Entries-Summary'!$F$78/9</f>
        <v>279238</v>
      </c>
      <c r="K69" s="28">
        <f>'Entries-Summary'!$F$78/9</f>
        <v>279238</v>
      </c>
      <c r="L69" s="28">
        <f>'Entries-Summary'!$F$78/9</f>
        <v>279238</v>
      </c>
      <c r="M69" s="28">
        <f>'Entries-Summary'!$F$78/9</f>
        <v>279238</v>
      </c>
      <c r="N69" s="28">
        <f>'Entries-Summary'!$F$78/9</f>
        <v>279238</v>
      </c>
      <c r="O69" s="28">
        <f>'Entries-Summary'!$F$78/9</f>
        <v>279238</v>
      </c>
      <c r="P69" s="28">
        <f>'Entries-Summary'!$F$78/9</f>
        <v>279238</v>
      </c>
      <c r="Q69" s="47">
        <f>SUBTOTAL(9,H69:P69)</f>
        <v>2513142</v>
      </c>
      <c r="R69" s="95" t="s">
        <v>237</v>
      </c>
      <c r="S69" s="26"/>
      <c r="BM69" s="47">
        <f>SUM(E69,Q69,AS69,BK69)</f>
        <v>0</v>
      </c>
      <c r="BN69" s="125" t="s">
        <v>270</v>
      </c>
      <c r="BO69" s="92"/>
      <c r="BP69" s="120"/>
    </row>
    <row r="70" spans="1:68" ht="12.75" customHeight="1" x14ac:dyDescent="0.2">
      <c r="A70" s="24">
        <v>410100</v>
      </c>
      <c r="B70" s="290" t="s">
        <v>50</v>
      </c>
      <c r="C70" s="277" t="s">
        <v>74</v>
      </c>
      <c r="E70" s="78">
        <f>-'Entries-Summary'!H44</f>
        <v>-1477196</v>
      </c>
      <c r="F70" s="295" t="s">
        <v>79</v>
      </c>
      <c r="G70" s="28"/>
      <c r="H70" s="28">
        <f>'Entries-Summary'!$F$79/9</f>
        <v>164132.88888888888</v>
      </c>
      <c r="I70" s="28">
        <f>'Entries-Summary'!$F$79/9</f>
        <v>164132.88888888888</v>
      </c>
      <c r="J70" s="28">
        <f>'Entries-Summary'!$F$79/9</f>
        <v>164132.88888888888</v>
      </c>
      <c r="K70" s="28">
        <f>'Entries-Summary'!$F$79/9</f>
        <v>164132.88888888888</v>
      </c>
      <c r="L70" s="28">
        <f>'Entries-Summary'!$F$79/9</f>
        <v>164132.88888888888</v>
      </c>
      <c r="M70" s="28">
        <f>'Entries-Summary'!$F$79/9</f>
        <v>164132.88888888888</v>
      </c>
      <c r="N70" s="28">
        <f>'Entries-Summary'!$F$79/9</f>
        <v>164132.88888888888</v>
      </c>
      <c r="O70" s="28">
        <f>'Entries-Summary'!$F$79/9</f>
        <v>164132.88888888888</v>
      </c>
      <c r="P70" s="28">
        <f>'Entries-Summary'!$F$79/9</f>
        <v>164132.88888888888</v>
      </c>
      <c r="Q70" s="300">
        <f>SUBTOTAL(9,H70:P70)</f>
        <v>1477196</v>
      </c>
      <c r="R70" s="95" t="s">
        <v>237</v>
      </c>
      <c r="S70" s="26"/>
      <c r="BM70" s="47">
        <f>SUM(E70,Q70,AS70,BK70)</f>
        <v>0</v>
      </c>
      <c r="BN70" s="125" t="s">
        <v>237</v>
      </c>
      <c r="BO70" s="92"/>
      <c r="BP70" s="120"/>
    </row>
    <row r="71" spans="1:68" ht="12.75" customHeight="1" x14ac:dyDescent="0.2">
      <c r="G71" s="28"/>
      <c r="H71" s="28"/>
      <c r="I71" s="28"/>
      <c r="J71" s="28"/>
      <c r="K71" s="28"/>
      <c r="L71" s="28"/>
      <c r="M71" s="28"/>
      <c r="N71" s="28"/>
      <c r="O71" s="28"/>
      <c r="P71" s="28"/>
      <c r="Q71" s="47"/>
      <c r="R71" s="95"/>
      <c r="S71" s="26"/>
      <c r="BM71" s="42"/>
      <c r="BN71" s="125"/>
      <c r="BO71" s="92"/>
      <c r="BP71" s="120"/>
    </row>
    <row r="72" spans="1:68" s="86" customFormat="1" ht="12.75" customHeight="1" x14ac:dyDescent="0.2">
      <c r="A72" s="86" t="s">
        <v>37</v>
      </c>
      <c r="B72" s="86" t="s">
        <v>47</v>
      </c>
      <c r="C72" s="87" t="s">
        <v>38</v>
      </c>
      <c r="D72" s="88"/>
      <c r="E72" s="78"/>
      <c r="F72" s="81"/>
      <c r="G72" s="89">
        <f>-'Accretion &amp; Depr forecast'!P16</f>
        <v>661682</v>
      </c>
      <c r="H72" s="89">
        <f>-'Accretion &amp; Depr forecast'!Q16</f>
        <v>654089</v>
      </c>
      <c r="I72" s="89">
        <f>-'Accretion &amp; Depr forecast'!R16</f>
        <v>643519</v>
      </c>
      <c r="J72" s="89">
        <f>-'Accretion &amp; Depr forecast'!S16</f>
        <v>648704</v>
      </c>
      <c r="K72" s="89">
        <f>-'Accretion &amp; Depr forecast'!T16</f>
        <v>671332</v>
      </c>
      <c r="L72" s="89">
        <f>-'Accretion &amp; Depr forecast'!U16</f>
        <v>637909</v>
      </c>
      <c r="M72" s="89">
        <f>-'Accretion &amp; Depr forecast'!V16</f>
        <v>557294</v>
      </c>
      <c r="N72" s="89">
        <f>-'Accretion &amp; Depr forecast'!W16</f>
        <v>490986</v>
      </c>
      <c r="O72" s="89">
        <f>-'Accretion &amp; Depr forecast'!X16</f>
        <v>508955</v>
      </c>
      <c r="P72" s="89">
        <f>-'Accretion &amp; Depr forecast'!Y16</f>
        <v>527635</v>
      </c>
      <c r="Q72" s="90">
        <f>SUBTOTAL(9,G72:P72)</f>
        <v>6002105</v>
      </c>
      <c r="R72" s="96" t="s">
        <v>92</v>
      </c>
      <c r="S72" s="123">
        <f>-'Accretion &amp; Depr forecast'!Z16</f>
        <v>547057</v>
      </c>
      <c r="T72" s="119">
        <f>-'Accretion &amp; Depr forecast'!AA16</f>
        <v>567249</v>
      </c>
      <c r="U72" s="119">
        <f>-'Accretion &amp; Depr forecast'!AB16</f>
        <v>588246</v>
      </c>
      <c r="V72" s="119">
        <f>-'Accretion &amp; Depr forecast'!AC16</f>
        <v>610079</v>
      </c>
      <c r="W72" s="119">
        <f>-'Accretion &amp; Depr forecast'!AD16</f>
        <v>632783</v>
      </c>
      <c r="X72" s="119">
        <f>-'Accretion &amp; Depr forecast'!AE16</f>
        <v>656396</v>
      </c>
      <c r="Y72" s="119">
        <f>-'Accretion &amp; Depr forecast'!AF16</f>
        <v>680954</v>
      </c>
      <c r="Z72" s="119">
        <f>-'Accretion &amp; Depr forecast'!AG16</f>
        <v>706497</v>
      </c>
      <c r="AA72" s="119">
        <f>-'Accretion &amp; Depr forecast'!AH16</f>
        <v>733066</v>
      </c>
      <c r="AB72" s="119">
        <f>-'Accretion &amp; Depr forecast'!AI16</f>
        <v>760704</v>
      </c>
      <c r="AC72" s="119">
        <f>-'Accretion &amp; Depr forecast'!AJ16</f>
        <v>787491</v>
      </c>
      <c r="AD72" s="119">
        <f>-'Accretion &amp; Depr forecast'!AK16</f>
        <v>692092</v>
      </c>
      <c r="AE72" s="119">
        <f>-'Accretion &amp; Depr forecast'!AL16</f>
        <v>581810</v>
      </c>
      <c r="AF72" s="119">
        <f>-'Accretion &amp; Depr forecast'!AM16</f>
        <v>376409</v>
      </c>
      <c r="AG72" s="119">
        <f>-'Accretion &amp; Depr forecast'!AN16</f>
        <v>371599</v>
      </c>
      <c r="AH72" s="119">
        <f>-'Accretion &amp; Depr forecast'!AO16</f>
        <v>366160</v>
      </c>
      <c r="AI72" s="119">
        <f>-'Accretion &amp; Depr forecast'!AP16</f>
        <v>360056</v>
      </c>
      <c r="AJ72" s="119">
        <f>-'Accretion &amp; Depr forecast'!AQ16</f>
        <v>353250</v>
      </c>
      <c r="AK72" s="119">
        <f>-'Accretion &amp; Depr forecast'!AR16</f>
        <v>345702</v>
      </c>
      <c r="AL72" s="119">
        <f>-'Accretion &amp; Depr forecast'!AS16</f>
        <v>337373</v>
      </c>
      <c r="AM72" s="119">
        <f>-'Accretion &amp; Depr forecast'!AT16</f>
        <v>328218</v>
      </c>
      <c r="AN72" s="119">
        <f>-'Accretion &amp; Depr forecast'!AU16</f>
        <v>318193</v>
      </c>
      <c r="AO72" s="119">
        <f>-'Accretion &amp; Depr forecast'!AV16</f>
        <v>307251</v>
      </c>
      <c r="AP72" s="119">
        <f>-'Accretion &amp; Depr forecast'!AW16</f>
        <v>299154</v>
      </c>
      <c r="AQ72" s="119">
        <f>-'Accretion &amp; Depr forecast'!AX16</f>
        <v>290280</v>
      </c>
      <c r="AR72" s="119">
        <f>-'Accretion &amp; Depr forecast'!AY16</f>
        <v>280587</v>
      </c>
      <c r="AS72" s="42">
        <f>SUM(S72:AR72)</f>
        <v>12878656</v>
      </c>
      <c r="AT72" s="117" t="s">
        <v>92</v>
      </c>
      <c r="AU72" s="119">
        <f>-'Accretion &amp; Depr forecast'!AZ16</f>
        <v>270030</v>
      </c>
      <c r="AV72" s="119">
        <f>-'Accretion &amp; Depr forecast'!BA16</f>
        <v>258563</v>
      </c>
      <c r="AW72" s="119">
        <f>-'Accretion &amp; Depr forecast'!BB16</f>
        <v>246139</v>
      </c>
      <c r="AX72" s="119">
        <f>-'Accretion &amp; Depr forecast'!BC16</f>
        <v>232706</v>
      </c>
      <c r="AY72" s="119">
        <f>-'Accretion &amp; Depr forecast'!BD16</f>
        <v>218211</v>
      </c>
      <c r="AZ72" s="119">
        <f>-'Accretion &amp; Depr forecast'!BE16</f>
        <v>202600</v>
      </c>
      <c r="BA72" s="119">
        <f>-'Accretion &amp; Depr forecast'!BF16</f>
        <v>185813</v>
      </c>
      <c r="BB72" s="119">
        <f>-'Accretion &amp; Depr forecast'!BG16</f>
        <v>172436</v>
      </c>
      <c r="BC72" s="119">
        <f>-'Accretion &amp; Depr forecast'!BH16</f>
        <v>158053</v>
      </c>
      <c r="BD72" s="119">
        <f>-'Accretion &amp; Depr forecast'!BI16</f>
        <v>142613</v>
      </c>
      <c r="BE72" s="119">
        <f>-'Accretion &amp; Depr forecast'!BJ16</f>
        <v>126060</v>
      </c>
      <c r="BF72" s="119">
        <f>-'Accretion &amp; Depr forecast'!BK16</f>
        <v>108337</v>
      </c>
      <c r="BG72" s="119">
        <f>-'Accretion &amp; Depr forecast'!BL16</f>
        <v>89386</v>
      </c>
      <c r="BH72" s="119">
        <f>-'Accretion &amp; Depr forecast'!BM16</f>
        <v>69143</v>
      </c>
      <c r="BI72" s="119">
        <f>-'Accretion &amp; Depr forecast'!BN16</f>
        <v>47544</v>
      </c>
      <c r="BJ72" s="119">
        <f>-'Accretion &amp; Depr forecast'!BO16+10205</f>
        <v>34725</v>
      </c>
      <c r="BK72" s="78">
        <f>SUBTOTAL(9,AU72:BJ72)</f>
        <v>2562359</v>
      </c>
      <c r="BL72" s="122" t="s">
        <v>92</v>
      </c>
      <c r="BM72" s="47">
        <f>SUM(E72,Q72,AS72,BK72)</f>
        <v>21443120</v>
      </c>
      <c r="BN72" s="127" t="s">
        <v>92</v>
      </c>
      <c r="BO72" s="78"/>
      <c r="BP72" s="120"/>
    </row>
    <row r="73" spans="1:68" ht="12.75" customHeight="1" x14ac:dyDescent="0.2">
      <c r="G73" s="28"/>
      <c r="H73" s="28"/>
      <c r="I73" s="28"/>
      <c r="J73" s="28"/>
      <c r="K73" s="28"/>
      <c r="L73" s="28"/>
      <c r="M73" s="28"/>
      <c r="N73" s="28"/>
      <c r="O73" s="28"/>
      <c r="P73" s="28"/>
      <c r="Q73" s="47"/>
      <c r="R73" s="95"/>
      <c r="S73" s="26"/>
      <c r="BO73" s="78"/>
      <c r="BP73" s="120"/>
    </row>
    <row r="74" spans="1:68" ht="12.75" customHeight="1" x14ac:dyDescent="0.2">
      <c r="G74" s="28"/>
      <c r="H74" s="28"/>
      <c r="I74" s="28"/>
      <c r="J74" s="28"/>
      <c r="K74" s="28"/>
      <c r="L74" s="28"/>
      <c r="M74" s="28"/>
      <c r="N74" s="28"/>
      <c r="O74" s="28"/>
      <c r="P74" s="28"/>
      <c r="Q74" s="47"/>
      <c r="R74" s="95"/>
      <c r="S74" s="26"/>
      <c r="BO74" s="78"/>
      <c r="BP74" s="120"/>
    </row>
    <row r="75" spans="1:68" ht="12.75" customHeight="1" outlineLevel="1" x14ac:dyDescent="0.2">
      <c r="A75" s="86" t="s">
        <v>39</v>
      </c>
      <c r="B75" s="83" t="s">
        <v>47</v>
      </c>
      <c r="C75" s="216" t="s">
        <v>197</v>
      </c>
      <c r="G75" s="26">
        <f>'Defered-Amm Calc'!$F$22/36</f>
        <v>2184692.4384051692</v>
      </c>
      <c r="H75" s="26">
        <f>'Defered-Amm Calc'!$F$22/36</f>
        <v>2184692.4384051692</v>
      </c>
      <c r="I75" s="26">
        <f>'Defered-Amm Calc'!$F$22/36</f>
        <v>2184692.4384051692</v>
      </c>
      <c r="J75" s="26">
        <f>'Defered-Amm Calc'!$F$22/36</f>
        <v>2184692.4384051692</v>
      </c>
      <c r="K75" s="26">
        <f>'Defered-Amm Calc'!$F$22/36</f>
        <v>2184692.4384051692</v>
      </c>
      <c r="L75" s="26">
        <f>'Defered-Amm Calc'!$F$22/36</f>
        <v>2184692.4384051692</v>
      </c>
      <c r="M75" s="26">
        <f>'Defered-Amm Calc'!$F$22/36</f>
        <v>2184692.4384051692</v>
      </c>
      <c r="N75" s="26">
        <f>'Defered-Amm Calc'!$F$22/36</f>
        <v>2184692.4384051692</v>
      </c>
      <c r="O75" s="26">
        <f>'Defered-Amm Calc'!$F$22/36</f>
        <v>2184692.4384051692</v>
      </c>
      <c r="P75" s="26">
        <f>'Defered-Amm Calc'!$F$22/36</f>
        <v>2184692.4384051692</v>
      </c>
      <c r="Q75" s="47">
        <f>SUBTOTAL(9,G75:P75)</f>
        <v>21846924.384051695</v>
      </c>
      <c r="R75" s="95" t="s">
        <v>95</v>
      </c>
      <c r="S75" s="26">
        <f>'Defered-Amm Calc'!$F$22/36</f>
        <v>2184692.4384051692</v>
      </c>
      <c r="T75" s="118">
        <f>'Defered-Amm Calc'!$F$22/36</f>
        <v>2184692.4384051692</v>
      </c>
      <c r="U75" s="118">
        <f>'Defered-Amm Calc'!$F$22/36</f>
        <v>2184692.4384051692</v>
      </c>
      <c r="V75" s="118">
        <f>'Defered-Amm Calc'!$F$22/36</f>
        <v>2184692.4384051692</v>
      </c>
      <c r="W75" s="118">
        <f>'Defered-Amm Calc'!$F$22/36</f>
        <v>2184692.4384051692</v>
      </c>
      <c r="X75" s="118">
        <f>'Defered-Amm Calc'!$F$22/36</f>
        <v>2184692.4384051692</v>
      </c>
      <c r="Y75" s="118">
        <f>'Defered-Amm Calc'!$F$22/36</f>
        <v>2184692.4384051692</v>
      </c>
      <c r="Z75" s="118">
        <f>'Defered-Amm Calc'!$F$22/36</f>
        <v>2184692.4384051692</v>
      </c>
      <c r="AA75" s="118">
        <f>'Defered-Amm Calc'!$F$22/36</f>
        <v>2184692.4384051692</v>
      </c>
      <c r="AB75" s="118">
        <f>'Defered-Amm Calc'!$F$22/36</f>
        <v>2184692.4384051692</v>
      </c>
      <c r="AC75" s="118">
        <f>'Defered-Amm Calc'!$F$22/36</f>
        <v>2184692.4384051692</v>
      </c>
      <c r="AD75" s="118">
        <f>'Defered-Amm Calc'!$F$22/36</f>
        <v>2184692.4384051692</v>
      </c>
      <c r="AE75" s="118">
        <f>'Defered-Amm Calc'!$F$22/36</f>
        <v>2184692.4384051692</v>
      </c>
      <c r="AF75" s="118">
        <f>'Defered-Amm Calc'!$F$22/36</f>
        <v>2184692.4384051692</v>
      </c>
      <c r="AG75" s="118">
        <f>'Defered-Amm Calc'!$F$22/36</f>
        <v>2184692.4384051692</v>
      </c>
      <c r="AH75" s="118">
        <f>'Defered-Amm Calc'!$F$22/36</f>
        <v>2184692.4384051692</v>
      </c>
      <c r="AI75" s="118">
        <f>'Defered-Amm Calc'!$F$22/36</f>
        <v>2184692.4384051692</v>
      </c>
      <c r="AJ75" s="118">
        <f>'Defered-Amm Calc'!$F$22/36</f>
        <v>2184692.4384051692</v>
      </c>
      <c r="AK75" s="118">
        <f>'Defered-Amm Calc'!$F$22/36</f>
        <v>2184692.4384051692</v>
      </c>
      <c r="AL75" s="118">
        <f>'Defered-Amm Calc'!$F$22/36</f>
        <v>2184692.4384051692</v>
      </c>
      <c r="AM75" s="118">
        <f>'Defered-Amm Calc'!$F$22/36</f>
        <v>2184692.4384051692</v>
      </c>
      <c r="AN75" s="118">
        <f>'Defered-Amm Calc'!$F$22/36</f>
        <v>2184692.4384051692</v>
      </c>
      <c r="AO75" s="118">
        <f>'Defered-Amm Calc'!$F$22/36</f>
        <v>2184692.4384051692</v>
      </c>
      <c r="AP75" s="118">
        <f>'Defered-Amm Calc'!$F$22/36</f>
        <v>2184692.4384051692</v>
      </c>
      <c r="AQ75" s="118">
        <f>'Defered-Amm Calc'!$F$22/36</f>
        <v>2184692.4384051692</v>
      </c>
      <c r="AR75" s="118">
        <f>'Defered-Amm Calc'!$F$22/36</f>
        <v>2184692.4384051692</v>
      </c>
      <c r="AS75" s="78">
        <f>SUM(S75:AR75)</f>
        <v>56802003.398534432</v>
      </c>
      <c r="AT75" s="117" t="s">
        <v>95</v>
      </c>
      <c r="BM75" s="47">
        <f>SUM(E75,Q75,AS75,BK75)</f>
        <v>78648927.782586128</v>
      </c>
      <c r="BN75" s="127" t="s">
        <v>95</v>
      </c>
      <c r="BO75" s="78"/>
      <c r="BP75" s="120"/>
    </row>
    <row r="76" spans="1:68" ht="12.75" customHeight="1" x14ac:dyDescent="0.2">
      <c r="A76" s="83"/>
      <c r="B76" s="83"/>
      <c r="C76" s="50"/>
      <c r="G76" s="26"/>
      <c r="H76" s="26"/>
      <c r="I76" s="26"/>
      <c r="J76" s="26"/>
      <c r="K76" s="26"/>
      <c r="L76" s="26"/>
      <c r="M76" s="26"/>
      <c r="N76" s="26"/>
      <c r="O76" s="26"/>
      <c r="P76" s="26"/>
      <c r="S76" s="26"/>
      <c r="BO76" s="92"/>
      <c r="BP76" s="120"/>
    </row>
    <row r="77" spans="1:68" ht="12.75" customHeight="1" x14ac:dyDescent="0.2">
      <c r="G77" s="27"/>
      <c r="H77" s="27"/>
      <c r="I77" s="27"/>
      <c r="J77" s="27"/>
      <c r="K77" s="27"/>
      <c r="L77" s="27"/>
      <c r="M77" s="27"/>
      <c r="N77" s="27"/>
      <c r="O77" s="27"/>
      <c r="P77" s="27"/>
      <c r="S77" s="26"/>
    </row>
    <row r="78" spans="1:68" ht="12.75" customHeight="1" x14ac:dyDescent="0.2">
      <c r="A78" s="83" t="s">
        <v>100</v>
      </c>
      <c r="B78" s="290" t="s">
        <v>51</v>
      </c>
      <c r="C78" s="85" t="s">
        <v>101</v>
      </c>
      <c r="E78" s="78">
        <f>'Entries-Summary'!F37</f>
        <v>10903002.105263157</v>
      </c>
      <c r="F78" s="295" t="s">
        <v>79</v>
      </c>
      <c r="G78" s="27"/>
      <c r="H78" s="27"/>
      <c r="I78" s="27"/>
      <c r="J78" s="27"/>
      <c r="K78" s="27"/>
      <c r="L78" s="27"/>
      <c r="M78" s="27"/>
      <c r="N78" s="27"/>
      <c r="O78" s="27"/>
      <c r="P78" s="27"/>
      <c r="S78" s="26"/>
      <c r="BM78" s="47">
        <f>SUM(E78,Q78,AS78,BK78)</f>
        <v>10903002.105263157</v>
      </c>
      <c r="BN78" s="125" t="s">
        <v>79</v>
      </c>
    </row>
    <row r="79" spans="1:68" ht="12.75" customHeight="1" x14ac:dyDescent="0.2">
      <c r="A79" s="290" t="s">
        <v>100</v>
      </c>
      <c r="B79" s="290" t="s">
        <v>50</v>
      </c>
      <c r="C79" s="85" t="s">
        <v>101</v>
      </c>
      <c r="E79" s="42">
        <f>'Entries-Summary'!F38</f>
        <v>6408656.712150747</v>
      </c>
      <c r="F79" s="295" t="s">
        <v>79</v>
      </c>
      <c r="G79" s="27"/>
      <c r="H79" s="27"/>
      <c r="I79" s="27"/>
      <c r="J79" s="27"/>
      <c r="K79" s="27"/>
      <c r="L79" s="27"/>
      <c r="M79" s="27"/>
      <c r="N79" s="27"/>
      <c r="O79" s="27"/>
      <c r="P79" s="27"/>
      <c r="S79" s="26"/>
      <c r="BM79" s="47">
        <f>SUM(E79,Q79,AS79,BK79)</f>
        <v>6408656.712150747</v>
      </c>
      <c r="BN79" s="125" t="s">
        <v>79</v>
      </c>
    </row>
    <row r="80" spans="1:68" ht="12.75" customHeight="1" x14ac:dyDescent="0.2">
      <c r="G80" s="27"/>
      <c r="H80" s="27"/>
      <c r="I80" s="27"/>
      <c r="J80" s="27"/>
      <c r="K80" s="27"/>
      <c r="L80" s="27"/>
      <c r="M80" s="27"/>
      <c r="N80" s="27"/>
      <c r="O80" s="27"/>
      <c r="P80" s="27"/>
      <c r="S80" s="26"/>
    </row>
    <row r="81" spans="7:46" ht="12.75" customHeight="1" x14ac:dyDescent="0.2">
      <c r="G81" s="27"/>
      <c r="H81" s="27"/>
      <c r="I81" s="27"/>
      <c r="J81" s="27"/>
      <c r="K81" s="27"/>
      <c r="L81" s="27"/>
      <c r="M81" s="27"/>
      <c r="N81" s="27"/>
      <c r="O81" s="27"/>
      <c r="P81" s="27"/>
      <c r="S81" s="26"/>
    </row>
    <row r="82" spans="7:46" ht="12.75" customHeight="1" x14ac:dyDescent="0.2">
      <c r="G82" s="27"/>
      <c r="H82" s="27"/>
      <c r="I82" s="27"/>
      <c r="J82" s="27"/>
      <c r="K82" s="27"/>
      <c r="L82" s="27"/>
      <c r="M82" s="27"/>
      <c r="N82" s="27"/>
      <c r="O82" s="27"/>
      <c r="P82" s="27"/>
      <c r="S82" s="26"/>
    </row>
    <row r="83" spans="7:46" ht="12.75" customHeight="1" x14ac:dyDescent="0.2">
      <c r="G83" s="27"/>
      <c r="H83" s="27"/>
      <c r="I83" s="27"/>
      <c r="J83" s="27"/>
      <c r="K83" s="27"/>
      <c r="L83" s="27"/>
      <c r="M83" s="27"/>
      <c r="N83" s="27"/>
      <c r="O83" s="27"/>
      <c r="P83" s="27"/>
      <c r="S83" s="26"/>
    </row>
    <row r="84" spans="7:46" ht="12.75" customHeight="1" x14ac:dyDescent="0.2">
      <c r="G84" s="27"/>
      <c r="H84" s="27"/>
      <c r="I84" s="27"/>
      <c r="J84" s="27"/>
      <c r="K84" s="27"/>
      <c r="L84" s="27"/>
      <c r="M84" s="27"/>
      <c r="N84" s="27"/>
      <c r="O84" s="27"/>
      <c r="P84" s="27"/>
      <c r="S84" s="26"/>
    </row>
    <row r="85" spans="7:46" ht="12.75" customHeight="1" x14ac:dyDescent="0.2">
      <c r="G85" s="27"/>
      <c r="H85" s="27"/>
      <c r="I85" s="27"/>
      <c r="J85" s="27"/>
      <c r="K85" s="27"/>
      <c r="L85" s="27"/>
      <c r="M85" s="27"/>
      <c r="N85" s="27"/>
      <c r="O85" s="27"/>
      <c r="P85" s="27"/>
      <c r="S85" s="26"/>
    </row>
    <row r="86" spans="7:46" ht="12.75" customHeight="1" x14ac:dyDescent="0.2"/>
    <row r="87" spans="7:46" ht="12.75" customHeight="1" x14ac:dyDescent="0.2"/>
    <row r="88" spans="7:46" ht="12.75" customHeight="1" x14ac:dyDescent="0.2"/>
    <row r="89" spans="7:46" ht="12.75" customHeight="1" x14ac:dyDescent="0.2"/>
    <row r="90" spans="7:46" ht="12.75" customHeight="1" x14ac:dyDescent="0.2"/>
    <row r="91" spans="7:46" ht="12.75" customHeight="1" x14ac:dyDescent="0.2"/>
    <row r="92" spans="7:46" ht="12.75" customHeight="1" x14ac:dyDescent="0.2"/>
    <row r="93" spans="7:46" ht="12.75" customHeight="1" x14ac:dyDescent="0.2"/>
    <row r="94" spans="7:46" x14ac:dyDescent="0.2">
      <c r="AT94" s="117"/>
    </row>
    <row r="99" spans="43:43" x14ac:dyDescent="0.2">
      <c r="AQ99" s="124"/>
    </row>
    <row r="100" spans="43:43" x14ac:dyDescent="0.2">
      <c r="AQ100" s="124"/>
    </row>
  </sheetData>
  <autoFilter ref="A10:BO93"/>
  <mergeCells count="1">
    <mergeCell ref="A1:C4"/>
  </mergeCells>
  <printOptions gridLines="1"/>
  <pageMargins left="0.7" right="0.7" top="0.75" bottom="0.75" header="0.3" footer="0.3"/>
  <pageSetup paperSize="5" scale="6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B39"/>
  <sheetViews>
    <sheetView zoomScale="85" zoomScaleNormal="85" workbookViewId="0">
      <selection activeCell="I9" sqref="I9"/>
    </sheetView>
  </sheetViews>
  <sheetFormatPr defaultRowHeight="15" x14ac:dyDescent="0.25"/>
  <cols>
    <col min="2" max="2" width="11.28515625" bestFit="1" customWidth="1"/>
    <col min="3" max="3" width="15" bestFit="1" customWidth="1"/>
    <col min="4" max="4" width="15.140625" bestFit="1" customWidth="1"/>
    <col min="5" max="5" width="14.28515625" bestFit="1" customWidth="1"/>
    <col min="6" max="6" width="13.28515625" bestFit="1" customWidth="1"/>
    <col min="7" max="7" width="14" bestFit="1" customWidth="1"/>
    <col min="8" max="8" width="3.28515625" customWidth="1"/>
    <col min="9" max="9" width="11.5703125" bestFit="1" customWidth="1"/>
    <col min="10" max="10" width="14" bestFit="1" customWidth="1"/>
    <col min="11" max="11" width="10.5703125" bestFit="1" customWidth="1"/>
    <col min="13" max="13" width="5.140625" customWidth="1"/>
    <col min="14" max="14" width="21.5703125" bestFit="1" customWidth="1"/>
    <col min="28" max="28" width="3.85546875" customWidth="1"/>
  </cols>
  <sheetData>
    <row r="1" spans="1:28" s="303" customFormat="1" x14ac:dyDescent="0.25"/>
    <row r="2" spans="1:28" s="303" customFormat="1" x14ac:dyDescent="0.25">
      <c r="D2" s="327" t="s">
        <v>247</v>
      </c>
      <c r="E2" s="327"/>
      <c r="F2" s="327"/>
      <c r="G2" s="327"/>
      <c r="H2" s="327"/>
      <c r="I2" s="327"/>
      <c r="J2" s="327"/>
      <c r="K2" s="327"/>
      <c r="L2" s="327"/>
    </row>
    <row r="3" spans="1:28" s="303" customFormat="1" x14ac:dyDescent="0.25">
      <c r="D3" s="327"/>
      <c r="E3" s="327"/>
      <c r="F3" s="327"/>
      <c r="G3" s="327"/>
      <c r="H3" s="327"/>
      <c r="I3" s="327"/>
      <c r="J3" s="327"/>
      <c r="K3" s="327"/>
      <c r="L3" s="327"/>
    </row>
    <row r="4" spans="1:28" s="303" customFormat="1" x14ac:dyDescent="0.25">
      <c r="D4" s="327"/>
      <c r="E4" s="327"/>
      <c r="F4" s="327"/>
      <c r="G4" s="327"/>
      <c r="H4" s="327"/>
      <c r="I4" s="327"/>
      <c r="J4" s="327"/>
      <c r="K4" s="327"/>
      <c r="L4" s="327"/>
    </row>
    <row r="5" spans="1:28" s="303" customFormat="1" x14ac:dyDescent="0.25">
      <c r="D5" s="327"/>
      <c r="E5" s="327"/>
      <c r="F5" s="327"/>
      <c r="G5" s="327"/>
      <c r="H5" s="327"/>
      <c r="I5" s="327"/>
      <c r="J5" s="327"/>
      <c r="K5" s="327"/>
      <c r="L5" s="327"/>
    </row>
    <row r="6" spans="1:28" x14ac:dyDescent="0.25">
      <c r="A6" t="s">
        <v>202</v>
      </c>
      <c r="B6" s="329" t="s">
        <v>203</v>
      </c>
      <c r="C6" s="329"/>
      <c r="D6" s="329"/>
      <c r="E6" s="329"/>
      <c r="F6" s="329"/>
      <c r="G6" s="329"/>
    </row>
    <row r="7" spans="1:28" x14ac:dyDescent="0.25">
      <c r="B7" s="329"/>
      <c r="C7" s="329"/>
      <c r="D7" s="329"/>
      <c r="E7" s="329"/>
      <c r="F7" s="329"/>
      <c r="G7" s="329"/>
    </row>
    <row r="8" spans="1:28" x14ac:dyDescent="0.25">
      <c r="B8" s="329"/>
      <c r="C8" s="329"/>
      <c r="D8" s="329"/>
      <c r="E8" s="329"/>
      <c r="F8" s="329"/>
      <c r="G8" s="329"/>
    </row>
    <row r="9" spans="1:28" ht="15.75" thickBot="1" x14ac:dyDescent="0.3">
      <c r="B9" s="329"/>
      <c r="C9" s="329"/>
      <c r="D9" s="329"/>
      <c r="E9" s="329"/>
      <c r="F9" s="329"/>
      <c r="G9" s="329"/>
      <c r="M9" t="s">
        <v>229</v>
      </c>
    </row>
    <row r="10" spans="1:28" ht="9" customHeight="1" x14ac:dyDescent="0.25">
      <c r="M10" s="230"/>
      <c r="N10" s="231"/>
      <c r="O10" s="231"/>
      <c r="P10" s="231"/>
      <c r="Q10" s="231"/>
      <c r="R10" s="231"/>
      <c r="S10" s="231"/>
      <c r="T10" s="232"/>
      <c r="U10" s="231"/>
      <c r="V10" s="231"/>
      <c r="W10" s="231"/>
      <c r="X10" s="231"/>
      <c r="Y10" s="231"/>
      <c r="Z10" s="231"/>
      <c r="AA10" s="231"/>
      <c r="AB10" s="233"/>
    </row>
    <row r="11" spans="1:28" x14ac:dyDescent="0.25">
      <c r="A11" t="s">
        <v>204</v>
      </c>
      <c r="B11" s="329" t="s">
        <v>275</v>
      </c>
      <c r="C11" s="329"/>
      <c r="D11" s="329"/>
      <c r="E11" s="329"/>
      <c r="F11" s="329"/>
      <c r="G11" s="329"/>
      <c r="M11" s="234"/>
      <c r="N11" s="203"/>
      <c r="O11" s="235" t="s">
        <v>205</v>
      </c>
      <c r="P11" s="236">
        <v>101</v>
      </c>
      <c r="Q11" s="236">
        <v>229</v>
      </c>
      <c r="R11" s="236">
        <v>236</v>
      </c>
      <c r="S11" s="236">
        <v>254</v>
      </c>
      <c r="T11" s="236">
        <v>282</v>
      </c>
      <c r="U11" s="236">
        <v>190</v>
      </c>
      <c r="V11" s="236"/>
      <c r="W11" s="236">
        <v>425</v>
      </c>
      <c r="X11" s="236">
        <v>407</v>
      </c>
      <c r="Y11" s="236">
        <v>409</v>
      </c>
      <c r="Z11" s="236">
        <v>410</v>
      </c>
      <c r="AA11" s="236" t="s">
        <v>206</v>
      </c>
      <c r="AB11" s="237"/>
    </row>
    <row r="12" spans="1:28" ht="60.75" x14ac:dyDescent="0.25">
      <c r="B12" s="329"/>
      <c r="C12" s="329"/>
      <c r="D12" s="329"/>
      <c r="E12" s="329"/>
      <c r="F12" s="329"/>
      <c r="G12" s="329"/>
      <c r="M12" s="234"/>
      <c r="N12" s="238" t="s">
        <v>207</v>
      </c>
      <c r="O12" s="239"/>
      <c r="P12" s="239" t="s">
        <v>208</v>
      </c>
      <c r="Q12" s="239" t="s">
        <v>209</v>
      </c>
      <c r="R12" s="239" t="s">
        <v>210</v>
      </c>
      <c r="S12" s="239" t="s">
        <v>211</v>
      </c>
      <c r="T12" s="239" t="s">
        <v>212</v>
      </c>
      <c r="U12" s="239" t="s">
        <v>213</v>
      </c>
      <c r="V12" s="239"/>
      <c r="W12" s="239" t="s">
        <v>214</v>
      </c>
      <c r="X12" s="239" t="s">
        <v>215</v>
      </c>
      <c r="Y12" s="239" t="s">
        <v>216</v>
      </c>
      <c r="Z12" s="239" t="s">
        <v>217</v>
      </c>
      <c r="AA12" s="239"/>
      <c r="AB12" s="237"/>
    </row>
    <row r="13" spans="1:28" x14ac:dyDescent="0.25">
      <c r="B13" s="329"/>
      <c r="C13" s="329"/>
      <c r="D13" s="329"/>
      <c r="E13" s="329"/>
      <c r="F13" s="329"/>
      <c r="G13" s="329"/>
      <c r="M13" s="234"/>
      <c r="N13" s="238" t="s">
        <v>218</v>
      </c>
      <c r="O13" s="239"/>
      <c r="P13" s="228"/>
      <c r="Q13" s="228"/>
      <c r="R13" s="228"/>
      <c r="S13" s="228">
        <v>-17.3</v>
      </c>
      <c r="T13" s="228">
        <v>0</v>
      </c>
      <c r="U13" s="228">
        <f>-S13*0.2305</f>
        <v>3.9876500000000004</v>
      </c>
      <c r="V13" s="228"/>
      <c r="W13" s="228"/>
      <c r="X13" s="228"/>
      <c r="Y13" s="228"/>
      <c r="Z13" s="228"/>
      <c r="AA13" s="228"/>
      <c r="AB13" s="237"/>
    </row>
    <row r="14" spans="1:28" x14ac:dyDescent="0.25">
      <c r="B14" s="329"/>
      <c r="C14" s="329"/>
      <c r="D14" s="329"/>
      <c r="E14" s="329"/>
      <c r="F14" s="329"/>
      <c r="G14" s="329"/>
      <c r="M14" s="234"/>
      <c r="N14" s="203" t="s">
        <v>219</v>
      </c>
      <c r="O14" s="203">
        <v>1</v>
      </c>
      <c r="P14" s="228"/>
      <c r="Q14" s="228"/>
      <c r="R14" s="228"/>
      <c r="S14" s="228">
        <v>10.9</v>
      </c>
      <c r="T14" s="228"/>
      <c r="U14" s="228">
        <f>-S14*0.2305</f>
        <v>-2.5124500000000003</v>
      </c>
      <c r="V14" s="228"/>
      <c r="W14" s="228"/>
      <c r="X14" s="228"/>
      <c r="Y14" s="228"/>
      <c r="Z14" s="228">
        <f>-S14-U14</f>
        <v>-8.3875500000000009</v>
      </c>
      <c r="AA14" s="228">
        <f>SUM(W14:Z14)</f>
        <v>-8.3875500000000009</v>
      </c>
      <c r="AB14" s="237"/>
    </row>
    <row r="15" spans="1:28" x14ac:dyDescent="0.25">
      <c r="B15" s="329"/>
      <c r="C15" s="329"/>
      <c r="D15" s="329"/>
      <c r="E15" s="329"/>
      <c r="F15" s="329"/>
      <c r="G15" s="329"/>
      <c r="M15" s="234"/>
      <c r="N15" s="203" t="s">
        <v>220</v>
      </c>
      <c r="O15" s="203">
        <v>2</v>
      </c>
      <c r="P15" s="228"/>
      <c r="Q15" s="228"/>
      <c r="R15" s="228"/>
      <c r="S15" s="228">
        <v>6.4</v>
      </c>
      <c r="T15" s="228"/>
      <c r="U15" s="228">
        <f>-S15*0.2305</f>
        <v>-1.4752000000000001</v>
      </c>
      <c r="V15" s="228"/>
      <c r="W15" s="228"/>
      <c r="X15" s="228"/>
      <c r="Y15" s="228"/>
      <c r="Z15" s="228">
        <f t="shared" ref="Z15" si="0">-S15-U15</f>
        <v>-4.9248000000000003</v>
      </c>
      <c r="AA15" s="228">
        <f t="shared" ref="AA15" si="1">SUM(W15:Z15)</f>
        <v>-4.9248000000000003</v>
      </c>
      <c r="AB15" s="237"/>
    </row>
    <row r="16" spans="1:28" x14ac:dyDescent="0.25">
      <c r="B16" s="329"/>
      <c r="C16" s="329"/>
      <c r="D16" s="329"/>
      <c r="E16" s="329"/>
      <c r="F16" s="329"/>
      <c r="G16" s="329"/>
      <c r="M16" s="234"/>
      <c r="N16" s="203"/>
      <c r="O16" s="203"/>
      <c r="P16" s="240"/>
      <c r="Q16" s="240"/>
      <c r="R16" s="240"/>
      <c r="S16" s="240"/>
      <c r="T16" s="240"/>
      <c r="U16" s="240"/>
      <c r="V16" s="240"/>
      <c r="W16" s="240"/>
      <c r="X16" s="240"/>
      <c r="Y16" s="240"/>
      <c r="Z16" s="240"/>
      <c r="AA16" s="240"/>
      <c r="AB16" s="237"/>
    </row>
    <row r="17" spans="1:28" x14ac:dyDescent="0.25">
      <c r="B17" s="329"/>
      <c r="C17" s="329"/>
      <c r="D17" s="329"/>
      <c r="E17" s="329"/>
      <c r="F17" s="329"/>
      <c r="G17" s="329"/>
      <c r="M17" s="234"/>
      <c r="N17" s="197" t="s">
        <v>259</v>
      </c>
      <c r="O17" s="197">
        <v>3</v>
      </c>
      <c r="P17" s="288">
        <v>-10.9</v>
      </c>
      <c r="Q17" s="203"/>
      <c r="R17" s="203"/>
      <c r="S17" s="203"/>
      <c r="T17" s="288">
        <f>-U14</f>
        <v>2.5124500000000003</v>
      </c>
      <c r="U17" s="203"/>
      <c r="V17" s="203"/>
      <c r="W17" s="288">
        <f>-P17</f>
        <v>10.9</v>
      </c>
      <c r="X17" s="203"/>
      <c r="Y17" s="203"/>
      <c r="Z17" s="288">
        <f>-W17*0.2305</f>
        <v>-2.5124500000000003</v>
      </c>
      <c r="AA17" s="228">
        <f>SUM(W17:Z17)</f>
        <v>8.3875500000000009</v>
      </c>
      <c r="AB17" s="237"/>
    </row>
    <row r="18" spans="1:28" x14ac:dyDescent="0.25">
      <c r="B18" s="329"/>
      <c r="C18" s="329"/>
      <c r="D18" s="329"/>
      <c r="E18" s="329"/>
      <c r="F18" s="329"/>
      <c r="G18" s="329"/>
      <c r="M18" s="234"/>
      <c r="N18" s="197" t="s">
        <v>260</v>
      </c>
      <c r="O18" s="197">
        <v>4</v>
      </c>
      <c r="P18" s="288">
        <f>-S15</f>
        <v>-6.4</v>
      </c>
      <c r="Q18" s="203"/>
      <c r="R18" s="203"/>
      <c r="S18" s="203"/>
      <c r="T18" s="288">
        <f>-U15</f>
        <v>1.4752000000000001</v>
      </c>
      <c r="U18" s="203"/>
      <c r="V18" s="203"/>
      <c r="W18" s="288">
        <f>-P18</f>
        <v>6.4</v>
      </c>
      <c r="X18" s="203"/>
      <c r="Y18" s="203"/>
      <c r="Z18" s="288">
        <f>-W18*0.2305</f>
        <v>-1.4752000000000001</v>
      </c>
      <c r="AA18" s="228">
        <f t="shared" ref="AA18" si="2">SUM(W18:Z18)</f>
        <v>4.9248000000000003</v>
      </c>
      <c r="AB18" s="237"/>
    </row>
    <row r="19" spans="1:28" x14ac:dyDescent="0.25">
      <c r="M19" s="234"/>
      <c r="N19" s="203"/>
      <c r="O19" s="203"/>
      <c r="P19" s="203"/>
      <c r="Q19" s="203"/>
      <c r="R19" s="203"/>
      <c r="S19" s="203"/>
      <c r="T19" s="203"/>
      <c r="U19" s="203"/>
      <c r="V19" s="203"/>
      <c r="W19" s="203"/>
      <c r="X19" s="203"/>
      <c r="Y19" s="203"/>
      <c r="Z19" s="203"/>
      <c r="AA19" s="203"/>
      <c r="AB19" s="237"/>
    </row>
    <row r="20" spans="1:28" x14ac:dyDescent="0.25">
      <c r="M20" s="234"/>
      <c r="N20" s="203"/>
      <c r="O20" s="203"/>
      <c r="P20" s="229">
        <f t="shared" ref="P20:S20" si="3">SUM(P13:P18)</f>
        <v>-17.3</v>
      </c>
      <c r="Q20" s="229">
        <f t="shared" si="3"/>
        <v>0</v>
      </c>
      <c r="R20" s="229">
        <f t="shared" si="3"/>
        <v>0</v>
      </c>
      <c r="S20" s="229">
        <f t="shared" si="3"/>
        <v>0</v>
      </c>
      <c r="T20" s="229">
        <f>SUM(T13:T18)</f>
        <v>3.9876500000000004</v>
      </c>
      <c r="U20" s="229">
        <f t="shared" ref="U20:Z20" si="4">SUM(U13:U18)</f>
        <v>0</v>
      </c>
      <c r="V20" s="229">
        <f t="shared" si="4"/>
        <v>0</v>
      </c>
      <c r="W20" s="229">
        <f t="shared" si="4"/>
        <v>17.3</v>
      </c>
      <c r="X20" s="229">
        <f t="shared" si="4"/>
        <v>0</v>
      </c>
      <c r="Y20" s="229">
        <f t="shared" si="4"/>
        <v>0</v>
      </c>
      <c r="Z20" s="229">
        <f t="shared" si="4"/>
        <v>-17.300000000000004</v>
      </c>
      <c r="AA20" s="229">
        <f>SUM(W20:Z20)</f>
        <v>0</v>
      </c>
      <c r="AB20" s="237"/>
    </row>
    <row r="21" spans="1:28" x14ac:dyDescent="0.25">
      <c r="D21" s="225"/>
      <c r="E21" s="248" t="s">
        <v>230</v>
      </c>
      <c r="F21" s="249">
        <v>0.23050000000000001</v>
      </c>
      <c r="M21" s="234"/>
      <c r="N21" s="203"/>
      <c r="O21" s="203"/>
      <c r="P21" s="228"/>
      <c r="Q21" s="228"/>
      <c r="R21" s="228"/>
      <c r="S21" s="228"/>
      <c r="T21" s="228"/>
      <c r="U21" s="228"/>
      <c r="V21" s="228"/>
      <c r="W21" s="228"/>
      <c r="X21" s="228"/>
      <c r="Y21" s="228"/>
      <c r="Z21" s="228"/>
      <c r="AA21" s="228"/>
      <c r="AB21" s="237"/>
    </row>
    <row r="22" spans="1:28" x14ac:dyDescent="0.25">
      <c r="M22" s="234"/>
      <c r="N22" s="203"/>
      <c r="O22" s="203"/>
      <c r="P22" s="228"/>
      <c r="Q22" s="228"/>
      <c r="R22" s="228"/>
      <c r="S22" s="228"/>
      <c r="T22" s="228"/>
      <c r="U22" s="228"/>
      <c r="V22" s="228"/>
      <c r="W22" s="228"/>
      <c r="X22" s="228"/>
      <c r="Y22" s="228"/>
      <c r="Z22" s="228"/>
      <c r="AA22" s="228"/>
      <c r="AB22" s="237"/>
    </row>
    <row r="23" spans="1:28" ht="30" x14ac:dyDescent="0.25">
      <c r="C23" s="250" t="s">
        <v>208</v>
      </c>
      <c r="D23" s="251" t="s">
        <v>232</v>
      </c>
      <c r="E23" s="251" t="s">
        <v>233</v>
      </c>
      <c r="F23" s="251" t="s">
        <v>234</v>
      </c>
      <c r="G23" s="251" t="s">
        <v>235</v>
      </c>
      <c r="H23" s="251"/>
      <c r="I23" s="251" t="s">
        <v>214</v>
      </c>
      <c r="J23" s="251" t="s">
        <v>226</v>
      </c>
      <c r="M23" s="234"/>
      <c r="N23" s="203"/>
      <c r="O23" s="203"/>
      <c r="P23" s="228"/>
      <c r="Q23" s="228"/>
      <c r="R23" s="228"/>
      <c r="S23" s="228"/>
      <c r="T23" s="228"/>
      <c r="U23" s="228"/>
      <c r="V23" s="228"/>
      <c r="W23" s="228"/>
      <c r="X23" s="228"/>
      <c r="Y23" s="228"/>
      <c r="Z23" s="228"/>
      <c r="AA23" s="228"/>
      <c r="AB23" s="237"/>
    </row>
    <row r="24" spans="1:28" x14ac:dyDescent="0.25">
      <c r="C24" s="244">
        <v>101090</v>
      </c>
      <c r="D24" s="244">
        <v>229010</v>
      </c>
      <c r="E24" s="244">
        <v>254910</v>
      </c>
      <c r="F24" s="244">
        <v>282400</v>
      </c>
      <c r="G24" s="244">
        <v>190930</v>
      </c>
      <c r="H24" s="52"/>
      <c r="I24" s="245" t="s">
        <v>100</v>
      </c>
      <c r="J24" s="244">
        <v>410100</v>
      </c>
      <c r="M24" s="234"/>
      <c r="N24" s="203"/>
      <c r="O24" s="203"/>
      <c r="P24" s="203"/>
      <c r="Q24" s="203"/>
      <c r="R24" s="203"/>
      <c r="S24" s="203"/>
      <c r="T24" s="203"/>
      <c r="U24" s="203"/>
      <c r="V24" s="203"/>
      <c r="W24" s="203"/>
      <c r="X24" s="203"/>
      <c r="Y24" s="203"/>
      <c r="Z24" s="203"/>
      <c r="AA24" s="203"/>
      <c r="AB24" s="237"/>
    </row>
    <row r="25" spans="1:28" x14ac:dyDescent="0.25">
      <c r="A25">
        <v>1</v>
      </c>
      <c r="B25" s="259" t="s">
        <v>51</v>
      </c>
      <c r="C25" s="260"/>
      <c r="D25" s="260"/>
      <c r="E25" s="260">
        <v>10903002.199999999</v>
      </c>
      <c r="F25" s="260"/>
      <c r="G25" s="260">
        <v>-2513142.08</v>
      </c>
      <c r="H25" s="5"/>
      <c r="I25" s="260"/>
      <c r="J25" s="260">
        <f>-(SUM(E25:G25))</f>
        <v>-8389860.1199999992</v>
      </c>
      <c r="K25" s="19">
        <f>SUM(C25:J25)</f>
        <v>0</v>
      </c>
      <c r="M25" s="234"/>
      <c r="N25" s="203"/>
      <c r="O25" s="203"/>
      <c r="P25" s="203"/>
      <c r="Q25" s="203"/>
      <c r="R25" s="203"/>
      <c r="S25" s="203"/>
      <c r="T25" s="203"/>
      <c r="U25" s="203"/>
      <c r="V25" s="203"/>
      <c r="W25" s="203"/>
      <c r="X25" s="203"/>
      <c r="Y25" s="203"/>
      <c r="Z25" s="203"/>
      <c r="AA25" s="203"/>
      <c r="AB25" s="237"/>
    </row>
    <row r="26" spans="1:28" x14ac:dyDescent="0.25">
      <c r="A26">
        <v>2</v>
      </c>
      <c r="B26" s="259" t="s">
        <v>50</v>
      </c>
      <c r="C26" s="260"/>
      <c r="D26" s="260"/>
      <c r="E26" s="260">
        <v>6408654.2800000003</v>
      </c>
      <c r="F26" s="260"/>
      <c r="G26" s="260">
        <v>-1477192.94</v>
      </c>
      <c r="H26" s="5"/>
      <c r="I26" s="260"/>
      <c r="J26" s="260">
        <f>-SUM(E26:G26)</f>
        <v>-4931461.34</v>
      </c>
      <c r="K26" s="19">
        <f>SUM(C26:J26)</f>
        <v>0</v>
      </c>
      <c r="M26" s="234"/>
      <c r="N26" s="203"/>
      <c r="O26" s="203"/>
      <c r="P26" s="203"/>
      <c r="Q26" s="203"/>
      <c r="R26" s="203"/>
      <c r="S26" s="203"/>
      <c r="T26" s="203"/>
      <c r="U26" s="203"/>
      <c r="V26" s="203"/>
      <c r="W26" s="203"/>
      <c r="X26" s="203"/>
      <c r="Y26" s="203"/>
      <c r="Z26" s="203"/>
      <c r="AA26" s="203"/>
      <c r="AB26" s="237"/>
    </row>
    <row r="27" spans="1:28" x14ac:dyDescent="0.25">
      <c r="A27" s="330"/>
      <c r="B27" s="261"/>
      <c r="C27" s="285"/>
      <c r="D27" s="286"/>
      <c r="E27" s="286"/>
      <c r="F27" s="286"/>
      <c r="G27" s="286"/>
      <c r="H27" s="262"/>
      <c r="I27" s="262"/>
      <c r="J27" s="262"/>
      <c r="K27" s="263"/>
      <c r="M27" s="234"/>
      <c r="N27" s="203"/>
      <c r="O27" s="203"/>
      <c r="P27" s="203"/>
      <c r="Q27" s="203" t="s">
        <v>221</v>
      </c>
      <c r="R27" s="203" t="s">
        <v>222</v>
      </c>
      <c r="S27" s="203"/>
      <c r="T27" s="203"/>
      <c r="U27" s="203"/>
      <c r="V27" s="203"/>
      <c r="W27" s="203"/>
      <c r="X27" s="203"/>
      <c r="Y27" s="203"/>
      <c r="Z27" s="203"/>
      <c r="AA27" s="203"/>
      <c r="AB27" s="237"/>
    </row>
    <row r="28" spans="1:28" x14ac:dyDescent="0.25">
      <c r="A28" s="330"/>
      <c r="B28" s="256"/>
      <c r="C28" s="287"/>
      <c r="D28" s="287"/>
      <c r="E28" s="287"/>
      <c r="F28" s="287"/>
      <c r="G28" s="287"/>
      <c r="H28" s="257"/>
      <c r="I28" s="257"/>
      <c r="J28" s="257"/>
      <c r="K28" s="258"/>
      <c r="M28" s="234"/>
      <c r="N28" s="328" t="s">
        <v>223</v>
      </c>
      <c r="O28" s="328"/>
      <c r="P28" s="328"/>
      <c r="Q28" s="228">
        <v>100</v>
      </c>
      <c r="R28" s="228">
        <f>+Q28*0.2305</f>
        <v>23.05</v>
      </c>
      <c r="S28" s="203" t="s">
        <v>224</v>
      </c>
      <c r="T28" s="203"/>
      <c r="U28" s="203"/>
      <c r="V28" s="203"/>
      <c r="W28" s="203"/>
      <c r="X28" s="203"/>
      <c r="Y28" s="203"/>
      <c r="Z28" s="203"/>
      <c r="AA28" s="203"/>
      <c r="AB28" s="237"/>
    </row>
    <row r="29" spans="1:28" x14ac:dyDescent="0.25">
      <c r="A29">
        <v>3</v>
      </c>
      <c r="B29" s="259" t="s">
        <v>51</v>
      </c>
      <c r="C29" s="255">
        <f>-SUM(E25:G25)/(1-0.2305)</f>
        <v>-10903002.105263157</v>
      </c>
      <c r="D29" s="246"/>
      <c r="E29" s="246"/>
      <c r="F29" s="246">
        <f>-J29</f>
        <v>2513142</v>
      </c>
      <c r="G29" s="246"/>
      <c r="H29" s="246"/>
      <c r="I29" s="246">
        <f>-C29</f>
        <v>10903002.105263157</v>
      </c>
      <c r="J29" s="246">
        <f>ROUNDUP(-I29*F21,0)</f>
        <v>-2513142</v>
      </c>
      <c r="K29" s="19">
        <f>SUM(C29:J29)</f>
        <v>0</v>
      </c>
      <c r="M29" s="234"/>
      <c r="N29" s="203"/>
      <c r="O29" s="203"/>
      <c r="P29" s="203"/>
      <c r="Q29" s="228"/>
      <c r="R29" s="228"/>
      <c r="S29" s="203"/>
      <c r="T29" s="203"/>
      <c r="U29" s="203"/>
      <c r="V29" s="203"/>
      <c r="W29" s="203"/>
      <c r="X29" s="203"/>
      <c r="Y29" s="203"/>
      <c r="Z29" s="203"/>
      <c r="AA29" s="203"/>
      <c r="AB29" s="237"/>
    </row>
    <row r="30" spans="1:28" s="253" customFormat="1" x14ac:dyDescent="0.25">
      <c r="A30" s="253">
        <v>4</v>
      </c>
      <c r="B30" s="259" t="s">
        <v>50</v>
      </c>
      <c r="C30" s="255">
        <f>-SUM(E26:G26)/(1-0.2305)</f>
        <v>-6408656.712150747</v>
      </c>
      <c r="D30" s="246"/>
      <c r="E30" s="246"/>
      <c r="F30" s="246">
        <f>-J30</f>
        <v>1477196</v>
      </c>
      <c r="G30" s="246"/>
      <c r="H30" s="246"/>
      <c r="I30" s="246">
        <f>-C30</f>
        <v>6408656.712150747</v>
      </c>
      <c r="J30" s="246">
        <f>ROUNDUP(-I30*F21,0)</f>
        <v>-1477196</v>
      </c>
      <c r="K30" s="19"/>
      <c r="M30" s="234"/>
      <c r="N30" s="203"/>
      <c r="O30" s="203"/>
      <c r="P30" s="203"/>
      <c r="Q30" s="228"/>
      <c r="R30" s="228"/>
      <c r="S30" s="203"/>
      <c r="T30" s="203"/>
      <c r="U30" s="203"/>
      <c r="V30" s="203"/>
      <c r="W30" s="203"/>
      <c r="X30" s="203"/>
      <c r="Y30" s="203"/>
      <c r="Z30" s="203"/>
      <c r="AA30" s="203"/>
      <c r="AB30" s="237"/>
    </row>
    <row r="31" spans="1:28" x14ac:dyDescent="0.25">
      <c r="A31" s="226"/>
      <c r="B31" s="227" t="s">
        <v>45</v>
      </c>
      <c r="C31" s="227">
        <f>SUM(C25:C30)</f>
        <v>-17311658.817413904</v>
      </c>
      <c r="D31" s="227">
        <f t="shared" ref="D31:J31" si="5">SUM(D25:D30)</f>
        <v>0</v>
      </c>
      <c r="E31" s="227">
        <f t="shared" si="5"/>
        <v>17311656.48</v>
      </c>
      <c r="F31" s="227">
        <f t="shared" si="5"/>
        <v>3990338</v>
      </c>
      <c r="G31" s="227">
        <f t="shared" si="5"/>
        <v>-3990335.02</v>
      </c>
      <c r="H31" s="227"/>
      <c r="I31" s="227">
        <f t="shared" si="5"/>
        <v>17311658.817413904</v>
      </c>
      <c r="J31" s="227">
        <f t="shared" si="5"/>
        <v>-17311659.460000001</v>
      </c>
      <c r="K31" s="16">
        <f>SUM(C31:J31)</f>
        <v>0</v>
      </c>
      <c r="M31" s="234"/>
      <c r="N31" s="328" t="s">
        <v>225</v>
      </c>
      <c r="O31" s="328"/>
      <c r="P31" s="328"/>
      <c r="Q31" s="228">
        <v>17.32</v>
      </c>
      <c r="R31" s="228">
        <f>-+Q31*0.2305</f>
        <v>-3.9922600000000004</v>
      </c>
      <c r="S31" s="203" t="s">
        <v>226</v>
      </c>
      <c r="T31" s="203"/>
      <c r="U31" s="203"/>
      <c r="V31" s="203"/>
      <c r="W31" s="203"/>
      <c r="X31" s="203"/>
      <c r="Y31" s="203"/>
      <c r="Z31" s="203"/>
      <c r="AA31" s="203"/>
      <c r="AB31" s="237"/>
    </row>
    <row r="32" spans="1:28" ht="10.5" customHeight="1" x14ac:dyDescent="0.25">
      <c r="A32" s="226"/>
      <c r="B32" s="227"/>
      <c r="C32" s="227"/>
      <c r="D32" s="227"/>
      <c r="E32" s="227"/>
      <c r="F32" s="227"/>
      <c r="G32" s="227"/>
      <c r="H32" s="227"/>
      <c r="I32" s="227"/>
      <c r="M32" s="234"/>
      <c r="N32" s="328" t="s">
        <v>227</v>
      </c>
      <c r="O32" s="328"/>
      <c r="P32" s="328"/>
      <c r="Q32" s="229">
        <f>SUM(Q28:Q31)</f>
        <v>117.32</v>
      </c>
      <c r="R32" s="228">
        <f t="shared" ref="R32" si="6">+Q32*0.2305</f>
        <v>27.042259999999999</v>
      </c>
      <c r="S32" s="203" t="s">
        <v>228</v>
      </c>
      <c r="T32" s="203"/>
      <c r="U32" s="203"/>
      <c r="V32" s="203"/>
      <c r="W32" s="203"/>
      <c r="X32" s="203"/>
      <c r="Y32" s="203"/>
      <c r="Z32" s="203"/>
      <c r="AA32" s="203"/>
      <c r="AB32" s="237"/>
    </row>
    <row r="33" spans="2:28" x14ac:dyDescent="0.25">
      <c r="B33" s="247" t="s">
        <v>231</v>
      </c>
      <c r="C33" s="169">
        <v>0</v>
      </c>
      <c r="D33" s="169"/>
      <c r="E33" s="169">
        <v>-17311656.48</v>
      </c>
      <c r="F33" s="169">
        <v>0</v>
      </c>
      <c r="G33" s="169">
        <f>2513142.08+1477192.94</f>
        <v>3990335.02</v>
      </c>
      <c r="H33" s="3"/>
      <c r="I33" s="3"/>
      <c r="M33" s="234"/>
      <c r="N33" s="203"/>
      <c r="O33" s="203"/>
      <c r="P33" s="203"/>
      <c r="Q33" s="228"/>
      <c r="R33" s="229">
        <f>SUM(R31:R32)</f>
        <v>23.049999999999997</v>
      </c>
      <c r="S33" s="203" t="s">
        <v>224</v>
      </c>
      <c r="T33" s="203"/>
      <c r="U33" s="203"/>
      <c r="V33" s="203"/>
      <c r="W33" s="203"/>
      <c r="X33" s="203"/>
      <c r="Y33" s="203"/>
      <c r="Z33" s="203"/>
      <c r="AA33" s="203"/>
      <c r="AB33" s="237"/>
    </row>
    <row r="34" spans="2:28" ht="15.75" thickBot="1" x14ac:dyDescent="0.3">
      <c r="B34" s="247" t="s">
        <v>54</v>
      </c>
      <c r="C34" s="3">
        <f>SUM(C31:C33)</f>
        <v>-17311658.817413904</v>
      </c>
      <c r="D34" s="3">
        <f t="shared" ref="D34:F34" si="7">SUM(D31:D33)</f>
        <v>0</v>
      </c>
      <c r="E34" s="3">
        <f t="shared" si="7"/>
        <v>0</v>
      </c>
      <c r="F34" s="3">
        <f t="shared" si="7"/>
        <v>3990338</v>
      </c>
      <c r="G34" s="3">
        <f>SUM(G31:G33)</f>
        <v>0</v>
      </c>
      <c r="H34" s="3"/>
      <c r="I34" s="3"/>
      <c r="M34" s="241"/>
      <c r="N34" s="242"/>
      <c r="O34" s="242"/>
      <c r="P34" s="242"/>
      <c r="Q34" s="242"/>
      <c r="R34" s="242"/>
      <c r="S34" s="242"/>
      <c r="T34" s="242"/>
      <c r="U34" s="242"/>
      <c r="V34" s="242"/>
      <c r="W34" s="242"/>
      <c r="X34" s="242"/>
      <c r="Y34" s="242"/>
      <c r="Z34" s="242"/>
      <c r="AA34" s="242"/>
      <c r="AB34" s="243"/>
    </row>
    <row r="35" spans="2:28" x14ac:dyDescent="0.25">
      <c r="B35" s="3"/>
      <c r="C35" s="3"/>
      <c r="D35" s="3"/>
      <c r="E35" s="3"/>
      <c r="F35" s="3"/>
      <c r="G35" s="3"/>
      <c r="H35" s="3"/>
      <c r="I35" s="3"/>
    </row>
    <row r="36" spans="2:28" x14ac:dyDescent="0.25">
      <c r="B36" s="3"/>
      <c r="C36" s="3"/>
      <c r="D36" s="3"/>
      <c r="E36" s="3"/>
      <c r="F36" s="3"/>
      <c r="G36" s="3"/>
      <c r="H36" s="3"/>
      <c r="I36" s="3"/>
    </row>
    <row r="37" spans="2:28" x14ac:dyDescent="0.25">
      <c r="B37" s="3"/>
      <c r="C37" s="3"/>
      <c r="D37" s="3"/>
      <c r="E37" s="3"/>
      <c r="F37" s="3"/>
      <c r="G37" s="3"/>
      <c r="H37" s="3"/>
      <c r="I37" s="3"/>
    </row>
    <row r="38" spans="2:28" x14ac:dyDescent="0.25">
      <c r="B38" s="3"/>
      <c r="C38" s="3"/>
      <c r="D38" s="3"/>
      <c r="E38" s="3"/>
      <c r="F38" s="3"/>
      <c r="G38" s="3"/>
      <c r="H38" s="3"/>
      <c r="I38" s="3"/>
    </row>
    <row r="39" spans="2:28" x14ac:dyDescent="0.25">
      <c r="B39" s="3"/>
      <c r="C39" s="3"/>
      <c r="D39" s="3"/>
      <c r="E39" s="3"/>
      <c r="F39" s="3"/>
      <c r="G39" s="3"/>
      <c r="H39" s="3"/>
      <c r="I39" s="3"/>
    </row>
  </sheetData>
  <mergeCells count="7">
    <mergeCell ref="D2:L5"/>
    <mergeCell ref="N32:P32"/>
    <mergeCell ref="B6:G9"/>
    <mergeCell ref="B11:G18"/>
    <mergeCell ref="A27:A28"/>
    <mergeCell ref="N28:P28"/>
    <mergeCell ref="N31:P3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L22"/>
  <sheetViews>
    <sheetView workbookViewId="0">
      <selection activeCell="N28" sqref="N28"/>
    </sheetView>
  </sheetViews>
  <sheetFormatPr defaultRowHeight="15" x14ac:dyDescent="0.25"/>
  <cols>
    <col min="5" max="5" width="9.140625" style="189"/>
    <col min="6" max="6" width="15.28515625" style="3" bestFit="1" customWidth="1"/>
    <col min="7" max="7" width="9.140625" style="59"/>
  </cols>
  <sheetData>
    <row r="1" spans="4:12" s="303" customFormat="1" x14ac:dyDescent="0.25">
      <c r="E1" s="304"/>
      <c r="F1" s="3"/>
      <c r="G1" s="59"/>
    </row>
    <row r="2" spans="4:12" s="303" customFormat="1" x14ac:dyDescent="0.25">
      <c r="D2" s="327" t="s">
        <v>247</v>
      </c>
      <c r="E2" s="327"/>
      <c r="F2" s="327"/>
      <c r="G2" s="327"/>
      <c r="H2" s="327"/>
      <c r="I2" s="327"/>
      <c r="J2" s="327"/>
      <c r="K2" s="327"/>
      <c r="L2" s="327"/>
    </row>
    <row r="3" spans="4:12" s="303" customFormat="1" x14ac:dyDescent="0.25">
      <c r="D3" s="327"/>
      <c r="E3" s="327"/>
      <c r="F3" s="327"/>
      <c r="G3" s="327"/>
      <c r="H3" s="327"/>
      <c r="I3" s="327"/>
      <c r="J3" s="327"/>
      <c r="K3" s="327"/>
      <c r="L3" s="327"/>
    </row>
    <row r="4" spans="4:12" s="303" customFormat="1" x14ac:dyDescent="0.25">
      <c r="D4" s="327"/>
      <c r="E4" s="327"/>
      <c r="F4" s="327"/>
      <c r="G4" s="327"/>
      <c r="H4" s="327"/>
      <c r="I4" s="327"/>
      <c r="J4" s="327"/>
      <c r="K4" s="327"/>
      <c r="L4" s="327"/>
    </row>
    <row r="5" spans="4:12" s="303" customFormat="1" x14ac:dyDescent="0.25">
      <c r="D5" s="327"/>
      <c r="E5" s="327"/>
      <c r="F5" s="327"/>
      <c r="G5" s="327"/>
      <c r="H5" s="327"/>
      <c r="I5" s="327"/>
      <c r="J5" s="327"/>
      <c r="K5" s="327"/>
      <c r="L5" s="327"/>
    </row>
    <row r="8" spans="4:12" x14ac:dyDescent="0.25">
      <c r="D8" s="57" t="s">
        <v>243</v>
      </c>
      <c r="E8" s="189" t="s">
        <v>193</v>
      </c>
      <c r="F8" s="3">
        <f>'Generation-deprec exp Updated'!L29</f>
        <v>104307957.24000001</v>
      </c>
      <c r="G8" s="59" t="s">
        <v>198</v>
      </c>
    </row>
    <row r="9" spans="4:12" x14ac:dyDescent="0.25">
      <c r="D9" s="57" t="s">
        <v>244</v>
      </c>
      <c r="E9" s="189" t="s">
        <v>193</v>
      </c>
      <c r="F9" s="3">
        <f>'Transmission-deprec exp Updated'!L58</f>
        <v>26197264.82</v>
      </c>
      <c r="G9" s="59" t="s">
        <v>199</v>
      </c>
    </row>
    <row r="10" spans="4:12" x14ac:dyDescent="0.25">
      <c r="E10" s="206" t="s">
        <v>194</v>
      </c>
      <c r="F10" s="169">
        <v>13296419</v>
      </c>
      <c r="G10" s="59" t="s">
        <v>242</v>
      </c>
    </row>
    <row r="11" spans="4:12" x14ac:dyDescent="0.25">
      <c r="F11" s="3">
        <f>SUM(F8:F10)</f>
        <v>143801641.06</v>
      </c>
      <c r="G11" s="59" t="s">
        <v>200</v>
      </c>
    </row>
    <row r="12" spans="4:12" s="77" customFormat="1" x14ac:dyDescent="0.25">
      <c r="E12" s="189"/>
      <c r="F12" s="3"/>
      <c r="G12" s="59"/>
    </row>
    <row r="13" spans="4:12" x14ac:dyDescent="0.25">
      <c r="E13" s="53" t="s">
        <v>201</v>
      </c>
      <c r="F13" s="22">
        <f>'Tax Entry'!C29</f>
        <v>-10903002.105263157</v>
      </c>
      <c r="G13" s="170" t="s">
        <v>268</v>
      </c>
    </row>
    <row r="14" spans="4:12" s="284" customFormat="1" x14ac:dyDescent="0.25">
      <c r="E14" s="53"/>
      <c r="F14" s="169">
        <f>'Tax Entry'!C30</f>
        <v>-6408656.712150747</v>
      </c>
      <c r="G14" s="170" t="s">
        <v>268</v>
      </c>
    </row>
    <row r="15" spans="4:12" x14ac:dyDescent="0.25">
      <c r="F15" s="3">
        <f>SUM(F11:F14)</f>
        <v>126489982.24258609</v>
      </c>
      <c r="G15" s="59" t="s">
        <v>143</v>
      </c>
    </row>
    <row r="17" spans="2:7" x14ac:dyDescent="0.25">
      <c r="E17" s="53" t="s">
        <v>194</v>
      </c>
      <c r="F17" s="169">
        <f>-10*SUM('GL-Forecast'!D56:D57)</f>
        <v>-71435130</v>
      </c>
      <c r="G17" s="170" t="s">
        <v>144</v>
      </c>
    </row>
    <row r="18" spans="2:7" x14ac:dyDescent="0.25">
      <c r="F18" s="3">
        <f>SUM(F15:F17)</f>
        <v>55054852.242586091</v>
      </c>
      <c r="G18" s="59" t="s">
        <v>147</v>
      </c>
    </row>
    <row r="20" spans="2:7" s="77" customFormat="1" x14ac:dyDescent="0.25">
      <c r="B20" s="331" t="s">
        <v>195</v>
      </c>
      <c r="C20" s="331"/>
      <c r="D20" s="331"/>
      <c r="E20" s="331"/>
      <c r="F20" s="3">
        <v>2150955</v>
      </c>
      <c r="G20" s="59" t="s">
        <v>149</v>
      </c>
    </row>
    <row r="21" spans="2:7" x14ac:dyDescent="0.25">
      <c r="B21" s="331"/>
      <c r="C21" s="331"/>
      <c r="D21" s="331"/>
      <c r="E21" s="331"/>
      <c r="F21" s="169">
        <v>21443120.539999999</v>
      </c>
      <c r="G21" s="59" t="s">
        <v>145</v>
      </c>
    </row>
    <row r="22" spans="2:7" x14ac:dyDescent="0.25">
      <c r="E22" s="305"/>
      <c r="F22" s="3">
        <f>SUM(F18:F21)</f>
        <v>78648927.782586098</v>
      </c>
      <c r="G22" s="59" t="s">
        <v>146</v>
      </c>
    </row>
  </sheetData>
  <mergeCells count="2">
    <mergeCell ref="B20:E21"/>
    <mergeCell ref="D2:L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R69"/>
  <sheetViews>
    <sheetView topLeftCell="A13" zoomScaleNormal="100" workbookViewId="0">
      <selection activeCell="M37" sqref="M37"/>
    </sheetView>
  </sheetViews>
  <sheetFormatPr defaultColWidth="9.140625" defaultRowHeight="15" x14ac:dyDescent="0.25"/>
  <cols>
    <col min="1" max="1" width="7" style="188" bestFit="1" customWidth="1"/>
    <col min="2" max="2" width="13.140625" style="188" bestFit="1" customWidth="1"/>
    <col min="3" max="3" width="30" style="188" bestFit="1" customWidth="1"/>
    <col min="4" max="4" width="14.7109375" style="3" bestFit="1" customWidth="1"/>
    <col min="5" max="5" width="11.28515625" style="188" bestFit="1" customWidth="1"/>
    <col min="6" max="6" width="12.28515625" style="188" bestFit="1" customWidth="1"/>
    <col min="7" max="7" width="11.5703125" style="188" bestFit="1" customWidth="1"/>
    <col min="8" max="8" width="13.42578125" style="188" bestFit="1" customWidth="1"/>
    <col min="9" max="9" width="12.5703125" style="188" bestFit="1" customWidth="1"/>
    <col min="10" max="10" width="13.7109375" style="188" bestFit="1" customWidth="1"/>
    <col min="11" max="11" width="1.7109375" style="188" customWidth="1"/>
    <col min="12" max="12" width="12.5703125" style="188" bestFit="1" customWidth="1"/>
    <col min="13" max="13" width="11.5703125" style="188" bestFit="1" customWidth="1"/>
    <col min="14" max="14" width="12.42578125" style="188" customWidth="1"/>
    <col min="15" max="15" width="2.85546875" style="188" customWidth="1"/>
    <col min="16" max="16" width="14.28515625" style="188" bestFit="1" customWidth="1"/>
    <col min="17" max="17" width="12.5703125" style="188" bestFit="1" customWidth="1"/>
    <col min="18" max="16384" width="9.140625" style="188"/>
  </cols>
  <sheetData>
    <row r="1" spans="1:17" s="303" customFormat="1" x14ac:dyDescent="0.25">
      <c r="D1" s="3"/>
    </row>
    <row r="2" spans="1:17" s="303" customFormat="1" x14ac:dyDescent="0.25">
      <c r="D2" s="334" t="s">
        <v>247</v>
      </c>
      <c r="E2" s="334"/>
      <c r="F2" s="334"/>
      <c r="G2" s="334"/>
      <c r="H2" s="334"/>
      <c r="I2" s="334"/>
      <c r="J2" s="334"/>
      <c r="K2" s="334"/>
      <c r="L2" s="334"/>
    </row>
    <row r="3" spans="1:17" s="303" customFormat="1" x14ac:dyDescent="0.25">
      <c r="D3" s="334"/>
      <c r="E3" s="334"/>
      <c r="F3" s="334"/>
      <c r="G3" s="334"/>
      <c r="H3" s="334"/>
      <c r="I3" s="334"/>
      <c r="J3" s="334"/>
      <c r="K3" s="334"/>
      <c r="L3" s="334"/>
    </row>
    <row r="4" spans="1:17" s="303" customFormat="1" x14ac:dyDescent="0.25">
      <c r="D4" s="334"/>
      <c r="E4" s="334"/>
      <c r="F4" s="334"/>
      <c r="G4" s="334"/>
      <c r="H4" s="334"/>
      <c r="I4" s="334"/>
      <c r="J4" s="334"/>
      <c r="K4" s="334"/>
      <c r="L4" s="334"/>
    </row>
    <row r="5" spans="1:17" s="303" customFormat="1" x14ac:dyDescent="0.25">
      <c r="D5" s="334"/>
      <c r="E5" s="334"/>
      <c r="F5" s="334"/>
      <c r="G5" s="334"/>
      <c r="H5" s="334"/>
      <c r="I5" s="334"/>
      <c r="J5" s="334"/>
      <c r="K5" s="334"/>
      <c r="L5" s="334"/>
    </row>
    <row r="6" spans="1:17" x14ac:dyDescent="0.25">
      <c r="D6" s="191" t="s">
        <v>165</v>
      </c>
      <c r="E6" s="21" t="s">
        <v>166</v>
      </c>
      <c r="F6" s="192" t="s">
        <v>167</v>
      </c>
      <c r="G6" s="191" t="s">
        <v>168</v>
      </c>
      <c r="H6" s="21" t="s">
        <v>169</v>
      </c>
      <c r="I6" s="21"/>
      <c r="J6" s="21" t="s">
        <v>170</v>
      </c>
      <c r="K6" s="21"/>
      <c r="L6" s="21" t="s">
        <v>171</v>
      </c>
      <c r="M6" s="21" t="s">
        <v>172</v>
      </c>
      <c r="N6" s="21" t="s">
        <v>173</v>
      </c>
      <c r="O6" s="21"/>
      <c r="P6" s="21" t="s">
        <v>174</v>
      </c>
      <c r="Q6" s="21" t="s">
        <v>175</v>
      </c>
    </row>
    <row r="7" spans="1:17" s="14" customFormat="1" ht="60" x14ac:dyDescent="0.25">
      <c r="D7" s="15">
        <v>43100</v>
      </c>
      <c r="E7" s="14" t="s">
        <v>32</v>
      </c>
      <c r="F7" s="14" t="s">
        <v>176</v>
      </c>
      <c r="G7" s="14" t="s">
        <v>43</v>
      </c>
      <c r="H7" s="14" t="s">
        <v>177</v>
      </c>
      <c r="J7" s="14" t="s">
        <v>44</v>
      </c>
      <c r="L7" s="14" t="s">
        <v>178</v>
      </c>
      <c r="M7" s="14" t="s">
        <v>179</v>
      </c>
      <c r="N7" s="193" t="s">
        <v>180</v>
      </c>
      <c r="P7" s="14" t="s">
        <v>181</v>
      </c>
      <c r="Q7" s="14" t="s">
        <v>182</v>
      </c>
    </row>
    <row r="8" spans="1:17" x14ac:dyDescent="0.25">
      <c r="N8" s="185"/>
    </row>
    <row r="9" spans="1:17" ht="15.75" thickBot="1" x14ac:dyDescent="0.3">
      <c r="A9" s="1" t="s">
        <v>0</v>
      </c>
      <c r="B9" s="1" t="s">
        <v>1</v>
      </c>
      <c r="C9" s="1" t="s">
        <v>2</v>
      </c>
      <c r="D9" s="2">
        <v>1269879.46</v>
      </c>
      <c r="N9" s="185"/>
    </row>
    <row r="10" spans="1:17" ht="15.75" thickBot="1" x14ac:dyDescent="0.3">
      <c r="A10" s="1" t="s">
        <v>0</v>
      </c>
      <c r="B10" s="1" t="s">
        <v>17</v>
      </c>
      <c r="C10" s="1" t="s">
        <v>2</v>
      </c>
      <c r="D10" s="4">
        <v>18732.23</v>
      </c>
      <c r="N10" s="185"/>
    </row>
    <row r="11" spans="1:17" x14ac:dyDescent="0.25">
      <c r="D11" s="5">
        <f>SUM(D9:D10)</f>
        <v>1288611.69</v>
      </c>
      <c r="N11" s="185"/>
    </row>
    <row r="12" spans="1:17" x14ac:dyDescent="0.25">
      <c r="N12" s="185"/>
    </row>
    <row r="13" spans="1:17" x14ac:dyDescent="0.25">
      <c r="N13" s="185"/>
    </row>
    <row r="14" spans="1:17" ht="15.75" thickBot="1" x14ac:dyDescent="0.3">
      <c r="A14" s="1" t="s">
        <v>0</v>
      </c>
      <c r="B14" s="1" t="s">
        <v>3</v>
      </c>
      <c r="C14" s="1" t="s">
        <v>4</v>
      </c>
      <c r="D14" s="2">
        <v>52575662.409999996</v>
      </c>
      <c r="E14" s="30">
        <v>1.5607578329479021E-2</v>
      </c>
      <c r="F14" s="30">
        <v>1.7401316657597001E-2</v>
      </c>
      <c r="G14" s="3">
        <f>ROUND(D14*E14,0)</f>
        <v>820579</v>
      </c>
      <c r="H14" s="3">
        <f>ROUND(D14*F14,0)</f>
        <v>914886</v>
      </c>
      <c r="J14" s="3">
        <v>2072165</v>
      </c>
      <c r="L14" s="16">
        <f>D14+D31+E31+J14</f>
        <v>8696778.3299999982</v>
      </c>
      <c r="M14" s="16">
        <f>ROUND(L14/9,0)</f>
        <v>966309</v>
      </c>
      <c r="N14" s="194">
        <f>M14/Q14</f>
        <v>1.9914184775725444E-2</v>
      </c>
      <c r="P14" s="3">
        <v>-4052009</v>
      </c>
      <c r="Q14" s="16">
        <f>SUM(D14,P14)</f>
        <v>48523653.409999996</v>
      </c>
    </row>
    <row r="15" spans="1:17" ht="15.75" thickBot="1" x14ac:dyDescent="0.3">
      <c r="A15" s="1" t="s">
        <v>0</v>
      </c>
      <c r="B15" s="1" t="s">
        <v>5</v>
      </c>
      <c r="C15" s="1" t="s">
        <v>6</v>
      </c>
      <c r="D15" s="2">
        <v>78849470.969999999</v>
      </c>
      <c r="E15" s="30">
        <v>1.9317992718059809E-2</v>
      </c>
      <c r="F15" s="30">
        <v>2.263074813200323E-2</v>
      </c>
      <c r="G15" s="3">
        <f t="shared" ref="G15:G25" si="0">ROUND(D15*E15,0)</f>
        <v>1523214</v>
      </c>
      <c r="H15" s="3">
        <f t="shared" ref="H15:H25" si="1">ROUND(D15*F15,0)</f>
        <v>1784423</v>
      </c>
      <c r="J15" s="3">
        <v>3087963</v>
      </c>
      <c r="L15" s="16">
        <f t="shared" ref="L15:L25" si="2">D15+D32+E32+J15</f>
        <v>16755155.539999999</v>
      </c>
      <c r="M15" s="16">
        <f t="shared" ref="M15:M23" si="3">ROUND(L15/9,0)</f>
        <v>1861684</v>
      </c>
      <c r="N15" s="194">
        <f t="shared" ref="N15:N25" si="4">M15/Q15</f>
        <v>2.6716725845957183E-2</v>
      </c>
      <c r="P15" s="3">
        <v>-9167130</v>
      </c>
      <c r="Q15" s="16">
        <f t="shared" ref="Q15:Q25" si="5">SUM(D15,P15)</f>
        <v>69682340.969999999</v>
      </c>
    </row>
    <row r="16" spans="1:17" ht="15.75" thickBot="1" x14ac:dyDescent="0.3">
      <c r="A16" s="1" t="s">
        <v>0</v>
      </c>
      <c r="B16" s="1" t="s">
        <v>7</v>
      </c>
      <c r="C16" s="1" t="s">
        <v>8</v>
      </c>
      <c r="D16" s="2">
        <v>3385</v>
      </c>
      <c r="E16" s="30">
        <v>2.92E-2</v>
      </c>
      <c r="F16" s="30">
        <v>7.9763663220088626E-2</v>
      </c>
      <c r="G16" s="3">
        <f t="shared" si="0"/>
        <v>99</v>
      </c>
      <c r="H16" s="3">
        <f t="shared" si="1"/>
        <v>270</v>
      </c>
      <c r="J16" s="3">
        <v>135</v>
      </c>
      <c r="L16" s="16">
        <f t="shared" si="2"/>
        <v>2739.14</v>
      </c>
      <c r="M16" s="16">
        <f t="shared" si="3"/>
        <v>304</v>
      </c>
      <c r="N16" s="194">
        <f t="shared" si="4"/>
        <v>9.2177077016373565E-2</v>
      </c>
      <c r="P16" s="3">
        <v>-87</v>
      </c>
      <c r="Q16" s="16">
        <f t="shared" si="5"/>
        <v>3298</v>
      </c>
    </row>
    <row r="17" spans="1:18" ht="15.75" thickBot="1" x14ac:dyDescent="0.3">
      <c r="A17" s="1" t="s">
        <v>0</v>
      </c>
      <c r="B17" s="1" t="s">
        <v>9</v>
      </c>
      <c r="C17" s="1" t="s">
        <v>10</v>
      </c>
      <c r="D17" s="2">
        <v>32311389.02</v>
      </c>
      <c r="E17" s="30">
        <v>2.7859478702577545E-2</v>
      </c>
      <c r="F17" s="30">
        <v>6.2109432022820175E-2</v>
      </c>
      <c r="G17" s="3">
        <f t="shared" si="0"/>
        <v>900178</v>
      </c>
      <c r="H17" s="3">
        <f t="shared" si="1"/>
        <v>2006842</v>
      </c>
      <c r="J17" s="3">
        <v>1113935</v>
      </c>
      <c r="L17" s="16">
        <f t="shared" si="2"/>
        <v>19781024.920000002</v>
      </c>
      <c r="M17" s="16">
        <f t="shared" si="3"/>
        <v>2197892</v>
      </c>
      <c r="N17" s="194">
        <f t="shared" si="4"/>
        <v>8.3373311814496642E-2</v>
      </c>
      <c r="P17" s="3">
        <v>-5949332</v>
      </c>
      <c r="Q17" s="16">
        <f t="shared" si="5"/>
        <v>26362057.02</v>
      </c>
    </row>
    <row r="18" spans="1:18" ht="15.75" thickBot="1" x14ac:dyDescent="0.3">
      <c r="A18" s="1" t="s">
        <v>0</v>
      </c>
      <c r="B18" s="1" t="s">
        <v>11</v>
      </c>
      <c r="C18" s="1" t="s">
        <v>12</v>
      </c>
      <c r="D18" s="2">
        <v>9542657.6899999995</v>
      </c>
      <c r="E18" s="30">
        <v>1.7276969436675553E-2</v>
      </c>
      <c r="F18" s="30">
        <v>2.5489439637848926E-2</v>
      </c>
      <c r="G18" s="3">
        <f t="shared" si="0"/>
        <v>164868</v>
      </c>
      <c r="H18" s="3">
        <f t="shared" si="1"/>
        <v>243237</v>
      </c>
      <c r="J18" s="3">
        <v>381632</v>
      </c>
      <c r="L18" s="16">
        <f t="shared" si="2"/>
        <v>2178226.3999999994</v>
      </c>
      <c r="M18" s="16">
        <f t="shared" si="3"/>
        <v>242025</v>
      </c>
      <c r="N18" s="194">
        <f t="shared" si="4"/>
        <v>2.9704221835736032E-2</v>
      </c>
      <c r="P18" s="3">
        <v>-1394826</v>
      </c>
      <c r="Q18" s="16">
        <f t="shared" si="5"/>
        <v>8147831.6899999995</v>
      </c>
    </row>
    <row r="19" spans="1:18" ht="15.75" thickBot="1" x14ac:dyDescent="0.3">
      <c r="A19" s="1" t="s">
        <v>0</v>
      </c>
      <c r="B19" s="1" t="s">
        <v>13</v>
      </c>
      <c r="C19" s="1" t="s">
        <v>14</v>
      </c>
      <c r="D19" s="2">
        <v>10992078.48</v>
      </c>
      <c r="E19" s="30">
        <v>1.4582375067416472E-2</v>
      </c>
      <c r="F19" s="30">
        <v>3.0146110988636857E-2</v>
      </c>
      <c r="G19" s="3">
        <f t="shared" si="0"/>
        <v>160291</v>
      </c>
      <c r="H19" s="3">
        <f t="shared" si="1"/>
        <v>331368</v>
      </c>
      <c r="J19" s="3">
        <v>405162</v>
      </c>
      <c r="L19" s="16">
        <f t="shared" si="2"/>
        <v>3758860.0600000005</v>
      </c>
      <c r="M19" s="16">
        <f t="shared" si="3"/>
        <v>417651</v>
      </c>
      <c r="N19" s="194">
        <f t="shared" si="4"/>
        <v>4.2136221172684028E-2</v>
      </c>
      <c r="P19" s="3">
        <v>-1080155</v>
      </c>
      <c r="Q19" s="16">
        <f t="shared" si="5"/>
        <v>9911923.4800000004</v>
      </c>
    </row>
    <row r="20" spans="1:18" ht="15.75" thickBot="1" x14ac:dyDescent="0.3">
      <c r="A20" s="1" t="s">
        <v>0</v>
      </c>
      <c r="B20" s="1" t="s">
        <v>18</v>
      </c>
      <c r="C20" s="1" t="s">
        <v>4</v>
      </c>
      <c r="D20" s="2">
        <v>53677242.829999998</v>
      </c>
      <c r="E20" s="30">
        <v>1.675207719262075E-2</v>
      </c>
      <c r="F20" s="30">
        <v>2.5357637722403435E-2</v>
      </c>
      <c r="G20" s="3">
        <f t="shared" si="0"/>
        <v>899205</v>
      </c>
      <c r="H20" s="3">
        <f t="shared" si="1"/>
        <v>1361128</v>
      </c>
      <c r="J20" s="3">
        <v>2646439</v>
      </c>
      <c r="L20" s="16">
        <f t="shared" si="2"/>
        <v>13280478.479999997</v>
      </c>
      <c r="M20" s="16">
        <f t="shared" si="3"/>
        <v>1475609</v>
      </c>
      <c r="N20" s="194">
        <f t="shared" si="4"/>
        <v>2.9460750468074434E-2</v>
      </c>
      <c r="P20" s="3">
        <v>-3589958</v>
      </c>
      <c r="Q20" s="16">
        <f t="shared" si="5"/>
        <v>50087284.829999998</v>
      </c>
    </row>
    <row r="21" spans="1:18" ht="15.75" thickBot="1" x14ac:dyDescent="0.3">
      <c r="A21" s="1" t="s">
        <v>0</v>
      </c>
      <c r="B21" s="1" t="s">
        <v>19</v>
      </c>
      <c r="C21" s="1" t="s">
        <v>6</v>
      </c>
      <c r="D21" s="2">
        <v>57386637.439999998</v>
      </c>
      <c r="E21" s="30">
        <v>2.1965636782670838E-2</v>
      </c>
      <c r="F21" s="30">
        <v>3.9412785882939033E-2</v>
      </c>
      <c r="G21" s="3">
        <f t="shared" si="0"/>
        <v>1260534</v>
      </c>
      <c r="H21" s="3">
        <f t="shared" si="1"/>
        <v>2261767</v>
      </c>
      <c r="J21" s="3">
        <v>2802356</v>
      </c>
      <c r="L21" s="16">
        <f t="shared" si="2"/>
        <v>22264891.909999996</v>
      </c>
      <c r="M21" s="16">
        <f t="shared" si="3"/>
        <v>2473877</v>
      </c>
      <c r="N21" s="194">
        <f t="shared" si="4"/>
        <v>4.7887963749550296E-2</v>
      </c>
      <c r="P21" s="3">
        <v>-5726955</v>
      </c>
      <c r="Q21" s="16">
        <f t="shared" si="5"/>
        <v>51659682.439999998</v>
      </c>
    </row>
    <row r="22" spans="1:18" ht="15.75" thickBot="1" x14ac:dyDescent="0.3">
      <c r="A22" s="1" t="s">
        <v>0</v>
      </c>
      <c r="B22" s="1" t="s">
        <v>20</v>
      </c>
      <c r="C22" s="1" t="s">
        <v>8</v>
      </c>
      <c r="D22" s="2">
        <v>3385</v>
      </c>
      <c r="E22" s="30">
        <v>2.92E-2</v>
      </c>
      <c r="F22" s="30">
        <v>8.0945347119645489E-2</v>
      </c>
      <c r="G22" s="3">
        <f t="shared" si="0"/>
        <v>99</v>
      </c>
      <c r="H22" s="3">
        <f t="shared" si="1"/>
        <v>274</v>
      </c>
      <c r="J22" s="3">
        <v>169</v>
      </c>
      <c r="L22" s="16">
        <f>D22+D39+E39+J22</f>
        <v>2775.2</v>
      </c>
      <c r="M22" s="16">
        <f t="shared" si="3"/>
        <v>308</v>
      </c>
      <c r="N22" s="194">
        <f t="shared" si="4"/>
        <v>9.3389933292904792E-2</v>
      </c>
      <c r="P22" s="3">
        <v>-87</v>
      </c>
      <c r="Q22" s="16">
        <f t="shared" si="5"/>
        <v>3298</v>
      </c>
    </row>
    <row r="23" spans="1:18" ht="15.75" thickBot="1" x14ac:dyDescent="0.3">
      <c r="A23" s="1" t="s">
        <v>0</v>
      </c>
      <c r="B23" s="1" t="s">
        <v>21</v>
      </c>
      <c r="C23" s="1" t="s">
        <v>10</v>
      </c>
      <c r="D23" s="2">
        <v>13904868.029999999</v>
      </c>
      <c r="E23" s="30">
        <v>2.8754110256000436E-2</v>
      </c>
      <c r="F23" s="30">
        <v>5.9852338794534381E-2</v>
      </c>
      <c r="G23" s="3">
        <f t="shared" si="0"/>
        <v>399822</v>
      </c>
      <c r="H23" s="3">
        <f t="shared" si="1"/>
        <v>832239</v>
      </c>
      <c r="J23" s="3">
        <v>687465</v>
      </c>
      <c r="L23" s="16">
        <f>D23+D40+E40+J23</f>
        <v>7340898.8899999997</v>
      </c>
      <c r="M23" s="16">
        <f t="shared" si="3"/>
        <v>815655</v>
      </c>
      <c r="N23" s="194">
        <f t="shared" si="4"/>
        <v>7.5890160374915958E-2</v>
      </c>
      <c r="P23" s="3">
        <v>-3157032</v>
      </c>
      <c r="Q23" s="16">
        <f t="shared" si="5"/>
        <v>10747836.029999999</v>
      </c>
    </row>
    <row r="24" spans="1:18" ht="15.75" thickBot="1" x14ac:dyDescent="0.3">
      <c r="A24" s="1" t="s">
        <v>0</v>
      </c>
      <c r="B24" s="1" t="s">
        <v>22</v>
      </c>
      <c r="C24" s="1" t="s">
        <v>12</v>
      </c>
      <c r="D24" s="2">
        <v>6672776.5300000003</v>
      </c>
      <c r="E24" s="30">
        <v>1.8767010399034896E-2</v>
      </c>
      <c r="F24" s="30">
        <v>3.1849110942727764E-2</v>
      </c>
      <c r="G24" s="3">
        <f t="shared" si="0"/>
        <v>125228</v>
      </c>
      <c r="H24" s="3">
        <f t="shared" si="1"/>
        <v>212522</v>
      </c>
      <c r="J24" s="3">
        <v>333638</v>
      </c>
      <c r="L24" s="16">
        <f>D24+D41+E41+J24</f>
        <v>1958515.37</v>
      </c>
      <c r="M24" s="16">
        <f>ROUND(L24/9,0)</f>
        <v>217613</v>
      </c>
      <c r="N24" s="194">
        <f t="shared" si="4"/>
        <v>3.7155496432975534E-2</v>
      </c>
      <c r="P24" s="3">
        <v>-815958</v>
      </c>
      <c r="Q24" s="16">
        <f t="shared" si="5"/>
        <v>5856818.5300000003</v>
      </c>
    </row>
    <row r="25" spans="1:18" ht="15.75" thickBot="1" x14ac:dyDescent="0.3">
      <c r="A25" s="1" t="s">
        <v>0</v>
      </c>
      <c r="B25" s="1" t="s">
        <v>23</v>
      </c>
      <c r="C25" s="1" t="s">
        <v>14</v>
      </c>
      <c r="D25" s="4">
        <v>5044341.8099999996</v>
      </c>
      <c r="E25" s="30">
        <v>1.6196570897655867E-2</v>
      </c>
      <c r="F25" s="30">
        <v>3.7734018741764859E-2</v>
      </c>
      <c r="G25" s="3">
        <f t="shared" si="0"/>
        <v>81701</v>
      </c>
      <c r="H25" s="3">
        <f t="shared" si="1"/>
        <v>190343</v>
      </c>
      <c r="J25" s="3">
        <v>246479</v>
      </c>
      <c r="L25" s="16">
        <f t="shared" si="2"/>
        <v>1951794.9999999995</v>
      </c>
      <c r="M25" s="16">
        <f>ROUND(L25/9,0)</f>
        <v>216866</v>
      </c>
      <c r="N25" s="194">
        <f t="shared" si="4"/>
        <v>4.7426549824171584E-2</v>
      </c>
      <c r="P25" s="3">
        <v>-471671</v>
      </c>
      <c r="Q25" s="16">
        <f t="shared" si="5"/>
        <v>4572670.8099999996</v>
      </c>
    </row>
    <row r="26" spans="1:18" x14ac:dyDescent="0.25">
      <c r="D26" s="5">
        <f>SUM(D14:D25)</f>
        <v>320963895.20999992</v>
      </c>
      <c r="E26" s="30">
        <f>G26/D26</f>
        <v>1.9739971051431215E-2</v>
      </c>
      <c r="F26" s="30">
        <f>H26/D26</f>
        <v>3.1590154379719473E-2</v>
      </c>
      <c r="G26" s="19">
        <f>SUM(G14:G25)</f>
        <v>6335818</v>
      </c>
      <c r="H26" s="19">
        <f>SUM(H14:H25)</f>
        <v>10139299</v>
      </c>
      <c r="J26" s="5">
        <f>SUM(J14:J25)</f>
        <v>13777538</v>
      </c>
      <c r="K26" s="3"/>
      <c r="L26" s="264">
        <f>SUM(L14:L25)</f>
        <v>97972139.24000001</v>
      </c>
      <c r="M26" s="213">
        <f>SUM(M14:M25)</f>
        <v>10885793</v>
      </c>
      <c r="N26" s="194">
        <f>M26/Q26</f>
        <v>3.8121034948680466E-2</v>
      </c>
      <c r="P26" s="5">
        <f>SUM(P14:P25)</f>
        <v>-35405200</v>
      </c>
      <c r="Q26" s="5">
        <f>SUM(Q14:Q25)</f>
        <v>285558695.20999992</v>
      </c>
    </row>
    <row r="27" spans="1:18" x14ac:dyDescent="0.25">
      <c r="L27" s="265"/>
      <c r="M27" s="51"/>
      <c r="N27" s="59" t="s">
        <v>239</v>
      </c>
    </row>
    <row r="28" spans="1:18" x14ac:dyDescent="0.25">
      <c r="L28" s="266">
        <f>-E43</f>
        <v>6335818</v>
      </c>
      <c r="M28" s="188" t="s">
        <v>196</v>
      </c>
    </row>
    <row r="29" spans="1:18" ht="15.75" thickBot="1" x14ac:dyDescent="0.3">
      <c r="D29" s="32"/>
      <c r="E29" s="195"/>
      <c r="F29" s="195"/>
      <c r="G29" s="195"/>
      <c r="H29" s="195"/>
      <c r="I29" s="195"/>
      <c r="J29" s="195"/>
      <c r="L29" s="267">
        <f>SUM(L26:L28)</f>
        <v>104307957.24000001</v>
      </c>
      <c r="M29" s="59" t="s">
        <v>240</v>
      </c>
    </row>
    <row r="30" spans="1:18" ht="45.75" thickTop="1" x14ac:dyDescent="0.25">
      <c r="D30" s="32" t="s">
        <v>183</v>
      </c>
      <c r="E30" s="195" t="s">
        <v>184</v>
      </c>
      <c r="F30" s="195" t="s">
        <v>185</v>
      </c>
      <c r="G30" s="195" t="s">
        <v>53</v>
      </c>
      <c r="H30" s="195" t="s">
        <v>186</v>
      </c>
      <c r="I30" s="195" t="s">
        <v>187</v>
      </c>
      <c r="J30" s="195" t="s">
        <v>188</v>
      </c>
      <c r="N30" s="332" t="s">
        <v>191</v>
      </c>
      <c r="O30" s="332"/>
      <c r="P30" s="332"/>
      <c r="Q30" s="332"/>
      <c r="R30" s="332"/>
    </row>
    <row r="31" spans="1:18" ht="15.75" thickBot="1" x14ac:dyDescent="0.3">
      <c r="A31" s="1" t="s">
        <v>25</v>
      </c>
      <c r="B31" s="1" t="s">
        <v>3</v>
      </c>
      <c r="C31" s="188" t="s">
        <v>4</v>
      </c>
      <c r="D31" s="2">
        <v>-45130470.079999998</v>
      </c>
      <c r="E31" s="16">
        <f>-G14</f>
        <v>-820579</v>
      </c>
      <c r="F31" s="16">
        <f>-L14</f>
        <v>-8696778.3299999982</v>
      </c>
      <c r="G31" s="16">
        <f>-P14</f>
        <v>4052009</v>
      </c>
      <c r="H31" s="16">
        <f>SUM(D31:G31)</f>
        <v>-50595818.409999996</v>
      </c>
      <c r="I31" s="16">
        <f>Q14</f>
        <v>48523653.409999996</v>
      </c>
      <c r="J31" s="16">
        <f>SUM(H31:I31)</f>
        <v>-2072165</v>
      </c>
      <c r="N31" s="332"/>
      <c r="O31" s="332"/>
      <c r="P31" s="332"/>
      <c r="Q31" s="332"/>
      <c r="R31" s="332"/>
    </row>
    <row r="32" spans="1:18" ht="15.75" thickBot="1" x14ac:dyDescent="0.3">
      <c r="A32" s="1" t="s">
        <v>25</v>
      </c>
      <c r="B32" s="1" t="s">
        <v>5</v>
      </c>
      <c r="C32" s="188" t="s">
        <v>6</v>
      </c>
      <c r="D32" s="2">
        <v>-63659064.43</v>
      </c>
      <c r="E32" s="16">
        <f t="shared" ref="E32:E42" si="6">-G15</f>
        <v>-1523214</v>
      </c>
      <c r="F32" s="16">
        <f t="shared" ref="F32:F42" si="7">-L15</f>
        <v>-16755155.539999999</v>
      </c>
      <c r="G32" s="16">
        <f t="shared" ref="G32:G42" si="8">-P15</f>
        <v>9167130</v>
      </c>
      <c r="H32" s="16">
        <f t="shared" ref="H32:H41" si="9">SUM(D32:G32)</f>
        <v>-72770303.969999999</v>
      </c>
      <c r="I32" s="16">
        <f t="shared" ref="I32:I42" si="10">Q15</f>
        <v>69682340.969999999</v>
      </c>
      <c r="J32" s="16">
        <f t="shared" ref="J32:J42" si="11">SUM(H32:I32)</f>
        <v>-3087963</v>
      </c>
      <c r="N32" s="332"/>
      <c r="O32" s="332"/>
      <c r="P32" s="332"/>
      <c r="Q32" s="332"/>
      <c r="R32" s="332"/>
    </row>
    <row r="33" spans="1:18" ht="15.75" thickBot="1" x14ac:dyDescent="0.3">
      <c r="A33" s="1" t="s">
        <v>25</v>
      </c>
      <c r="B33" s="1" t="s">
        <v>7</v>
      </c>
      <c r="C33" s="188" t="s">
        <v>8</v>
      </c>
      <c r="D33" s="2">
        <v>-681.86</v>
      </c>
      <c r="E33" s="16">
        <f t="shared" si="6"/>
        <v>-99</v>
      </c>
      <c r="F33" s="16">
        <f t="shared" si="7"/>
        <v>-2739.14</v>
      </c>
      <c r="G33" s="16">
        <f t="shared" si="8"/>
        <v>87</v>
      </c>
      <c r="H33" s="16">
        <f t="shared" si="9"/>
        <v>-3433</v>
      </c>
      <c r="I33" s="16">
        <f t="shared" si="10"/>
        <v>3298</v>
      </c>
      <c r="J33" s="16">
        <f t="shared" si="11"/>
        <v>-135</v>
      </c>
      <c r="N33" s="332"/>
      <c r="O33" s="332"/>
      <c r="P33" s="332"/>
      <c r="Q33" s="332"/>
      <c r="R33" s="332"/>
    </row>
    <row r="34" spans="1:18" ht="15.75" thickBot="1" x14ac:dyDescent="0.3">
      <c r="A34" s="1" t="s">
        <v>25</v>
      </c>
      <c r="B34" s="1" t="s">
        <v>9</v>
      </c>
      <c r="C34" s="188" t="s">
        <v>10</v>
      </c>
      <c r="D34" s="2">
        <v>-12744121.1</v>
      </c>
      <c r="E34" s="16">
        <f t="shared" si="6"/>
        <v>-900178</v>
      </c>
      <c r="F34" s="16">
        <f t="shared" si="7"/>
        <v>-19781024.920000002</v>
      </c>
      <c r="G34" s="16">
        <f t="shared" si="8"/>
        <v>5949332</v>
      </c>
      <c r="H34" s="16">
        <f t="shared" si="9"/>
        <v>-27475992.020000003</v>
      </c>
      <c r="I34" s="16">
        <f t="shared" si="10"/>
        <v>26362057.02</v>
      </c>
      <c r="J34" s="16">
        <f t="shared" si="11"/>
        <v>-1113935.0000000037</v>
      </c>
      <c r="N34" s="332"/>
      <c r="O34" s="332"/>
      <c r="P34" s="332"/>
      <c r="Q34" s="332"/>
      <c r="R34" s="332"/>
    </row>
    <row r="35" spans="1:18" ht="15.75" thickBot="1" x14ac:dyDescent="0.3">
      <c r="A35" s="1" t="s">
        <v>25</v>
      </c>
      <c r="B35" s="1" t="s">
        <v>11</v>
      </c>
      <c r="C35" s="188" t="s">
        <v>12</v>
      </c>
      <c r="D35" s="2">
        <v>-7581195.29</v>
      </c>
      <c r="E35" s="16">
        <f t="shared" si="6"/>
        <v>-164868</v>
      </c>
      <c r="F35" s="16">
        <f t="shared" si="7"/>
        <v>-2178226.3999999994</v>
      </c>
      <c r="G35" s="16">
        <f t="shared" si="8"/>
        <v>1394826</v>
      </c>
      <c r="H35" s="16">
        <f t="shared" si="9"/>
        <v>-8529463.6899999995</v>
      </c>
      <c r="I35" s="16">
        <f t="shared" si="10"/>
        <v>8147831.6899999995</v>
      </c>
      <c r="J35" s="16">
        <f t="shared" si="11"/>
        <v>-381632</v>
      </c>
    </row>
    <row r="36" spans="1:18" ht="15.75" thickBot="1" x14ac:dyDescent="0.3">
      <c r="A36" s="1" t="s">
        <v>25</v>
      </c>
      <c r="B36" s="1" t="s">
        <v>13</v>
      </c>
      <c r="C36" s="188" t="s">
        <v>14</v>
      </c>
      <c r="D36" s="2">
        <v>-7478089.4199999999</v>
      </c>
      <c r="E36" s="16">
        <f t="shared" si="6"/>
        <v>-160291</v>
      </c>
      <c r="F36" s="16">
        <f t="shared" si="7"/>
        <v>-3758860.0600000005</v>
      </c>
      <c r="G36" s="16">
        <f t="shared" si="8"/>
        <v>1080155</v>
      </c>
      <c r="H36" s="16">
        <f>SUM(D36:G36)</f>
        <v>-10317085.48</v>
      </c>
      <c r="I36" s="16">
        <f t="shared" si="10"/>
        <v>9911923.4800000004</v>
      </c>
      <c r="J36" s="16">
        <f t="shared" si="11"/>
        <v>-405162</v>
      </c>
    </row>
    <row r="37" spans="1:18" ht="15.75" thickBot="1" x14ac:dyDescent="0.3">
      <c r="A37" s="1" t="s">
        <v>25</v>
      </c>
      <c r="B37" s="1" t="s">
        <v>18</v>
      </c>
      <c r="C37" s="188" t="s">
        <v>4</v>
      </c>
      <c r="D37" s="2">
        <v>-42143998.350000001</v>
      </c>
      <c r="E37" s="16">
        <f t="shared" si="6"/>
        <v>-899205</v>
      </c>
      <c r="F37" s="16">
        <f t="shared" si="7"/>
        <v>-13280478.479999997</v>
      </c>
      <c r="G37" s="16">
        <f t="shared" si="8"/>
        <v>3589958</v>
      </c>
      <c r="H37" s="16">
        <f t="shared" si="9"/>
        <v>-52733723.829999998</v>
      </c>
      <c r="I37" s="16">
        <f t="shared" si="10"/>
        <v>50087284.829999998</v>
      </c>
      <c r="J37" s="16">
        <f t="shared" si="11"/>
        <v>-2646439</v>
      </c>
    </row>
    <row r="38" spans="1:18" ht="15.75" thickBot="1" x14ac:dyDescent="0.3">
      <c r="A38" s="1" t="s">
        <v>25</v>
      </c>
      <c r="B38" s="1" t="s">
        <v>19</v>
      </c>
      <c r="C38" s="188" t="s">
        <v>6</v>
      </c>
      <c r="D38" s="2">
        <v>-36663567.530000001</v>
      </c>
      <c r="E38" s="16">
        <f t="shared" si="6"/>
        <v>-1260534</v>
      </c>
      <c r="F38" s="16">
        <f t="shared" si="7"/>
        <v>-22264891.909999996</v>
      </c>
      <c r="G38" s="16">
        <f t="shared" si="8"/>
        <v>5726955</v>
      </c>
      <c r="H38" s="16">
        <f t="shared" si="9"/>
        <v>-54462038.439999998</v>
      </c>
      <c r="I38" s="16">
        <f t="shared" si="10"/>
        <v>51659682.439999998</v>
      </c>
      <c r="J38" s="16">
        <f t="shared" si="11"/>
        <v>-2802356</v>
      </c>
    </row>
    <row r="39" spans="1:18" ht="15.75" thickBot="1" x14ac:dyDescent="0.3">
      <c r="A39" s="1" t="s">
        <v>25</v>
      </c>
      <c r="B39" s="1" t="s">
        <v>20</v>
      </c>
      <c r="C39" s="188" t="s">
        <v>8</v>
      </c>
      <c r="D39" s="2">
        <v>-679.8</v>
      </c>
      <c r="E39" s="16">
        <f t="shared" si="6"/>
        <v>-99</v>
      </c>
      <c r="F39" s="16">
        <f t="shared" si="7"/>
        <v>-2775.2</v>
      </c>
      <c r="G39" s="16">
        <f t="shared" si="8"/>
        <v>87</v>
      </c>
      <c r="H39" s="16">
        <f t="shared" si="9"/>
        <v>-3467</v>
      </c>
      <c r="I39" s="16">
        <f t="shared" si="10"/>
        <v>3298</v>
      </c>
      <c r="J39" s="16">
        <f t="shared" si="11"/>
        <v>-169</v>
      </c>
    </row>
    <row r="40" spans="1:18" ht="15.75" thickBot="1" x14ac:dyDescent="0.3">
      <c r="A40" s="1" t="s">
        <v>25</v>
      </c>
      <c r="B40" s="1" t="s">
        <v>21</v>
      </c>
      <c r="C40" s="188" t="s">
        <v>10</v>
      </c>
      <c r="D40" s="2">
        <v>-6851612.1399999997</v>
      </c>
      <c r="E40" s="16">
        <f t="shared" si="6"/>
        <v>-399822</v>
      </c>
      <c r="F40" s="16">
        <f t="shared" si="7"/>
        <v>-7340898.8899999997</v>
      </c>
      <c r="G40" s="16">
        <f t="shared" si="8"/>
        <v>3157032</v>
      </c>
      <c r="H40" s="16">
        <f t="shared" si="9"/>
        <v>-11435301.029999999</v>
      </c>
      <c r="I40" s="16">
        <f t="shared" si="10"/>
        <v>10747836.029999999</v>
      </c>
      <c r="J40" s="16">
        <f t="shared" si="11"/>
        <v>-687465</v>
      </c>
    </row>
    <row r="41" spans="1:18" ht="15.75" thickBot="1" x14ac:dyDescent="0.3">
      <c r="A41" s="1" t="s">
        <v>25</v>
      </c>
      <c r="B41" s="1" t="s">
        <v>22</v>
      </c>
      <c r="C41" s="188" t="s">
        <v>12</v>
      </c>
      <c r="D41" s="2">
        <v>-4922671.16</v>
      </c>
      <c r="E41" s="16">
        <f t="shared" si="6"/>
        <v>-125228</v>
      </c>
      <c r="F41" s="16">
        <f t="shared" si="7"/>
        <v>-1958515.37</v>
      </c>
      <c r="G41" s="16">
        <f t="shared" si="8"/>
        <v>815958</v>
      </c>
      <c r="H41" s="16">
        <f t="shared" si="9"/>
        <v>-6190456.5300000003</v>
      </c>
      <c r="I41" s="16">
        <f t="shared" si="10"/>
        <v>5856818.5300000003</v>
      </c>
      <c r="J41" s="16">
        <f t="shared" si="11"/>
        <v>-333638</v>
      </c>
    </row>
    <row r="42" spans="1:18" ht="15.75" thickBot="1" x14ac:dyDescent="0.3">
      <c r="A42" s="1" t="s">
        <v>25</v>
      </c>
      <c r="B42" s="1" t="s">
        <v>23</v>
      </c>
      <c r="C42" s="188" t="s">
        <v>14</v>
      </c>
      <c r="D42" s="4">
        <v>-3257324.81</v>
      </c>
      <c r="E42" s="16">
        <f t="shared" si="6"/>
        <v>-81701</v>
      </c>
      <c r="F42" s="16">
        <f t="shared" si="7"/>
        <v>-1951794.9999999995</v>
      </c>
      <c r="G42" s="16">
        <f t="shared" si="8"/>
        <v>471671</v>
      </c>
      <c r="H42" s="16">
        <f>SUM(D42:G42)</f>
        <v>-4819149.8099999996</v>
      </c>
      <c r="I42" s="16">
        <f t="shared" si="10"/>
        <v>4572670.8099999996</v>
      </c>
      <c r="J42" s="16">
        <f t="shared" si="11"/>
        <v>-246479</v>
      </c>
    </row>
    <row r="43" spans="1:18" x14ac:dyDescent="0.25">
      <c r="D43" s="5">
        <f t="shared" ref="D43:J43" si="12">SUM(D31:D42)</f>
        <v>-230433475.96999997</v>
      </c>
      <c r="E43" s="5">
        <f t="shared" si="12"/>
        <v>-6335818</v>
      </c>
      <c r="F43" s="5">
        <f t="shared" si="12"/>
        <v>-97972139.24000001</v>
      </c>
      <c r="G43" s="5">
        <f t="shared" si="12"/>
        <v>35405200</v>
      </c>
      <c r="H43" s="5">
        <f>SUM(H31:H42)</f>
        <v>-299336233.20999992</v>
      </c>
      <c r="I43" s="5">
        <f t="shared" si="12"/>
        <v>285558695.20999992</v>
      </c>
      <c r="J43" s="5">
        <f t="shared" si="12"/>
        <v>-13777538.000000004</v>
      </c>
      <c r="L43" s="268">
        <f>-L26+J26</f>
        <v>-84194601.24000001</v>
      </c>
    </row>
    <row r="48" spans="1:18" customFormat="1" x14ac:dyDescent="0.25">
      <c r="D48" s="3"/>
    </row>
    <row r="49" spans="1:14" customFormat="1" x14ac:dyDescent="0.25">
      <c r="D49" s="3"/>
      <c r="J49" s="98" t="s">
        <v>102</v>
      </c>
      <c r="K49" s="98" t="s">
        <v>103</v>
      </c>
      <c r="L49" s="98"/>
      <c r="M49" s="98" t="s">
        <v>104</v>
      </c>
    </row>
    <row r="50" spans="1:14" customFormat="1" ht="15.75" thickBot="1" x14ac:dyDescent="0.3">
      <c r="A50" s="1" t="s">
        <v>0</v>
      </c>
      <c r="B50" s="1" t="s">
        <v>15</v>
      </c>
      <c r="C50" s="1" t="s">
        <v>16</v>
      </c>
      <c r="D50" s="2">
        <v>6938409.5700000003</v>
      </c>
      <c r="E50">
        <v>1.8426399999999999E-2</v>
      </c>
      <c r="F50">
        <v>0.1044165</v>
      </c>
      <c r="G50" s="3">
        <f>ROUND(D50*E50,0)</f>
        <v>127850</v>
      </c>
      <c r="H50" s="3">
        <f>ROUND(D50*F50,0)</f>
        <v>724484</v>
      </c>
      <c r="J50" s="98"/>
      <c r="K50" s="98"/>
      <c r="L50" s="98"/>
      <c r="M50" s="99">
        <f>M52/2</f>
        <v>724484.40888888901</v>
      </c>
      <c r="N50">
        <f>M50/D50</f>
        <v>0.10441649510305415</v>
      </c>
    </row>
    <row r="51" spans="1:14" customFormat="1" ht="15.75" thickBot="1" x14ac:dyDescent="0.3">
      <c r="A51" s="1" t="s">
        <v>0</v>
      </c>
      <c r="B51" s="1" t="s">
        <v>24</v>
      </c>
      <c r="C51" s="1" t="s">
        <v>16</v>
      </c>
      <c r="D51" s="4">
        <v>6938409.5700000003</v>
      </c>
      <c r="E51">
        <v>1.8426399999999999E-2</v>
      </c>
      <c r="F51">
        <v>0.1044165</v>
      </c>
      <c r="G51" s="3">
        <f>ROUND(D51*E51,0)</f>
        <v>127850</v>
      </c>
      <c r="H51" s="3">
        <f>ROUND(D51*F51,0)</f>
        <v>724484</v>
      </c>
      <c r="J51" s="98"/>
      <c r="K51" s="98"/>
      <c r="L51" s="98"/>
      <c r="M51" s="99">
        <f>M52/2</f>
        <v>724484.40888888901</v>
      </c>
    </row>
    <row r="52" spans="1:14" customFormat="1" x14ac:dyDescent="0.25">
      <c r="D52" s="5">
        <f>SUM(D50:D51)</f>
        <v>13876819.140000001</v>
      </c>
      <c r="G52" s="19">
        <f>SUM(G50:G51)</f>
        <v>255700</v>
      </c>
      <c r="H52" s="19">
        <f>SUM(H50:H51)</f>
        <v>1448968</v>
      </c>
      <c r="J52" s="99">
        <f>'GL-Forecast'!D13+'GL-Forecast'!D26</f>
        <v>13296419.360000001</v>
      </c>
      <c r="K52" s="333">
        <f>G52</f>
        <v>255700</v>
      </c>
      <c r="L52" s="333"/>
      <c r="M52" s="100">
        <f>(J52-K52)/9</f>
        <v>1448968.817777778</v>
      </c>
    </row>
    <row r="69" spans="17:17" x14ac:dyDescent="0.25">
      <c r="Q69" s="292"/>
    </row>
  </sheetData>
  <mergeCells count="3">
    <mergeCell ref="N30:R34"/>
    <mergeCell ref="K52:L52"/>
    <mergeCell ref="D2:L5"/>
  </mergeCells>
  <pageMargins left="0.7" right="0.7" top="0.75" bottom="0.75" header="0.3" footer="0.3"/>
  <pageSetup scale="60" orientation="landscape" r:id="rId1"/>
  <headerFooter>
    <oddFooter>&amp;LAvista
&amp;F
&amp;A&amp;RPage &amp;P of &amp;N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R67"/>
  <sheetViews>
    <sheetView topLeftCell="A49" zoomScaleNormal="100" workbookViewId="0">
      <selection activeCell="L20" sqref="L20"/>
    </sheetView>
  </sheetViews>
  <sheetFormatPr defaultColWidth="9.140625" defaultRowHeight="15" x14ac:dyDescent="0.25"/>
  <cols>
    <col min="1" max="1" width="9.140625" style="188"/>
    <col min="2" max="2" width="24.7109375" style="13" bestFit="1" customWidth="1"/>
    <col min="3" max="3" width="7" style="188" bestFit="1" customWidth="1"/>
    <col min="4" max="4" width="13.7109375" style="3" bestFit="1" customWidth="1"/>
    <col min="5" max="5" width="13.7109375" style="188" bestFit="1" customWidth="1"/>
    <col min="6" max="6" width="14.7109375" style="18" bestFit="1" customWidth="1"/>
    <col min="7" max="7" width="11.28515625" style="188" customWidth="1"/>
    <col min="8" max="8" width="11.5703125" style="188" bestFit="1" customWidth="1"/>
    <col min="9" max="9" width="11" style="188" bestFit="1" customWidth="1"/>
    <col min="10" max="10" width="12.5703125" style="188" bestFit="1" customWidth="1"/>
    <col min="11" max="11" width="2.5703125" style="188" customWidth="1"/>
    <col min="12" max="12" width="12.42578125" style="188" customWidth="1"/>
    <col min="13" max="13" width="10.5703125" style="188" bestFit="1" customWidth="1"/>
    <col min="14" max="14" width="11.85546875" style="188" customWidth="1"/>
    <col min="15" max="15" width="2" style="188" customWidth="1"/>
    <col min="16" max="16" width="11.140625" style="188" customWidth="1"/>
    <col min="17" max="17" width="13.5703125" style="188" customWidth="1"/>
    <col min="18" max="16384" width="9.140625" style="188"/>
  </cols>
  <sheetData>
    <row r="1" spans="1:18" s="303" customFormat="1" x14ac:dyDescent="0.25">
      <c r="B1" s="13"/>
      <c r="D1" s="3"/>
      <c r="F1" s="18"/>
    </row>
    <row r="2" spans="1:18" s="303" customFormat="1" x14ac:dyDescent="0.25">
      <c r="B2" s="13"/>
      <c r="D2" s="334" t="s">
        <v>247</v>
      </c>
      <c r="E2" s="334"/>
      <c r="F2" s="334"/>
      <c r="G2" s="334"/>
      <c r="H2" s="334"/>
      <c r="I2" s="334"/>
      <c r="J2" s="334"/>
      <c r="K2" s="334"/>
      <c r="L2" s="334"/>
    </row>
    <row r="3" spans="1:18" s="303" customFormat="1" x14ac:dyDescent="0.25">
      <c r="B3" s="13"/>
      <c r="D3" s="334"/>
      <c r="E3" s="334"/>
      <c r="F3" s="334"/>
      <c r="G3" s="334"/>
      <c r="H3" s="334"/>
      <c r="I3" s="334"/>
      <c r="J3" s="334"/>
      <c r="K3" s="334"/>
      <c r="L3" s="334"/>
    </row>
    <row r="4" spans="1:18" s="303" customFormat="1" x14ac:dyDescent="0.25">
      <c r="B4" s="13"/>
      <c r="D4" s="334"/>
      <c r="E4" s="334"/>
      <c r="F4" s="334"/>
      <c r="G4" s="334"/>
      <c r="H4" s="334"/>
      <c r="I4" s="334"/>
      <c r="J4" s="334"/>
      <c r="K4" s="334"/>
      <c r="L4" s="334"/>
    </row>
    <row r="5" spans="1:18" s="303" customFormat="1" x14ac:dyDescent="0.25">
      <c r="B5" s="13"/>
      <c r="D5" s="334"/>
      <c r="E5" s="334"/>
      <c r="F5" s="334"/>
      <c r="G5" s="334"/>
      <c r="H5" s="334"/>
      <c r="I5" s="334"/>
      <c r="J5" s="334"/>
      <c r="K5" s="334"/>
      <c r="L5" s="334"/>
    </row>
    <row r="6" spans="1:18" s="14" customFormat="1" ht="45" x14ac:dyDescent="0.25">
      <c r="D6" s="15">
        <v>43100</v>
      </c>
      <c r="E6" s="14" t="s">
        <v>32</v>
      </c>
      <c r="F6" s="14" t="s">
        <v>176</v>
      </c>
      <c r="G6" s="14" t="s">
        <v>43</v>
      </c>
      <c r="H6" s="14" t="s">
        <v>177</v>
      </c>
      <c r="I6" s="196"/>
      <c r="J6" s="196"/>
      <c r="K6" s="196"/>
      <c r="L6" s="196"/>
      <c r="M6" s="196"/>
      <c r="N6" s="196"/>
      <c r="O6" s="196"/>
      <c r="P6" s="196"/>
      <c r="Q6" s="196"/>
      <c r="R6" s="196"/>
    </row>
    <row r="7" spans="1:18" x14ac:dyDescent="0.25">
      <c r="I7" s="197"/>
      <c r="J7" s="197"/>
      <c r="K7" s="197"/>
      <c r="L7" s="197"/>
      <c r="M7" s="197"/>
      <c r="N7" s="197"/>
      <c r="O7" s="197"/>
      <c r="P7" s="197"/>
      <c r="Q7" s="197"/>
      <c r="R7" s="197"/>
    </row>
    <row r="8" spans="1:18" ht="15.75" thickBot="1" x14ac:dyDescent="0.3">
      <c r="A8" s="1" t="s">
        <v>0</v>
      </c>
      <c r="B8" s="11" t="s">
        <v>30</v>
      </c>
      <c r="C8" s="6">
        <v>353000</v>
      </c>
      <c r="D8" s="3">
        <v>3553564.18</v>
      </c>
      <c r="E8" s="17">
        <v>2.3300000000000001E-2</v>
      </c>
      <c r="F8" s="18">
        <v>5.3900000000000003E-2</v>
      </c>
      <c r="G8" s="3">
        <f>D8*E8</f>
        <v>82798.045394000015</v>
      </c>
      <c r="H8" s="3">
        <f>D8*F8</f>
        <v>191537.10930200003</v>
      </c>
      <c r="I8" s="197"/>
      <c r="J8" s="198"/>
      <c r="K8" s="197"/>
      <c r="L8" s="198"/>
      <c r="M8" s="198"/>
      <c r="N8" s="199"/>
      <c r="O8" s="197"/>
      <c r="P8" s="200"/>
      <c r="Q8" s="198"/>
      <c r="R8" s="197"/>
    </row>
    <row r="9" spans="1:18" ht="15.75" thickBot="1" x14ac:dyDescent="0.3">
      <c r="A9" s="1" t="s">
        <v>0</v>
      </c>
      <c r="B9" s="11" t="s">
        <v>30</v>
      </c>
      <c r="C9" s="7">
        <v>354000</v>
      </c>
      <c r="D9" s="3">
        <v>120972.23</v>
      </c>
      <c r="E9" s="17">
        <v>1.7999999999999999E-2</v>
      </c>
      <c r="F9" s="18">
        <v>5.9200000000000003E-2</v>
      </c>
      <c r="G9" s="3">
        <f t="shared" ref="G9:G24" si="0">D9*E9</f>
        <v>2177.5001399999996</v>
      </c>
      <c r="H9" s="3">
        <f t="shared" ref="H9:H24" si="1">D9*F9</f>
        <v>7161.5560160000005</v>
      </c>
      <c r="I9" s="197"/>
      <c r="J9" s="198"/>
      <c r="K9" s="197"/>
      <c r="L9" s="198"/>
      <c r="M9" s="198"/>
      <c r="N9" s="199"/>
      <c r="O9" s="197"/>
      <c r="P9" s="200"/>
      <c r="Q9" s="198"/>
      <c r="R9" s="197"/>
    </row>
    <row r="10" spans="1:18" ht="15.75" thickBot="1" x14ac:dyDescent="0.3">
      <c r="A10" s="1" t="s">
        <v>0</v>
      </c>
      <c r="B10" s="11" t="s">
        <v>30</v>
      </c>
      <c r="C10" s="7">
        <v>355000</v>
      </c>
      <c r="D10" s="3">
        <v>5417.77</v>
      </c>
      <c r="E10" s="17">
        <v>1.38E-2</v>
      </c>
      <c r="F10" s="18">
        <v>6.7699999999999996E-2</v>
      </c>
      <c r="G10" s="3">
        <f t="shared" si="0"/>
        <v>74.765225999999998</v>
      </c>
      <c r="H10" s="3">
        <f t="shared" si="1"/>
        <v>366.783029</v>
      </c>
      <c r="I10" s="197"/>
      <c r="J10" s="198"/>
      <c r="K10" s="197"/>
      <c r="L10" s="198"/>
      <c r="M10" s="198"/>
      <c r="N10" s="199"/>
      <c r="O10" s="197"/>
      <c r="P10" s="200"/>
      <c r="Q10" s="198"/>
      <c r="R10" s="197"/>
    </row>
    <row r="11" spans="1:18" ht="15.75" thickBot="1" x14ac:dyDescent="0.3">
      <c r="A11" s="1" t="s">
        <v>0</v>
      </c>
      <c r="B11" s="11" t="s">
        <v>30</v>
      </c>
      <c r="C11" s="7">
        <v>356000</v>
      </c>
      <c r="D11" s="3">
        <v>137905.84</v>
      </c>
      <c r="E11" s="17">
        <v>1.5900000000000001E-2</v>
      </c>
      <c r="F11" s="18">
        <v>7.1999999999999995E-2</v>
      </c>
      <c r="G11" s="3">
        <f t="shared" si="0"/>
        <v>2192.7028559999999</v>
      </c>
      <c r="H11" s="3">
        <f t="shared" si="1"/>
        <v>9929.2204799999981</v>
      </c>
      <c r="I11" s="197"/>
      <c r="J11" s="198"/>
      <c r="K11" s="197"/>
      <c r="L11" s="198"/>
      <c r="M11" s="198"/>
      <c r="N11" s="199"/>
      <c r="O11" s="197"/>
      <c r="P11" s="200"/>
      <c r="Q11" s="198"/>
      <c r="R11" s="197"/>
    </row>
    <row r="12" spans="1:18" ht="15.75" thickBot="1" x14ac:dyDescent="0.3">
      <c r="A12" s="1" t="s">
        <v>0</v>
      </c>
      <c r="B12" s="11" t="s">
        <v>31</v>
      </c>
      <c r="C12" s="6">
        <v>353000</v>
      </c>
      <c r="D12" s="3">
        <v>2079.5300000000002</v>
      </c>
      <c r="E12" s="17">
        <v>2.3300000000000001E-2</v>
      </c>
      <c r="F12" s="18">
        <f>F8</f>
        <v>5.3900000000000003E-2</v>
      </c>
      <c r="G12" s="3">
        <f t="shared" si="0"/>
        <v>48.453049000000007</v>
      </c>
      <c r="H12" s="3">
        <f t="shared" si="1"/>
        <v>112.08666700000002</v>
      </c>
      <c r="I12" s="197"/>
      <c r="J12" s="198"/>
      <c r="K12" s="197"/>
      <c r="L12" s="198"/>
      <c r="M12" s="198"/>
      <c r="N12" s="199"/>
      <c r="O12" s="197"/>
      <c r="P12" s="200"/>
      <c r="Q12" s="198"/>
      <c r="R12" s="197"/>
    </row>
    <row r="13" spans="1:18" ht="15.75" thickBot="1" x14ac:dyDescent="0.3">
      <c r="A13" s="1" t="s">
        <v>0</v>
      </c>
      <c r="B13" s="11" t="s">
        <v>31</v>
      </c>
      <c r="C13" s="7">
        <v>356000</v>
      </c>
      <c r="D13" s="3">
        <v>2907.88</v>
      </c>
      <c r="E13" s="17">
        <v>1.5900000000000001E-2</v>
      </c>
      <c r="F13" s="18">
        <f>F11</f>
        <v>7.1999999999999995E-2</v>
      </c>
      <c r="G13" s="3">
        <f t="shared" si="0"/>
        <v>46.235292000000001</v>
      </c>
      <c r="H13" s="3">
        <f t="shared" si="1"/>
        <v>209.36735999999999</v>
      </c>
      <c r="I13" s="197"/>
      <c r="J13" s="198"/>
      <c r="K13" s="197"/>
      <c r="L13" s="198"/>
      <c r="M13" s="198"/>
      <c r="N13" s="199"/>
      <c r="O13" s="197"/>
      <c r="P13" s="200"/>
      <c r="Q13" s="198"/>
      <c r="R13" s="197"/>
    </row>
    <row r="14" spans="1:18" ht="15.75" thickBot="1" x14ac:dyDescent="0.3">
      <c r="A14" s="1" t="s">
        <v>0</v>
      </c>
      <c r="B14" s="12" t="s">
        <v>27</v>
      </c>
      <c r="C14" s="8">
        <v>353000</v>
      </c>
      <c r="D14" s="3">
        <v>5409508.9800000004</v>
      </c>
      <c r="E14" s="17">
        <v>2.0969999999999999E-2</v>
      </c>
      <c r="F14" s="18">
        <f>F8</f>
        <v>5.3900000000000003E-2</v>
      </c>
      <c r="G14" s="3">
        <f t="shared" si="0"/>
        <v>113437.4033106</v>
      </c>
      <c r="H14" s="3">
        <f t="shared" si="1"/>
        <v>291572.53402200004</v>
      </c>
      <c r="I14" s="197"/>
      <c r="J14" s="198"/>
      <c r="K14" s="197"/>
      <c r="L14" s="198"/>
      <c r="M14" s="198"/>
      <c r="N14" s="199"/>
      <c r="O14" s="197"/>
      <c r="P14" s="200"/>
      <c r="Q14" s="198"/>
      <c r="R14" s="197"/>
    </row>
    <row r="15" spans="1:18" ht="15.75" thickBot="1" x14ac:dyDescent="0.3">
      <c r="A15" s="1" t="s">
        <v>0</v>
      </c>
      <c r="B15" s="11" t="s">
        <v>28</v>
      </c>
      <c r="C15" s="9">
        <v>350400</v>
      </c>
      <c r="D15" s="3">
        <v>223709.21</v>
      </c>
      <c r="E15" s="17">
        <v>1.2999999999999999E-2</v>
      </c>
      <c r="F15" s="18">
        <v>1.1900000000000001E-2</v>
      </c>
      <c r="G15" s="3">
        <f t="shared" si="0"/>
        <v>2908.2197299999998</v>
      </c>
      <c r="H15" s="3">
        <f t="shared" si="1"/>
        <v>2662.1395990000001</v>
      </c>
      <c r="I15" s="197"/>
      <c r="J15" s="198"/>
      <c r="K15" s="197"/>
      <c r="L15" s="198"/>
      <c r="M15" s="198"/>
      <c r="N15" s="199"/>
      <c r="O15" s="197"/>
      <c r="P15" s="200"/>
      <c r="Q15" s="198"/>
      <c r="R15" s="197"/>
    </row>
    <row r="16" spans="1:18" ht="15.75" thickBot="1" x14ac:dyDescent="0.3">
      <c r="A16" s="1" t="s">
        <v>0</v>
      </c>
      <c r="B16" s="11" t="s">
        <v>28</v>
      </c>
      <c r="C16" s="9">
        <v>352000</v>
      </c>
      <c r="D16" s="3">
        <v>1081.54</v>
      </c>
      <c r="E16" s="17">
        <v>1.6500000000000001E-2</v>
      </c>
      <c r="F16" s="18">
        <v>9.7100000000000006E-2</v>
      </c>
      <c r="G16" s="3">
        <f t="shared" si="0"/>
        <v>17.845410000000001</v>
      </c>
      <c r="H16" s="3">
        <f t="shared" si="1"/>
        <v>105.017534</v>
      </c>
      <c r="I16" s="197"/>
      <c r="J16" s="198"/>
      <c r="K16" s="197"/>
      <c r="L16" s="198"/>
      <c r="M16" s="198"/>
      <c r="N16" s="199"/>
      <c r="O16" s="197"/>
      <c r="P16" s="200"/>
      <c r="Q16" s="198"/>
      <c r="R16" s="197"/>
    </row>
    <row r="17" spans="1:18" ht="15.75" thickBot="1" x14ac:dyDescent="0.3">
      <c r="A17" s="1" t="s">
        <v>0</v>
      </c>
      <c r="B17" s="11" t="s">
        <v>28</v>
      </c>
      <c r="C17" s="10">
        <v>353000</v>
      </c>
      <c r="D17" s="3">
        <v>2880314.42</v>
      </c>
      <c r="E17" s="17">
        <v>2.3300000000000001E-2</v>
      </c>
      <c r="F17" s="18">
        <f>F8</f>
        <v>5.3900000000000003E-2</v>
      </c>
      <c r="G17" s="3">
        <f t="shared" si="0"/>
        <v>67111.325985999996</v>
      </c>
      <c r="H17" s="3">
        <f t="shared" si="1"/>
        <v>155248.94723799999</v>
      </c>
      <c r="I17" s="197"/>
      <c r="J17" s="198"/>
      <c r="K17" s="197"/>
      <c r="L17" s="198"/>
      <c r="M17" s="198"/>
      <c r="N17" s="199"/>
      <c r="O17" s="197"/>
      <c r="P17" s="200"/>
      <c r="Q17" s="198"/>
      <c r="R17" s="197"/>
    </row>
    <row r="18" spans="1:18" ht="15.75" thickBot="1" x14ac:dyDescent="0.3">
      <c r="A18" s="1" t="s">
        <v>0</v>
      </c>
      <c r="B18" s="11" t="s">
        <v>28</v>
      </c>
      <c r="C18" s="9">
        <v>354000</v>
      </c>
      <c r="D18" s="3">
        <v>7242665.21</v>
      </c>
      <c r="E18" s="17">
        <v>1.7999999999999999E-2</v>
      </c>
      <c r="F18" s="18">
        <f>F9</f>
        <v>5.9200000000000003E-2</v>
      </c>
      <c r="G18" s="3">
        <f t="shared" si="0"/>
        <v>130367.97377999999</v>
      </c>
      <c r="H18" s="3">
        <f t="shared" si="1"/>
        <v>428765.780432</v>
      </c>
      <c r="I18" s="197"/>
      <c r="J18" s="198"/>
      <c r="K18" s="197"/>
      <c r="L18" s="198"/>
      <c r="M18" s="198"/>
      <c r="N18" s="199"/>
      <c r="O18" s="197"/>
      <c r="P18" s="200"/>
      <c r="Q18" s="198"/>
      <c r="R18" s="197"/>
    </row>
    <row r="19" spans="1:18" ht="15.75" thickBot="1" x14ac:dyDescent="0.3">
      <c r="A19" s="1" t="s">
        <v>0</v>
      </c>
      <c r="B19" s="11" t="s">
        <v>28</v>
      </c>
      <c r="C19" s="9">
        <v>356000</v>
      </c>
      <c r="D19" s="3">
        <v>4635678.3099999996</v>
      </c>
      <c r="E19" s="17">
        <v>1.5900000000000001E-2</v>
      </c>
      <c r="F19" s="18">
        <f>F11</f>
        <v>7.1999999999999995E-2</v>
      </c>
      <c r="G19" s="3">
        <f t="shared" si="0"/>
        <v>73707.285128999996</v>
      </c>
      <c r="H19" s="3">
        <f t="shared" si="1"/>
        <v>333768.83831999992</v>
      </c>
      <c r="I19" s="197"/>
      <c r="J19" s="198"/>
      <c r="K19" s="197"/>
      <c r="L19" s="198"/>
      <c r="M19" s="198"/>
      <c r="N19" s="199"/>
      <c r="O19" s="197"/>
      <c r="P19" s="200"/>
      <c r="Q19" s="198"/>
      <c r="R19" s="197"/>
    </row>
    <row r="20" spans="1:18" ht="15.75" thickBot="1" x14ac:dyDescent="0.3">
      <c r="A20" s="1" t="s">
        <v>0</v>
      </c>
      <c r="B20" s="11" t="s">
        <v>28</v>
      </c>
      <c r="C20" s="9">
        <v>359000</v>
      </c>
      <c r="D20" s="3">
        <v>22636.78</v>
      </c>
      <c r="E20" s="17">
        <v>1.66E-2</v>
      </c>
      <c r="F20" s="18">
        <v>4.9799999999999997E-2</v>
      </c>
      <c r="G20" s="3">
        <f t="shared" si="0"/>
        <v>375.77054799999996</v>
      </c>
      <c r="H20" s="3">
        <f t="shared" si="1"/>
        <v>1127.3116439999999</v>
      </c>
      <c r="I20" s="197"/>
      <c r="J20" s="198"/>
      <c r="K20" s="197"/>
      <c r="L20" s="198"/>
      <c r="M20" s="198"/>
      <c r="N20" s="199"/>
      <c r="O20" s="197"/>
      <c r="P20" s="200"/>
      <c r="Q20" s="198"/>
      <c r="R20" s="197"/>
    </row>
    <row r="21" spans="1:18" ht="15.75" thickBot="1" x14ac:dyDescent="0.3">
      <c r="A21" s="1" t="s">
        <v>0</v>
      </c>
      <c r="B21" s="11" t="s">
        <v>29</v>
      </c>
      <c r="C21" s="9">
        <v>350400</v>
      </c>
      <c r="D21" s="3">
        <v>372079.3</v>
      </c>
      <c r="E21" s="17">
        <v>1.2999999999999999E-2</v>
      </c>
      <c r="F21" s="18">
        <v>1.1900000000000001E-2</v>
      </c>
      <c r="G21" s="3">
        <f t="shared" si="0"/>
        <v>4837.0308999999997</v>
      </c>
      <c r="H21" s="3">
        <f t="shared" si="1"/>
        <v>4427.7436699999998</v>
      </c>
      <c r="I21" s="197"/>
      <c r="J21" s="198"/>
      <c r="K21" s="197"/>
      <c r="L21" s="198"/>
      <c r="M21" s="198"/>
      <c r="N21" s="199"/>
      <c r="O21" s="197"/>
      <c r="P21" s="200"/>
      <c r="Q21" s="198"/>
      <c r="R21" s="197"/>
    </row>
    <row r="22" spans="1:18" ht="15.75" thickBot="1" x14ac:dyDescent="0.3">
      <c r="A22" s="1" t="s">
        <v>0</v>
      </c>
      <c r="B22" s="11" t="s">
        <v>29</v>
      </c>
      <c r="C22" s="9">
        <v>354000</v>
      </c>
      <c r="D22" s="3">
        <v>8644310.1099999994</v>
      </c>
      <c r="E22" s="17">
        <v>1.7999999999999999E-2</v>
      </c>
      <c r="F22" s="18">
        <f>F9</f>
        <v>5.9200000000000003E-2</v>
      </c>
      <c r="G22" s="3">
        <f t="shared" si="0"/>
        <v>155597.58197999999</v>
      </c>
      <c r="H22" s="3">
        <f t="shared" si="1"/>
        <v>511743.15851199999</v>
      </c>
      <c r="I22" s="197"/>
      <c r="J22" s="198"/>
      <c r="K22" s="197"/>
      <c r="L22" s="198"/>
      <c r="M22" s="198"/>
      <c r="N22" s="199"/>
      <c r="O22" s="197"/>
      <c r="P22" s="200"/>
      <c r="Q22" s="198"/>
      <c r="R22" s="197"/>
    </row>
    <row r="23" spans="1:18" ht="15.75" thickBot="1" x14ac:dyDescent="0.3">
      <c r="A23" s="1" t="s">
        <v>0</v>
      </c>
      <c r="B23" s="11" t="s">
        <v>29</v>
      </c>
      <c r="C23" s="9">
        <v>356000</v>
      </c>
      <c r="D23" s="3">
        <v>7719634.54</v>
      </c>
      <c r="E23" s="17">
        <v>1.5900000000000001E-2</v>
      </c>
      <c r="F23" s="18">
        <f>F11</f>
        <v>7.1999999999999995E-2</v>
      </c>
      <c r="G23" s="3">
        <f t="shared" si="0"/>
        <v>122742.189186</v>
      </c>
      <c r="H23" s="3">
        <f t="shared" si="1"/>
        <v>555813.68687999994</v>
      </c>
      <c r="I23" s="197"/>
      <c r="J23" s="198"/>
      <c r="K23" s="197"/>
      <c r="L23" s="198"/>
      <c r="M23" s="198"/>
      <c r="N23" s="199"/>
      <c r="O23" s="197"/>
      <c r="P23" s="200"/>
      <c r="Q23" s="198"/>
      <c r="R23" s="197"/>
    </row>
    <row r="24" spans="1:18" ht="15.75" thickBot="1" x14ac:dyDescent="0.3">
      <c r="A24" s="1" t="s">
        <v>0</v>
      </c>
      <c r="B24" s="11" t="s">
        <v>29</v>
      </c>
      <c r="C24" s="9">
        <v>359000</v>
      </c>
      <c r="D24" s="3">
        <v>56196.59</v>
      </c>
      <c r="E24" s="17">
        <v>1.66E-2</v>
      </c>
      <c r="F24" s="18">
        <v>4.9799999999999997E-2</v>
      </c>
      <c r="G24" s="3">
        <f t="shared" si="0"/>
        <v>932.86339399999997</v>
      </c>
      <c r="H24" s="3">
        <f t="shared" si="1"/>
        <v>2798.5901819999995</v>
      </c>
      <c r="I24" s="197"/>
      <c r="J24" s="198"/>
      <c r="K24" s="197"/>
      <c r="L24" s="198"/>
      <c r="M24" s="198"/>
      <c r="N24" s="199"/>
      <c r="O24" s="197"/>
      <c r="P24" s="200"/>
      <c r="Q24" s="198"/>
      <c r="R24" s="197"/>
    </row>
    <row r="25" spans="1:18" x14ac:dyDescent="0.25">
      <c r="D25" s="5">
        <f>SUM(D8:D24)</f>
        <v>41030662.420000002</v>
      </c>
      <c r="E25" s="30">
        <f>G25/D25</f>
        <v>1.8507456290553354E-2</v>
      </c>
      <c r="F25" s="18">
        <f>H25/D25</f>
        <v>6.0865453385166177E-2</v>
      </c>
      <c r="G25" s="19">
        <f>SUM(G8:G24)</f>
        <v>759373.19131060014</v>
      </c>
      <c r="H25" s="19">
        <f>SUM(H8:H24)</f>
        <v>2497349.8708869996</v>
      </c>
      <c r="I25" s="198"/>
      <c r="J25" s="198"/>
      <c r="K25" s="197"/>
      <c r="L25" s="198"/>
      <c r="M25" s="198"/>
      <c r="N25" s="199"/>
      <c r="O25" s="197"/>
      <c r="P25" s="200"/>
      <c r="Q25" s="198"/>
      <c r="R25" s="197"/>
    </row>
    <row r="26" spans="1:18" x14ac:dyDescent="0.25">
      <c r="I26" s="197"/>
      <c r="J26" s="197"/>
      <c r="K26" s="197"/>
      <c r="L26" s="197"/>
      <c r="M26" s="197"/>
      <c r="N26" s="197"/>
      <c r="O26" s="197"/>
      <c r="P26" s="197"/>
      <c r="Q26" s="197"/>
      <c r="R26" s="197"/>
    </row>
    <row r="28" spans="1:18" ht="15.75" thickBot="1" x14ac:dyDescent="0.3">
      <c r="A28" s="1" t="s">
        <v>25</v>
      </c>
      <c r="B28" s="11" t="s">
        <v>30</v>
      </c>
      <c r="C28" s="6">
        <v>353000</v>
      </c>
      <c r="D28" s="3">
        <v>-2513728.27</v>
      </c>
      <c r="E28" s="201"/>
      <c r="F28" s="202"/>
      <c r="G28" s="203"/>
      <c r="H28" s="203"/>
      <c r="I28" s="203"/>
    </row>
    <row r="29" spans="1:18" ht="15.75" thickBot="1" x14ac:dyDescent="0.3">
      <c r="A29" s="1" t="s">
        <v>25</v>
      </c>
      <c r="B29" s="11" t="s">
        <v>30</v>
      </c>
      <c r="C29" s="7">
        <v>354000</v>
      </c>
      <c r="D29" s="3">
        <v>-57423.92</v>
      </c>
      <c r="E29" s="201"/>
      <c r="F29" s="202"/>
      <c r="G29" s="203"/>
      <c r="H29" s="203"/>
      <c r="I29" s="203"/>
    </row>
    <row r="30" spans="1:18" ht="15.75" thickBot="1" x14ac:dyDescent="0.3">
      <c r="A30" s="1" t="s">
        <v>25</v>
      </c>
      <c r="B30" s="11" t="s">
        <v>30</v>
      </c>
      <c r="C30" s="7">
        <v>355000</v>
      </c>
      <c r="D30" s="3">
        <v>-3037.59</v>
      </c>
      <c r="E30" s="201"/>
      <c r="F30" s="202"/>
      <c r="G30" s="203"/>
      <c r="H30" s="203"/>
      <c r="I30" s="203"/>
    </row>
    <row r="31" spans="1:18" ht="15.75" thickBot="1" x14ac:dyDescent="0.3">
      <c r="A31" s="1" t="s">
        <v>25</v>
      </c>
      <c r="B31" s="11" t="s">
        <v>30</v>
      </c>
      <c r="C31" s="7">
        <v>356000</v>
      </c>
      <c r="D31" s="3">
        <v>-67943.149999999994</v>
      </c>
      <c r="E31" s="201"/>
      <c r="F31" s="202"/>
      <c r="G31" s="203"/>
      <c r="H31" s="203"/>
      <c r="I31" s="203"/>
    </row>
    <row r="32" spans="1:18" ht="15.75" thickBot="1" x14ac:dyDescent="0.3">
      <c r="A32" s="1" t="s">
        <v>25</v>
      </c>
      <c r="B32" s="11" t="s">
        <v>31</v>
      </c>
      <c r="C32" s="6">
        <v>353000</v>
      </c>
      <c r="D32" s="3">
        <v>-1142.45</v>
      </c>
      <c r="E32" s="201"/>
      <c r="F32" s="202"/>
      <c r="G32" s="203"/>
      <c r="H32" s="203"/>
      <c r="I32" s="203"/>
    </row>
    <row r="33" spans="1:17" ht="15.75" thickBot="1" x14ac:dyDescent="0.3">
      <c r="A33" s="1" t="s">
        <v>25</v>
      </c>
      <c r="B33" s="11" t="s">
        <v>31</v>
      </c>
      <c r="C33" s="7">
        <v>356000</v>
      </c>
      <c r="D33" s="3">
        <v>-1156.77</v>
      </c>
      <c r="E33" s="201"/>
      <c r="F33" s="202"/>
      <c r="G33" s="203"/>
      <c r="H33" s="203"/>
      <c r="I33" s="203"/>
    </row>
    <row r="34" spans="1:17" ht="15.75" thickBot="1" x14ac:dyDescent="0.3">
      <c r="A34" s="1" t="s">
        <v>25</v>
      </c>
      <c r="B34" s="12" t="s">
        <v>27</v>
      </c>
      <c r="C34" s="8">
        <v>353000</v>
      </c>
      <c r="D34" s="3">
        <v>-3858510.32</v>
      </c>
      <c r="E34" s="201"/>
      <c r="F34" s="202"/>
      <c r="G34" s="203"/>
      <c r="H34" s="203"/>
      <c r="I34" s="203"/>
    </row>
    <row r="35" spans="1:17" ht="15.75" thickBot="1" x14ac:dyDescent="0.3">
      <c r="A35" s="1" t="s">
        <v>25</v>
      </c>
      <c r="B35" s="11" t="s">
        <v>28</v>
      </c>
      <c r="C35" s="9">
        <v>350400</v>
      </c>
      <c r="D35" s="3">
        <v>-101354.64</v>
      </c>
      <c r="E35" s="201"/>
      <c r="F35" s="202"/>
      <c r="G35" s="203"/>
      <c r="H35" s="203"/>
      <c r="I35" s="203"/>
    </row>
    <row r="36" spans="1:17" ht="15.75" thickBot="1" x14ac:dyDescent="0.3">
      <c r="A36" s="1" t="s">
        <v>25</v>
      </c>
      <c r="B36" s="11" t="s">
        <v>28</v>
      </c>
      <c r="C36" s="9">
        <v>352000</v>
      </c>
      <c r="D36" s="3">
        <v>-60.65</v>
      </c>
      <c r="E36" s="201"/>
      <c r="F36" s="202"/>
      <c r="G36" s="203"/>
      <c r="H36" s="203"/>
      <c r="I36" s="203"/>
    </row>
    <row r="37" spans="1:17" ht="15.75" thickBot="1" x14ac:dyDescent="0.3">
      <c r="A37" s="1" t="s">
        <v>25</v>
      </c>
      <c r="B37" s="11" t="s">
        <v>28</v>
      </c>
      <c r="C37" s="10">
        <v>353000</v>
      </c>
      <c r="D37" s="3">
        <v>-292049.86</v>
      </c>
      <c r="E37" s="201"/>
      <c r="F37" s="202"/>
      <c r="G37" s="203"/>
      <c r="H37" s="203"/>
      <c r="I37" s="203"/>
    </row>
    <row r="38" spans="1:17" ht="15.75" thickBot="1" x14ac:dyDescent="0.3">
      <c r="A38" s="1" t="s">
        <v>25</v>
      </c>
      <c r="B38" s="11" t="s">
        <v>28</v>
      </c>
      <c r="C38" s="9">
        <v>354000</v>
      </c>
      <c r="D38" s="3">
        <v>-3916042.81</v>
      </c>
      <c r="E38" s="201"/>
      <c r="F38" s="202"/>
      <c r="G38" s="203"/>
      <c r="H38" s="203"/>
      <c r="I38" s="203"/>
    </row>
    <row r="39" spans="1:17" ht="15.75" thickBot="1" x14ac:dyDescent="0.3">
      <c r="A39" s="1" t="s">
        <v>25</v>
      </c>
      <c r="B39" s="11" t="s">
        <v>28</v>
      </c>
      <c r="C39" s="9">
        <v>356000</v>
      </c>
      <c r="D39" s="3">
        <v>-2512562.75</v>
      </c>
      <c r="E39" s="201"/>
      <c r="F39" s="202"/>
      <c r="G39" s="203"/>
      <c r="H39" s="203"/>
      <c r="I39" s="203"/>
    </row>
    <row r="40" spans="1:17" ht="15.75" thickBot="1" x14ac:dyDescent="0.3">
      <c r="A40" s="1" t="s">
        <v>25</v>
      </c>
      <c r="B40" s="11" t="s">
        <v>28</v>
      </c>
      <c r="C40" s="9">
        <v>359000</v>
      </c>
      <c r="D40" s="3">
        <v>-10812.65</v>
      </c>
      <c r="E40" s="201"/>
      <c r="F40" s="202"/>
      <c r="G40" s="203"/>
      <c r="H40" s="203"/>
      <c r="I40" s="203"/>
    </row>
    <row r="41" spans="1:17" ht="15.75" thickBot="1" x14ac:dyDescent="0.3">
      <c r="A41" s="1" t="s">
        <v>25</v>
      </c>
      <c r="B41" s="11" t="s">
        <v>29</v>
      </c>
      <c r="C41" s="9">
        <v>350400</v>
      </c>
      <c r="D41" s="3">
        <v>-163689.56</v>
      </c>
      <c r="E41" s="201"/>
      <c r="F41" s="202"/>
      <c r="G41" s="203"/>
      <c r="H41" s="203"/>
      <c r="I41" s="203"/>
    </row>
    <row r="42" spans="1:17" ht="15.75" thickBot="1" x14ac:dyDescent="0.3">
      <c r="A42" s="1" t="s">
        <v>25</v>
      </c>
      <c r="B42" s="11" t="s">
        <v>29</v>
      </c>
      <c r="C42" s="9">
        <v>354000</v>
      </c>
      <c r="D42" s="3">
        <v>-4429145.63</v>
      </c>
      <c r="E42" s="201"/>
      <c r="F42" s="202"/>
      <c r="G42" s="203"/>
      <c r="H42" s="203"/>
      <c r="I42" s="203"/>
    </row>
    <row r="43" spans="1:17" ht="15.75" thickBot="1" x14ac:dyDescent="0.3">
      <c r="A43" s="1" t="s">
        <v>25</v>
      </c>
      <c r="B43" s="11" t="s">
        <v>29</v>
      </c>
      <c r="C43" s="9">
        <v>356000</v>
      </c>
      <c r="D43" s="3">
        <v>-4184103.29</v>
      </c>
      <c r="E43" s="201"/>
      <c r="F43" s="202"/>
      <c r="G43" s="203"/>
      <c r="H43" s="203"/>
      <c r="I43" s="203"/>
    </row>
    <row r="44" spans="1:17" ht="15.75" thickBot="1" x14ac:dyDescent="0.3">
      <c r="A44" s="1" t="s">
        <v>25</v>
      </c>
      <c r="B44" s="11" t="s">
        <v>29</v>
      </c>
      <c r="C44" s="9">
        <v>359000</v>
      </c>
      <c r="D44" s="3">
        <v>-26843.29</v>
      </c>
      <c r="E44" s="201"/>
      <c r="F44" s="202"/>
      <c r="G44" s="203"/>
      <c r="H44" s="203"/>
      <c r="I44" s="203"/>
    </row>
    <row r="45" spans="1:17" x14ac:dyDescent="0.25">
      <c r="D45" s="5">
        <f>SUM(D28:D44)</f>
        <v>-22139607.599999998</v>
      </c>
      <c r="E45" s="22"/>
      <c r="F45" s="22"/>
      <c r="G45" s="22"/>
      <c r="H45" s="22"/>
      <c r="I45" s="22"/>
    </row>
    <row r="47" spans="1:17" x14ac:dyDescent="0.25">
      <c r="B47" s="188"/>
      <c r="D47" s="191" t="s">
        <v>165</v>
      </c>
      <c r="E47" s="21" t="s">
        <v>166</v>
      </c>
      <c r="F47" s="192" t="s">
        <v>167</v>
      </c>
      <c r="G47" s="191" t="s">
        <v>168</v>
      </c>
      <c r="H47" s="21" t="s">
        <v>169</v>
      </c>
      <c r="I47" s="21"/>
      <c r="J47" s="21" t="s">
        <v>170</v>
      </c>
      <c r="K47" s="21"/>
      <c r="L47" s="21" t="s">
        <v>171</v>
      </c>
      <c r="M47" s="21" t="s">
        <v>172</v>
      </c>
      <c r="N47" s="21" t="s">
        <v>173</v>
      </c>
      <c r="O47" s="21"/>
      <c r="P47" s="21" t="s">
        <v>174</v>
      </c>
      <c r="Q47" s="21" t="s">
        <v>175</v>
      </c>
    </row>
    <row r="48" spans="1:17" s="14" customFormat="1" ht="60" x14ac:dyDescent="0.25">
      <c r="C48" s="14" t="s">
        <v>189</v>
      </c>
      <c r="D48" s="15">
        <v>43100</v>
      </c>
      <c r="E48" s="14" t="s">
        <v>190</v>
      </c>
      <c r="F48" s="14" t="s">
        <v>176</v>
      </c>
      <c r="G48" s="14" t="s">
        <v>43</v>
      </c>
      <c r="H48" s="14" t="s">
        <v>177</v>
      </c>
      <c r="J48" s="14" t="s">
        <v>44</v>
      </c>
      <c r="L48" s="14" t="s">
        <v>178</v>
      </c>
      <c r="M48" s="14" t="s">
        <v>179</v>
      </c>
      <c r="N48" s="193" t="s">
        <v>180</v>
      </c>
      <c r="P48" s="14" t="s">
        <v>181</v>
      </c>
      <c r="Q48" s="14" t="s">
        <v>182</v>
      </c>
    </row>
    <row r="49" spans="3:18" x14ac:dyDescent="0.25">
      <c r="C49" s="188">
        <v>350</v>
      </c>
      <c r="D49" s="3">
        <f>SUM(D15,D21)</f>
        <v>595788.51</v>
      </c>
      <c r="E49" s="17">
        <v>1.2999999999999999E-2</v>
      </c>
      <c r="F49" s="18">
        <v>1.1900000000000001E-2</v>
      </c>
      <c r="G49" s="3">
        <f>D49*E49</f>
        <v>7745.2506299999995</v>
      </c>
      <c r="H49" s="3">
        <f>D49*F49</f>
        <v>7089.8832690000008</v>
      </c>
      <c r="I49" s="3"/>
      <c r="K49" s="16"/>
      <c r="L49" s="16">
        <f>D49+D60+E60+J49</f>
        <v>322999.05936999997</v>
      </c>
      <c r="M49" s="16">
        <f>ROUND(L49/9,0)</f>
        <v>35889</v>
      </c>
      <c r="N49" s="194">
        <f>M49/Q49</f>
        <v>6.0237818282195474E-2</v>
      </c>
      <c r="P49" s="3">
        <v>0</v>
      </c>
      <c r="Q49" s="16">
        <f>SUM(D49,P49)</f>
        <v>595788.51</v>
      </c>
      <c r="R49" s="16"/>
    </row>
    <row r="50" spans="3:18" x14ac:dyDescent="0.25">
      <c r="C50" s="188">
        <v>352</v>
      </c>
      <c r="D50" s="3">
        <f>SUM(D16)</f>
        <v>1081.54</v>
      </c>
      <c r="E50" s="17">
        <v>1.6500000000000001E-2</v>
      </c>
      <c r="F50" s="18">
        <v>9.7100000000000006E-2</v>
      </c>
      <c r="G50" s="3">
        <f t="shared" ref="G50:G55" si="2">D50*E50</f>
        <v>17.845410000000001</v>
      </c>
      <c r="H50" s="3">
        <f t="shared" ref="H50:H55" si="3">D50*F50</f>
        <v>105.017534</v>
      </c>
      <c r="J50" s="3">
        <f>-(876-44-920)</f>
        <v>88</v>
      </c>
      <c r="L50" s="16">
        <f t="shared" ref="L50:L55" si="4">D50+D61+E61+J50</f>
        <v>1091.04459</v>
      </c>
      <c r="M50" s="16">
        <f t="shared" ref="M50:M55" si="5">ROUND(L50/9,0)</f>
        <v>121</v>
      </c>
      <c r="N50" s="194">
        <f t="shared" ref="N50:N55" si="6">M50/Q50</f>
        <v>0.11187750799785491</v>
      </c>
      <c r="P50" s="3">
        <v>0</v>
      </c>
      <c r="Q50" s="16">
        <f t="shared" ref="Q50:Q55" si="7">SUM(D50,P50)</f>
        <v>1081.54</v>
      </c>
    </row>
    <row r="51" spans="3:18" x14ac:dyDescent="0.25">
      <c r="C51" s="188">
        <v>353</v>
      </c>
      <c r="D51" s="3">
        <f>SUM(D8,D12,D14,D17)</f>
        <v>11845467.110000001</v>
      </c>
      <c r="E51" s="17">
        <v>2.3300000000000001E-2</v>
      </c>
      <c r="F51" s="18">
        <v>5.3900000000000003E-2</v>
      </c>
      <c r="G51" s="3">
        <f>SUM(G8,G12,G14,G17)</f>
        <v>263395.2277396</v>
      </c>
      <c r="H51" s="3">
        <f t="shared" si="3"/>
        <v>638470.67722900014</v>
      </c>
      <c r="J51" s="3">
        <f>-(11547227-6485357-6216593)</f>
        <v>1154723</v>
      </c>
      <c r="L51" s="16">
        <f t="shared" si="4"/>
        <v>6071363.9822604004</v>
      </c>
      <c r="M51" s="16">
        <f t="shared" si="5"/>
        <v>674596</v>
      </c>
      <c r="N51" s="194">
        <f t="shared" si="6"/>
        <v>5.694971702977443E-2</v>
      </c>
      <c r="P51" s="3">
        <v>0</v>
      </c>
      <c r="Q51" s="16">
        <f t="shared" si="7"/>
        <v>11845467.110000001</v>
      </c>
    </row>
    <row r="52" spans="3:18" x14ac:dyDescent="0.25">
      <c r="C52" s="188">
        <v>354</v>
      </c>
      <c r="D52" s="3">
        <f>SUM(D9,D18,D22)</f>
        <v>16007947.550000001</v>
      </c>
      <c r="E52" s="17">
        <v>1.7999999999999999E-2</v>
      </c>
      <c r="F52" s="18">
        <v>5.9200000000000003E-2</v>
      </c>
      <c r="G52" s="3">
        <f t="shared" si="2"/>
        <v>288143.05589999998</v>
      </c>
      <c r="H52" s="3">
        <f t="shared" si="3"/>
        <v>947670.49496000004</v>
      </c>
      <c r="J52" s="3">
        <f>-(16006236-8114014-10293157)</f>
        <v>2400935</v>
      </c>
      <c r="L52" s="16">
        <f t="shared" si="4"/>
        <v>9718127.1341000013</v>
      </c>
      <c r="M52" s="16">
        <f t="shared" si="5"/>
        <v>1079792</v>
      </c>
      <c r="N52" s="194">
        <f t="shared" si="6"/>
        <v>6.7453494373799341E-2</v>
      </c>
      <c r="P52" s="3">
        <v>0</v>
      </c>
      <c r="Q52" s="16">
        <f t="shared" si="7"/>
        <v>16007947.550000001</v>
      </c>
    </row>
    <row r="53" spans="3:18" x14ac:dyDescent="0.25">
      <c r="C53" s="188">
        <v>355</v>
      </c>
      <c r="D53" s="3">
        <f>SUM(D10,)</f>
        <v>5417.77</v>
      </c>
      <c r="E53" s="17">
        <v>1.38E-2</v>
      </c>
      <c r="F53" s="18">
        <v>6.7699999999999996E-2</v>
      </c>
      <c r="G53" s="3">
        <f t="shared" si="2"/>
        <v>74.765225999999998</v>
      </c>
      <c r="H53" s="3">
        <f t="shared" si="3"/>
        <v>366.783029</v>
      </c>
      <c r="J53" s="3">
        <f>-(5418-3129-3914)</f>
        <v>1625</v>
      </c>
      <c r="L53" s="16">
        <f t="shared" si="4"/>
        <v>3930.4147740000003</v>
      </c>
      <c r="M53" s="16">
        <f t="shared" si="5"/>
        <v>437</v>
      </c>
      <c r="N53" s="194">
        <f t="shared" si="6"/>
        <v>8.0660493154932747E-2</v>
      </c>
      <c r="P53" s="3">
        <v>0</v>
      </c>
      <c r="Q53" s="16">
        <f t="shared" si="7"/>
        <v>5417.77</v>
      </c>
    </row>
    <row r="54" spans="3:18" x14ac:dyDescent="0.25">
      <c r="C54" s="188">
        <v>356</v>
      </c>
      <c r="D54" s="3">
        <f>SUM(D11,D13,D19,D23)</f>
        <v>12496126.57</v>
      </c>
      <c r="E54" s="17">
        <v>1.5900000000000001E-2</v>
      </c>
      <c r="F54" s="18">
        <v>7.1999999999999995E-2</v>
      </c>
      <c r="G54" s="3">
        <f t="shared" si="2"/>
        <v>198688.41246300002</v>
      </c>
      <c r="H54" s="3">
        <f t="shared" si="3"/>
        <v>899721.11303999997</v>
      </c>
      <c r="J54" s="3">
        <f>-(12496126-6680366-9564599)</f>
        <v>3748839</v>
      </c>
      <c r="L54" s="16">
        <f t="shared" si="4"/>
        <v>9280511.1975370012</v>
      </c>
      <c r="M54" s="16">
        <f t="shared" si="5"/>
        <v>1031168</v>
      </c>
      <c r="N54" s="194">
        <f t="shared" si="6"/>
        <v>8.2519010528876224E-2</v>
      </c>
      <c r="P54" s="3">
        <v>0</v>
      </c>
      <c r="Q54" s="16">
        <f t="shared" si="7"/>
        <v>12496126.57</v>
      </c>
    </row>
    <row r="55" spans="3:18" x14ac:dyDescent="0.25">
      <c r="C55" s="188">
        <v>359</v>
      </c>
      <c r="D55" s="3">
        <f>SUM(D20,D24)</f>
        <v>78833.37</v>
      </c>
      <c r="E55" s="17">
        <v>1.66E-2</v>
      </c>
      <c r="F55" s="18">
        <v>4.9799999999999997E-2</v>
      </c>
      <c r="G55" s="3">
        <f t="shared" si="2"/>
        <v>1308.6339419999999</v>
      </c>
      <c r="H55" s="3">
        <f t="shared" si="3"/>
        <v>3925.9018259999993</v>
      </c>
      <c r="J55" s="3">
        <f>-(78833-36298-42535)</f>
        <v>0</v>
      </c>
      <c r="L55" s="16">
        <f t="shared" si="4"/>
        <v>39868.796057999993</v>
      </c>
      <c r="M55" s="16">
        <f t="shared" si="5"/>
        <v>4430</v>
      </c>
      <c r="N55" s="194">
        <f t="shared" si="6"/>
        <v>5.61944770342813E-2</v>
      </c>
      <c r="P55" s="3">
        <v>0</v>
      </c>
      <c r="Q55" s="16">
        <f t="shared" si="7"/>
        <v>78833.37</v>
      </c>
    </row>
    <row r="56" spans="3:18" x14ac:dyDescent="0.25">
      <c r="D56" s="5">
        <f>SUM(D49:D55)</f>
        <v>41030662.419999994</v>
      </c>
      <c r="E56" s="30">
        <f>G56/D56</f>
        <v>1.8507456290553354E-2</v>
      </c>
      <c r="F56" s="18">
        <f>H56/D56</f>
        <v>6.0865453385166197E-2</v>
      </c>
      <c r="G56" s="19">
        <f>SUM(G49:G55)</f>
        <v>759373.19131060003</v>
      </c>
      <c r="H56" s="19">
        <f>SUM(H49:H55)</f>
        <v>2497349.8708870001</v>
      </c>
      <c r="J56" s="19">
        <f>SUM(J49:J55)</f>
        <v>7306210</v>
      </c>
      <c r="L56" s="269">
        <f t="shared" ref="L56:M56" si="8">SUM(L49:L55)</f>
        <v>25437891.628689401</v>
      </c>
      <c r="M56" s="214">
        <f t="shared" si="8"/>
        <v>2826433</v>
      </c>
      <c r="N56" s="194">
        <f>M56/Q56</f>
        <v>6.888587298610814E-2</v>
      </c>
      <c r="Q56" s="19">
        <f>SUM(Q49:Q55)</f>
        <v>41030662.419999994</v>
      </c>
    </row>
    <row r="57" spans="3:18" x14ac:dyDescent="0.25">
      <c r="L57" s="270">
        <f>-E67</f>
        <v>759373.19131060003</v>
      </c>
      <c r="M57" s="59" t="s">
        <v>196</v>
      </c>
    </row>
    <row r="58" spans="3:18" ht="15.75" thickBot="1" x14ac:dyDescent="0.3">
      <c r="L58" s="271">
        <f>SUM(L56:L57)</f>
        <v>26197264.82</v>
      </c>
      <c r="M58" s="59" t="s">
        <v>241</v>
      </c>
    </row>
    <row r="59" spans="3:18" ht="45.75" thickTop="1" x14ac:dyDescent="0.25">
      <c r="D59" s="32" t="s">
        <v>183</v>
      </c>
      <c r="E59" s="195" t="s">
        <v>184</v>
      </c>
      <c r="F59" s="195" t="s">
        <v>185</v>
      </c>
      <c r="G59" s="195" t="s">
        <v>53</v>
      </c>
      <c r="H59" s="195" t="s">
        <v>186</v>
      </c>
      <c r="I59" s="195" t="s">
        <v>187</v>
      </c>
      <c r="J59" s="195" t="s">
        <v>188</v>
      </c>
    </row>
    <row r="60" spans="3:18" x14ac:dyDescent="0.25">
      <c r="C60" s="188">
        <v>350</v>
      </c>
      <c r="D60" s="3">
        <f>SUM(D35,D41)</f>
        <v>-265044.2</v>
      </c>
      <c r="E60" s="3">
        <f>-G49</f>
        <v>-7745.2506299999995</v>
      </c>
      <c r="F60" s="3">
        <f>-L49</f>
        <v>-322999.05936999997</v>
      </c>
      <c r="G60" s="16">
        <f>P49</f>
        <v>0</v>
      </c>
      <c r="H60" s="16">
        <f>SUM(D60:G60)</f>
        <v>-595788.51</v>
      </c>
      <c r="I60" s="16">
        <f>Q49</f>
        <v>595788.51</v>
      </c>
      <c r="J60" s="16">
        <f>SUM(H60:I60)</f>
        <v>0</v>
      </c>
      <c r="N60" s="335" t="s">
        <v>192</v>
      </c>
      <c r="O60" s="335"/>
      <c r="P60" s="335"/>
      <c r="Q60" s="335"/>
      <c r="R60" s="335"/>
    </row>
    <row r="61" spans="3:18" x14ac:dyDescent="0.25">
      <c r="C61" s="188">
        <v>352</v>
      </c>
      <c r="D61" s="3">
        <f>SUM(D36)</f>
        <v>-60.65</v>
      </c>
      <c r="E61" s="3">
        <f t="shared" ref="E61:E66" si="9">-G50</f>
        <v>-17.845410000000001</v>
      </c>
      <c r="F61" s="3">
        <f t="shared" ref="F61:F66" si="10">-L50</f>
        <v>-1091.04459</v>
      </c>
      <c r="G61" s="16">
        <f t="shared" ref="G61:G66" si="11">P50</f>
        <v>0</v>
      </c>
      <c r="H61" s="16">
        <f t="shared" ref="H61:H66" si="12">SUM(D61:G61)</f>
        <v>-1169.54</v>
      </c>
      <c r="I61" s="16">
        <f t="shared" ref="I61:I66" si="13">Q50</f>
        <v>1081.54</v>
      </c>
      <c r="J61" s="16">
        <f t="shared" ref="J61:J66" si="14">SUM(H61:I61)</f>
        <v>-88</v>
      </c>
      <c r="N61" s="335"/>
      <c r="O61" s="335"/>
      <c r="P61" s="335"/>
      <c r="Q61" s="335"/>
      <c r="R61" s="335"/>
    </row>
    <row r="62" spans="3:18" x14ac:dyDescent="0.25">
      <c r="C62" s="188">
        <v>353</v>
      </c>
      <c r="D62" s="3">
        <f>SUM(D28,D32,D34,D37)</f>
        <v>-6665430.9000000004</v>
      </c>
      <c r="E62" s="3">
        <f t="shared" si="9"/>
        <v>-263395.2277396</v>
      </c>
      <c r="F62" s="3">
        <f t="shared" si="10"/>
        <v>-6071363.9822604004</v>
      </c>
      <c r="G62" s="16">
        <f t="shared" si="11"/>
        <v>0</v>
      </c>
      <c r="H62" s="16">
        <f t="shared" si="12"/>
        <v>-13000190.110000001</v>
      </c>
      <c r="I62" s="16">
        <f t="shared" si="13"/>
        <v>11845467.110000001</v>
      </c>
      <c r="J62" s="16">
        <f t="shared" si="14"/>
        <v>-1154723</v>
      </c>
      <c r="N62" s="335"/>
      <c r="O62" s="335"/>
      <c r="P62" s="335"/>
      <c r="Q62" s="335"/>
      <c r="R62" s="335"/>
    </row>
    <row r="63" spans="3:18" x14ac:dyDescent="0.25">
      <c r="C63" s="188">
        <v>354</v>
      </c>
      <c r="D63" s="3">
        <f>SUM(D29,D38,D42)</f>
        <v>-8402612.3599999994</v>
      </c>
      <c r="E63" s="3">
        <f t="shared" si="9"/>
        <v>-288143.05589999998</v>
      </c>
      <c r="F63" s="3">
        <f t="shared" si="10"/>
        <v>-9718127.1341000013</v>
      </c>
      <c r="G63" s="16">
        <f t="shared" si="11"/>
        <v>0</v>
      </c>
      <c r="H63" s="16">
        <f t="shared" si="12"/>
        <v>-18408882.550000001</v>
      </c>
      <c r="I63" s="16">
        <f t="shared" si="13"/>
        <v>16007947.550000001</v>
      </c>
      <c r="J63" s="16">
        <f t="shared" si="14"/>
        <v>-2400935</v>
      </c>
      <c r="N63" s="335"/>
      <c r="O63" s="335"/>
      <c r="P63" s="335"/>
      <c r="Q63" s="335"/>
      <c r="R63" s="335"/>
    </row>
    <row r="64" spans="3:18" x14ac:dyDescent="0.25">
      <c r="C64" s="188">
        <v>355</v>
      </c>
      <c r="D64" s="3">
        <f>SUM(D30,)</f>
        <v>-3037.59</v>
      </c>
      <c r="E64" s="3">
        <f t="shared" si="9"/>
        <v>-74.765225999999998</v>
      </c>
      <c r="F64" s="3">
        <f t="shared" si="10"/>
        <v>-3930.4147740000003</v>
      </c>
      <c r="G64" s="16">
        <f t="shared" si="11"/>
        <v>0</v>
      </c>
      <c r="H64" s="16">
        <f t="shared" si="12"/>
        <v>-7042.77</v>
      </c>
      <c r="I64" s="16">
        <f t="shared" si="13"/>
        <v>5417.77</v>
      </c>
      <c r="J64" s="16">
        <f t="shared" si="14"/>
        <v>-1625</v>
      </c>
      <c r="N64" s="335"/>
      <c r="O64" s="335"/>
      <c r="P64" s="335"/>
      <c r="Q64" s="335"/>
      <c r="R64" s="335"/>
    </row>
    <row r="65" spans="3:10" x14ac:dyDescent="0.25">
      <c r="C65" s="188">
        <v>356</v>
      </c>
      <c r="D65" s="3">
        <f>SUM(D31,D33,D39,D43)</f>
        <v>-6765765.96</v>
      </c>
      <c r="E65" s="3">
        <f t="shared" si="9"/>
        <v>-198688.41246300002</v>
      </c>
      <c r="F65" s="3">
        <f t="shared" si="10"/>
        <v>-9280511.1975370012</v>
      </c>
      <c r="G65" s="16">
        <f t="shared" si="11"/>
        <v>0</v>
      </c>
      <c r="H65" s="16">
        <f t="shared" si="12"/>
        <v>-16244965.57</v>
      </c>
      <c r="I65" s="16">
        <f t="shared" si="13"/>
        <v>12496126.57</v>
      </c>
      <c r="J65" s="16">
        <f t="shared" si="14"/>
        <v>-3748839</v>
      </c>
    </row>
    <row r="66" spans="3:10" x14ac:dyDescent="0.25">
      <c r="C66" s="188">
        <v>359</v>
      </c>
      <c r="D66" s="3">
        <f>SUM(D40,D44)</f>
        <v>-37655.94</v>
      </c>
      <c r="E66" s="3">
        <f t="shared" si="9"/>
        <v>-1308.6339419999999</v>
      </c>
      <c r="F66" s="3">
        <f t="shared" si="10"/>
        <v>-39868.796057999993</v>
      </c>
      <c r="G66" s="16">
        <f t="shared" si="11"/>
        <v>0</v>
      </c>
      <c r="H66" s="16">
        <f t="shared" si="12"/>
        <v>-78833.37</v>
      </c>
      <c r="I66" s="16">
        <f t="shared" si="13"/>
        <v>78833.37</v>
      </c>
      <c r="J66" s="16">
        <f t="shared" si="14"/>
        <v>0</v>
      </c>
    </row>
    <row r="67" spans="3:10" x14ac:dyDescent="0.25">
      <c r="D67" s="5">
        <f>SUM(D60:D66)</f>
        <v>-22139607.600000001</v>
      </c>
      <c r="E67" s="5">
        <f t="shared" ref="E67:J67" si="15">SUM(E60:E66)</f>
        <v>-759373.19131060003</v>
      </c>
      <c r="F67" s="5">
        <f t="shared" si="15"/>
        <v>-25437891.628689401</v>
      </c>
      <c r="G67" s="5">
        <f t="shared" si="15"/>
        <v>0</v>
      </c>
      <c r="H67" s="5">
        <f t="shared" si="15"/>
        <v>-48336872.419999994</v>
      </c>
      <c r="I67" s="5">
        <f t="shared" si="15"/>
        <v>41030662.419999994</v>
      </c>
      <c r="J67" s="5">
        <f t="shared" si="15"/>
        <v>-7306210</v>
      </c>
    </row>
  </sheetData>
  <mergeCells count="2">
    <mergeCell ref="N60:R64"/>
    <mergeCell ref="D2:L5"/>
  </mergeCells>
  <pageMargins left="0.7" right="0.7" top="0.75" bottom="0.75" header="0.3" footer="0.3"/>
  <pageSetup scale="76" orientation="landscape" r:id="rId1"/>
  <headerFooter>
    <oddFooter>&amp;LAvista
&amp;F
&amp;A&amp;RPage &amp;P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2:BO129"/>
  <sheetViews>
    <sheetView workbookViewId="0">
      <selection activeCell="E10" sqref="E10"/>
    </sheetView>
  </sheetViews>
  <sheetFormatPr defaultColWidth="9.140625" defaultRowHeight="15" outlineLevelRow="1" x14ac:dyDescent="0.25"/>
  <cols>
    <col min="1" max="1" width="14.7109375" style="102" customWidth="1"/>
    <col min="2" max="2" width="21.85546875" style="103" bestFit="1" customWidth="1"/>
    <col min="3" max="3" width="28.28515625" style="102" bestFit="1" customWidth="1"/>
    <col min="4" max="4" width="21.85546875" style="102" customWidth="1"/>
    <col min="5" max="5" width="17.85546875" style="102" bestFit="1" customWidth="1"/>
    <col min="6" max="6" width="2.5703125" style="102" customWidth="1"/>
    <col min="7" max="7" width="23.85546875" style="103" customWidth="1"/>
    <col min="8" max="8" width="21.140625" style="102" customWidth="1"/>
    <col min="9" max="9" width="20.85546875" style="102" customWidth="1"/>
    <col min="10" max="10" width="19.42578125" style="102" customWidth="1"/>
    <col min="11" max="11" width="16.28515625" style="102" bestFit="1" customWidth="1"/>
    <col min="12" max="14" width="9.140625" style="102"/>
    <col min="15" max="16" width="14.140625" style="102" bestFit="1" customWidth="1"/>
    <col min="17" max="16384" width="9.140625" style="102"/>
  </cols>
  <sheetData>
    <row r="2" spans="1:67" x14ac:dyDescent="0.25">
      <c r="D2" s="336" t="s">
        <v>247</v>
      </c>
      <c r="E2" s="336"/>
      <c r="F2" s="336"/>
      <c r="G2" s="336"/>
      <c r="H2" s="336"/>
      <c r="I2" s="336"/>
      <c r="J2" s="336"/>
      <c r="K2" s="336"/>
      <c r="L2" s="336"/>
    </row>
    <row r="3" spans="1:67" x14ac:dyDescent="0.25">
      <c r="D3" s="336"/>
      <c r="E3" s="336"/>
      <c r="F3" s="336"/>
      <c r="G3" s="336"/>
      <c r="H3" s="336"/>
      <c r="I3" s="336"/>
      <c r="J3" s="336"/>
      <c r="K3" s="336"/>
      <c r="L3" s="336"/>
    </row>
    <row r="4" spans="1:67" x14ac:dyDescent="0.25">
      <c r="D4" s="336"/>
      <c r="E4" s="336"/>
      <c r="F4" s="336"/>
      <c r="G4" s="336"/>
      <c r="H4" s="336"/>
      <c r="I4" s="336"/>
      <c r="J4" s="336"/>
      <c r="K4" s="336"/>
      <c r="L4" s="336"/>
    </row>
    <row r="5" spans="1:67" x14ac:dyDescent="0.25">
      <c r="D5" s="336"/>
      <c r="E5" s="336"/>
      <c r="F5" s="336"/>
      <c r="G5" s="336"/>
      <c r="H5" s="336"/>
      <c r="I5" s="336"/>
      <c r="J5" s="336"/>
      <c r="K5" s="336"/>
      <c r="L5" s="336"/>
    </row>
    <row r="6" spans="1:67" x14ac:dyDescent="0.25">
      <c r="A6" s="302" t="s">
        <v>272</v>
      </c>
    </row>
    <row r="7" spans="1:67" x14ac:dyDescent="0.25">
      <c r="A7" s="102" t="s">
        <v>105</v>
      </c>
      <c r="L7" s="102" t="s">
        <v>106</v>
      </c>
      <c r="M7" s="102" t="s">
        <v>107</v>
      </c>
    </row>
    <row r="8" spans="1:67" x14ac:dyDescent="0.25">
      <c r="A8" s="102" t="s">
        <v>108</v>
      </c>
      <c r="C8" s="102">
        <v>4.41E-2</v>
      </c>
      <c r="L8" s="102">
        <v>2018</v>
      </c>
      <c r="M8" s="102">
        <v>4.41E-2</v>
      </c>
    </row>
    <row r="9" spans="1:67" x14ac:dyDescent="0.25">
      <c r="A9" s="102" t="s">
        <v>109</v>
      </c>
      <c r="C9" s="104">
        <v>4.3200000000000002E-2</v>
      </c>
      <c r="D9" s="104">
        <v>4.4065707941903121E-2</v>
      </c>
      <c r="L9" s="102">
        <v>2019</v>
      </c>
      <c r="M9" s="102">
        <v>4.41E-2</v>
      </c>
    </row>
    <row r="10" spans="1:67" x14ac:dyDescent="0.25">
      <c r="A10" s="105" t="s">
        <v>110</v>
      </c>
      <c r="C10" s="102">
        <v>0.02</v>
      </c>
      <c r="G10" s="103" t="s">
        <v>111</v>
      </c>
      <c r="H10" s="102">
        <v>53</v>
      </c>
      <c r="I10" s="102" t="s">
        <v>112</v>
      </c>
      <c r="L10" s="102">
        <v>2020</v>
      </c>
      <c r="M10" s="102">
        <v>4.41E-2</v>
      </c>
    </row>
    <row r="11" spans="1:67" x14ac:dyDescent="0.25">
      <c r="A11" s="106"/>
      <c r="I11" s="102" t="s">
        <v>113</v>
      </c>
      <c r="L11" s="102">
        <v>2021</v>
      </c>
      <c r="M11" s="102">
        <v>4.41E-2</v>
      </c>
    </row>
    <row r="12" spans="1:67" x14ac:dyDescent="0.25">
      <c r="A12" s="102" t="s">
        <v>114</v>
      </c>
      <c r="B12" s="103" t="s">
        <v>115</v>
      </c>
      <c r="C12" s="103" t="s">
        <v>116</v>
      </c>
      <c r="D12" s="103" t="s">
        <v>66</v>
      </c>
      <c r="E12" s="103" t="s">
        <v>117</v>
      </c>
      <c r="G12" s="103" t="s">
        <v>118</v>
      </c>
      <c r="H12" s="103" t="s">
        <v>119</v>
      </c>
      <c r="I12" s="103" t="s">
        <v>120</v>
      </c>
      <c r="J12" s="103" t="s">
        <v>121</v>
      </c>
      <c r="K12" s="103" t="s">
        <v>46</v>
      </c>
      <c r="L12" s="102">
        <v>2022</v>
      </c>
      <c r="M12" s="102">
        <v>4.41E-2</v>
      </c>
    </row>
    <row r="13" spans="1:67" x14ac:dyDescent="0.25">
      <c r="A13" s="102" t="s">
        <v>122</v>
      </c>
      <c r="C13" s="103"/>
      <c r="D13" s="103"/>
      <c r="E13" s="107">
        <v>-14817368.978785524</v>
      </c>
      <c r="H13" s="103"/>
      <c r="I13" s="103"/>
      <c r="J13" s="107">
        <v>14817368.978785524</v>
      </c>
      <c r="K13" s="103">
        <v>14817368.978785524</v>
      </c>
      <c r="L13" s="102">
        <v>2023</v>
      </c>
      <c r="M13" s="102">
        <v>4.41E-2</v>
      </c>
    </row>
    <row r="14" spans="1:67" x14ac:dyDescent="0.25">
      <c r="A14" s="102">
        <v>2017</v>
      </c>
      <c r="B14" s="103">
        <v>-14817368.978785524</v>
      </c>
      <c r="C14" s="103">
        <v>140760</v>
      </c>
      <c r="D14" s="103">
        <v>-640110.3398835347</v>
      </c>
      <c r="E14" s="103">
        <v>-15316719.318669058</v>
      </c>
      <c r="G14" s="103">
        <v>0</v>
      </c>
      <c r="H14" s="103">
        <v>-279572.99959972687</v>
      </c>
      <c r="I14" s="103">
        <v>-279572.99959972687</v>
      </c>
      <c r="J14" s="103">
        <v>14817368.978785524</v>
      </c>
      <c r="K14" s="103">
        <v>15096941.978385251</v>
      </c>
      <c r="L14" s="102">
        <v>2024</v>
      </c>
      <c r="M14" s="102">
        <v>4.41E-2</v>
      </c>
      <c r="P14" s="102">
        <v>2018</v>
      </c>
      <c r="Q14" s="102">
        <v>2019</v>
      </c>
      <c r="R14" s="102">
        <f>Q14+1</f>
        <v>2020</v>
      </c>
      <c r="S14" s="102">
        <f t="shared" ref="S14:BO14" si="0">R14+1</f>
        <v>2021</v>
      </c>
      <c r="T14" s="102">
        <f t="shared" si="0"/>
        <v>2022</v>
      </c>
      <c r="U14" s="102">
        <f t="shared" si="0"/>
        <v>2023</v>
      </c>
      <c r="V14" s="102">
        <f t="shared" si="0"/>
        <v>2024</v>
      </c>
      <c r="W14" s="102">
        <f t="shared" si="0"/>
        <v>2025</v>
      </c>
      <c r="X14" s="102">
        <f t="shared" si="0"/>
        <v>2026</v>
      </c>
      <c r="Y14" s="102">
        <f t="shared" si="0"/>
        <v>2027</v>
      </c>
      <c r="Z14" s="102">
        <f t="shared" si="0"/>
        <v>2028</v>
      </c>
      <c r="AA14" s="102">
        <f t="shared" si="0"/>
        <v>2029</v>
      </c>
      <c r="AB14" s="102">
        <f t="shared" si="0"/>
        <v>2030</v>
      </c>
      <c r="AC14" s="102">
        <f t="shared" si="0"/>
        <v>2031</v>
      </c>
      <c r="AD14" s="102">
        <f t="shared" si="0"/>
        <v>2032</v>
      </c>
      <c r="AE14" s="102">
        <f t="shared" si="0"/>
        <v>2033</v>
      </c>
      <c r="AF14" s="102">
        <f t="shared" si="0"/>
        <v>2034</v>
      </c>
      <c r="AG14" s="102">
        <f t="shared" si="0"/>
        <v>2035</v>
      </c>
      <c r="AH14" s="102">
        <f t="shared" si="0"/>
        <v>2036</v>
      </c>
      <c r="AI14" s="102">
        <f t="shared" si="0"/>
        <v>2037</v>
      </c>
      <c r="AJ14" s="102">
        <f t="shared" si="0"/>
        <v>2038</v>
      </c>
      <c r="AK14" s="102">
        <f t="shared" si="0"/>
        <v>2039</v>
      </c>
      <c r="AL14" s="102">
        <f t="shared" si="0"/>
        <v>2040</v>
      </c>
      <c r="AM14" s="102">
        <f t="shared" si="0"/>
        <v>2041</v>
      </c>
      <c r="AN14" s="102">
        <f t="shared" si="0"/>
        <v>2042</v>
      </c>
      <c r="AO14" s="102">
        <f t="shared" si="0"/>
        <v>2043</v>
      </c>
      <c r="AP14" s="102">
        <f t="shared" si="0"/>
        <v>2044</v>
      </c>
      <c r="AQ14" s="102">
        <f t="shared" si="0"/>
        <v>2045</v>
      </c>
      <c r="AR14" s="102">
        <f t="shared" si="0"/>
        <v>2046</v>
      </c>
      <c r="AS14" s="102">
        <f t="shared" si="0"/>
        <v>2047</v>
      </c>
      <c r="AT14" s="102">
        <f t="shared" si="0"/>
        <v>2048</v>
      </c>
      <c r="AU14" s="102">
        <f t="shared" si="0"/>
        <v>2049</v>
      </c>
      <c r="AV14" s="102">
        <f t="shared" si="0"/>
        <v>2050</v>
      </c>
      <c r="AW14" s="102">
        <f t="shared" si="0"/>
        <v>2051</v>
      </c>
      <c r="AX14" s="102">
        <f t="shared" si="0"/>
        <v>2052</v>
      </c>
      <c r="AY14" s="102">
        <f t="shared" si="0"/>
        <v>2053</v>
      </c>
      <c r="AZ14" s="102">
        <f t="shared" si="0"/>
        <v>2054</v>
      </c>
      <c r="BA14" s="102">
        <f t="shared" si="0"/>
        <v>2055</v>
      </c>
      <c r="BB14" s="102">
        <f t="shared" si="0"/>
        <v>2056</v>
      </c>
      <c r="BC14" s="102">
        <f t="shared" si="0"/>
        <v>2057</v>
      </c>
      <c r="BD14" s="102">
        <f t="shared" si="0"/>
        <v>2058</v>
      </c>
      <c r="BE14" s="102">
        <f t="shared" si="0"/>
        <v>2059</v>
      </c>
      <c r="BF14" s="102">
        <f t="shared" si="0"/>
        <v>2060</v>
      </c>
      <c r="BG14" s="102">
        <f t="shared" si="0"/>
        <v>2061</v>
      </c>
      <c r="BH14" s="102">
        <f t="shared" si="0"/>
        <v>2062</v>
      </c>
      <c r="BI14" s="102">
        <f t="shared" si="0"/>
        <v>2063</v>
      </c>
      <c r="BJ14" s="102">
        <f t="shared" si="0"/>
        <v>2064</v>
      </c>
      <c r="BK14" s="102">
        <f t="shared" si="0"/>
        <v>2065</v>
      </c>
      <c r="BL14" s="102">
        <f t="shared" si="0"/>
        <v>2066</v>
      </c>
      <c r="BM14" s="102">
        <f t="shared" si="0"/>
        <v>2067</v>
      </c>
      <c r="BN14" s="102">
        <f t="shared" si="0"/>
        <v>2068</v>
      </c>
      <c r="BO14" s="102">
        <f t="shared" si="0"/>
        <v>2069</v>
      </c>
    </row>
    <row r="15" spans="1:67" outlineLevel="1" x14ac:dyDescent="0.25">
      <c r="A15" s="102">
        <v>2018</v>
      </c>
      <c r="B15" s="103">
        <v>-15316719.318669058</v>
      </c>
      <c r="C15" s="103">
        <v>837449.1719999999</v>
      </c>
      <c r="D15" s="103">
        <v>-661682.27456650336</v>
      </c>
      <c r="E15" s="103">
        <v>-15140952.421235561</v>
      </c>
      <c r="G15" s="103">
        <v>-279572.99959972687</v>
      </c>
      <c r="H15" s="103">
        <v>-279572.99959972687</v>
      </c>
      <c r="I15" s="103">
        <v>-559145.99919945374</v>
      </c>
      <c r="J15" s="103">
        <v>14817368.978785524</v>
      </c>
      <c r="K15" s="103">
        <v>14258222.97958607</v>
      </c>
      <c r="L15" s="102">
        <v>2027</v>
      </c>
      <c r="M15" s="102">
        <v>4.41E-2</v>
      </c>
      <c r="P15" s="103">
        <v>-661682.27456650336</v>
      </c>
      <c r="Q15" s="103">
        <v>-654089.14459737623</v>
      </c>
      <c r="R15" s="103">
        <v>-643518.97953377489</v>
      </c>
      <c r="S15" s="103">
        <v>-648703.9434982714</v>
      </c>
      <c r="T15" s="103">
        <v>-671332.07249070483</v>
      </c>
      <c r="U15" s="103">
        <v>-637909.06570899801</v>
      </c>
      <c r="V15" s="103">
        <v>-557293.57446538075</v>
      </c>
      <c r="W15" s="103">
        <v>-490986.25234216737</v>
      </c>
      <c r="X15" s="103">
        <v>-508955.13638836914</v>
      </c>
      <c r="Y15" s="103">
        <v>-527635.4417842672</v>
      </c>
      <c r="Z15" s="103">
        <v>-547056.6052433463</v>
      </c>
      <c r="AA15" s="103">
        <v>-567249.30921133771</v>
      </c>
      <c r="AB15" s="103">
        <v>-588245.5351631759</v>
      </c>
      <c r="AC15" s="103">
        <v>-610078.61919201177</v>
      </c>
      <c r="AD15" s="103">
        <v>-632783.30998908903</v>
      </c>
      <c r="AE15" s="103">
        <v>-656395.8293175596</v>
      </c>
      <c r="AF15" s="103">
        <v>-680953.93508775905</v>
      </c>
      <c r="AG15" s="103">
        <v>-706496.98714610469</v>
      </c>
      <c r="AH15" s="103">
        <v>-733066.01589462196</v>
      </c>
      <c r="AI15" s="103">
        <v>-760703.79386315122</v>
      </c>
      <c r="AJ15" s="103">
        <v>-787490.60677986685</v>
      </c>
      <c r="AK15" s="103">
        <v>-692092.33451550046</v>
      </c>
      <c r="AL15" s="103">
        <v>-581809.85377420008</v>
      </c>
      <c r="AM15" s="103">
        <v>-376409.09610959259</v>
      </c>
      <c r="AN15" s="103">
        <v>-371599.07565645844</v>
      </c>
      <c r="AO15" s="103">
        <v>-366159.84445164754</v>
      </c>
      <c r="AP15" s="103">
        <v>-360055.79223332542</v>
      </c>
      <c r="AQ15" s="103">
        <v>-353249.60180919914</v>
      </c>
      <c r="AR15" s="103">
        <v>-345702.17194577842</v>
      </c>
      <c r="AS15" s="103">
        <v>-337372.53685902641</v>
      </c>
      <c r="AT15" s="103">
        <v>-328217.78215823049</v>
      </c>
      <c r="AU15" s="103">
        <v>-318192.95708849805</v>
      </c>
      <c r="AV15" s="103">
        <v>-307250.98291057383</v>
      </c>
      <c r="AW15" s="103">
        <v>-299154.11145593115</v>
      </c>
      <c r="AX15" s="103">
        <v>-290280.05287612032</v>
      </c>
      <c r="AY15" s="103">
        <v>-280586.68464176747</v>
      </c>
      <c r="AZ15" s="103">
        <v>-270029.89356931858</v>
      </c>
      <c r="BA15" s="103">
        <v>-258563.48640556043</v>
      </c>
      <c r="BB15" s="103">
        <v>-246139.09648100892</v>
      </c>
      <c r="BC15" s="103">
        <v>-232706.08626097126</v>
      </c>
      <c r="BD15" s="103">
        <v>-218211.44561566768</v>
      </c>
      <c r="BE15" s="103">
        <v>-202599.68562305142</v>
      </c>
      <c r="BF15" s="103">
        <v>-185812.72770988991</v>
      </c>
      <c r="BG15" s="103">
        <v>-172436.05123716552</v>
      </c>
      <c r="BH15" s="103">
        <v>-158053.4266146236</v>
      </c>
      <c r="BI15" s="103">
        <v>-142612.83536766813</v>
      </c>
      <c r="BJ15" s="103">
        <v>-126059.84059331004</v>
      </c>
      <c r="BK15" s="103">
        <v>-108337.47905945485</v>
      </c>
      <c r="BL15" s="103">
        <v>-89386.148574387393</v>
      </c>
      <c r="BM15" s="103">
        <v>-69143.490420756309</v>
      </c>
      <c r="BN15" s="103">
        <v>-47544.266639447465</v>
      </c>
      <c r="BO15" s="103">
        <v>-24520.231939436373</v>
      </c>
    </row>
    <row r="16" spans="1:67" outlineLevel="1" x14ac:dyDescent="0.25">
      <c r="A16" s="102">
        <v>2019</v>
      </c>
      <c r="B16" s="103">
        <v>-15140952.421235561</v>
      </c>
      <c r="C16" s="103">
        <v>898768.8914399998</v>
      </c>
      <c r="D16" s="103">
        <v>-654089.14459737623</v>
      </c>
      <c r="E16" s="103">
        <v>-14896272.674392937</v>
      </c>
      <c r="G16" s="103">
        <v>-559145.99919945374</v>
      </c>
      <c r="H16" s="103">
        <v>-279572.99959972687</v>
      </c>
      <c r="I16" s="103">
        <v>-838718.99879918061</v>
      </c>
      <c r="J16" s="103">
        <v>14817368.978785524</v>
      </c>
      <c r="K16" s="103">
        <v>13978649.979986344</v>
      </c>
      <c r="L16" s="102">
        <v>2028</v>
      </c>
      <c r="M16" s="102">
        <v>4.41E-2</v>
      </c>
      <c r="O16" s="116">
        <f>SUM(P16:BO16)</f>
        <v>-21432915</v>
      </c>
      <c r="P16" s="116">
        <f>ROUND(P15,0)</f>
        <v>-661682</v>
      </c>
      <c r="Q16" s="116">
        <f t="shared" ref="Q16:BO16" si="1">ROUND(Q15,0)</f>
        <v>-654089</v>
      </c>
      <c r="R16" s="116">
        <f t="shared" si="1"/>
        <v>-643519</v>
      </c>
      <c r="S16" s="116">
        <f t="shared" si="1"/>
        <v>-648704</v>
      </c>
      <c r="T16" s="116">
        <f t="shared" si="1"/>
        <v>-671332</v>
      </c>
      <c r="U16" s="116">
        <f t="shared" si="1"/>
        <v>-637909</v>
      </c>
      <c r="V16" s="116">
        <f t="shared" si="1"/>
        <v>-557294</v>
      </c>
      <c r="W16" s="116">
        <f t="shared" si="1"/>
        <v>-490986</v>
      </c>
      <c r="X16" s="116">
        <f t="shared" si="1"/>
        <v>-508955</v>
      </c>
      <c r="Y16" s="116">
        <f t="shared" si="1"/>
        <v>-527635</v>
      </c>
      <c r="Z16" s="116">
        <f t="shared" si="1"/>
        <v>-547057</v>
      </c>
      <c r="AA16" s="116">
        <f t="shared" si="1"/>
        <v>-567249</v>
      </c>
      <c r="AB16" s="116">
        <f t="shared" si="1"/>
        <v>-588246</v>
      </c>
      <c r="AC16" s="116">
        <f t="shared" si="1"/>
        <v>-610079</v>
      </c>
      <c r="AD16" s="116">
        <f t="shared" si="1"/>
        <v>-632783</v>
      </c>
      <c r="AE16" s="116">
        <f t="shared" si="1"/>
        <v>-656396</v>
      </c>
      <c r="AF16" s="116">
        <f t="shared" si="1"/>
        <v>-680954</v>
      </c>
      <c r="AG16" s="116">
        <f t="shared" si="1"/>
        <v>-706497</v>
      </c>
      <c r="AH16" s="116">
        <f t="shared" si="1"/>
        <v>-733066</v>
      </c>
      <c r="AI16" s="116">
        <f t="shared" si="1"/>
        <v>-760704</v>
      </c>
      <c r="AJ16" s="116">
        <f t="shared" si="1"/>
        <v>-787491</v>
      </c>
      <c r="AK16" s="116">
        <f t="shared" si="1"/>
        <v>-692092</v>
      </c>
      <c r="AL16" s="116">
        <f t="shared" si="1"/>
        <v>-581810</v>
      </c>
      <c r="AM16" s="116">
        <f t="shared" si="1"/>
        <v>-376409</v>
      </c>
      <c r="AN16" s="116">
        <f t="shared" si="1"/>
        <v>-371599</v>
      </c>
      <c r="AO16" s="116">
        <f t="shared" si="1"/>
        <v>-366160</v>
      </c>
      <c r="AP16" s="116">
        <f t="shared" si="1"/>
        <v>-360056</v>
      </c>
      <c r="AQ16" s="116">
        <f t="shared" si="1"/>
        <v>-353250</v>
      </c>
      <c r="AR16" s="116">
        <f t="shared" si="1"/>
        <v>-345702</v>
      </c>
      <c r="AS16" s="116">
        <f t="shared" si="1"/>
        <v>-337373</v>
      </c>
      <c r="AT16" s="116">
        <f t="shared" si="1"/>
        <v>-328218</v>
      </c>
      <c r="AU16" s="116">
        <f t="shared" si="1"/>
        <v>-318193</v>
      </c>
      <c r="AV16" s="116">
        <f t="shared" si="1"/>
        <v>-307251</v>
      </c>
      <c r="AW16" s="116">
        <f t="shared" si="1"/>
        <v>-299154</v>
      </c>
      <c r="AX16" s="116">
        <f t="shared" si="1"/>
        <v>-290280</v>
      </c>
      <c r="AY16" s="116">
        <f t="shared" si="1"/>
        <v>-280587</v>
      </c>
      <c r="AZ16" s="116">
        <f t="shared" si="1"/>
        <v>-270030</v>
      </c>
      <c r="BA16" s="116">
        <f t="shared" si="1"/>
        <v>-258563</v>
      </c>
      <c r="BB16" s="116">
        <f t="shared" si="1"/>
        <v>-246139</v>
      </c>
      <c r="BC16" s="116">
        <f t="shared" si="1"/>
        <v>-232706</v>
      </c>
      <c r="BD16" s="116">
        <f t="shared" si="1"/>
        <v>-218211</v>
      </c>
      <c r="BE16" s="116">
        <f t="shared" si="1"/>
        <v>-202600</v>
      </c>
      <c r="BF16" s="116">
        <f t="shared" si="1"/>
        <v>-185813</v>
      </c>
      <c r="BG16" s="116">
        <f t="shared" si="1"/>
        <v>-172436</v>
      </c>
      <c r="BH16" s="116">
        <f t="shared" si="1"/>
        <v>-158053</v>
      </c>
      <c r="BI16" s="116">
        <f t="shared" si="1"/>
        <v>-142613</v>
      </c>
      <c r="BJ16" s="116">
        <f t="shared" si="1"/>
        <v>-126060</v>
      </c>
      <c r="BK16" s="116">
        <f t="shared" si="1"/>
        <v>-108337</v>
      </c>
      <c r="BL16" s="116">
        <f t="shared" si="1"/>
        <v>-89386</v>
      </c>
      <c r="BM16" s="116">
        <f t="shared" si="1"/>
        <v>-69143</v>
      </c>
      <c r="BN16" s="116">
        <f t="shared" si="1"/>
        <v>-47544</v>
      </c>
      <c r="BO16" s="116">
        <f t="shared" si="1"/>
        <v>-24520</v>
      </c>
    </row>
    <row r="17" spans="1:13" outlineLevel="1" x14ac:dyDescent="0.25">
      <c r="A17" s="102">
        <v>2020</v>
      </c>
      <c r="B17" s="103">
        <v>-14896272.674392937</v>
      </c>
      <c r="C17" s="103">
        <v>523496.66554079996</v>
      </c>
      <c r="D17" s="103">
        <v>-643518.97953377489</v>
      </c>
      <c r="E17" s="103">
        <v>-15016294.988385912</v>
      </c>
      <c r="G17" s="103">
        <v>-838718.99879918061</v>
      </c>
      <c r="H17" s="103">
        <v>-279572.99959972687</v>
      </c>
      <c r="I17" s="103">
        <v>-1118291.9983989075</v>
      </c>
      <c r="J17" s="103">
        <v>14817368.978785524</v>
      </c>
      <c r="K17" s="103">
        <v>13699076.980386617</v>
      </c>
      <c r="L17" s="102">
        <v>2034</v>
      </c>
      <c r="M17" s="102">
        <v>4.41E-2</v>
      </c>
    </row>
    <row r="18" spans="1:13" x14ac:dyDescent="0.25">
      <c r="A18" s="102">
        <v>2021</v>
      </c>
      <c r="B18" s="103">
        <v>-15016294.988385912</v>
      </c>
      <c r="C18" s="103">
        <v>124904.66126601602</v>
      </c>
      <c r="D18" s="103">
        <v>-648703.9434982714</v>
      </c>
      <c r="E18" s="103">
        <v>-15540094.270618167</v>
      </c>
      <c r="G18" s="103">
        <v>-1118291.9983989075</v>
      </c>
      <c r="H18" s="103">
        <v>-279572.99959972687</v>
      </c>
      <c r="I18" s="103">
        <v>-1397864.9979986344</v>
      </c>
      <c r="J18" s="103">
        <v>14817368.978785524</v>
      </c>
      <c r="K18" s="103">
        <v>13419503.98078689</v>
      </c>
      <c r="L18" s="102">
        <v>2035</v>
      </c>
      <c r="M18" s="102">
        <v>4.41E-2</v>
      </c>
    </row>
    <row r="19" spans="1:13" x14ac:dyDescent="0.25">
      <c r="A19" s="102">
        <v>2022</v>
      </c>
      <c r="B19" s="103">
        <v>-15540094.270618167</v>
      </c>
      <c r="C19" s="103">
        <v>1445012.7850302164</v>
      </c>
      <c r="D19" s="103">
        <v>-671332.07249070483</v>
      </c>
      <c r="E19" s="103">
        <v>-14766413.558078656</v>
      </c>
      <c r="G19" s="103">
        <v>-1397864.9979986344</v>
      </c>
      <c r="H19" s="103">
        <v>-279572.99959972687</v>
      </c>
      <c r="I19" s="103">
        <v>-1677437.9975983612</v>
      </c>
      <c r="J19" s="103">
        <v>14817368.978785524</v>
      </c>
      <c r="K19" s="103">
        <v>13139930.981187163</v>
      </c>
      <c r="L19" s="102">
        <v>2038</v>
      </c>
      <c r="M19" s="102">
        <v>4.41E-2</v>
      </c>
    </row>
    <row r="20" spans="1:13" x14ac:dyDescent="0.25">
      <c r="A20" s="102">
        <v>2023</v>
      </c>
      <c r="B20" s="103">
        <v>-14766413.558078656</v>
      </c>
      <c r="C20" s="103">
        <v>2504008.4000519891</v>
      </c>
      <c r="D20" s="103">
        <v>-637909.06570899801</v>
      </c>
      <c r="E20" s="103">
        <v>-12900314.223735666</v>
      </c>
      <c r="G20" s="103">
        <v>-1677437.9975983612</v>
      </c>
      <c r="H20" s="103">
        <v>-279572.99959972687</v>
      </c>
      <c r="I20" s="103">
        <v>-1957010.9971980881</v>
      </c>
      <c r="J20" s="103">
        <v>14817368.978785524</v>
      </c>
      <c r="K20" s="103">
        <v>12860357.981587436</v>
      </c>
      <c r="L20" s="102">
        <v>2039</v>
      </c>
      <c r="M20" s="102">
        <v>4.41E-2</v>
      </c>
    </row>
    <row r="21" spans="1:13" x14ac:dyDescent="0.25">
      <c r="A21" s="102">
        <v>2024</v>
      </c>
      <c r="B21" s="103">
        <v>-12900314.223735666</v>
      </c>
      <c r="C21" s="103">
        <v>2092185.2902805058</v>
      </c>
      <c r="D21" s="103">
        <v>-557293.57446538075</v>
      </c>
      <c r="E21" s="103">
        <v>-11365422.507920541</v>
      </c>
      <c r="G21" s="103">
        <v>-1957010.9971980881</v>
      </c>
      <c r="H21" s="103">
        <v>-279572.99959972687</v>
      </c>
      <c r="I21" s="103">
        <v>-2236583.996797815</v>
      </c>
      <c r="J21" s="103">
        <v>14817368.978785524</v>
      </c>
      <c r="K21" s="103">
        <v>12580784.981987709</v>
      </c>
      <c r="L21" s="102">
        <v>2040</v>
      </c>
      <c r="M21" s="102">
        <v>4.41E-2</v>
      </c>
    </row>
    <row r="22" spans="1:13" x14ac:dyDescent="0.25">
      <c r="A22" s="102">
        <v>2025</v>
      </c>
      <c r="B22" s="103">
        <v>-11365422.507920541</v>
      </c>
      <c r="C22" s="103">
        <v>75039.862383794913</v>
      </c>
      <c r="D22" s="103">
        <v>-490986.25234216737</v>
      </c>
      <c r="E22" s="103">
        <v>-11781368.897878915</v>
      </c>
      <c r="G22" s="103">
        <v>-2236583.996797815</v>
      </c>
      <c r="H22" s="103">
        <v>-279572.99959972687</v>
      </c>
      <c r="I22" s="103">
        <v>-2516156.9963975418</v>
      </c>
      <c r="J22" s="103">
        <v>14817368.978785524</v>
      </c>
      <c r="K22" s="103">
        <v>12301211.982387982</v>
      </c>
      <c r="L22" s="102">
        <v>2041</v>
      </c>
      <c r="M22" s="102">
        <v>4.41E-2</v>
      </c>
    </row>
    <row r="23" spans="1:13" x14ac:dyDescent="0.25">
      <c r="A23" s="102">
        <v>2026</v>
      </c>
      <c r="B23" s="103">
        <v>-11781368.897878915</v>
      </c>
      <c r="C23" s="103">
        <v>76540.6596314708</v>
      </c>
      <c r="D23" s="103">
        <v>-508955.13638836914</v>
      </c>
      <c r="E23" s="103">
        <v>-12213783.374635814</v>
      </c>
      <c r="G23" s="103">
        <v>-2516156.9963975418</v>
      </c>
      <c r="H23" s="103">
        <v>-279572.99959972687</v>
      </c>
      <c r="I23" s="103">
        <v>-2795729.9959972687</v>
      </c>
      <c r="J23" s="103">
        <v>14817368.978785524</v>
      </c>
      <c r="K23" s="103">
        <v>12021638.982788255</v>
      </c>
      <c r="L23" s="102">
        <v>2042</v>
      </c>
      <c r="M23" s="102">
        <v>4.41E-2</v>
      </c>
    </row>
    <row r="24" spans="1:13" x14ac:dyDescent="0.25">
      <c r="A24" s="102">
        <v>2027</v>
      </c>
      <c r="B24" s="103">
        <v>-12213783.374635814</v>
      </c>
      <c r="C24" s="103">
        <v>78071.47282410023</v>
      </c>
      <c r="D24" s="103">
        <v>-527635.4417842672</v>
      </c>
      <c r="E24" s="103">
        <v>-12663347.34359598</v>
      </c>
      <c r="G24" s="103">
        <v>-2795729.9959972687</v>
      </c>
      <c r="H24" s="103">
        <v>-279572.99959972687</v>
      </c>
      <c r="I24" s="103">
        <v>-3075302.9955969956</v>
      </c>
      <c r="J24" s="103">
        <v>14817368.978785524</v>
      </c>
      <c r="K24" s="103">
        <v>11742065.983188529</v>
      </c>
      <c r="L24" s="102">
        <v>2043</v>
      </c>
      <c r="M24" s="102">
        <v>4.41E-2</v>
      </c>
    </row>
    <row r="25" spans="1:13" x14ac:dyDescent="0.25">
      <c r="A25" s="102">
        <v>2028</v>
      </c>
      <c r="B25" s="103">
        <v>-12663347.34359598</v>
      </c>
      <c r="C25" s="103">
        <v>79632.902280582231</v>
      </c>
      <c r="D25" s="103">
        <v>-547056.6052433463</v>
      </c>
      <c r="E25" s="103">
        <v>-13130771.046558743</v>
      </c>
      <c r="G25" s="103">
        <v>-3075302.9955969956</v>
      </c>
      <c r="H25" s="103">
        <v>-279572.99959972687</v>
      </c>
      <c r="I25" s="103">
        <v>-3354875.9951967224</v>
      </c>
      <c r="J25" s="103">
        <v>14817368.978785524</v>
      </c>
      <c r="K25" s="103">
        <v>11462492.983588802</v>
      </c>
      <c r="L25" s="102" t="s">
        <v>123</v>
      </c>
      <c r="M25" s="102">
        <v>4.41E-2</v>
      </c>
    </row>
    <row r="26" spans="1:13" x14ac:dyDescent="0.25">
      <c r="A26" s="102">
        <v>2029</v>
      </c>
      <c r="B26" s="103">
        <v>-13130771.046558743</v>
      </c>
      <c r="C26" s="103">
        <v>81225.560326193867</v>
      </c>
      <c r="D26" s="103">
        <v>-567249.30921133771</v>
      </c>
      <c r="E26" s="103">
        <v>-13616794.795443887</v>
      </c>
      <c r="G26" s="103">
        <v>-3354875.9951967224</v>
      </c>
      <c r="H26" s="103">
        <v>-279572.99959972687</v>
      </c>
      <c r="I26" s="103">
        <v>-3634448.9947964493</v>
      </c>
      <c r="J26" s="103">
        <v>14817368.978785524</v>
      </c>
      <c r="K26" s="103">
        <v>11182919.983989075</v>
      </c>
    </row>
    <row r="27" spans="1:13" x14ac:dyDescent="0.25">
      <c r="A27" s="102">
        <v>2030</v>
      </c>
      <c r="B27" s="103">
        <v>-13616794.795443887</v>
      </c>
      <c r="C27" s="103">
        <v>82850.071532717746</v>
      </c>
      <c r="D27" s="103">
        <v>-588245.5351631759</v>
      </c>
      <c r="E27" s="103">
        <v>-14122190.259074345</v>
      </c>
      <c r="G27" s="103">
        <v>-3634448.9947964493</v>
      </c>
      <c r="H27" s="103">
        <v>-279572.99959972687</v>
      </c>
      <c r="I27" s="103">
        <v>-3914021.9943961762</v>
      </c>
      <c r="J27" s="103">
        <v>14817368.978785524</v>
      </c>
      <c r="K27" s="103">
        <v>10903346.984389348</v>
      </c>
    </row>
    <row r="28" spans="1:13" x14ac:dyDescent="0.25">
      <c r="A28" s="102">
        <v>2031</v>
      </c>
      <c r="B28" s="103">
        <v>-14122190.259074345</v>
      </c>
      <c r="C28" s="103">
        <v>84507.07296337212</v>
      </c>
      <c r="D28" s="103">
        <v>-610078.61919201177</v>
      </c>
      <c r="E28" s="103">
        <v>-14647761.805302985</v>
      </c>
      <c r="G28" s="103">
        <v>-3914021.9943961762</v>
      </c>
      <c r="H28" s="103">
        <v>-279572.99959972687</v>
      </c>
      <c r="I28" s="103">
        <v>-4193594.9939959031</v>
      </c>
      <c r="J28" s="103">
        <v>14817368.978785524</v>
      </c>
      <c r="K28" s="103">
        <v>10623773.984789621</v>
      </c>
    </row>
    <row r="29" spans="1:13" x14ac:dyDescent="0.25">
      <c r="A29" s="102">
        <v>2032</v>
      </c>
      <c r="B29" s="103">
        <v>-14647761.805302985</v>
      </c>
      <c r="C29" s="103">
        <v>86197.214422639561</v>
      </c>
      <c r="D29" s="103">
        <v>-632783.30998908903</v>
      </c>
      <c r="E29" s="103">
        <v>-15194347.900869435</v>
      </c>
      <c r="G29" s="103">
        <v>-4193594.9939959031</v>
      </c>
      <c r="H29" s="103">
        <v>-279572.99959972687</v>
      </c>
      <c r="I29" s="103">
        <v>-4473167.9935956299</v>
      </c>
      <c r="J29" s="103">
        <v>14817368.978785524</v>
      </c>
      <c r="K29" s="103">
        <v>10344200.985189894</v>
      </c>
    </row>
    <row r="30" spans="1:13" x14ac:dyDescent="0.25">
      <c r="A30" s="102">
        <v>2033</v>
      </c>
      <c r="B30" s="103">
        <v>-15194347.900869435</v>
      </c>
      <c r="C30" s="103">
        <v>87921.158711092357</v>
      </c>
      <c r="D30" s="103">
        <v>-656395.8293175596</v>
      </c>
      <c r="E30" s="103">
        <v>-15762822.571475903</v>
      </c>
      <c r="G30" s="103">
        <v>-4473167.9935956299</v>
      </c>
      <c r="H30" s="103">
        <v>-279572.99959972687</v>
      </c>
      <c r="I30" s="103">
        <v>-4752740.9931953568</v>
      </c>
      <c r="J30" s="103">
        <v>14817368.978785524</v>
      </c>
      <c r="K30" s="103">
        <v>10064627.985590167</v>
      </c>
    </row>
    <row r="31" spans="1:13" x14ac:dyDescent="0.25">
      <c r="A31" s="102">
        <v>2034</v>
      </c>
      <c r="B31" s="103">
        <v>-15762822.571475903</v>
      </c>
      <c r="C31" s="103">
        <v>89679.581885314212</v>
      </c>
      <c r="D31" s="103">
        <v>-680953.93508775905</v>
      </c>
      <c r="E31" s="103">
        <v>-16354096.924678348</v>
      </c>
      <c r="G31" s="103">
        <v>-4752740.9931953568</v>
      </c>
      <c r="H31" s="103">
        <v>-279572.99959972687</v>
      </c>
      <c r="I31" s="103">
        <v>-5032313.9927950837</v>
      </c>
      <c r="J31" s="103">
        <v>14817368.978785524</v>
      </c>
      <c r="K31" s="103">
        <v>9785054.9859904405</v>
      </c>
    </row>
    <row r="32" spans="1:13" x14ac:dyDescent="0.25">
      <c r="A32" s="102">
        <v>2035</v>
      </c>
      <c r="B32" s="103">
        <v>-16354096.924678348</v>
      </c>
      <c r="C32" s="103">
        <v>91473.173523020479</v>
      </c>
      <c r="D32" s="103">
        <v>-706496.98714610469</v>
      </c>
      <c r="E32" s="103">
        <v>-16969120.738301434</v>
      </c>
      <c r="G32" s="103">
        <v>-5032313.9927950837</v>
      </c>
      <c r="H32" s="103">
        <v>-279572.99959972687</v>
      </c>
      <c r="I32" s="103">
        <v>-5311886.9923948105</v>
      </c>
      <c r="J32" s="103">
        <v>14817368.978785524</v>
      </c>
      <c r="K32" s="103">
        <v>9505481.9863907136</v>
      </c>
    </row>
    <row r="33" spans="1:11" x14ac:dyDescent="0.25">
      <c r="A33" s="102">
        <v>2036</v>
      </c>
      <c r="B33" s="103">
        <v>-16969120.738301434</v>
      </c>
      <c r="C33" s="103">
        <v>93302.63699348089</v>
      </c>
      <c r="D33" s="103">
        <v>-733066.01589462196</v>
      </c>
      <c r="E33" s="103">
        <v>-17608884.117202573</v>
      </c>
      <c r="G33" s="103">
        <v>-5311886.9923948105</v>
      </c>
      <c r="H33" s="103">
        <v>-279572.99959972687</v>
      </c>
      <c r="I33" s="103">
        <v>-5591459.9919945374</v>
      </c>
      <c r="J33" s="103">
        <v>14817368.978785524</v>
      </c>
      <c r="K33" s="103">
        <v>9225908.9867909867</v>
      </c>
    </row>
    <row r="34" spans="1:11" x14ac:dyDescent="0.25">
      <c r="A34" s="102">
        <v>2037</v>
      </c>
      <c r="B34" s="103">
        <v>-17608884.117202573</v>
      </c>
      <c r="C34" s="103">
        <v>140638.68005028821</v>
      </c>
      <c r="D34" s="103">
        <v>-760703.79386315122</v>
      </c>
      <c r="E34" s="103">
        <v>-18228949.231015436</v>
      </c>
      <c r="G34" s="103">
        <v>-5591459.9919945374</v>
      </c>
      <c r="H34" s="103">
        <v>-279572.99959972687</v>
      </c>
      <c r="I34" s="103">
        <v>-5871032.9915942643</v>
      </c>
      <c r="J34" s="103">
        <v>14817368.978785524</v>
      </c>
      <c r="K34" s="103">
        <v>8946335.9871912599</v>
      </c>
    </row>
    <row r="35" spans="1:11" x14ac:dyDescent="0.25">
      <c r="A35" s="102">
        <v>2038</v>
      </c>
      <c r="B35" s="103">
        <v>-18228949.231015436</v>
      </c>
      <c r="C35" s="103">
        <v>2995783.9462327934</v>
      </c>
      <c r="D35" s="103">
        <v>-787490.60677986685</v>
      </c>
      <c r="E35" s="103">
        <v>-16020655.89156251</v>
      </c>
      <c r="G35" s="103">
        <v>-5871032.9915942643</v>
      </c>
      <c r="H35" s="103">
        <v>-279572.99959972687</v>
      </c>
      <c r="I35" s="103">
        <v>-6150605.9911939912</v>
      </c>
      <c r="J35" s="103">
        <v>14817368.978785524</v>
      </c>
      <c r="K35" s="103">
        <v>8666762.987591533</v>
      </c>
    </row>
    <row r="36" spans="1:11" x14ac:dyDescent="0.25">
      <c r="A36" s="102">
        <v>2039</v>
      </c>
      <c r="B36" s="103">
        <v>-16020655.89156251</v>
      </c>
      <c r="C36" s="103">
        <v>3244927.5368604176</v>
      </c>
      <c r="D36" s="103">
        <v>-692092.33451550046</v>
      </c>
      <c r="E36" s="103">
        <v>-13467820.689217594</v>
      </c>
      <c r="G36" s="103">
        <v>-6150605.9911939912</v>
      </c>
      <c r="H36" s="103">
        <v>-279572.99959972687</v>
      </c>
      <c r="I36" s="103">
        <v>-6430178.990793718</v>
      </c>
      <c r="J36" s="103">
        <v>14817368.978785524</v>
      </c>
      <c r="K36" s="103">
        <v>8387189.9879918061</v>
      </c>
    </row>
    <row r="37" spans="1:11" x14ac:dyDescent="0.25">
      <c r="A37" s="102">
        <v>2040</v>
      </c>
      <c r="B37" s="103">
        <v>-13467820.689217594</v>
      </c>
      <c r="C37" s="103">
        <v>5336457.0219364101</v>
      </c>
      <c r="D37" s="103">
        <v>-581809.85377420008</v>
      </c>
      <c r="E37" s="103">
        <v>-8713173.5210553836</v>
      </c>
      <c r="G37" s="103">
        <v>-6430178.990793718</v>
      </c>
      <c r="H37" s="103">
        <v>-279572.99959972687</v>
      </c>
      <c r="I37" s="103">
        <v>-6709751.9903934449</v>
      </c>
      <c r="J37" s="103">
        <v>14817368.978785524</v>
      </c>
      <c r="K37" s="103">
        <v>8107616.9883920792</v>
      </c>
    </row>
    <row r="38" spans="1:11" x14ac:dyDescent="0.25">
      <c r="A38" s="102">
        <v>2041</v>
      </c>
      <c r="B38" s="103">
        <v>-8713173.5210553836</v>
      </c>
      <c r="C38" s="103">
        <v>487752.1621543644</v>
      </c>
      <c r="D38" s="103">
        <v>-376409.09610959259</v>
      </c>
      <c r="E38" s="103">
        <v>-8601830.4550106116</v>
      </c>
      <c r="G38" s="103">
        <v>-6709751.9903934449</v>
      </c>
      <c r="H38" s="103">
        <v>-279572.99959972687</v>
      </c>
      <c r="I38" s="103">
        <v>-6989324.9899931718</v>
      </c>
      <c r="J38" s="103">
        <v>14817368.978785524</v>
      </c>
      <c r="K38" s="103">
        <v>7828043.9887923524</v>
      </c>
    </row>
    <row r="39" spans="1:11" x14ac:dyDescent="0.25">
      <c r="A39" s="102">
        <v>2042</v>
      </c>
      <c r="B39" s="103">
        <v>-8601830.4550106116</v>
      </c>
      <c r="C39" s="103">
        <v>497507.20539745165</v>
      </c>
      <c r="D39" s="103">
        <v>-371599.07565645844</v>
      </c>
      <c r="E39" s="103">
        <v>-8475922.325269619</v>
      </c>
      <c r="G39" s="103">
        <v>-6989324.9899931718</v>
      </c>
      <c r="H39" s="103">
        <v>-279572.99959972687</v>
      </c>
      <c r="I39" s="103">
        <v>-7268897.9895928986</v>
      </c>
      <c r="J39" s="103">
        <v>14817368.978785524</v>
      </c>
      <c r="K39" s="103">
        <v>7548470.9891926255</v>
      </c>
    </row>
    <row r="40" spans="1:11" x14ac:dyDescent="0.25">
      <c r="A40" s="102">
        <v>2043</v>
      </c>
      <c r="B40" s="103">
        <v>-8475922.325269619</v>
      </c>
      <c r="C40" s="103">
        <v>507457.34950540075</v>
      </c>
      <c r="D40" s="103">
        <v>-366159.84445164754</v>
      </c>
      <c r="E40" s="103">
        <v>-8334624.820215866</v>
      </c>
      <c r="G40" s="103">
        <v>-7268897.9895928986</v>
      </c>
      <c r="H40" s="103">
        <v>-279572.99959972687</v>
      </c>
      <c r="I40" s="103">
        <v>-7548470.9891926255</v>
      </c>
      <c r="J40" s="103">
        <v>14817368.978785524</v>
      </c>
      <c r="K40" s="103">
        <v>7268897.9895928986</v>
      </c>
    </row>
    <row r="41" spans="1:11" x14ac:dyDescent="0.25">
      <c r="A41" s="102">
        <v>2044</v>
      </c>
      <c r="B41" s="103">
        <v>-8334624.820215866</v>
      </c>
      <c r="C41" s="103">
        <v>517606.49649550882</v>
      </c>
      <c r="D41" s="103">
        <v>-360055.79223332542</v>
      </c>
      <c r="E41" s="103">
        <v>-8177074.1159536829</v>
      </c>
      <c r="G41" s="103">
        <v>-7548470.9891926255</v>
      </c>
      <c r="H41" s="103">
        <v>-279572.99959972687</v>
      </c>
      <c r="I41" s="103">
        <v>-7828043.9887923524</v>
      </c>
      <c r="J41" s="103">
        <v>14817368.978785524</v>
      </c>
      <c r="K41" s="103">
        <v>6989324.9899931718</v>
      </c>
    </row>
    <row r="42" spans="1:11" x14ac:dyDescent="0.25">
      <c r="A42" s="102">
        <v>2045</v>
      </c>
      <c r="B42" s="103">
        <v>-8177074.1159536829</v>
      </c>
      <c r="C42" s="103">
        <v>527958.626425419</v>
      </c>
      <c r="D42" s="103">
        <v>-353249.60180919914</v>
      </c>
      <c r="E42" s="103">
        <v>-8002365.0913374629</v>
      </c>
      <c r="G42" s="103">
        <v>-7828043.9887923524</v>
      </c>
      <c r="H42" s="103">
        <v>-279572.99959972687</v>
      </c>
      <c r="I42" s="103">
        <v>-8107616.9883920792</v>
      </c>
      <c r="J42" s="103">
        <v>14817368.978785524</v>
      </c>
      <c r="K42" s="103">
        <v>6709751.9903934449</v>
      </c>
    </row>
    <row r="43" spans="1:11" x14ac:dyDescent="0.25">
      <c r="A43" s="102">
        <v>2046</v>
      </c>
      <c r="B43" s="103">
        <v>-8002365.0913374629</v>
      </c>
      <c r="C43" s="103">
        <v>538517.79895392735</v>
      </c>
      <c r="D43" s="103">
        <v>-345702.17194577842</v>
      </c>
      <c r="E43" s="103">
        <v>-7809549.4643293144</v>
      </c>
      <c r="G43" s="103">
        <v>-8107616.9883920792</v>
      </c>
      <c r="H43" s="103">
        <v>-279572.99959972687</v>
      </c>
      <c r="I43" s="103">
        <v>-8387189.9879918061</v>
      </c>
      <c r="J43" s="103">
        <v>14817368.978785524</v>
      </c>
      <c r="K43" s="103">
        <v>6430178.990793718</v>
      </c>
    </row>
    <row r="44" spans="1:11" x14ac:dyDescent="0.25">
      <c r="A44" s="102">
        <v>2047</v>
      </c>
      <c r="B44" s="103">
        <v>-7809549.4643293144</v>
      </c>
      <c r="C44" s="103">
        <v>549288.15493300592</v>
      </c>
      <c r="D44" s="103">
        <v>-337372.53685902641</v>
      </c>
      <c r="E44" s="103">
        <v>-7597633.846255335</v>
      </c>
      <c r="G44" s="103">
        <v>-8387189.9879918061</v>
      </c>
      <c r="H44" s="103">
        <v>-279572.99959972687</v>
      </c>
      <c r="I44" s="103">
        <v>-8666762.987591533</v>
      </c>
      <c r="J44" s="103">
        <v>14817368.978785524</v>
      </c>
      <c r="K44" s="103">
        <v>6150605.9911939912</v>
      </c>
    </row>
    <row r="45" spans="1:11" x14ac:dyDescent="0.25">
      <c r="A45" s="102">
        <v>2048</v>
      </c>
      <c r="B45" s="103">
        <v>-7597633.846255335</v>
      </c>
      <c r="C45" s="103">
        <v>560273.91803166608</v>
      </c>
      <c r="D45" s="103">
        <v>-328217.78215823049</v>
      </c>
      <c r="E45" s="103">
        <v>-7365577.710381899</v>
      </c>
      <c r="G45" s="103">
        <v>-8666762.987591533</v>
      </c>
      <c r="H45" s="103">
        <v>-279572.99959972687</v>
      </c>
      <c r="I45" s="103">
        <v>-8946335.9871912599</v>
      </c>
      <c r="J45" s="103">
        <v>14817368.978785524</v>
      </c>
      <c r="K45" s="103">
        <v>5871032.9915942643</v>
      </c>
    </row>
    <row r="46" spans="1:11" x14ac:dyDescent="0.25">
      <c r="A46" s="102">
        <v>2049</v>
      </c>
      <c r="B46" s="103">
        <v>-7365577.710381899</v>
      </c>
      <c r="C46" s="103">
        <v>571479.39639229944</v>
      </c>
      <c r="D46" s="103">
        <v>-318192.95708849805</v>
      </c>
      <c r="E46" s="103">
        <v>-7112291.2710780976</v>
      </c>
      <c r="G46" s="103">
        <v>-8946335.9871912599</v>
      </c>
      <c r="H46" s="103">
        <v>-279572.99959972687</v>
      </c>
      <c r="I46" s="103">
        <v>-9225908.9867909867</v>
      </c>
      <c r="J46" s="103">
        <v>14817368.978785524</v>
      </c>
      <c r="K46" s="103">
        <v>5591459.9919945374</v>
      </c>
    </row>
    <row r="47" spans="1:11" x14ac:dyDescent="0.25">
      <c r="A47" s="102">
        <v>2050</v>
      </c>
      <c r="B47" s="103">
        <v>-7112291.2710780976</v>
      </c>
      <c r="C47" s="103">
        <v>494678.56287915469</v>
      </c>
      <c r="D47" s="103">
        <v>-307250.98291057383</v>
      </c>
      <c r="E47" s="103">
        <v>-6924863.6911095167</v>
      </c>
      <c r="G47" s="103">
        <v>-9225908.9867909867</v>
      </c>
      <c r="H47" s="103">
        <v>-279572.99959972687</v>
      </c>
      <c r="I47" s="103">
        <v>-9505481.9863907136</v>
      </c>
      <c r="J47" s="103">
        <v>14817368.978785524</v>
      </c>
      <c r="K47" s="103">
        <v>5311886.9923948105</v>
      </c>
    </row>
    <row r="48" spans="1:11" x14ac:dyDescent="0.25">
      <c r="A48" s="102">
        <v>2051</v>
      </c>
      <c r="B48" s="103">
        <v>-6924863.6911095167</v>
      </c>
      <c r="C48" s="103">
        <v>504572.13413673773</v>
      </c>
      <c r="D48" s="103">
        <v>-299154.11145593115</v>
      </c>
      <c r="E48" s="103">
        <v>-6719445.6684287107</v>
      </c>
      <c r="G48" s="103">
        <v>-9505481.9863907136</v>
      </c>
      <c r="H48" s="103">
        <v>-279572.99959972687</v>
      </c>
      <c r="I48" s="103">
        <v>-9785054.9859904405</v>
      </c>
      <c r="J48" s="103">
        <v>14817368.978785524</v>
      </c>
      <c r="K48" s="103">
        <v>5032313.9927950837</v>
      </c>
    </row>
    <row r="49" spans="1:11" x14ac:dyDescent="0.25">
      <c r="A49" s="102">
        <v>2052</v>
      </c>
      <c r="B49" s="103">
        <v>-6719445.6684287107</v>
      </c>
      <c r="C49" s="103">
        <v>514663.57681947248</v>
      </c>
      <c r="D49" s="103">
        <v>-290280.05287612032</v>
      </c>
      <c r="E49" s="103">
        <v>-6495062.1444853581</v>
      </c>
      <c r="G49" s="103">
        <v>-9785054.9859904405</v>
      </c>
      <c r="H49" s="103">
        <v>-279572.99959972687</v>
      </c>
      <c r="I49" s="103">
        <v>-10064627.985590167</v>
      </c>
      <c r="J49" s="103">
        <v>14817368.978785524</v>
      </c>
      <c r="K49" s="103">
        <v>4752740.9931953568</v>
      </c>
    </row>
    <row r="50" spans="1:11" x14ac:dyDescent="0.25">
      <c r="A50" s="102">
        <v>2053</v>
      </c>
      <c r="B50" s="103">
        <v>-6495062.1444853581</v>
      </c>
      <c r="C50" s="103">
        <v>524956.84835586196</v>
      </c>
      <c r="D50" s="103">
        <v>-280586.68464176747</v>
      </c>
      <c r="E50" s="103">
        <v>-6250691.9807712631</v>
      </c>
      <c r="G50" s="103">
        <v>-10064627.985590167</v>
      </c>
      <c r="H50" s="103">
        <v>-279572.99959972687</v>
      </c>
      <c r="I50" s="103">
        <v>-10344200.985189894</v>
      </c>
      <c r="J50" s="103">
        <v>14817368.978785524</v>
      </c>
      <c r="K50" s="103">
        <v>4473167.9935956299</v>
      </c>
    </row>
    <row r="51" spans="1:11" x14ac:dyDescent="0.25">
      <c r="A51" s="102">
        <v>2054</v>
      </c>
      <c r="B51" s="103">
        <v>-6250691.9807712631</v>
      </c>
      <c r="C51" s="103">
        <v>535455.98532297916</v>
      </c>
      <c r="D51" s="103">
        <v>-270029.89356931858</v>
      </c>
      <c r="E51" s="103">
        <v>-5985265.8890176024</v>
      </c>
      <c r="G51" s="103">
        <v>-10344200.985189894</v>
      </c>
      <c r="H51" s="103">
        <v>-279572.99959972687</v>
      </c>
      <c r="I51" s="103">
        <v>-10623773.984789621</v>
      </c>
      <c r="J51" s="103">
        <v>14817368.978785524</v>
      </c>
      <c r="K51" s="103">
        <v>4193594.9939959031</v>
      </c>
    </row>
    <row r="52" spans="1:11" x14ac:dyDescent="0.25">
      <c r="A52" s="102">
        <v>2055</v>
      </c>
      <c r="B52" s="103">
        <v>-5985265.8890176024</v>
      </c>
      <c r="C52" s="103">
        <v>546165.10502943886</v>
      </c>
      <c r="D52" s="103">
        <v>-258563.48640556043</v>
      </c>
      <c r="E52" s="103">
        <v>-5697664.2703937246</v>
      </c>
      <c r="G52" s="103">
        <v>-10623773.984789621</v>
      </c>
      <c r="H52" s="103">
        <v>-279572.99959972687</v>
      </c>
      <c r="I52" s="103">
        <v>-10903346.984389348</v>
      </c>
      <c r="J52" s="103">
        <v>14817368.978785524</v>
      </c>
      <c r="K52" s="103">
        <v>3914021.9943961762</v>
      </c>
    </row>
    <row r="53" spans="1:11" x14ac:dyDescent="0.25">
      <c r="A53" s="102">
        <v>2056</v>
      </c>
      <c r="B53" s="103">
        <v>-5697664.2703937246</v>
      </c>
      <c r="C53" s="103">
        <v>557088.40713002766</v>
      </c>
      <c r="D53" s="103">
        <v>-246139.09648100892</v>
      </c>
      <c r="E53" s="103">
        <v>-5386714.9597447049</v>
      </c>
      <c r="G53" s="103">
        <v>-10903346.984389348</v>
      </c>
      <c r="H53" s="103">
        <v>-279572.99959972687</v>
      </c>
      <c r="I53" s="103">
        <v>-11182919.983989075</v>
      </c>
      <c r="J53" s="103">
        <v>14817368.978785524</v>
      </c>
      <c r="K53" s="103">
        <v>3634448.9947964493</v>
      </c>
    </row>
    <row r="54" spans="1:11" x14ac:dyDescent="0.25">
      <c r="A54" s="102">
        <v>2057</v>
      </c>
      <c r="B54" s="103">
        <v>-5386714.9597447049</v>
      </c>
      <c r="C54" s="103">
        <v>568230.1752726282</v>
      </c>
      <c r="D54" s="103">
        <v>-232706.08626097126</v>
      </c>
      <c r="E54" s="103">
        <v>-5051190.8707330478</v>
      </c>
      <c r="G54" s="103">
        <v>-11182919.983989075</v>
      </c>
      <c r="H54" s="103">
        <v>-279572.99959972687</v>
      </c>
      <c r="I54" s="103">
        <v>-11462492.983588802</v>
      </c>
      <c r="J54" s="103">
        <v>14817368.978785524</v>
      </c>
      <c r="K54" s="103">
        <v>3354875.9951967224</v>
      </c>
    </row>
    <row r="55" spans="1:11" x14ac:dyDescent="0.25">
      <c r="A55" s="102">
        <v>2058</v>
      </c>
      <c r="B55" s="103">
        <v>-5051190.8707330478</v>
      </c>
      <c r="C55" s="103">
        <v>579594.77877808071</v>
      </c>
      <c r="D55" s="103">
        <v>-218211.44561566768</v>
      </c>
      <c r="E55" s="103">
        <v>-4689807.5375706349</v>
      </c>
      <c r="G55" s="103">
        <v>-11462492.983588802</v>
      </c>
      <c r="H55" s="103">
        <v>-279572.99959972687</v>
      </c>
      <c r="I55" s="103">
        <v>-11742065.983188529</v>
      </c>
      <c r="J55" s="103">
        <v>14817368.978785524</v>
      </c>
      <c r="K55" s="103">
        <v>3075302.9955969956</v>
      </c>
    </row>
    <row r="56" spans="1:11" x14ac:dyDescent="0.25">
      <c r="A56" s="102">
        <v>2059</v>
      </c>
      <c r="B56" s="103">
        <v>-4689807.5375706349</v>
      </c>
      <c r="C56" s="103">
        <v>591186.67435364239</v>
      </c>
      <c r="D56" s="103">
        <v>-202599.68562305142</v>
      </c>
      <c r="E56" s="103">
        <v>-4301220.5488400441</v>
      </c>
      <c r="G56" s="103">
        <v>-11742065.983188529</v>
      </c>
      <c r="H56" s="103">
        <v>-279572.99959972687</v>
      </c>
      <c r="I56" s="103">
        <v>-12021638.982788255</v>
      </c>
      <c r="J56" s="103">
        <v>14817368.978785524</v>
      </c>
      <c r="K56" s="103">
        <v>2795729.9959972687</v>
      </c>
    </row>
    <row r="57" spans="1:11" x14ac:dyDescent="0.25">
      <c r="A57" s="102">
        <v>2060</v>
      </c>
      <c r="B57" s="103">
        <v>-4301220.5488400441</v>
      </c>
      <c r="C57" s="103">
        <v>495458.01643036178</v>
      </c>
      <c r="D57" s="103">
        <v>-185812.72770988991</v>
      </c>
      <c r="E57" s="103">
        <v>-3991575.2601195723</v>
      </c>
      <c r="G57" s="103">
        <v>-12021638.982788255</v>
      </c>
      <c r="H57" s="103">
        <v>-279572.99959972687</v>
      </c>
      <c r="I57" s="103">
        <v>-12301211.982387982</v>
      </c>
      <c r="J57" s="103">
        <v>14817368.978785524</v>
      </c>
      <c r="K57" s="103">
        <v>2516156.9963975418</v>
      </c>
    </row>
    <row r="58" spans="1:11" x14ac:dyDescent="0.25">
      <c r="A58" s="102">
        <v>2061</v>
      </c>
      <c r="B58" s="103">
        <v>-3991575.2601195723</v>
      </c>
      <c r="C58" s="103">
        <v>505367.17675896897</v>
      </c>
      <c r="D58" s="103">
        <v>-172436.05123716552</v>
      </c>
      <c r="E58" s="103">
        <v>-3658644.1345977685</v>
      </c>
      <c r="G58" s="103">
        <v>-12301211.982387982</v>
      </c>
      <c r="H58" s="103">
        <v>-279572.99959972687</v>
      </c>
      <c r="I58" s="103">
        <v>-12580784.981987709</v>
      </c>
      <c r="J58" s="103">
        <v>14817368.978785524</v>
      </c>
      <c r="K58" s="103">
        <v>2236583.996797815</v>
      </c>
    </row>
    <row r="59" spans="1:11" x14ac:dyDescent="0.25">
      <c r="A59" s="102">
        <v>2062</v>
      </c>
      <c r="B59" s="103">
        <v>-3658644.1345977685</v>
      </c>
      <c r="C59" s="103">
        <v>515474.52029414836</v>
      </c>
      <c r="D59" s="103">
        <v>-158053.4266146236</v>
      </c>
      <c r="E59" s="103">
        <v>-3301223.0409182436</v>
      </c>
      <c r="G59" s="103">
        <v>-12580784.981987709</v>
      </c>
      <c r="H59" s="103">
        <v>-279572.99959972687</v>
      </c>
      <c r="I59" s="103">
        <v>-12860357.981587436</v>
      </c>
      <c r="J59" s="103">
        <v>14817368.978785524</v>
      </c>
      <c r="K59" s="103">
        <v>1957010.9971980881</v>
      </c>
    </row>
    <row r="60" spans="1:11" x14ac:dyDescent="0.25">
      <c r="A60" s="102">
        <v>2063</v>
      </c>
      <c r="B60" s="103">
        <v>-3301223.0409182436</v>
      </c>
      <c r="C60" s="103">
        <v>525784.0107000313</v>
      </c>
      <c r="D60" s="103">
        <v>-142612.83536766813</v>
      </c>
      <c r="E60" s="103">
        <v>-2918051.8655858804</v>
      </c>
      <c r="G60" s="103">
        <v>-12860357.981587436</v>
      </c>
      <c r="H60" s="103">
        <v>-279572.99959972687</v>
      </c>
      <c r="I60" s="103">
        <v>-13139930.981187163</v>
      </c>
      <c r="J60" s="103">
        <v>14817368.978785524</v>
      </c>
      <c r="K60" s="103">
        <v>1677437.9975983612</v>
      </c>
    </row>
    <row r="61" spans="1:11" x14ac:dyDescent="0.25">
      <c r="A61" s="102">
        <v>2064</v>
      </c>
      <c r="B61" s="103">
        <v>-2918051.8655858804</v>
      </c>
      <c r="C61" s="103">
        <v>536299.69091403193</v>
      </c>
      <c r="D61" s="103">
        <v>-126059.84059331004</v>
      </c>
      <c r="E61" s="103">
        <v>-2507812.0152651584</v>
      </c>
      <c r="G61" s="103">
        <v>-13139930.981187163</v>
      </c>
      <c r="H61" s="103">
        <v>-279572.99959972687</v>
      </c>
      <c r="I61" s="103">
        <v>-13419503.98078689</v>
      </c>
      <c r="J61" s="103">
        <v>14817368.978785524</v>
      </c>
      <c r="K61" s="103">
        <v>1397864.9979986344</v>
      </c>
    </row>
    <row r="62" spans="1:11" x14ac:dyDescent="0.25">
      <c r="A62" s="102">
        <v>2065</v>
      </c>
      <c r="B62" s="103">
        <v>-2507812.0152651584</v>
      </c>
      <c r="C62" s="103">
        <v>547025.68473231257</v>
      </c>
      <c r="D62" s="103">
        <v>-108337.47905945485</v>
      </c>
      <c r="E62" s="103">
        <v>-2069123.8095923006</v>
      </c>
      <c r="G62" s="103">
        <v>-13419503.98078689</v>
      </c>
      <c r="H62" s="103">
        <v>-279572.99959972687</v>
      </c>
      <c r="I62" s="103">
        <v>-13699076.980386617</v>
      </c>
      <c r="J62" s="103">
        <v>14817368.978785524</v>
      </c>
      <c r="K62" s="103">
        <v>1118291.9983989075</v>
      </c>
    </row>
    <row r="63" spans="1:11" x14ac:dyDescent="0.25">
      <c r="A63" s="102">
        <v>2066</v>
      </c>
      <c r="B63" s="103">
        <v>-2069123.8095923006</v>
      </c>
      <c r="C63" s="103">
        <v>557966.19842695876</v>
      </c>
      <c r="D63" s="103">
        <v>-89386.148574387393</v>
      </c>
      <c r="E63" s="103">
        <v>-1600543.7597397293</v>
      </c>
      <c r="G63" s="103">
        <v>-13699076.980386617</v>
      </c>
      <c r="H63" s="103">
        <v>-279572.99959972687</v>
      </c>
      <c r="I63" s="103">
        <v>-13978649.979986344</v>
      </c>
      <c r="J63" s="103">
        <v>14817368.978785524</v>
      </c>
      <c r="K63" s="103">
        <v>838718.99879918061</v>
      </c>
    </row>
    <row r="64" spans="1:11" x14ac:dyDescent="0.25">
      <c r="A64" s="102">
        <v>2067</v>
      </c>
      <c r="B64" s="103">
        <v>-1600543.7597397293</v>
      </c>
      <c r="C64" s="103">
        <v>569125.522395498</v>
      </c>
      <c r="D64" s="103">
        <v>-69143.490420756309</v>
      </c>
      <c r="E64" s="103">
        <v>-1100561.7277649876</v>
      </c>
      <c r="G64" s="103">
        <v>-13978649.979986344</v>
      </c>
      <c r="H64" s="103">
        <v>-279572.99959972687</v>
      </c>
      <c r="I64" s="103">
        <v>-14258222.97958607</v>
      </c>
      <c r="J64" s="103">
        <v>14817368.978785524</v>
      </c>
      <c r="K64" s="103">
        <v>559145.99919945374</v>
      </c>
    </row>
    <row r="65" spans="1:11" x14ac:dyDescent="0.25">
      <c r="A65" s="102">
        <v>2068</v>
      </c>
      <c r="B65" s="103">
        <v>-1100561.7277649876</v>
      </c>
      <c r="C65" s="103">
        <v>580508.03284340794</v>
      </c>
      <c r="D65" s="103">
        <v>-47544.266639447465</v>
      </c>
      <c r="E65" s="103">
        <v>-567597.9615610271</v>
      </c>
      <c r="G65" s="103">
        <v>-14258222.97958607</v>
      </c>
      <c r="H65" s="103">
        <v>-279572.99959972687</v>
      </c>
      <c r="I65" s="103">
        <v>-14537795.979185797</v>
      </c>
      <c r="J65" s="103">
        <v>14817368.978785524</v>
      </c>
      <c r="K65" s="103">
        <v>279572.99959972687</v>
      </c>
    </row>
    <row r="66" spans="1:11" x14ac:dyDescent="0.25">
      <c r="A66" s="102">
        <v>2069</v>
      </c>
      <c r="B66" s="103">
        <v>-567597.9615610271</v>
      </c>
      <c r="C66" s="103">
        <v>592118.19350027607</v>
      </c>
      <c r="D66" s="103">
        <v>-24520.231939436373</v>
      </c>
      <c r="E66" s="103">
        <v>-1.8739956431090832E-7</v>
      </c>
      <c r="G66" s="103">
        <v>-14537795.979185797</v>
      </c>
      <c r="H66" s="103">
        <v>-279572.99959972687</v>
      </c>
      <c r="I66" s="103">
        <v>-14817368.978785524</v>
      </c>
      <c r="J66" s="103">
        <v>14817368.978785524</v>
      </c>
      <c r="K66" s="103">
        <v>0</v>
      </c>
    </row>
    <row r="67" spans="1:11" x14ac:dyDescent="0.25">
      <c r="C67" s="103">
        <v>36890394.821530282</v>
      </c>
      <c r="D67" s="103"/>
      <c r="E67" s="103"/>
      <c r="H67" s="103"/>
      <c r="I67" s="103"/>
      <c r="J67" s="103"/>
      <c r="K67" s="103"/>
    </row>
    <row r="68" spans="1:11" s="106" customFormat="1" x14ac:dyDescent="0.25">
      <c r="A68" s="108" t="s">
        <v>124</v>
      </c>
      <c r="B68" s="108">
        <v>0.15</v>
      </c>
      <c r="G68" s="109" t="s">
        <v>125</v>
      </c>
      <c r="H68" s="109" t="s">
        <v>125</v>
      </c>
    </row>
    <row r="69" spans="1:11" s="106" customFormat="1" x14ac:dyDescent="0.25">
      <c r="A69" s="110" t="s">
        <v>114</v>
      </c>
      <c r="B69" s="109" t="s">
        <v>126</v>
      </c>
      <c r="C69" s="109" t="s">
        <v>127</v>
      </c>
      <c r="D69" s="111"/>
      <c r="E69" s="112"/>
      <c r="G69" s="109" t="s">
        <v>126</v>
      </c>
      <c r="H69" s="109" t="s">
        <v>127</v>
      </c>
      <c r="I69" s="112" t="s">
        <v>128</v>
      </c>
      <c r="J69" s="112"/>
      <c r="K69" s="112"/>
    </row>
    <row r="70" spans="1:11" s="106" customFormat="1" x14ac:dyDescent="0.25">
      <c r="A70" s="106">
        <v>2016</v>
      </c>
      <c r="B70" s="112">
        <v>0</v>
      </c>
      <c r="C70" s="112">
        <v>0</v>
      </c>
      <c r="D70" s="111"/>
      <c r="E70" s="112"/>
      <c r="G70" s="112">
        <v>0</v>
      </c>
      <c r="H70" s="112">
        <v>0</v>
      </c>
      <c r="I70" s="112"/>
      <c r="J70" s="112"/>
      <c r="K70" s="112"/>
    </row>
    <row r="71" spans="1:11" s="106" customFormat="1" x14ac:dyDescent="0.25">
      <c r="A71" s="106">
        <v>2017</v>
      </c>
      <c r="B71" s="112">
        <v>-138000</v>
      </c>
      <c r="C71" s="112">
        <v>-140760</v>
      </c>
      <c r="D71" s="111"/>
      <c r="E71" s="112"/>
      <c r="G71" s="112">
        <v>-69000</v>
      </c>
      <c r="H71" s="112">
        <v>-70380</v>
      </c>
      <c r="I71" s="113">
        <v>4.8000000000000004E-3</v>
      </c>
      <c r="J71" s="106">
        <v>2017</v>
      </c>
      <c r="K71" s="112"/>
    </row>
    <row r="72" spans="1:11" s="106" customFormat="1" x14ac:dyDescent="0.25">
      <c r="A72" s="106">
        <v>2018</v>
      </c>
      <c r="B72" s="112">
        <v>-804930</v>
      </c>
      <c r="C72" s="112">
        <v>-837449.17200000002</v>
      </c>
      <c r="D72" s="114"/>
      <c r="E72" s="112"/>
      <c r="G72" s="112">
        <v>-402465</v>
      </c>
      <c r="H72" s="112">
        <v>-418724.58600000001</v>
      </c>
      <c r="I72" s="113">
        <v>1.04E-2</v>
      </c>
      <c r="J72" s="106">
        <v>2018</v>
      </c>
      <c r="K72" s="112"/>
    </row>
    <row r="73" spans="1:11" s="106" customFormat="1" x14ac:dyDescent="0.25">
      <c r="A73" s="106">
        <v>2019</v>
      </c>
      <c r="B73" s="112">
        <v>-846930</v>
      </c>
      <c r="C73" s="112">
        <v>-898768.89143999992</v>
      </c>
      <c r="D73" s="114"/>
      <c r="E73" s="112"/>
      <c r="G73" s="112">
        <v>-423465</v>
      </c>
      <c r="H73" s="112">
        <v>-449384.44571999996</v>
      </c>
      <c r="I73" s="113">
        <v>1.61E-2</v>
      </c>
      <c r="J73" s="106">
        <v>2019</v>
      </c>
      <c r="K73" s="112"/>
    </row>
    <row r="74" spans="1:11" s="106" customFormat="1" x14ac:dyDescent="0.25">
      <c r="A74" s="106">
        <v>2020</v>
      </c>
      <c r="B74" s="112">
        <v>-483630</v>
      </c>
      <c r="C74" s="112">
        <v>-523496.66554079996</v>
      </c>
      <c r="D74" s="114"/>
      <c r="E74" s="112"/>
      <c r="G74" s="112">
        <v>-241815</v>
      </c>
      <c r="H74" s="112">
        <v>-261748.33277039998</v>
      </c>
      <c r="I74" s="113">
        <v>2.12E-2</v>
      </c>
      <c r="J74" s="106">
        <v>2020</v>
      </c>
      <c r="K74" s="112"/>
    </row>
    <row r="75" spans="1:11" s="106" customFormat="1" x14ac:dyDescent="0.25">
      <c r="A75" s="106">
        <v>2021</v>
      </c>
      <c r="B75" s="112">
        <v>-113130</v>
      </c>
      <c r="C75" s="112">
        <v>-124904.661266016</v>
      </c>
      <c r="D75" s="114"/>
      <c r="E75" s="112"/>
      <c r="G75" s="112">
        <v>-56565</v>
      </c>
      <c r="H75" s="112">
        <v>-62452.330633008001</v>
      </c>
      <c r="I75" s="113">
        <v>2.4299999999999999E-2</v>
      </c>
      <c r="J75" s="106">
        <v>2021</v>
      </c>
      <c r="K75" s="112"/>
    </row>
    <row r="76" spans="1:11" s="106" customFormat="1" x14ac:dyDescent="0.25">
      <c r="A76" s="106">
        <v>2022</v>
      </c>
      <c r="B76" s="112">
        <v>-1283130</v>
      </c>
      <c r="C76" s="112">
        <v>-1445012.7850302164</v>
      </c>
      <c r="D76" s="114"/>
      <c r="E76" s="112"/>
      <c r="G76" s="112">
        <v>-641565</v>
      </c>
      <c r="H76" s="112">
        <v>-722506.39251510822</v>
      </c>
      <c r="I76" s="113">
        <v>2.6520000000000002E-2</v>
      </c>
      <c r="J76" s="106">
        <v>2022</v>
      </c>
      <c r="K76" s="112"/>
    </row>
    <row r="77" spans="1:11" s="106" customFormat="1" x14ac:dyDescent="0.25">
      <c r="A77" s="106">
        <v>2023</v>
      </c>
      <c r="B77" s="112">
        <v>-2179890</v>
      </c>
      <c r="C77" s="112">
        <v>-2504008.4000519887</v>
      </c>
      <c r="D77" s="114"/>
      <c r="G77" s="112">
        <v>-1089945</v>
      </c>
      <c r="H77" s="112">
        <v>-1252004.2000259943</v>
      </c>
      <c r="I77" s="113">
        <v>2.8740000000000002E-2</v>
      </c>
      <c r="J77" s="106">
        <v>2023</v>
      </c>
    </row>
    <row r="78" spans="1:11" s="106" customFormat="1" x14ac:dyDescent="0.25">
      <c r="A78" s="106">
        <v>2024</v>
      </c>
      <c r="B78" s="112">
        <v>-1785660</v>
      </c>
      <c r="C78" s="112">
        <v>-2092185.2902805055</v>
      </c>
      <c r="D78" s="114"/>
      <c r="G78" s="112">
        <v>-892830</v>
      </c>
      <c r="H78" s="112">
        <v>-1046092.6451402528</v>
      </c>
      <c r="I78" s="113">
        <v>3.0330000000000003E-2</v>
      </c>
      <c r="J78" s="106">
        <v>2024</v>
      </c>
    </row>
    <row r="79" spans="1:11" s="106" customFormat="1" x14ac:dyDescent="0.25">
      <c r="A79" s="106">
        <v>2025</v>
      </c>
      <c r="B79" s="112">
        <v>-62790</v>
      </c>
      <c r="C79" s="112">
        <v>-75039.862383794898</v>
      </c>
      <c r="D79" s="114"/>
      <c r="E79" s="112"/>
      <c r="G79" s="112">
        <v>-31395</v>
      </c>
      <c r="H79" s="112">
        <v>-37519.931191897449</v>
      </c>
      <c r="I79" s="113">
        <v>3.1920000000000004E-2</v>
      </c>
      <c r="J79" s="106">
        <v>2025</v>
      </c>
      <c r="K79" s="112"/>
    </row>
    <row r="80" spans="1:11" s="106" customFormat="1" x14ac:dyDescent="0.25">
      <c r="A80" s="106">
        <v>2026</v>
      </c>
      <c r="B80" s="112">
        <v>-62790</v>
      </c>
      <c r="C80" s="112">
        <v>-76540.6596314708</v>
      </c>
      <c r="D80" s="114"/>
      <c r="E80" s="112"/>
      <c r="G80" s="112">
        <v>-31395</v>
      </c>
      <c r="H80" s="112">
        <v>-38270.3298157354</v>
      </c>
      <c r="I80" s="113">
        <v>3.3500000000000002E-2</v>
      </c>
      <c r="J80" s="106">
        <v>2026</v>
      </c>
      <c r="K80" s="112"/>
    </row>
    <row r="81" spans="1:11" s="106" customFormat="1" x14ac:dyDescent="0.25">
      <c r="A81" s="106">
        <v>2027</v>
      </c>
      <c r="B81" s="112">
        <v>-62790</v>
      </c>
      <c r="C81" s="112">
        <v>-78071.472824100201</v>
      </c>
      <c r="D81" s="114"/>
      <c r="E81" s="112"/>
      <c r="G81" s="112">
        <v>-31395</v>
      </c>
      <c r="H81" s="112">
        <v>-39035.736412050101</v>
      </c>
      <c r="I81" s="113">
        <v>3.458E-2</v>
      </c>
      <c r="J81" s="106">
        <v>2027</v>
      </c>
      <c r="K81" s="112"/>
    </row>
    <row r="82" spans="1:11" s="106" customFormat="1" x14ac:dyDescent="0.25">
      <c r="A82" s="106">
        <v>2028</v>
      </c>
      <c r="B82" s="112">
        <v>-62790</v>
      </c>
      <c r="C82" s="112">
        <v>-79632.902280582217</v>
      </c>
      <c r="D82" s="114"/>
      <c r="E82" s="112"/>
      <c r="G82" s="112">
        <v>-31395</v>
      </c>
      <c r="H82" s="112">
        <v>-39816.451140291108</v>
      </c>
      <c r="I82" s="113">
        <v>3.5660000000000004E-2</v>
      </c>
      <c r="J82" s="106">
        <v>2028</v>
      </c>
      <c r="K82" s="112"/>
    </row>
    <row r="83" spans="1:11" s="106" customFormat="1" x14ac:dyDescent="0.25">
      <c r="A83" s="106">
        <v>2029</v>
      </c>
      <c r="B83" s="112">
        <v>-62790</v>
      </c>
      <c r="C83" s="112">
        <v>-81225.560326193852</v>
      </c>
      <c r="D83" s="114"/>
      <c r="E83" s="112"/>
      <c r="G83" s="112">
        <v>-31395</v>
      </c>
      <c r="H83" s="112">
        <v>-40612.780163096926</v>
      </c>
      <c r="I83" s="113">
        <v>3.6740000000000002E-2</v>
      </c>
      <c r="J83" s="106">
        <v>2029</v>
      </c>
      <c r="K83" s="112"/>
    </row>
    <row r="84" spans="1:11" s="106" customFormat="1" x14ac:dyDescent="0.25">
      <c r="A84" s="106">
        <v>2030</v>
      </c>
      <c r="B84" s="112">
        <v>-62790</v>
      </c>
      <c r="C84" s="112">
        <v>-82850.071532717746</v>
      </c>
      <c r="D84" s="114"/>
      <c r="E84" s="112"/>
      <c r="G84" s="112">
        <v>-31395</v>
      </c>
      <c r="H84" s="112">
        <v>-41425.035766358873</v>
      </c>
      <c r="I84" s="113">
        <v>3.7820000000000006E-2</v>
      </c>
      <c r="J84" s="106">
        <v>2030</v>
      </c>
      <c r="K84" s="112"/>
    </row>
    <row r="85" spans="1:11" s="106" customFormat="1" x14ac:dyDescent="0.25">
      <c r="A85" s="106">
        <v>2031</v>
      </c>
      <c r="B85" s="112">
        <v>-62790</v>
      </c>
      <c r="C85" s="112">
        <v>-84507.072963372077</v>
      </c>
      <c r="D85" s="114"/>
      <c r="E85" s="112"/>
      <c r="G85" s="112">
        <v>-31395</v>
      </c>
      <c r="H85" s="112">
        <v>-42253.536481686038</v>
      </c>
      <c r="I85" s="113">
        <v>3.8900000000000004E-2</v>
      </c>
      <c r="J85" s="106">
        <v>2031</v>
      </c>
      <c r="K85" s="112"/>
    </row>
    <row r="86" spans="1:11" s="106" customFormat="1" x14ac:dyDescent="0.25">
      <c r="A86" s="106">
        <v>2032</v>
      </c>
      <c r="B86" s="112">
        <v>-62790</v>
      </c>
      <c r="C86" s="112">
        <v>-86197.214422639532</v>
      </c>
      <c r="D86" s="114"/>
      <c r="G86" s="112">
        <v>-31395</v>
      </c>
      <c r="H86" s="112">
        <v>-43098.607211319766</v>
      </c>
      <c r="I86" s="113">
        <v>3.9380000000000005E-2</v>
      </c>
      <c r="J86" s="106">
        <v>2032</v>
      </c>
    </row>
    <row r="87" spans="1:11" s="106" customFormat="1" x14ac:dyDescent="0.25">
      <c r="A87" s="106">
        <v>2033</v>
      </c>
      <c r="B87" s="112">
        <v>-62790</v>
      </c>
      <c r="C87" s="112">
        <v>-87921.158711092328</v>
      </c>
      <c r="D87" s="114"/>
      <c r="G87" s="112">
        <v>-31395</v>
      </c>
      <c r="H87" s="112">
        <v>-43960.579355546164</v>
      </c>
      <c r="I87" s="113">
        <v>3.9860000000000007E-2</v>
      </c>
      <c r="J87" s="106">
        <v>2033</v>
      </c>
    </row>
    <row r="88" spans="1:11" s="106" customFormat="1" x14ac:dyDescent="0.25">
      <c r="A88" s="106">
        <v>2034</v>
      </c>
      <c r="B88" s="112">
        <v>-62790</v>
      </c>
      <c r="C88" s="112">
        <v>-89679.581885314168</v>
      </c>
      <c r="D88" s="114"/>
      <c r="E88" s="112"/>
      <c r="G88" s="112">
        <v>-31395</v>
      </c>
      <c r="H88" s="112">
        <v>-44839.790942657084</v>
      </c>
      <c r="I88" s="113">
        <v>4.0340000000000008E-2</v>
      </c>
      <c r="J88" s="106">
        <v>2034</v>
      </c>
      <c r="K88" s="112"/>
    </row>
    <row r="89" spans="1:11" s="106" customFormat="1" x14ac:dyDescent="0.25">
      <c r="A89" s="106">
        <v>2035</v>
      </c>
      <c r="B89" s="112">
        <v>-62790</v>
      </c>
      <c r="C89" s="112">
        <v>-91473.17352302045</v>
      </c>
      <c r="D89" s="114"/>
      <c r="E89" s="112"/>
      <c r="G89" s="112">
        <v>-31395</v>
      </c>
      <c r="H89" s="112">
        <v>-45736.586761510225</v>
      </c>
      <c r="I89" s="113">
        <v>4.0820000000000009E-2</v>
      </c>
      <c r="J89" s="106">
        <v>2035</v>
      </c>
      <c r="K89" s="112"/>
    </row>
    <row r="90" spans="1:11" s="106" customFormat="1" x14ac:dyDescent="0.25">
      <c r="A90" s="106">
        <v>2036</v>
      </c>
      <c r="B90" s="112">
        <v>-62790</v>
      </c>
      <c r="C90" s="112">
        <v>-93302.636993480861</v>
      </c>
      <c r="D90" s="114"/>
      <c r="E90" s="112"/>
      <c r="G90" s="112">
        <v>-31395</v>
      </c>
      <c r="H90" s="112">
        <v>-46651.31849674043</v>
      </c>
      <c r="I90" s="113">
        <v>4.1299999999999996E-2</v>
      </c>
      <c r="J90" s="106">
        <v>2036</v>
      </c>
      <c r="K90" s="112"/>
    </row>
    <row r="91" spans="1:11" s="106" customFormat="1" x14ac:dyDescent="0.25">
      <c r="A91" s="106">
        <v>2037</v>
      </c>
      <c r="B91" s="112">
        <v>-92790</v>
      </c>
      <c r="C91" s="112">
        <v>-140638.68005028812</v>
      </c>
      <c r="D91" s="114"/>
      <c r="E91" s="112"/>
      <c r="G91" s="112">
        <v>-46395</v>
      </c>
      <c r="H91" s="112">
        <v>-70319.340025144062</v>
      </c>
      <c r="I91" s="113">
        <v>4.1579999999999999E-2</v>
      </c>
      <c r="J91" s="106">
        <v>2037</v>
      </c>
      <c r="K91" s="112"/>
    </row>
    <row r="92" spans="1:11" s="106" customFormat="1" x14ac:dyDescent="0.25">
      <c r="A92" s="106">
        <v>2038</v>
      </c>
      <c r="B92" s="112">
        <v>-1937790</v>
      </c>
      <c r="C92" s="112">
        <v>-2995783.946232792</v>
      </c>
      <c r="D92" s="114"/>
      <c r="E92" s="112"/>
      <c r="G92" s="112">
        <v>-968895</v>
      </c>
      <c r="H92" s="112">
        <v>-1497891.973116396</v>
      </c>
      <c r="I92" s="113">
        <v>4.1859999999999994E-2</v>
      </c>
      <c r="J92" s="106">
        <v>2038</v>
      </c>
      <c r="K92" s="112"/>
    </row>
    <row r="93" spans="1:11" s="106" customFormat="1" x14ac:dyDescent="0.25">
      <c r="A93" s="106">
        <v>2039</v>
      </c>
      <c r="B93" s="112">
        <v>-2057790</v>
      </c>
      <c r="C93" s="112">
        <v>-3244927.5368604148</v>
      </c>
      <c r="D93" s="114"/>
      <c r="E93" s="112"/>
      <c r="G93" s="112">
        <v>-1028895</v>
      </c>
      <c r="H93" s="112">
        <v>-1622463.7684302074</v>
      </c>
      <c r="I93" s="113">
        <v>4.2139999999999997E-2</v>
      </c>
      <c r="J93" s="106">
        <v>2039</v>
      </c>
      <c r="K93" s="112"/>
    </row>
    <row r="94" spans="1:11" s="106" customFormat="1" x14ac:dyDescent="0.25">
      <c r="A94" s="106">
        <v>2040</v>
      </c>
      <c r="B94" s="112">
        <v>-3317790</v>
      </c>
      <c r="C94" s="112">
        <v>-5336457.0219364073</v>
      </c>
      <c r="D94" s="114"/>
      <c r="E94" s="112"/>
      <c r="G94" s="112">
        <v>-1658895</v>
      </c>
      <c r="H94" s="112">
        <v>-2668228.5109682037</v>
      </c>
      <c r="I94" s="113">
        <v>4.2419999999999992E-2</v>
      </c>
      <c r="J94" s="106">
        <v>2040</v>
      </c>
      <c r="K94" s="112"/>
    </row>
    <row r="95" spans="1:11" s="106" customFormat="1" x14ac:dyDescent="0.25">
      <c r="A95" s="106">
        <v>2041</v>
      </c>
      <c r="B95" s="112">
        <v>-297300</v>
      </c>
      <c r="C95" s="112">
        <v>-487752.16215436411</v>
      </c>
      <c r="D95" s="114"/>
      <c r="E95" s="112"/>
      <c r="G95" s="112">
        <v>-148650</v>
      </c>
      <c r="H95" s="112">
        <v>-243876.08107718205</v>
      </c>
      <c r="I95" s="113">
        <v>4.2699999999999995E-2</v>
      </c>
      <c r="J95" s="106">
        <v>2041</v>
      </c>
      <c r="K95" s="112"/>
    </row>
    <row r="96" spans="1:11" s="106" customFormat="1" x14ac:dyDescent="0.25">
      <c r="A96" s="106">
        <v>2042</v>
      </c>
      <c r="B96" s="112">
        <v>-297300</v>
      </c>
      <c r="C96" s="112">
        <v>-497507.20539745141</v>
      </c>
      <c r="D96" s="114"/>
      <c r="G96" s="112">
        <v>-148650</v>
      </c>
      <c r="H96" s="112">
        <v>-248753.60269872571</v>
      </c>
      <c r="I96" s="113">
        <v>4.297999999999999E-2</v>
      </c>
      <c r="J96" s="106">
        <v>2042</v>
      </c>
    </row>
    <row r="97" spans="1:11" s="106" customFormat="1" x14ac:dyDescent="0.25">
      <c r="A97" s="106">
        <v>2043</v>
      </c>
      <c r="B97" s="112">
        <v>-297300</v>
      </c>
      <c r="C97" s="112">
        <v>-507457.34950540034</v>
      </c>
      <c r="D97" s="114"/>
      <c r="G97" s="112">
        <v>-148650</v>
      </c>
      <c r="H97" s="112">
        <v>-253728.67475270017</v>
      </c>
      <c r="I97" s="113">
        <v>4.3259999999999993E-2</v>
      </c>
      <c r="J97" s="106">
        <v>2043</v>
      </c>
    </row>
    <row r="98" spans="1:11" s="106" customFormat="1" x14ac:dyDescent="0.25">
      <c r="A98" s="106">
        <v>2044</v>
      </c>
      <c r="B98" s="112">
        <v>-297300</v>
      </c>
      <c r="C98" s="112">
        <v>-517606.49649550847</v>
      </c>
      <c r="D98" s="114"/>
      <c r="E98" s="112"/>
      <c r="G98" s="112">
        <v>-148650</v>
      </c>
      <c r="H98" s="112">
        <v>-258803.24824775424</v>
      </c>
      <c r="I98" s="113">
        <v>4.3539999999999988E-2</v>
      </c>
      <c r="J98" s="106">
        <v>2044</v>
      </c>
      <c r="K98" s="112"/>
    </row>
    <row r="99" spans="1:11" s="106" customFormat="1" x14ac:dyDescent="0.25">
      <c r="A99" s="106">
        <v>2045</v>
      </c>
      <c r="B99" s="112">
        <v>-297300</v>
      </c>
      <c r="C99" s="112">
        <v>-527958.62642541854</v>
      </c>
      <c r="D99" s="114"/>
      <c r="E99" s="112"/>
      <c r="G99" s="112">
        <v>-148650</v>
      </c>
      <c r="H99" s="112">
        <v>-263979.31321270927</v>
      </c>
      <c r="I99" s="113">
        <v>4.3819999999999991E-2</v>
      </c>
      <c r="J99" s="106">
        <v>2045</v>
      </c>
      <c r="K99" s="112"/>
    </row>
    <row r="100" spans="1:11" s="106" customFormat="1" x14ac:dyDescent="0.25">
      <c r="A100" s="106">
        <v>2046</v>
      </c>
      <c r="B100" s="112">
        <v>-297300</v>
      </c>
      <c r="C100" s="112">
        <v>-538517.79895392701</v>
      </c>
      <c r="D100" s="114"/>
      <c r="E100" s="112"/>
      <c r="G100" s="112">
        <v>-148650</v>
      </c>
      <c r="H100" s="112">
        <v>-269258.8994769635</v>
      </c>
      <c r="I100" s="113">
        <v>4.41E-2</v>
      </c>
      <c r="J100" s="106">
        <v>2046</v>
      </c>
      <c r="K100" s="112"/>
    </row>
    <row r="101" spans="1:11" s="106" customFormat="1" x14ac:dyDescent="0.25">
      <c r="A101" s="106">
        <v>2047</v>
      </c>
      <c r="B101" s="112">
        <v>-297300</v>
      </c>
      <c r="C101" s="112">
        <v>-549288.15493300545</v>
      </c>
      <c r="D101" s="114"/>
      <c r="E101" s="112"/>
      <c r="G101" s="112">
        <v>-148650</v>
      </c>
      <c r="H101" s="112">
        <v>-274644.07746650273</v>
      </c>
      <c r="I101" s="113">
        <v>4.41E-2</v>
      </c>
      <c r="J101" s="106">
        <v>2047</v>
      </c>
      <c r="K101" s="112"/>
    </row>
    <row r="102" spans="1:11" s="106" customFormat="1" x14ac:dyDescent="0.25">
      <c r="A102" s="106">
        <v>2048</v>
      </c>
      <c r="B102" s="112">
        <v>-297300</v>
      </c>
      <c r="C102" s="112">
        <v>-560273.91803166561</v>
      </c>
      <c r="D102" s="114"/>
      <c r="E102" s="112"/>
      <c r="G102" s="112">
        <v>-148650</v>
      </c>
      <c r="H102" s="112">
        <v>-280136.95901583281</v>
      </c>
      <c r="I102" s="113">
        <v>4.41E-2</v>
      </c>
      <c r="J102" s="106">
        <v>2048</v>
      </c>
      <c r="K102" s="112"/>
    </row>
    <row r="103" spans="1:11" s="106" customFormat="1" x14ac:dyDescent="0.25">
      <c r="A103" s="106">
        <v>2049</v>
      </c>
      <c r="B103" s="112">
        <v>-297300</v>
      </c>
      <c r="C103" s="112">
        <v>-571479.39639229898</v>
      </c>
      <c r="D103" s="114"/>
      <c r="E103" s="112"/>
      <c r="G103" s="112">
        <v>-148650</v>
      </c>
      <c r="H103" s="112">
        <v>-285739.69819614949</v>
      </c>
      <c r="I103" s="113">
        <v>4.41E-2</v>
      </c>
      <c r="J103" s="106">
        <v>2049</v>
      </c>
      <c r="K103" s="112"/>
    </row>
    <row r="104" spans="1:11" s="106" customFormat="1" x14ac:dyDescent="0.25">
      <c r="A104" s="106">
        <v>2050</v>
      </c>
      <c r="B104" s="112">
        <v>-252300</v>
      </c>
      <c r="C104" s="112">
        <v>-494678.56287915423</v>
      </c>
      <c r="D104" s="114"/>
      <c r="E104" s="112"/>
      <c r="G104" s="112">
        <v>-126150</v>
      </c>
      <c r="H104" s="112">
        <v>-247339.28143957711</v>
      </c>
      <c r="I104" s="113">
        <v>4.41E-2</v>
      </c>
      <c r="J104" s="106">
        <v>2050</v>
      </c>
      <c r="K104" s="112"/>
    </row>
    <row r="105" spans="1:11" s="106" customFormat="1" x14ac:dyDescent="0.25">
      <c r="A105" s="106">
        <v>2051</v>
      </c>
      <c r="B105" s="112">
        <v>-252300</v>
      </c>
      <c r="C105" s="112">
        <v>-504572.13413673732</v>
      </c>
      <c r="D105" s="114"/>
      <c r="E105" s="112"/>
      <c r="G105" s="112">
        <v>-126150</v>
      </c>
      <c r="H105" s="112">
        <v>-252286.06706836866</v>
      </c>
      <c r="I105" s="113">
        <v>4.41E-2</v>
      </c>
      <c r="J105" s="106">
        <v>2051</v>
      </c>
      <c r="K105" s="112"/>
    </row>
    <row r="106" spans="1:11" s="106" customFormat="1" x14ac:dyDescent="0.25">
      <c r="A106" s="106">
        <v>2052</v>
      </c>
      <c r="B106" s="112">
        <v>-252300</v>
      </c>
      <c r="C106" s="112">
        <v>-514663.57681947201</v>
      </c>
      <c r="D106" s="114"/>
      <c r="E106" s="112"/>
      <c r="G106" s="112">
        <v>-126150</v>
      </c>
      <c r="H106" s="112">
        <v>-257331.78840973601</v>
      </c>
      <c r="I106" s="113">
        <v>4.41E-2</v>
      </c>
      <c r="J106" s="106">
        <v>2052</v>
      </c>
      <c r="K106" s="112"/>
    </row>
    <row r="107" spans="1:11" s="106" customFormat="1" x14ac:dyDescent="0.25">
      <c r="A107" s="106">
        <v>2053</v>
      </c>
      <c r="B107" s="112">
        <v>-252300</v>
      </c>
      <c r="C107" s="112">
        <v>-524956.8483558615</v>
      </c>
      <c r="D107" s="114"/>
      <c r="G107" s="112">
        <v>-126150</v>
      </c>
      <c r="H107" s="112">
        <v>-262478.42417793075</v>
      </c>
      <c r="I107" s="113">
        <v>4.41E-2</v>
      </c>
      <c r="J107" s="106">
        <v>2053</v>
      </c>
    </row>
    <row r="108" spans="1:11" s="106" customFormat="1" x14ac:dyDescent="0.25">
      <c r="A108" s="106">
        <v>2054</v>
      </c>
      <c r="B108" s="112">
        <v>-252300</v>
      </c>
      <c r="C108" s="112">
        <v>-535455.98532297881</v>
      </c>
      <c r="D108" s="114"/>
      <c r="G108" s="112">
        <v>-126150</v>
      </c>
      <c r="H108" s="112">
        <v>-267727.99266148941</v>
      </c>
      <c r="I108" s="113">
        <v>4.41E-2</v>
      </c>
      <c r="J108" s="106">
        <v>2054</v>
      </c>
    </row>
    <row r="109" spans="1:11" s="106" customFormat="1" x14ac:dyDescent="0.25">
      <c r="A109" s="106">
        <v>2055</v>
      </c>
      <c r="B109" s="112">
        <v>-252300</v>
      </c>
      <c r="C109" s="112">
        <v>-546165.10502943816</v>
      </c>
      <c r="D109" s="114"/>
      <c r="E109" s="112"/>
      <c r="G109" s="112">
        <v>-126150</v>
      </c>
      <c r="H109" s="112">
        <v>-273082.55251471908</v>
      </c>
      <c r="I109" s="113">
        <v>4.41E-2</v>
      </c>
      <c r="J109" s="106">
        <v>2055</v>
      </c>
      <c r="K109" s="112"/>
    </row>
    <row r="110" spans="1:11" s="106" customFormat="1" x14ac:dyDescent="0.25">
      <c r="A110" s="106">
        <v>2056</v>
      </c>
      <c r="B110" s="112">
        <v>-252300</v>
      </c>
      <c r="C110" s="112">
        <v>-557088.40713002707</v>
      </c>
      <c r="D110" s="114"/>
      <c r="E110" s="112"/>
      <c r="G110" s="112">
        <v>-126150</v>
      </c>
      <c r="H110" s="112">
        <v>-278544.20356501354</v>
      </c>
      <c r="I110" s="113">
        <v>4.41E-2</v>
      </c>
      <c r="J110" s="106">
        <v>2056</v>
      </c>
      <c r="K110" s="112"/>
    </row>
    <row r="111" spans="1:11" s="106" customFormat="1" x14ac:dyDescent="0.25">
      <c r="A111" s="106">
        <v>2057</v>
      </c>
      <c r="B111" s="112">
        <v>-252300</v>
      </c>
      <c r="C111" s="112">
        <v>-568230.17527262762</v>
      </c>
      <c r="D111" s="114"/>
      <c r="E111" s="112"/>
      <c r="G111" s="112">
        <v>-126150</v>
      </c>
      <c r="H111" s="112">
        <v>-284115.08763631381</v>
      </c>
      <c r="I111" s="113">
        <v>4.41E-2</v>
      </c>
      <c r="J111" s="106">
        <v>2057</v>
      </c>
      <c r="K111" s="112"/>
    </row>
    <row r="112" spans="1:11" s="106" customFormat="1" x14ac:dyDescent="0.25">
      <c r="A112" s="106">
        <v>2058</v>
      </c>
      <c r="B112" s="112">
        <v>-252300</v>
      </c>
      <c r="C112" s="112">
        <v>-579594.77877808013</v>
      </c>
      <c r="D112" s="114"/>
      <c r="E112" s="112"/>
      <c r="G112" s="112">
        <v>-126150</v>
      </c>
      <c r="H112" s="112">
        <v>-289797.38938904006</v>
      </c>
      <c r="I112" s="113">
        <v>4.41E-2</v>
      </c>
      <c r="J112" s="106">
        <v>2058</v>
      </c>
      <c r="K112" s="112"/>
    </row>
    <row r="113" spans="1:11" s="106" customFormat="1" x14ac:dyDescent="0.25">
      <c r="A113" s="106">
        <v>2059</v>
      </c>
      <c r="B113" s="112">
        <v>-252300</v>
      </c>
      <c r="C113" s="112">
        <v>-591186.67435364169</v>
      </c>
      <c r="D113" s="114"/>
      <c r="E113" s="112"/>
      <c r="G113" s="112">
        <v>-126150</v>
      </c>
      <c r="H113" s="112">
        <v>-295593.33717682085</v>
      </c>
      <c r="I113" s="113">
        <v>4.41E-2</v>
      </c>
      <c r="J113" s="106">
        <v>2059</v>
      </c>
      <c r="K113" s="112"/>
    </row>
    <row r="114" spans="1:11" s="106" customFormat="1" x14ac:dyDescent="0.25">
      <c r="A114" s="106">
        <v>2060</v>
      </c>
      <c r="B114" s="112">
        <v>-207300</v>
      </c>
      <c r="C114" s="112">
        <v>-495458.01643036125</v>
      </c>
      <c r="D114" s="114"/>
      <c r="E114" s="112"/>
      <c r="G114" s="112">
        <v>-103650</v>
      </c>
      <c r="H114" s="112">
        <v>-247729.00821518063</v>
      </c>
      <c r="I114" s="113">
        <v>4.41E-2</v>
      </c>
      <c r="J114" s="106">
        <v>2060</v>
      </c>
      <c r="K114" s="112"/>
    </row>
    <row r="115" spans="1:11" s="106" customFormat="1" x14ac:dyDescent="0.25">
      <c r="A115" s="106">
        <v>2061</v>
      </c>
      <c r="B115" s="112">
        <v>-207300</v>
      </c>
      <c r="C115" s="112">
        <v>-505367.17675896845</v>
      </c>
      <c r="D115" s="114"/>
      <c r="E115" s="112"/>
      <c r="G115" s="112">
        <v>-103650</v>
      </c>
      <c r="H115" s="112">
        <v>-252683.58837948422</v>
      </c>
      <c r="I115" s="113">
        <v>4.41E-2</v>
      </c>
      <c r="J115" s="106">
        <v>2061</v>
      </c>
      <c r="K115" s="112"/>
    </row>
    <row r="116" spans="1:11" s="106" customFormat="1" x14ac:dyDescent="0.25">
      <c r="A116" s="106">
        <v>2062</v>
      </c>
      <c r="B116" s="112">
        <v>-207300</v>
      </c>
      <c r="C116" s="112">
        <v>-515474.52029414789</v>
      </c>
      <c r="D116" s="114"/>
      <c r="E116" s="112"/>
      <c r="G116" s="112">
        <v>-103650</v>
      </c>
      <c r="H116" s="112">
        <v>-257737.26014707395</v>
      </c>
      <c r="I116" s="113">
        <v>4.41E-2</v>
      </c>
      <c r="J116" s="106">
        <v>2062</v>
      </c>
      <c r="K116" s="112"/>
    </row>
    <row r="117" spans="1:11" s="106" customFormat="1" x14ac:dyDescent="0.25">
      <c r="A117" s="106">
        <v>2063</v>
      </c>
      <c r="B117" s="112">
        <v>-207300</v>
      </c>
      <c r="C117" s="112">
        <v>-525784.0107000306</v>
      </c>
      <c r="D117" s="114"/>
      <c r="E117" s="112"/>
      <c r="G117" s="112">
        <v>-103650</v>
      </c>
      <c r="H117" s="112">
        <v>-262892.0053500153</v>
      </c>
      <c r="I117" s="113">
        <v>4.41E-2</v>
      </c>
      <c r="J117" s="106">
        <v>2063</v>
      </c>
      <c r="K117" s="112"/>
    </row>
    <row r="118" spans="1:11" s="106" customFormat="1" x14ac:dyDescent="0.25">
      <c r="A118" s="106">
        <v>2064</v>
      </c>
      <c r="B118" s="112">
        <v>-207300</v>
      </c>
      <c r="C118" s="112">
        <v>-536299.69091403135</v>
      </c>
      <c r="D118" s="114"/>
      <c r="E118" s="112"/>
      <c r="G118" s="112">
        <v>-103650</v>
      </c>
      <c r="H118" s="112">
        <v>-268149.84545701568</v>
      </c>
      <c r="I118" s="113">
        <v>4.41E-2</v>
      </c>
      <c r="J118" s="106">
        <v>2064</v>
      </c>
      <c r="K118" s="112"/>
    </row>
    <row r="119" spans="1:11" s="106" customFormat="1" x14ac:dyDescent="0.25">
      <c r="A119" s="106">
        <v>2065</v>
      </c>
      <c r="B119" s="112">
        <v>-207300</v>
      </c>
      <c r="C119" s="112">
        <v>-547025.68473231199</v>
      </c>
      <c r="D119" s="114"/>
      <c r="G119" s="112">
        <v>-103650</v>
      </c>
      <c r="H119" s="112">
        <v>-273512.84236615599</v>
      </c>
      <c r="I119" s="113">
        <v>4.41E-2</v>
      </c>
      <c r="J119" s="106">
        <v>2065</v>
      </c>
    </row>
    <row r="120" spans="1:11" s="106" customFormat="1" x14ac:dyDescent="0.25">
      <c r="A120" s="106">
        <v>2066</v>
      </c>
      <c r="B120" s="112">
        <v>-207300</v>
      </c>
      <c r="C120" s="112">
        <v>-557966.19842695829</v>
      </c>
      <c r="D120" s="114"/>
      <c r="G120" s="112">
        <v>-103650</v>
      </c>
      <c r="H120" s="112">
        <v>-278983.09921347914</v>
      </c>
      <c r="I120" s="113">
        <v>4.41E-2</v>
      </c>
      <c r="J120" s="106">
        <v>2066</v>
      </c>
    </row>
    <row r="121" spans="1:11" s="106" customFormat="1" x14ac:dyDescent="0.25">
      <c r="A121" s="106">
        <v>2067</v>
      </c>
      <c r="B121" s="112">
        <v>-207300</v>
      </c>
      <c r="C121" s="112">
        <v>-569125.5223954973</v>
      </c>
      <c r="D121" s="114"/>
      <c r="E121" s="112"/>
      <c r="G121" s="112">
        <v>-103650</v>
      </c>
      <c r="H121" s="112">
        <v>-284562.76119774865</v>
      </c>
      <c r="I121" s="113">
        <v>4.41E-2</v>
      </c>
      <c r="J121" s="106">
        <v>2067</v>
      </c>
      <c r="K121" s="112"/>
    </row>
    <row r="122" spans="1:11" s="106" customFormat="1" x14ac:dyDescent="0.25">
      <c r="A122" s="106">
        <v>2068</v>
      </c>
      <c r="B122" s="112">
        <v>-207300</v>
      </c>
      <c r="C122" s="112">
        <v>-580508.03284340736</v>
      </c>
      <c r="D122" s="114"/>
      <c r="E122" s="112"/>
      <c r="G122" s="112">
        <v>-103650</v>
      </c>
      <c r="H122" s="112">
        <v>-290254.01642170368</v>
      </c>
      <c r="I122" s="113">
        <v>4.41E-2</v>
      </c>
      <c r="J122" s="106">
        <v>2068</v>
      </c>
      <c r="K122" s="112"/>
    </row>
    <row r="123" spans="1:11" s="106" customFormat="1" x14ac:dyDescent="0.25">
      <c r="A123" s="106">
        <v>2069</v>
      </c>
      <c r="B123" s="112">
        <v>-207300</v>
      </c>
      <c r="C123" s="112">
        <v>-592118.19350027549</v>
      </c>
      <c r="D123" s="114"/>
      <c r="E123" s="112"/>
      <c r="G123" s="112">
        <v>-103650</v>
      </c>
      <c r="H123" s="112">
        <v>-296059.09675013775</v>
      </c>
      <c r="I123" s="113">
        <v>4.41E-2</v>
      </c>
      <c r="J123" s="106">
        <v>2069</v>
      </c>
      <c r="K123" s="112"/>
    </row>
    <row r="124" spans="1:11" s="106" customFormat="1" ht="15.75" thickBot="1" x14ac:dyDescent="0.3">
      <c r="B124" s="115">
        <v>-23066640</v>
      </c>
      <c r="C124" s="115">
        <v>-36890394.821530268</v>
      </c>
      <c r="D124" s="111"/>
      <c r="E124" s="112"/>
      <c r="G124" s="115">
        <v>-11533320</v>
      </c>
      <c r="H124" s="115">
        <v>-18445197.410765134</v>
      </c>
      <c r="I124" s="112"/>
      <c r="K124" s="112"/>
    </row>
    <row r="125" spans="1:11" s="106" customFormat="1" ht="15.75" thickTop="1" x14ac:dyDescent="0.25">
      <c r="B125" s="112"/>
      <c r="C125" s="112"/>
      <c r="D125" s="112"/>
      <c r="E125" s="112"/>
      <c r="G125" s="112"/>
      <c r="H125" s="112"/>
      <c r="I125" s="112"/>
      <c r="J125" s="112"/>
      <c r="K125" s="112"/>
    </row>
    <row r="126" spans="1:11" s="106" customFormat="1" x14ac:dyDescent="0.25">
      <c r="B126" s="112"/>
      <c r="C126" s="112"/>
      <c r="D126" s="112"/>
      <c r="E126" s="112"/>
      <c r="G126" s="112"/>
      <c r="H126" s="112"/>
      <c r="I126" s="112"/>
      <c r="J126" s="112"/>
      <c r="K126" s="112"/>
    </row>
    <row r="127" spans="1:11" s="106" customFormat="1" x14ac:dyDescent="0.25">
      <c r="B127" s="112"/>
      <c r="C127" s="112"/>
      <c r="D127" s="112"/>
      <c r="E127" s="112"/>
      <c r="G127" s="112"/>
      <c r="H127" s="112"/>
      <c r="I127" s="112"/>
      <c r="J127" s="112"/>
      <c r="K127" s="112"/>
    </row>
    <row r="128" spans="1:11" s="106" customFormat="1" x14ac:dyDescent="0.25">
      <c r="B128" s="112"/>
      <c r="C128" s="112"/>
      <c r="D128" s="112"/>
      <c r="E128" s="112"/>
      <c r="G128" s="112"/>
      <c r="H128" s="112"/>
      <c r="I128" s="112"/>
      <c r="J128" s="112"/>
      <c r="K128" s="112"/>
    </row>
    <row r="129" spans="2:11" s="106" customFormat="1" x14ac:dyDescent="0.25">
      <c r="B129" s="112"/>
      <c r="C129" s="112"/>
      <c r="D129" s="112"/>
      <c r="E129" s="112"/>
      <c r="G129" s="112"/>
      <c r="H129" s="112"/>
      <c r="I129" s="112"/>
      <c r="J129" s="112"/>
      <c r="K129" s="112"/>
    </row>
  </sheetData>
  <mergeCells count="1">
    <mergeCell ref="D2:L5"/>
  </mergeCells>
  <pageMargins left="0.7" right="0.7" top="0.75" bottom="0.75" header="0.3" footer="0.3"/>
  <pageSetup scale="54" orientation="landscape" r:id="rId1"/>
  <rowBreaks count="1" manualBreakCount="1">
    <brk id="67" max="10" man="1"/>
  </rowBreaks>
  <colBreaks count="1" manualBreakCount="1">
    <brk id="11"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1243B25525BDE4A81B4D2D45BCBDDC8" ma:contentTypeVersion="56" ma:contentTypeDescription="" ma:contentTypeScope="" ma:versionID="d5a2d39fa64bbcdc32761c3ac562490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2019-04-30T07:00:00+00:00</OpenedDate>
    <SignificantOrder xmlns="dc463f71-b30c-4ab2-9473-d307f9d35888">false</SignificantOrder>
    <Date1 xmlns="dc463f71-b30c-4ab2-9473-d307f9d35888">2019-04-30T07:00:00+00:00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190334</DocketNumber>
    <DelegatedOrder xmlns="dc463f71-b30c-4ab2-9473-d307f9d35888">false</DelegatedOrder>
  </documentManagement>
</p:properties>
</file>

<file path=customXml/itemProps1.xml><?xml version="1.0" encoding="utf-8"?>
<ds:datastoreItem xmlns:ds="http://schemas.openxmlformats.org/officeDocument/2006/customXml" ds:itemID="{0FEE2A91-7F74-44D5-965A-9676A233B60D}"/>
</file>

<file path=customXml/itemProps2.xml><?xml version="1.0" encoding="utf-8"?>
<ds:datastoreItem xmlns:ds="http://schemas.openxmlformats.org/officeDocument/2006/customXml" ds:itemID="{60F144F3-5EBB-4455-BC4A-ECD89AD3F6B1}"/>
</file>

<file path=customXml/itemProps3.xml><?xml version="1.0" encoding="utf-8"?>
<ds:datastoreItem xmlns:ds="http://schemas.openxmlformats.org/officeDocument/2006/customXml" ds:itemID="{6BD1BA0F-A9AF-4D56-AA7E-8F993E184E54}"/>
</file>

<file path=customXml/itemProps4.xml><?xml version="1.0" encoding="utf-8"?>
<ds:datastoreItem xmlns:ds="http://schemas.openxmlformats.org/officeDocument/2006/customXml" ds:itemID="{5A634AF0-7A93-4D18-9E97-A0AEEC9645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Entries-Summary</vt:lpstr>
      <vt:lpstr>GL-Forecast</vt:lpstr>
      <vt:lpstr>Tax Entry</vt:lpstr>
      <vt:lpstr>Defered-Amm Calc</vt:lpstr>
      <vt:lpstr>Generation-deprec exp Updated</vt:lpstr>
      <vt:lpstr>Transmission-deprec exp Updated</vt:lpstr>
      <vt:lpstr>Accretion &amp; Depr forecast</vt:lpstr>
      <vt:lpstr>'Accretion &amp; Depr forecast'!Print_Area</vt:lpstr>
      <vt:lpstr>'Entries-Summary'!Print_Area</vt:lpstr>
      <vt:lpstr>'Transmission-deprec exp Updated'!Print_Area</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Pluth, Jeanne</dc:creator>
  <cp:lastModifiedBy>Liz Andrews</cp:lastModifiedBy>
  <cp:lastPrinted>2019-02-28T23:28:09Z</cp:lastPrinted>
  <dcterms:created xsi:type="dcterms:W3CDTF">2018-07-19T14:38:46Z</dcterms:created>
  <dcterms:modified xsi:type="dcterms:W3CDTF">2019-02-28T23:28:11Z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0x0101006E56B4D1795A2E4DB2F0B01679ED314A0061243B25525BDE4A81B4D2D45BCBDDC8</vt:lpwstr>
  </property>
  <property fmtid="{D5CDD505-2E9C-101B-9397-08002B2CF9AE}" pid="3" name="_docset_NoMedatataSyncRequired">
    <vt:lpwstr>False</vt:lpwstr>
  </property>
  <property fmtid="{D5CDD505-2E9C-101B-9397-08002B2CF9AE}" pid="4" name="IsEFSEC">
    <vt:bool>false</vt:bool>
  </property>
</Properties>
</file>