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7.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I9" i="24" s="1"/>
  <c r="J8" i="24"/>
  <c r="K8" i="24"/>
  <c r="L8" i="24"/>
  <c r="M8" i="24"/>
  <c r="B10" i="24"/>
  <c r="C10" i="24"/>
  <c r="E10" i="24"/>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F9" i="24"/>
  <c r="N12" i="24" l="1"/>
  <c r="D22" i="10"/>
  <c r="D21" i="10"/>
  <c r="D20" i="10"/>
  <c r="D19" i="10"/>
  <c r="D18" i="10"/>
  <c r="D17" i="10"/>
  <c r="D16" i="10"/>
  <c r="D15" i="10"/>
  <c r="G9" i="24"/>
  <c r="I11"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I13" i="24"/>
  <c r="I15" i="24" s="1"/>
  <c r="I19" i="24" s="1"/>
  <c r="I20" i="24"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M72" i="6"/>
  <c r="M71" i="6"/>
  <c r="P72" i="6"/>
  <c r="L72" i="6"/>
  <c r="P71" i="6"/>
  <c r="L71" i="6"/>
  <c r="H71" i="6"/>
  <c r="O72" i="6"/>
  <c r="O71" i="6"/>
  <c r="E38" i="6" l="1"/>
  <c r="E23" i="6" s="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N140"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J126" i="6" s="1"/>
  <c r="J138" i="6" s="1"/>
  <c r="K25" i="10"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K7" i="10"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N6" i="10" s="1"/>
  <c r="I38" i="6"/>
  <c r="I23" i="6" s="1"/>
  <c r="I83" i="6" s="1"/>
  <c r="I140"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P140" i="6" s="1"/>
  <c r="L38" i="6"/>
  <c r="L23" i="6" s="1"/>
  <c r="H38" i="6"/>
  <c r="H23" i="6" s="1"/>
  <c r="H83" i="6" s="1"/>
  <c r="H140"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O7" i="6" s="1"/>
  <c r="K38" i="6"/>
  <c r="K23" i="6" s="1"/>
  <c r="L6" i="10" s="1"/>
  <c r="G38" i="6"/>
  <c r="G23" i="6" s="1"/>
  <c r="H6" i="10" s="1"/>
  <c r="R38" i="6"/>
  <c r="D12" i="10"/>
  <c r="K83" i="6"/>
  <c r="K7" i="6"/>
  <c r="O140" i="6"/>
  <c r="O126" i="6"/>
  <c r="O138" i="6" s="1"/>
  <c r="P25" i="10" s="1"/>
  <c r="P6" i="10"/>
  <c r="O83" i="6"/>
  <c r="G41" i="6"/>
  <c r="H7" i="10"/>
  <c r="L7" i="10"/>
  <c r="K41" i="6"/>
  <c r="P7" i="10"/>
  <c r="O41" i="6"/>
  <c r="I6" i="10"/>
  <c r="H126" i="6"/>
  <c r="H138" i="6" s="1"/>
  <c r="I25" i="10" s="1"/>
  <c r="H7" i="6"/>
  <c r="L138" i="6"/>
  <c r="M25" i="10" s="1"/>
  <c r="M6" i="10"/>
  <c r="L7" i="6"/>
  <c r="L83" i="6"/>
  <c r="L126" i="6"/>
  <c r="L140" i="6"/>
  <c r="P126" i="6"/>
  <c r="P138" i="6" s="1"/>
  <c r="Q25" i="10" s="1"/>
  <c r="H41" i="6"/>
  <c r="I7" i="10"/>
  <c r="I13" i="10" s="1"/>
  <c r="M7" i="10"/>
  <c r="L41" i="6"/>
  <c r="I126" i="6"/>
  <c r="I138" i="6" s="1"/>
  <c r="J25" i="10" s="1"/>
  <c r="M126" i="6"/>
  <c r="M83" i="6"/>
  <c r="M140" i="6" s="1"/>
  <c r="D22" i="6"/>
  <c r="R22" i="6"/>
  <c r="D21" i="6"/>
  <c r="R21" i="6"/>
  <c r="E46" i="6"/>
  <c r="D57" i="6"/>
  <c r="N7" i="10"/>
  <c r="M41" i="6"/>
  <c r="R45" i="6"/>
  <c r="D45" i="6"/>
  <c r="D81" i="6"/>
  <c r="F9" i="10"/>
  <c r="D9" i="10" s="1"/>
  <c r="F10" i="10"/>
  <c r="D10" i="10" s="1"/>
  <c r="R95" i="6"/>
  <c r="D95" i="6"/>
  <c r="F83" i="6"/>
  <c r="F7" i="6"/>
  <c r="G6" i="10"/>
  <c r="F126" i="6"/>
  <c r="F138" i="6" s="1"/>
  <c r="J41" i="6"/>
  <c r="O7" i="10"/>
  <c r="N41" i="6"/>
  <c r="N138" i="6"/>
  <c r="O25" i="10" s="1"/>
  <c r="N83" i="6"/>
  <c r="N7" i="6"/>
  <c r="R131" i="6"/>
  <c r="D131" i="6"/>
  <c r="F29" i="10"/>
  <c r="D29" i="10" s="1"/>
  <c r="D136" i="6"/>
  <c r="G7" i="10"/>
  <c r="F41" i="6"/>
  <c r="I7" i="6" l="1"/>
  <c r="D7" i="6" s="1"/>
  <c r="P83" i="6"/>
  <c r="M7" i="6"/>
  <c r="J6" i="10"/>
  <c r="D6" i="10" s="1"/>
  <c r="K126" i="6"/>
  <c r="K138" i="6" s="1"/>
  <c r="L25" i="10" s="1"/>
  <c r="G7" i="6"/>
  <c r="G126" i="6"/>
  <c r="G138" i="6" s="1"/>
  <c r="K6" i="10"/>
  <c r="K13" i="10" s="1"/>
  <c r="G83" i="6"/>
  <c r="N126" i="6"/>
  <c r="O6" i="10"/>
  <c r="O13" i="10" s="1"/>
  <c r="O24" i="10" s="1"/>
  <c r="J7" i="6"/>
  <c r="M138" i="6"/>
  <c r="N25" i="10" s="1"/>
  <c r="P7" i="6"/>
  <c r="J83" i="6"/>
  <c r="J140" i="6" s="1"/>
  <c r="Q6" i="10"/>
  <c r="D38" i="6"/>
  <c r="D108" i="6"/>
  <c r="Q7" i="10"/>
  <c r="P41" i="6"/>
  <c r="D23" i="6"/>
  <c r="D122" i="6"/>
  <c r="E138" i="6"/>
  <c r="F25" i="10" s="1"/>
  <c r="I41" i="6"/>
  <c r="J7" i="10"/>
  <c r="F8" i="10"/>
  <c r="D8" i="10" s="1"/>
  <c r="R64" i="6"/>
  <c r="D64" i="6"/>
  <c r="F11" i="10"/>
  <c r="D11" i="10" s="1"/>
  <c r="D101" i="6"/>
  <c r="R101" i="6"/>
  <c r="K140" i="6"/>
  <c r="N13" i="10"/>
  <c r="N39" i="10" s="1"/>
  <c r="N40" i="10" s="1"/>
  <c r="M13" i="10"/>
  <c r="P13" i="10"/>
  <c r="L13" i="10"/>
  <c r="R126" i="6"/>
  <c r="H13" i="10"/>
  <c r="H24" i="10" s="1"/>
  <c r="G13" i="10"/>
  <c r="G26" i="10" s="1"/>
  <c r="G28" i="10" s="1"/>
  <c r="G31" i="10" s="1"/>
  <c r="F140" i="6"/>
  <c r="O39" i="10"/>
  <c r="O40" i="10" s="1"/>
  <c r="O41" i="10"/>
  <c r="O36" i="10"/>
  <c r="O33" i="10"/>
  <c r="O31" i="10"/>
  <c r="O37" i="10"/>
  <c r="K24" i="10"/>
  <c r="K26" i="10"/>
  <c r="K28" i="10" s="1"/>
  <c r="K31" i="10" s="1"/>
  <c r="G25" i="10"/>
  <c r="G24" i="10"/>
  <c r="E83" i="6"/>
  <c r="F7" i="10"/>
  <c r="E41" i="6"/>
  <c r="D46" i="6"/>
  <c r="N41" i="10"/>
  <c r="I24" i="10"/>
  <c r="I26" i="10"/>
  <c r="I28" i="10" s="1"/>
  <c r="I31" i="10"/>
  <c r="M24" i="10"/>
  <c r="M26" i="10" s="1"/>
  <c r="M28" i="10" s="1"/>
  <c r="M31" i="10" s="1"/>
  <c r="P36" i="10"/>
  <c r="P34" i="10"/>
  <c r="P39" i="10"/>
  <c r="P40" i="10" s="1"/>
  <c r="P41" i="10"/>
  <c r="G140" i="6" l="1"/>
  <c r="R138" i="6"/>
  <c r="R7" i="6"/>
  <c r="R23" i="6" s="1"/>
  <c r="O35" i="10"/>
  <c r="O26" i="10"/>
  <c r="O28" i="10" s="1"/>
  <c r="D126" i="6"/>
  <c r="J13" i="10"/>
  <c r="Q13" i="10"/>
  <c r="Q33" i="10" s="1"/>
  <c r="O38" i="10"/>
  <c r="O34" i="10"/>
  <c r="Q24" i="10"/>
  <c r="Q26" i="10"/>
  <c r="Q28" i="10" s="1"/>
  <c r="Q31" i="10" s="1"/>
  <c r="Q36" i="10"/>
  <c r="Q35" i="10"/>
  <c r="Q41" i="10"/>
  <c r="J24" i="10"/>
  <c r="J26" i="10"/>
  <c r="J28" i="10" s="1"/>
  <c r="J31" i="10" s="1"/>
  <c r="N35" i="10"/>
  <c r="N36" i="10"/>
  <c r="N34" i="10"/>
  <c r="N24" i="10"/>
  <c r="N26" i="10"/>
  <c r="N28" i="10" s="1"/>
  <c r="N31" i="10"/>
  <c r="N33" i="10"/>
  <c r="N37" i="10"/>
  <c r="N38" i="10"/>
  <c r="H25" i="10"/>
  <c r="D138" i="6"/>
  <c r="L24" i="10"/>
  <c r="L26" i="10" s="1"/>
  <c r="L28" i="10" s="1"/>
  <c r="L31" i="10" s="1"/>
  <c r="P35" i="10"/>
  <c r="P24" i="10"/>
  <c r="P26" i="10" s="1"/>
  <c r="P28" i="10" s="1"/>
  <c r="P31" i="10" s="1"/>
  <c r="P33" i="10"/>
  <c r="P37" i="10"/>
  <c r="P38" i="10"/>
  <c r="D7" i="10"/>
  <c r="F13" i="10"/>
  <c r="D83" i="6"/>
  <c r="E140" i="6"/>
  <c r="D140" i="6" s="1"/>
  <c r="R41" i="6"/>
  <c r="R46" i="6" s="1"/>
  <c r="R83" i="6" s="1"/>
  <c r="D41" i="6"/>
  <c r="Q37" i="10" l="1"/>
  <c r="Q34" i="10"/>
  <c r="Q38" i="10"/>
  <c r="Q39" i="10" s="1"/>
  <c r="Q40" i="10" s="1"/>
  <c r="D25" i="10"/>
  <c r="H26" i="10"/>
  <c r="H28" i="10" s="1"/>
  <c r="H31" i="10" s="1"/>
  <c r="F24" i="10"/>
  <c r="D24" i="10" s="1"/>
  <c r="D13" i="10"/>
  <c r="F26" i="10" l="1"/>
  <c r="F28" i="10" l="1"/>
  <c r="D28" i="10" s="1"/>
  <c r="D26" i="10"/>
  <c r="F31" i="10" l="1"/>
  <c r="D31" i="10" s="1"/>
  <c r="F33" i="10" l="1"/>
  <c r="G33" i="10" l="1"/>
  <c r="F34" i="10"/>
  <c r="F35" i="10"/>
  <c r="F38" i="10" s="1"/>
  <c r="F36" i="10"/>
  <c r="F39" i="10" l="1"/>
  <c r="F40" i="10" s="1"/>
  <c r="F41" i="10"/>
  <c r="F37" i="10"/>
  <c r="H33" i="10"/>
  <c r="G36" i="10"/>
  <c r="G35" i="10"/>
  <c r="G34" i="10"/>
  <c r="G37" i="10" s="1"/>
  <c r="G38" i="10"/>
  <c r="G39" i="10" s="1"/>
  <c r="G40" i="10" s="1"/>
  <c r="G41" i="10" l="1"/>
  <c r="I33" i="10"/>
  <c r="J33" i="10" s="1"/>
  <c r="K33" i="10" s="1"/>
  <c r="H34" i="10"/>
  <c r="H36" i="10"/>
  <c r="H35" i="10"/>
  <c r="H38" i="10" s="1"/>
  <c r="H39" i="10" s="1"/>
  <c r="H40" i="10" s="1"/>
  <c r="H41" i="10"/>
  <c r="I34" i="10"/>
  <c r="L33" i="10" l="1"/>
  <c r="L34" i="10" s="1"/>
  <c r="K35" i="10"/>
  <c r="K36" i="10"/>
  <c r="K34" i="10"/>
  <c r="K38" i="10" s="1"/>
  <c r="I35" i="10"/>
  <c r="I37" i="10" s="1"/>
  <c r="I36" i="10"/>
  <c r="I38" i="10"/>
  <c r="I39" i="10" s="1"/>
  <c r="I40" i="10" s="1"/>
  <c r="L36" i="10"/>
  <c r="L35" i="10"/>
  <c r="H37" i="10"/>
  <c r="J36" i="10"/>
  <c r="J34" i="10"/>
  <c r="J38" i="10" s="1"/>
  <c r="J35" i="10"/>
  <c r="K39" i="10" l="1"/>
  <c r="K40" i="10" s="1"/>
  <c r="D40" i="10" s="1"/>
  <c r="K41" i="10"/>
  <c r="J39" i="10"/>
  <c r="J40" i="10" s="1"/>
  <c r="J41" i="10"/>
  <c r="M33" i="10"/>
  <c r="M34" i="10" s="1"/>
  <c r="I41" i="10"/>
  <c r="K37" i="10"/>
  <c r="J37" i="10"/>
  <c r="L38" i="10"/>
  <c r="L39" i="10" s="1"/>
  <c r="L40" i="10" s="1"/>
  <c r="M35" i="10"/>
  <c r="L37" i="10"/>
  <c r="L41" i="10"/>
  <c r="M37" i="10" l="1"/>
  <c r="M38" i="10"/>
  <c r="M36" i="10"/>
  <c r="M39" i="10" l="1"/>
  <c r="M40" i="10" s="1"/>
  <c r="M41"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<sst xmlns="http://schemas.openxmlformats.org/spreadsheetml/2006/main" count="244" uniqueCount="193">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</sst>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3" fillId="0" borderId="0" xfId="6" applyNumberFormat="1" applyFont="1" applyFill="1" applyBorder="1" applyAlignment="1">
      <alignment horizontal="right"/>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4"/>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1">
        <v>43496</v>
      </c>
      <c r="D2" s="91">
        <f>EOMONTH(C2,1)</f>
        <v>43524</v>
      </c>
      <c r="E2" s="91">
        <f t="shared" ref="E2:N2" si="0">EOMONTH(D2,1)</f>
        <v>43555</v>
      </c>
      <c r="F2" s="91">
        <f t="shared" si="0"/>
        <v>43585</v>
      </c>
      <c r="G2" s="91">
        <f t="shared" si="0"/>
        <v>43616</v>
      </c>
      <c r="H2" s="91">
        <f t="shared" si="0"/>
        <v>43646</v>
      </c>
      <c r="I2" s="91">
        <f t="shared" si="0"/>
        <v>43677</v>
      </c>
      <c r="J2" s="91">
        <f t="shared" si="0"/>
        <v>43708</v>
      </c>
      <c r="K2" s="91">
        <f t="shared" si="0"/>
        <v>43738</v>
      </c>
      <c r="L2" s="91">
        <f t="shared" si="0"/>
        <v>43769</v>
      </c>
      <c r="M2" s="91">
        <f t="shared" si="0"/>
        <v>43799</v>
      </c>
      <c r="N2" s="91">
        <f t="shared" si="0"/>
        <v>43830</v>
      </c>
    </row>
    <row r="3" spans="1:15">
      <c r="A3" s="26" t="s">
        <v>161</v>
      </c>
      <c r="C3" s="222"/>
      <c r="D3" s="222"/>
      <c r="E3" s="222"/>
      <c r="F3" s="222"/>
      <c r="G3" s="222"/>
      <c r="H3" s="222"/>
      <c r="I3" s="222"/>
      <c r="J3" s="222"/>
      <c r="K3" s="222"/>
      <c r="L3" s="222"/>
      <c r="M3" s="222"/>
      <c r="N3" s="222"/>
    </row>
    <row r="4" spans="1:15">
      <c r="B4" s="79" t="s">
        <v>11</v>
      </c>
      <c r="C4" s="81"/>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168</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7" t="s">
        <v>184</v>
      </c>
    </row>
    <row r="13" spans="1:15">
      <c r="A13" s="226">
        <f>'WA Summary '!A27</f>
        <v>21</v>
      </c>
      <c r="B13" s="2" t="s">
        <v>71</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154</v>
      </c>
      <c r="C17" s="222"/>
      <c r="D17" s="222"/>
      <c r="E17" s="222"/>
      <c r="F17" s="222"/>
      <c r="G17" s="222"/>
      <c r="H17" s="222"/>
      <c r="I17" s="222"/>
      <c r="J17" s="222"/>
      <c r="K17" s="222"/>
      <c r="L17" s="222"/>
      <c r="M17" s="222"/>
      <c r="N17" s="222"/>
    </row>
    <row r="18" spans="1:16">
      <c r="B18" s="53" t="s">
        <v>12</v>
      </c>
      <c r="C18" s="82"/>
      <c r="D18" s="82"/>
      <c r="E18" s="82"/>
      <c r="F18" s="82"/>
      <c r="G18" s="82"/>
      <c r="H18" s="82"/>
      <c r="I18" s="82"/>
      <c r="J18" s="82"/>
      <c r="K18" s="82"/>
      <c r="L18" s="82"/>
      <c r="M18" s="82"/>
      <c r="N18" s="82"/>
    </row>
    <row r="19" spans="1:16">
      <c r="A19" s="69">
        <f>'WA Monthly'!A8</f>
        <v>2</v>
      </c>
      <c r="B19" s="2" t="s">
        <v>107</v>
      </c>
      <c r="C19" s="82">
        <v>1277784.8999999999</v>
      </c>
      <c r="D19" s="82">
        <v>1277784.8999999999</v>
      </c>
      <c r="E19" s="82">
        <v>1277784.8999999999</v>
      </c>
      <c r="F19" s="82">
        <v>1277784.8999999999</v>
      </c>
      <c r="G19" s="82">
        <v>1277784.8999999999</v>
      </c>
      <c r="H19" s="82">
        <v>1277784.8999999999</v>
      </c>
      <c r="I19" s="82">
        <v>1277784.8999999999</v>
      </c>
      <c r="J19" s="82"/>
      <c r="K19" s="82"/>
      <c r="L19" s="82"/>
      <c r="M19" s="82"/>
      <c r="N19" s="82"/>
    </row>
    <row r="20" spans="1:16">
      <c r="A20" s="69">
        <f>'WA Monthly'!A9</f>
        <v>3</v>
      </c>
      <c r="B20" s="2" t="s">
        <v>108</v>
      </c>
      <c r="C20" s="82">
        <v>63699</v>
      </c>
      <c r="D20" s="82">
        <f>55712.62-3.62</f>
        <v>55709</v>
      </c>
      <c r="E20" s="82">
        <f>57608.21-18.21</f>
        <v>57590</v>
      </c>
      <c r="F20" s="82">
        <f>40007.9-9.9</f>
        <v>39998</v>
      </c>
      <c r="G20" s="82">
        <f>67642.99-8.99</f>
        <v>67634</v>
      </c>
      <c r="H20" s="82">
        <f>57534.67-8.67</f>
        <v>57526</v>
      </c>
      <c r="I20" s="82">
        <f>121259.95-15.95</f>
        <v>121244</v>
      </c>
      <c r="J20" s="82"/>
      <c r="K20" s="82"/>
      <c r="L20" s="89"/>
      <c r="M20" s="82"/>
      <c r="N20" s="82"/>
    </row>
    <row r="21" spans="1:16">
      <c r="A21" s="69">
        <f>'WA Monthly'!A10</f>
        <v>4</v>
      </c>
      <c r="B21" s="90" t="s">
        <v>186</v>
      </c>
      <c r="C21" s="82">
        <v>152948</v>
      </c>
      <c r="D21" s="82">
        <v>152948</v>
      </c>
      <c r="E21" s="82">
        <v>152948</v>
      </c>
      <c r="F21" s="82">
        <v>152948</v>
      </c>
      <c r="G21" s="82">
        <v>152948</v>
      </c>
      <c r="H21" s="82">
        <v>152948</v>
      </c>
      <c r="I21" s="82">
        <v>152948</v>
      </c>
      <c r="J21" s="82"/>
      <c r="K21" s="82"/>
      <c r="L21" s="82"/>
      <c r="M21" s="82"/>
      <c r="N21" s="82"/>
    </row>
    <row r="22" spans="1:16">
      <c r="A22" s="69">
        <f>'WA Monthly'!A11</f>
        <v>5</v>
      </c>
      <c r="B22" s="2" t="s">
        <v>109</v>
      </c>
      <c r="C22" s="82">
        <v>776465.53</v>
      </c>
      <c r="D22" s="82">
        <v>776465.53</v>
      </c>
      <c r="E22" s="82">
        <v>776465.53</v>
      </c>
      <c r="F22" s="82">
        <f>776465.53+120036.48</f>
        <v>896502.01</v>
      </c>
      <c r="G22" s="82">
        <v>776465.53</v>
      </c>
      <c r="H22" s="82">
        <v>776465.53</v>
      </c>
      <c r="I22" s="82">
        <v>776465.53</v>
      </c>
      <c r="J22" s="82"/>
      <c r="K22" s="82"/>
      <c r="L22" s="82"/>
      <c r="M22" s="82"/>
      <c r="N22" s="82"/>
    </row>
    <row r="23" spans="1:16" ht="14.25">
      <c r="A23" s="69">
        <f>'WA Monthly'!A12</f>
        <v>6</v>
      </c>
      <c r="B23" s="3" t="s">
        <v>110</v>
      </c>
      <c r="C23" s="82">
        <v>2751195.2</v>
      </c>
      <c r="D23" s="82">
        <v>2485973.0499999998</v>
      </c>
      <c r="E23" s="82">
        <v>1358265.8</v>
      </c>
      <c r="F23" s="82">
        <v>1315483.6200000001</v>
      </c>
      <c r="G23" s="83"/>
      <c r="H23" s="83"/>
      <c r="I23" s="83"/>
      <c r="J23" s="83"/>
      <c r="K23" s="83"/>
      <c r="L23" s="83"/>
      <c r="M23" s="82"/>
      <c r="N23" s="82"/>
    </row>
    <row r="24" spans="1:16">
      <c r="A24" s="69">
        <f>'WA Monthly'!A13</f>
        <v>7</v>
      </c>
      <c r="B24" s="4" t="s">
        <v>104</v>
      </c>
      <c r="C24" s="82">
        <v>972.75</v>
      </c>
      <c r="D24" s="82">
        <v>1128.1500000000001</v>
      </c>
      <c r="E24" s="82">
        <v>1325.55</v>
      </c>
      <c r="F24" s="82">
        <v>1014.75</v>
      </c>
      <c r="G24" s="82">
        <v>699.75</v>
      </c>
      <c r="H24" s="82">
        <v>632.54999999999995</v>
      </c>
      <c r="I24" s="82">
        <v>615.75</v>
      </c>
      <c r="J24" s="82"/>
      <c r="K24" s="82"/>
      <c r="L24" s="82"/>
      <c r="M24" s="82"/>
      <c r="N24" s="82"/>
    </row>
    <row r="25" spans="1:16">
      <c r="A25" s="69">
        <f>'WA Monthly'!A14</f>
        <v>8</v>
      </c>
      <c r="B25" s="26" t="s">
        <v>160</v>
      </c>
      <c r="C25" s="83">
        <f>SUM(C26:C34)</f>
        <v>137300.57999999999</v>
      </c>
      <c r="D25" s="83">
        <f t="shared" ref="D25:N25" si="1">SUM(D26:D34)</f>
        <v>160032.42000000001</v>
      </c>
      <c r="E25" s="83">
        <f t="shared" si="1"/>
        <v>130122.17</v>
      </c>
      <c r="F25" s="83">
        <f t="shared" si="1"/>
        <v>164292.48000000001</v>
      </c>
      <c r="G25" s="83">
        <f t="shared" si="1"/>
        <v>134891.76999999999</v>
      </c>
      <c r="H25" s="83">
        <f t="shared" si="1"/>
        <v>155758.5</v>
      </c>
      <c r="I25" s="83">
        <f t="shared" si="1"/>
        <v>115370.6</v>
      </c>
      <c r="J25" s="83">
        <f t="shared" si="1"/>
        <v>0</v>
      </c>
      <c r="K25" s="83">
        <f t="shared" si="1"/>
        <v>0</v>
      </c>
      <c r="L25" s="83">
        <f t="shared" si="1"/>
        <v>0</v>
      </c>
      <c r="M25" s="83">
        <f t="shared" si="1"/>
        <v>0</v>
      </c>
      <c r="N25" s="83">
        <f t="shared" si="1"/>
        <v>0</v>
      </c>
      <c r="P25" s="28"/>
    </row>
    <row r="26" spans="1:16">
      <c r="A26" s="69"/>
      <c r="B26" s="107" t="s">
        <v>156</v>
      </c>
      <c r="C26" s="82">
        <v>45091.94</v>
      </c>
      <c r="D26" s="82">
        <v>67920.259999999995</v>
      </c>
      <c r="E26" s="82">
        <v>34371.32</v>
      </c>
      <c r="F26" s="82">
        <v>39655.11</v>
      </c>
      <c r="G26" s="82">
        <v>22920.15</v>
      </c>
      <c r="H26" s="82">
        <v>6604.13</v>
      </c>
      <c r="I26" s="82">
        <v>0</v>
      </c>
      <c r="J26" s="82"/>
      <c r="K26" s="82"/>
      <c r="L26" s="82"/>
      <c r="M26" s="82"/>
      <c r="N26" s="82"/>
    </row>
    <row r="27" spans="1:16">
      <c r="A27" s="69"/>
      <c r="B27" s="107" t="s">
        <v>157</v>
      </c>
      <c r="C27" s="82">
        <v>19969.13</v>
      </c>
      <c r="D27" s="82">
        <v>29435.3</v>
      </c>
      <c r="E27" s="82">
        <v>34590.26</v>
      </c>
      <c r="F27" s="82">
        <v>33560.660000000003</v>
      </c>
      <c r="G27" s="82">
        <v>16319.03</v>
      </c>
      <c r="H27" s="82">
        <v>38805.160000000003</v>
      </c>
      <c r="I27" s="82">
        <v>36045.370000000003</v>
      </c>
      <c r="J27" s="82"/>
      <c r="K27" s="82"/>
      <c r="L27" s="82"/>
      <c r="M27" s="82"/>
      <c r="N27" s="82"/>
    </row>
    <row r="28" spans="1:16">
      <c r="A28" s="69"/>
      <c r="B28" s="107" t="s">
        <v>172</v>
      </c>
      <c r="C28" s="82">
        <v>0</v>
      </c>
      <c r="D28" s="82">
        <v>0</v>
      </c>
      <c r="E28" s="82">
        <v>0</v>
      </c>
      <c r="F28" s="82">
        <v>0</v>
      </c>
      <c r="G28" s="82">
        <v>492.56</v>
      </c>
      <c r="H28" s="82">
        <v>196.8</v>
      </c>
      <c r="I28" s="82">
        <v>0</v>
      </c>
      <c r="J28" s="82"/>
      <c r="K28" s="82"/>
      <c r="L28" s="82"/>
      <c r="M28" s="82"/>
      <c r="N28" s="82"/>
    </row>
    <row r="29" spans="1:16">
      <c r="A29" s="69"/>
      <c r="B29" s="107" t="s">
        <v>158</v>
      </c>
      <c r="C29" s="82">
        <v>18757.740000000002</v>
      </c>
      <c r="D29" s="82">
        <v>16042.72</v>
      </c>
      <c r="E29" s="82">
        <v>10386.41</v>
      </c>
      <c r="F29" s="82">
        <v>13493.53</v>
      </c>
      <c r="G29" s="82">
        <v>14316.55</v>
      </c>
      <c r="H29" s="82">
        <v>10954.78</v>
      </c>
      <c r="I29" s="82">
        <v>16951.59</v>
      </c>
      <c r="J29" s="82"/>
      <c r="K29" s="82"/>
      <c r="L29" s="82"/>
      <c r="M29" s="82"/>
      <c r="N29" s="82"/>
    </row>
    <row r="30" spans="1:16">
      <c r="A30" s="69"/>
      <c r="B30" s="229" t="s">
        <v>175</v>
      </c>
      <c r="C30" s="82">
        <v>372.4</v>
      </c>
      <c r="D30" s="82">
        <v>442.15</v>
      </c>
      <c r="E30" s="82">
        <v>266.92</v>
      </c>
      <c r="F30" s="82">
        <v>1468.03</v>
      </c>
      <c r="G30" s="82">
        <v>2118.46</v>
      </c>
      <c r="H30" s="82">
        <f>9669.65+22909.7</f>
        <v>32579.35</v>
      </c>
      <c r="I30" s="82">
        <v>5097.67</v>
      </c>
      <c r="J30" s="82"/>
      <c r="K30" s="82"/>
      <c r="L30" s="82"/>
      <c r="M30" s="82"/>
      <c r="N30" s="82"/>
    </row>
    <row r="31" spans="1:16">
      <c r="A31" s="69"/>
      <c r="B31" s="229" t="s">
        <v>176</v>
      </c>
      <c r="C31" s="82">
        <v>44025.8</v>
      </c>
      <c r="D31" s="82">
        <v>39863.53</v>
      </c>
      <c r="E31" s="82">
        <v>42093.26</v>
      </c>
      <c r="F31" s="82">
        <v>51051.61</v>
      </c>
      <c r="G31" s="82">
        <v>52272.78</v>
      </c>
      <c r="H31" s="82">
        <v>38457.279999999999</v>
      </c>
      <c r="I31" s="82">
        <v>31026.97</v>
      </c>
      <c r="J31" s="82"/>
      <c r="K31" s="82"/>
      <c r="L31" s="82"/>
      <c r="M31" s="82"/>
      <c r="N31" s="82"/>
    </row>
    <row r="32" spans="1:16">
      <c r="A32" s="69"/>
      <c r="B32" s="107" t="s">
        <v>159</v>
      </c>
      <c r="C32" s="82">
        <v>7249.71</v>
      </c>
      <c r="D32" s="82">
        <v>4923.28</v>
      </c>
      <c r="E32" s="82">
        <v>3706.13</v>
      </c>
      <c r="F32" s="82">
        <v>4163.99</v>
      </c>
      <c r="G32" s="82">
        <v>3820.6</v>
      </c>
      <c r="H32" s="82">
        <v>3820.6</v>
      </c>
      <c r="I32" s="82">
        <v>4748.3</v>
      </c>
      <c r="J32" s="82"/>
      <c r="K32" s="82"/>
      <c r="L32" s="82"/>
      <c r="M32" s="82"/>
      <c r="N32" s="82"/>
    </row>
    <row r="33" spans="1:14">
      <c r="A33" s="69"/>
      <c r="B33" s="229" t="s">
        <v>189</v>
      </c>
      <c r="C33" s="82">
        <f>2442.12-452.88-694.24</f>
        <v>1295</v>
      </c>
      <c r="D33" s="82">
        <f>2546.04-1144.84</f>
        <v>1401.2</v>
      </c>
      <c r="E33" s="82">
        <f>4849.2-141.33</f>
        <v>4707.87</v>
      </c>
      <c r="F33" s="82">
        <f>20972.79-753.83</f>
        <v>20218.96</v>
      </c>
      <c r="G33" s="82">
        <f>20326.23-433.97</f>
        <v>19892.259999999998</v>
      </c>
      <c r="H33" s="82">
        <f>22548.78+535.62</f>
        <v>23084.400000000001</v>
      </c>
      <c r="I33" s="82">
        <f>21563.4-396.75</f>
        <v>21166.65</v>
      </c>
      <c r="J33" s="82"/>
      <c r="K33" s="82"/>
      <c r="L33" s="82"/>
      <c r="M33" s="82"/>
      <c r="N33" s="82"/>
    </row>
    <row r="34" spans="1:14">
      <c r="A34" s="69"/>
      <c r="B34" s="229" t="s">
        <v>177</v>
      </c>
      <c r="C34" s="82">
        <v>538.86</v>
      </c>
      <c r="D34" s="82">
        <v>3.98</v>
      </c>
      <c r="E34" s="82">
        <v>0</v>
      </c>
      <c r="F34" s="82">
        <v>680.59</v>
      </c>
      <c r="G34" s="82">
        <v>2739.38</v>
      </c>
      <c r="H34" s="82">
        <v>1256</v>
      </c>
      <c r="I34" s="82">
        <v>334.05</v>
      </c>
      <c r="J34" s="82"/>
      <c r="K34" s="82"/>
      <c r="L34" s="82"/>
      <c r="M34" s="82"/>
      <c r="N34" s="82"/>
    </row>
    <row r="35" spans="1:14">
      <c r="A35" s="69">
        <f>'WA Monthly'!A15</f>
        <v>9</v>
      </c>
      <c r="B35" s="87" t="s">
        <v>178</v>
      </c>
      <c r="C35" s="82">
        <v>175035.12</v>
      </c>
      <c r="D35" s="82">
        <v>112638.76</v>
      </c>
      <c r="E35" s="82">
        <v>116166.06</v>
      </c>
      <c r="F35" s="82">
        <v>88987.12</v>
      </c>
      <c r="G35" s="82">
        <v>158545.45000000001</v>
      </c>
      <c r="H35" s="82">
        <v>160694.01999999999</v>
      </c>
      <c r="I35" s="82">
        <v>223005.45</v>
      </c>
      <c r="J35" s="82"/>
      <c r="K35" s="82"/>
      <c r="L35" s="82"/>
      <c r="M35" s="82"/>
      <c r="N35" s="82"/>
    </row>
    <row r="36" spans="1:14">
      <c r="A36" s="69">
        <f>'WA Monthly'!A16</f>
        <v>10</v>
      </c>
      <c r="B36" s="3" t="s">
        <v>162</v>
      </c>
      <c r="C36" s="82">
        <v>278635.32</v>
      </c>
      <c r="D36" s="82">
        <v>269106.84000000003</v>
      </c>
      <c r="E36" s="82">
        <v>250887.28</v>
      </c>
      <c r="F36" s="82">
        <v>301773.88</v>
      </c>
      <c r="G36" s="82">
        <v>332524.64</v>
      </c>
      <c r="H36" s="82">
        <v>204947.84</v>
      </c>
      <c r="I36" s="82">
        <v>14117.72</v>
      </c>
      <c r="J36" s="82"/>
      <c r="K36" s="82"/>
      <c r="L36" s="82"/>
      <c r="M36" s="82"/>
      <c r="N36" s="82"/>
    </row>
    <row r="37" spans="1:14">
      <c r="A37" s="69">
        <f>'WA Monthly'!A17</f>
        <v>11</v>
      </c>
      <c r="B37" s="87" t="s">
        <v>179</v>
      </c>
      <c r="C37" s="82">
        <v>584639.31000000006</v>
      </c>
      <c r="D37" s="82">
        <v>427257.45</v>
      </c>
      <c r="E37" s="82">
        <v>466708.23</v>
      </c>
      <c r="F37" s="82">
        <v>424403.25</v>
      </c>
      <c r="G37" s="82">
        <v>265005.51</v>
      </c>
      <c r="H37" s="82">
        <v>390567</v>
      </c>
      <c r="I37" s="82">
        <v>482286.42</v>
      </c>
      <c r="J37" s="82"/>
      <c r="K37" s="82"/>
      <c r="L37" s="82"/>
      <c r="M37" s="82"/>
      <c r="N37" s="82"/>
    </row>
    <row r="38" spans="1:14">
      <c r="A38" s="69">
        <f>'WA Monthly'!A18</f>
        <v>12</v>
      </c>
      <c r="B38" s="87" t="s">
        <v>180</v>
      </c>
      <c r="C38" s="82">
        <v>1297.3</v>
      </c>
      <c r="D38" s="82">
        <v>1363.61</v>
      </c>
      <c r="E38" s="82">
        <v>1396.76</v>
      </c>
      <c r="F38" s="82">
        <v>1286.24</v>
      </c>
      <c r="G38" s="82">
        <v>954.68</v>
      </c>
      <c r="H38" s="82">
        <v>1186.78</v>
      </c>
      <c r="I38" s="82">
        <v>1002.58</v>
      </c>
      <c r="J38" s="82"/>
      <c r="K38" s="82"/>
      <c r="L38" s="82"/>
      <c r="M38" s="82"/>
      <c r="N38" s="82"/>
    </row>
    <row r="39" spans="1:14">
      <c r="A39" s="69">
        <f>'WA Monthly'!A19</f>
        <v>13</v>
      </c>
      <c r="B39" s="3" t="s">
        <v>105</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f>2082486.94+73.32+18182.77</f>
        <v>2100743.0299999998</v>
      </c>
      <c r="I39" s="82">
        <f>2349575.43+55.06+12384.74</f>
        <v>2362015.23</v>
      </c>
      <c r="J39" s="82"/>
      <c r="K39" s="82"/>
      <c r="L39" s="88"/>
      <c r="M39" s="82"/>
      <c r="N39" s="82"/>
    </row>
    <row r="40" spans="1:14">
      <c r="A40" s="69">
        <f>'WA Monthly'!A20</f>
        <v>14</v>
      </c>
      <c r="B40" s="3" t="s">
        <v>116</v>
      </c>
      <c r="C40" s="82">
        <v>1921037.05</v>
      </c>
      <c r="D40" s="82">
        <v>1708935.75</v>
      </c>
      <c r="E40" s="82">
        <v>1266883.6499999999</v>
      </c>
      <c r="F40" s="82">
        <v>2031088.45</v>
      </c>
      <c r="G40" s="82">
        <v>1632367.55</v>
      </c>
      <c r="H40" s="82">
        <v>1626458.75</v>
      </c>
      <c r="I40" s="82">
        <v>1146307.2</v>
      </c>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30">
        <f>60320*(46.15-45.61)</f>
        <v>32572.799999999999</v>
      </c>
      <c r="D42" s="230">
        <f>54505*(46.15-45.61)</f>
        <v>29432.7</v>
      </c>
      <c r="E42" s="230">
        <f>29780*(46.15-45.61)</f>
        <v>16081.2</v>
      </c>
      <c r="F42" s="230">
        <f>28842*(46.15-45.61)</f>
        <v>15574.68</v>
      </c>
      <c r="G42" s="83"/>
      <c r="H42" s="83"/>
      <c r="I42" s="83"/>
      <c r="J42" s="83"/>
      <c r="K42" s="83"/>
      <c r="L42" s="83"/>
      <c r="M42" s="230"/>
      <c r="N42" s="230"/>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v>-61644.24</v>
      </c>
      <c r="I45" s="82">
        <v>-104421.66</v>
      </c>
      <c r="J45" s="82"/>
      <c r="K45" s="82"/>
      <c r="L45" s="82"/>
      <c r="M45" s="82"/>
      <c r="N45" s="82"/>
    </row>
    <row r="46" spans="1:14">
      <c r="A46" s="69">
        <f>'WA Monthly'!A43</f>
        <v>20</v>
      </c>
      <c r="B46" s="3" t="s">
        <v>165</v>
      </c>
      <c r="C46" s="82">
        <f>-SUM(5766+3032.44+3032.44+972.75)</f>
        <v>-12803.63</v>
      </c>
      <c r="D46" s="85">
        <f>-SUM(907.75+5208+2752.09+2752.09)</f>
        <v>-11619.93</v>
      </c>
      <c r="E46" s="82">
        <f>-SUM(5758.25+2999.03+2999.03+906.25)</f>
        <v>-12662.56</v>
      </c>
      <c r="F46" s="82">
        <f>-SUM(5580+2942.55+2942.55+959)</f>
        <v>-12424.1</v>
      </c>
      <c r="G46" s="82">
        <f>-SUM(593+5766+2861.55+2861.55)</f>
        <v>-12082.1</v>
      </c>
      <c r="H46" s="82">
        <f>-SUM(774+5580+2859.3+2859.3)</f>
        <v>-12072.6</v>
      </c>
      <c r="I46" s="82">
        <f>-SUM(795.75+5766+2952.79+2952.79)</f>
        <v>-12467.33</v>
      </c>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f>-SUM(8225.33+8225.33+20471.92+6066.79+6066.79+5400)</f>
        <v>-54456.160000000003</v>
      </c>
      <c r="I47" s="82">
        <f>-SUM(8588.14+8588.14+21374.92+4424.74+4424.74+5580)</f>
        <v>-52980.68</v>
      </c>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v>0</v>
      </c>
      <c r="G50" s="142">
        <v>0</v>
      </c>
      <c r="H50" s="142">
        <v>22799</v>
      </c>
      <c r="I50" s="142">
        <v>54446</v>
      </c>
      <c r="J50" s="142"/>
      <c r="K50" s="142"/>
      <c r="L50" s="142"/>
      <c r="M50" s="142"/>
      <c r="N50" s="142"/>
    </row>
    <row r="51" spans="1:14">
      <c r="A51" s="69">
        <f>'WA Monthly'!A68</f>
        <v>30</v>
      </c>
      <c r="B51" s="4" t="s">
        <v>25</v>
      </c>
      <c r="C51" s="142">
        <v>94382</v>
      </c>
      <c r="D51" s="142">
        <v>84400</v>
      </c>
      <c r="E51" s="142">
        <v>99623</v>
      </c>
      <c r="F51" s="142">
        <v>69067</v>
      </c>
      <c r="G51" s="142">
        <v>42755</v>
      </c>
      <c r="H51" s="142">
        <v>66682</v>
      </c>
      <c r="I51" s="142">
        <v>79898</v>
      </c>
      <c r="J51" s="142"/>
      <c r="K51" s="142"/>
      <c r="L51" s="142"/>
      <c r="M51" s="142"/>
      <c r="N51" s="142"/>
    </row>
    <row r="52" spans="1:14">
      <c r="C52" s="82"/>
      <c r="D52" s="82"/>
      <c r="E52" s="82"/>
      <c r="F52" s="82"/>
      <c r="G52" s="82"/>
      <c r="H52" s="82"/>
      <c r="I52" s="82"/>
      <c r="J52" s="82"/>
      <c r="K52" s="82"/>
      <c r="L52" s="82"/>
      <c r="M52" s="82"/>
      <c r="N52" s="82"/>
    </row>
    <row r="53" spans="1:14">
      <c r="A53" s="26" t="s">
        <v>167</v>
      </c>
      <c r="C53" s="82"/>
      <c r="D53" s="82"/>
      <c r="E53" s="82"/>
      <c r="F53" s="82"/>
      <c r="G53" s="82"/>
      <c r="H53" s="82"/>
      <c r="I53" s="82"/>
      <c r="J53" s="82"/>
      <c r="K53" s="82"/>
      <c r="L53" s="82"/>
      <c r="M53" s="82"/>
      <c r="N53" s="82"/>
    </row>
    <row r="54" spans="1:14">
      <c r="A54" s="69">
        <v>8</v>
      </c>
      <c r="B54" s="117" t="s">
        <v>163</v>
      </c>
      <c r="C54" s="142">
        <f>547354540/1000</f>
        <v>547355</v>
      </c>
      <c r="D54" s="142">
        <f>516536325/1000</f>
        <v>516536</v>
      </c>
      <c r="E54" s="142">
        <f>544642265/1000</f>
        <v>544642</v>
      </c>
      <c r="F54" s="142">
        <f>444134378/1000</f>
        <v>444134</v>
      </c>
      <c r="G54" s="142">
        <f>407170729/1000</f>
        <v>407171</v>
      </c>
      <c r="H54" s="142">
        <f>418743394/1000</f>
        <v>418743</v>
      </c>
      <c r="I54" s="142">
        <f>447379893/1000</f>
        <v>447380</v>
      </c>
      <c r="J54" s="142"/>
      <c r="K54" s="142"/>
      <c r="L54" s="142"/>
      <c r="M54" s="142"/>
      <c r="N54" s="142"/>
    </row>
    <row r="55" spans="1:14">
      <c r="A55" s="69">
        <v>10</v>
      </c>
      <c r="B55" s="117" t="s">
        <v>164</v>
      </c>
      <c r="C55" s="142">
        <f>304564103/1000</f>
        <v>304564</v>
      </c>
      <c r="D55" s="142">
        <f>295588877/1000</f>
        <v>295589</v>
      </c>
      <c r="E55" s="142">
        <f>262440569/1000</f>
        <v>262441</v>
      </c>
      <c r="F55" s="142">
        <f>226759106/1000</f>
        <v>226759</v>
      </c>
      <c r="G55" s="142">
        <f>245868144/1000</f>
        <v>245868</v>
      </c>
      <c r="H55" s="142">
        <f>256647990/1000</f>
        <v>256648</v>
      </c>
      <c r="I55" s="142">
        <f>283504589/1000</f>
        <v>283505</v>
      </c>
      <c r="J55" s="142"/>
      <c r="K55" s="142"/>
      <c r="L55" s="142"/>
      <c r="M55" s="142"/>
      <c r="N55" s="142"/>
    </row>
    <row r="56" spans="1:14">
      <c r="A56" s="69">
        <v>12</v>
      </c>
      <c r="B56" s="117" t="s">
        <v>132</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9">
        <v>14</v>
      </c>
      <c r="B57" s="117" t="s">
        <v>133</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row r="321" spans="3:14">
      <c r="C321" s="82"/>
      <c r="D321" s="82"/>
      <c r="E321" s="82"/>
      <c r="F321" s="82"/>
      <c r="G321" s="82"/>
      <c r="H321" s="82"/>
      <c r="I321" s="82"/>
      <c r="J321" s="82"/>
      <c r="K321" s="82"/>
      <c r="L321" s="82"/>
      <c r="M321" s="82"/>
      <c r="N321" s="82"/>
    </row>
    <row r="322" spans="3:14">
      <c r="C322" s="82"/>
      <c r="D322" s="82"/>
      <c r="E322" s="82"/>
      <c r="F322" s="82"/>
      <c r="G322" s="82"/>
      <c r="H322" s="82"/>
      <c r="I322" s="82"/>
      <c r="J322" s="82"/>
      <c r="K322" s="82"/>
      <c r="L322" s="82"/>
      <c r="M322" s="82"/>
      <c r="N322" s="82"/>
    </row>
    <row r="323" spans="3:14">
      <c r="C323" s="82"/>
      <c r="D323" s="82"/>
      <c r="E323" s="82"/>
      <c r="F323" s="82"/>
      <c r="G323" s="82"/>
      <c r="H323" s="82"/>
      <c r="I323" s="82"/>
      <c r="J323" s="82"/>
      <c r="K323" s="82"/>
      <c r="L323" s="82"/>
      <c r="M323" s="82"/>
      <c r="N323" s="82"/>
    </row>
    <row r="324" spans="3:14">
      <c r="C324" s="82"/>
      <c r="D324" s="82"/>
      <c r="E324" s="82"/>
      <c r="F324" s="82"/>
      <c r="G324" s="82"/>
      <c r="H324" s="82"/>
      <c r="I324" s="82"/>
      <c r="J324" s="82"/>
      <c r="K324" s="82"/>
      <c r="L324" s="82"/>
      <c r="M324" s="82"/>
      <c r="N324"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Normal="100" workbookViewId="0">
      <pane xSplit="3" ySplit="5" topLeftCell="D6"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13" t="s">
        <v>73</v>
      </c>
      <c r="B1" s="213"/>
      <c r="C1" s="213"/>
      <c r="D1" s="213"/>
      <c r="E1" s="213"/>
      <c r="F1" s="213"/>
      <c r="G1" s="213"/>
      <c r="H1" s="213"/>
      <c r="I1" s="213"/>
      <c r="J1" s="213"/>
      <c r="K1" s="213"/>
      <c r="L1" s="213"/>
      <c r="M1" s="213"/>
      <c r="N1" s="213"/>
      <c r="O1" s="213"/>
      <c r="P1" s="213"/>
      <c r="Q1" s="213"/>
    </row>
    <row r="2" spans="1:19" ht="15.75">
      <c r="A2" s="214" t="s">
        <v>30</v>
      </c>
      <c r="B2" s="214"/>
      <c r="C2" s="214"/>
      <c r="D2" s="214"/>
      <c r="E2" s="214"/>
      <c r="F2" s="214"/>
      <c r="G2" s="214"/>
      <c r="H2" s="214"/>
      <c r="I2" s="214"/>
      <c r="J2" s="214"/>
      <c r="K2" s="214"/>
      <c r="L2" s="214"/>
      <c r="M2" s="214"/>
      <c r="N2" s="214"/>
      <c r="O2" s="214"/>
      <c r="P2" s="214"/>
      <c r="Q2" s="214"/>
    </row>
    <row r="3" spans="1:19">
      <c r="A3" s="63" t="s">
        <v>0</v>
      </c>
    </row>
    <row r="4" spans="1:19">
      <c r="A4" s="9" t="s">
        <v>1</v>
      </c>
      <c r="F4" s="86"/>
      <c r="G4" s="86"/>
      <c r="H4" s="86"/>
      <c r="I4" s="86"/>
      <c r="J4" s="86"/>
      <c r="K4" s="86"/>
      <c r="L4" s="86"/>
      <c r="M4" s="86"/>
      <c r="N4" s="86"/>
      <c r="O4" s="86"/>
      <c r="P4" s="86"/>
      <c r="Q4" s="86"/>
    </row>
    <row r="5" spans="1:19">
      <c r="B5" s="79" t="s">
        <v>74</v>
      </c>
      <c r="C5" s="62"/>
      <c r="D5" s="215" t="s">
        <v>9</v>
      </c>
      <c r="E5" s="215"/>
      <c r="F5" s="91">
        <v>43496</v>
      </c>
      <c r="G5" s="91">
        <f>EOMONTH(F5,1)</f>
        <v>43524</v>
      </c>
      <c r="H5" s="91">
        <f t="shared" ref="H5:Q5" si="0">EOMONTH(G5,1)</f>
        <v>43555</v>
      </c>
      <c r="I5" s="91">
        <f t="shared" si="0"/>
        <v>43585</v>
      </c>
      <c r="J5" s="91">
        <f t="shared" si="0"/>
        <v>43616</v>
      </c>
      <c r="K5" s="91">
        <f t="shared" si="0"/>
        <v>43646</v>
      </c>
      <c r="L5" s="91">
        <f t="shared" si="0"/>
        <v>43677</v>
      </c>
      <c r="M5" s="91">
        <f t="shared" si="0"/>
        <v>43708</v>
      </c>
      <c r="N5" s="91">
        <f t="shared" si="0"/>
        <v>43738</v>
      </c>
      <c r="O5" s="91">
        <f t="shared" si="0"/>
        <v>43769</v>
      </c>
      <c r="P5" s="91">
        <f t="shared" si="0"/>
        <v>43799</v>
      </c>
      <c r="Q5" s="91">
        <f t="shared" si="0"/>
        <v>43830</v>
      </c>
    </row>
    <row r="6" spans="1:19" ht="15.95" customHeight="1">
      <c r="A6" s="9">
        <v>1</v>
      </c>
      <c r="B6" s="2" t="s">
        <v>3</v>
      </c>
      <c r="D6" s="216">
        <f>SUM(F6:Q6)</f>
        <v>81459938</v>
      </c>
      <c r="E6" s="216"/>
      <c r="F6" s="15">
        <f>'WA Monthly'!E23</f>
        <v>13287337</v>
      </c>
      <c r="G6" s="15">
        <f>'WA Monthly'!F23</f>
        <v>12471420</v>
      </c>
      <c r="H6" s="15">
        <f>'WA Monthly'!G23</f>
        <v>15020181</v>
      </c>
      <c r="I6" s="15">
        <f>'WA Monthly'!H23</f>
        <v>10654380</v>
      </c>
      <c r="J6" s="15">
        <f>'WA Monthly'!I23</f>
        <v>9382490</v>
      </c>
      <c r="K6" s="15">
        <f>'WA Monthly'!J23</f>
        <v>10767043</v>
      </c>
      <c r="L6" s="15">
        <f>'WA Monthly'!K23</f>
        <v>9877087</v>
      </c>
      <c r="M6" s="15">
        <f>'WA Monthly'!L23</f>
        <v>0</v>
      </c>
      <c r="N6" s="15">
        <f>'WA Monthly'!M23</f>
        <v>0</v>
      </c>
      <c r="O6" s="15">
        <f>'WA Monthly'!N23</f>
        <v>0</v>
      </c>
      <c r="P6" s="15">
        <f>'WA Monthly'!O23</f>
        <v>0</v>
      </c>
      <c r="Q6" s="15">
        <f>'WA Monthly'!P23</f>
        <v>0</v>
      </c>
    </row>
    <row r="7" spans="1:19" ht="15.95" customHeight="1">
      <c r="A7" s="9">
        <f t="shared" ref="A7:A13" si="1">A6+1</f>
        <v>2</v>
      </c>
      <c r="B7" s="2" t="s">
        <v>6</v>
      </c>
      <c r="D7" s="210">
        <f t="shared" ref="D7:D13" si="2">SUM(F7:Q7)</f>
        <v>-52879316</v>
      </c>
      <c r="E7" s="210"/>
      <c r="F7" s="15">
        <f>'WA Monthly'!E46</f>
        <v>-6954796</v>
      </c>
      <c r="G7" s="15">
        <f>'WA Monthly'!F46</f>
        <v>-3700447</v>
      </c>
      <c r="H7" s="15">
        <f>'WA Monthly'!G46</f>
        <v>-7976187</v>
      </c>
      <c r="I7" s="15">
        <f>'WA Monthly'!H46</f>
        <v>-10773352</v>
      </c>
      <c r="J7" s="15">
        <f>'WA Monthly'!I46</f>
        <v>-9218088</v>
      </c>
      <c r="K7" s="15">
        <f>'WA Monthly'!J46</f>
        <v>-7641075</v>
      </c>
      <c r="L7" s="15">
        <f>'WA Monthly'!K46</f>
        <v>-6615371</v>
      </c>
      <c r="M7" s="15">
        <f>'WA Monthly'!L46</f>
        <v>0</v>
      </c>
      <c r="N7" s="15">
        <f>'WA Monthly'!M46</f>
        <v>0</v>
      </c>
      <c r="O7" s="15">
        <f>'WA Monthly'!N46</f>
        <v>0</v>
      </c>
      <c r="P7" s="15">
        <f>'WA Monthly'!O46</f>
        <v>0</v>
      </c>
      <c r="Q7" s="15">
        <f>'WA Monthly'!P46</f>
        <v>0</v>
      </c>
    </row>
    <row r="8" spans="1:19" ht="15.95" customHeight="1">
      <c r="A8" s="9">
        <f t="shared" si="1"/>
        <v>3</v>
      </c>
      <c r="B8" s="2" t="s">
        <v>4</v>
      </c>
      <c r="D8" s="209">
        <f t="shared" si="2"/>
        <v>14647412</v>
      </c>
      <c r="E8" s="209"/>
      <c r="F8" s="15">
        <f>'WA Monthly'!E64</f>
        <v>2866380</v>
      </c>
      <c r="G8" s="15">
        <f>'WA Monthly'!F64</f>
        <v>1489795</v>
      </c>
      <c r="H8" s="15">
        <f>'WA Monthly'!G64</f>
        <v>2867639</v>
      </c>
      <c r="I8" s="15">
        <f>'WA Monthly'!H64</f>
        <v>1993772</v>
      </c>
      <c r="J8" s="15">
        <f>'WA Monthly'!I64</f>
        <v>1171486</v>
      </c>
      <c r="K8" s="15">
        <f>'WA Monthly'!J64</f>
        <v>1892856</v>
      </c>
      <c r="L8" s="15">
        <f>'WA Monthly'!K64</f>
        <v>2365484</v>
      </c>
      <c r="M8" s="15">
        <f>'WA Monthly'!L64</f>
        <v>0</v>
      </c>
      <c r="N8" s="15">
        <f>'WA Monthly'!M64</f>
        <v>0</v>
      </c>
      <c r="O8" s="15">
        <f>'WA Monthly'!N64</f>
        <v>0</v>
      </c>
      <c r="P8" s="15">
        <f>'WA Monthly'!O64</f>
        <v>0</v>
      </c>
      <c r="Q8" s="15">
        <f>'WA Monthly'!P64</f>
        <v>0</v>
      </c>
    </row>
    <row r="9" spans="1:19" ht="15.95" customHeight="1">
      <c r="A9" s="9">
        <f t="shared" si="1"/>
        <v>4</v>
      </c>
      <c r="B9" s="2" t="s">
        <v>5</v>
      </c>
      <c r="D9" s="209">
        <f t="shared" si="2"/>
        <v>38101090</v>
      </c>
      <c r="E9" s="209"/>
      <c r="F9" s="15">
        <f>'WA Monthly'!E81</f>
        <v>5520134</v>
      </c>
      <c r="G9" s="15">
        <f>'WA Monthly'!F81</f>
        <v>12385807</v>
      </c>
      <c r="H9" s="15">
        <f>'WA Monthly'!G81</f>
        <v>7672060</v>
      </c>
      <c r="I9" s="15">
        <f>'WA Monthly'!H81</f>
        <v>3367643</v>
      </c>
      <c r="J9" s="15">
        <f>'WA Monthly'!I81</f>
        <v>1862247</v>
      </c>
      <c r="K9" s="15">
        <f>'WA Monthly'!J81</f>
        <v>1822536</v>
      </c>
      <c r="L9" s="15">
        <f>'WA Monthly'!K81</f>
        <v>5470663</v>
      </c>
      <c r="M9" s="15">
        <f>'WA Monthly'!L81</f>
        <v>0</v>
      </c>
      <c r="N9" s="15">
        <f>'WA Monthly'!M81</f>
        <v>0</v>
      </c>
      <c r="O9" s="15">
        <f>'WA Monthly'!N81</f>
        <v>0</v>
      </c>
      <c r="P9" s="15">
        <f>'WA Monthly'!O81</f>
        <v>0</v>
      </c>
      <c r="Q9" s="15">
        <f>'WA Monthly'!P81</f>
        <v>0</v>
      </c>
    </row>
    <row r="10" spans="1:19" ht="15.95" customHeight="1">
      <c r="A10" s="9">
        <f t="shared" si="1"/>
        <v>5</v>
      </c>
      <c r="B10" s="2" t="s">
        <v>42</v>
      </c>
      <c r="C10" s="1"/>
      <c r="D10" s="210">
        <f t="shared" si="2"/>
        <v>-11480461</v>
      </c>
      <c r="E10" s="210"/>
      <c r="F10" s="15">
        <f>'WA Monthly'!E95</f>
        <v>-1387701</v>
      </c>
      <c r="G10" s="15">
        <f>'WA Monthly'!F95</f>
        <v>-1693902</v>
      </c>
      <c r="H10" s="15">
        <f>'WA Monthly'!G95</f>
        <v>-2209602</v>
      </c>
      <c r="I10" s="15">
        <f>'WA Monthly'!H95</f>
        <v>-1531403</v>
      </c>
      <c r="J10" s="15">
        <f>'WA Monthly'!I95</f>
        <v>-1383252</v>
      </c>
      <c r="K10" s="15">
        <f>'WA Monthly'!J95</f>
        <v>-1745648</v>
      </c>
      <c r="L10" s="15">
        <f>'WA Monthly'!K95</f>
        <v>-1528953</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9">
        <f t="shared" si="2"/>
        <v>10330774</v>
      </c>
      <c r="E11" s="209"/>
      <c r="F11" s="15">
        <f>'WA Monthly'!E101</f>
        <v>1471955</v>
      </c>
      <c r="G11" s="15">
        <f>'WA Monthly'!F101</f>
        <v>1538740</v>
      </c>
      <c r="H11" s="15">
        <f>'WA Monthly'!G101</f>
        <v>1681541</v>
      </c>
      <c r="I11" s="15">
        <f>'WA Monthly'!H101</f>
        <v>1453127</v>
      </c>
      <c r="J11" s="15">
        <f>'WA Monthly'!I101</f>
        <v>1443878</v>
      </c>
      <c r="K11" s="15">
        <f>'WA Monthly'!J101</f>
        <v>1405484</v>
      </c>
      <c r="L11" s="15">
        <f>'WA Monthly'!K101</f>
        <v>1336049</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9">
        <f t="shared" si="2"/>
        <v>425237</v>
      </c>
      <c r="E12" s="209"/>
      <c r="F12" s="15">
        <f>'WA Monthly'!E108</f>
        <v>40867</v>
      </c>
      <c r="G12" s="15">
        <f>'WA Monthly'!F108</f>
        <v>37768</v>
      </c>
      <c r="H12" s="15">
        <f>'WA Monthly'!G108</f>
        <v>91606</v>
      </c>
      <c r="I12" s="15">
        <f>'WA Monthly'!H108</f>
        <v>122083</v>
      </c>
      <c r="J12" s="15">
        <f>'WA Monthly'!I108</f>
        <v>34547</v>
      </c>
      <c r="K12" s="15">
        <f>'WA Monthly'!J108</f>
        <v>44007</v>
      </c>
      <c r="L12" s="15">
        <f>'WA Monthly'!K108</f>
        <v>52526</v>
      </c>
      <c r="M12" s="15">
        <f>'WA Monthly'!L108</f>
        <v>1833</v>
      </c>
      <c r="N12" s="15">
        <f>'WA Monthly'!M108</f>
        <v>0</v>
      </c>
      <c r="O12" s="15">
        <f>'WA Monthly'!N108</f>
        <v>0</v>
      </c>
      <c r="P12" s="15">
        <f>'WA Monthly'!O108</f>
        <v>0</v>
      </c>
      <c r="Q12" s="15">
        <f>'WA Monthly'!P108</f>
        <v>0</v>
      </c>
    </row>
    <row r="13" spans="1:19" ht="15.95" customHeight="1">
      <c r="A13" s="9">
        <f t="shared" si="1"/>
        <v>8</v>
      </c>
      <c r="B13" s="92" t="s">
        <v>10</v>
      </c>
      <c r="C13" s="92"/>
      <c r="D13" s="202">
        <f t="shared" si="2"/>
        <v>80604674</v>
      </c>
      <c r="E13" s="202"/>
      <c r="F13" s="93">
        <f t="shared" ref="F13:Q13" si="3">SUM(F6:F12)</f>
        <v>14844176</v>
      </c>
      <c r="G13" s="93">
        <f t="shared" si="3"/>
        <v>22529181</v>
      </c>
      <c r="H13" s="93">
        <f t="shared" si="3"/>
        <v>17147238</v>
      </c>
      <c r="I13" s="93">
        <f t="shared" si="3"/>
        <v>5286250</v>
      </c>
      <c r="J13" s="93">
        <f t="shared" si="3"/>
        <v>3293308</v>
      </c>
      <c r="K13" s="93">
        <f t="shared" si="3"/>
        <v>6545203</v>
      </c>
      <c r="L13" s="93">
        <f t="shared" si="3"/>
        <v>10957485</v>
      </c>
      <c r="M13" s="93">
        <f t="shared" si="3"/>
        <v>1833</v>
      </c>
      <c r="N13" s="93">
        <f t="shared" si="3"/>
        <v>0</v>
      </c>
      <c r="O13" s="93">
        <f t="shared" si="3"/>
        <v>0</v>
      </c>
      <c r="P13" s="93">
        <f t="shared" si="3"/>
        <v>0</v>
      </c>
      <c r="Q13" s="93">
        <f t="shared" si="3"/>
        <v>0</v>
      </c>
    </row>
    <row r="14" spans="1:19" ht="37.5" customHeight="1">
      <c r="B14" s="79" t="s">
        <v>11</v>
      </c>
      <c r="C14" s="62"/>
      <c r="D14" s="211" t="s">
        <v>192</v>
      </c>
      <c r="E14" s="212"/>
      <c r="F14" s="94">
        <f>F5</f>
        <v>43496</v>
      </c>
      <c r="G14" s="94">
        <f>G5</f>
        <v>43524</v>
      </c>
      <c r="H14" s="94">
        <f t="shared" ref="H14:Q14" si="4">H5</f>
        <v>43555</v>
      </c>
      <c r="I14" s="94">
        <f t="shared" si="4"/>
        <v>43585</v>
      </c>
      <c r="J14" s="94">
        <f t="shared" si="4"/>
        <v>43616</v>
      </c>
      <c r="K14" s="94">
        <f t="shared" si="4"/>
        <v>43646</v>
      </c>
      <c r="L14" s="94">
        <f t="shared" si="4"/>
        <v>43677</v>
      </c>
      <c r="M14" s="94">
        <f t="shared" si="4"/>
        <v>43708</v>
      </c>
      <c r="N14" s="94">
        <f t="shared" si="4"/>
        <v>43738</v>
      </c>
      <c r="O14" s="94">
        <f t="shared" si="4"/>
        <v>43769</v>
      </c>
      <c r="P14" s="94">
        <f t="shared" si="4"/>
        <v>43799</v>
      </c>
      <c r="Q14" s="94">
        <f t="shared" si="4"/>
        <v>43830</v>
      </c>
    </row>
    <row r="15" spans="1:19" ht="15.95" customHeight="1">
      <c r="A15" s="9">
        <f>A13+1</f>
        <v>9</v>
      </c>
      <c r="B15" s="2" t="s">
        <v>3</v>
      </c>
      <c r="C15" s="1"/>
      <c r="D15" s="208">
        <f t="shared" ref="D15:D22" si="5">SUM(F15:L15)</f>
        <v>64126727</v>
      </c>
      <c r="E15" s="208"/>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08">
        <f t="shared" si="5"/>
        <v>-32779526</v>
      </c>
      <c r="E16" s="208"/>
      <c r="F16" s="95">
        <f>'Input Tab'!C6</f>
        <v>-5410854</v>
      </c>
      <c r="G16" s="95">
        <f>'Input Tab'!D6</f>
        <v>-3688134</v>
      </c>
      <c r="H16" s="95">
        <f>'Input Tab'!E6</f>
        <v>-4363041</v>
      </c>
      <c r="I16" s="95">
        <f>'Input Tab'!F6</f>
        <v>-6216672</v>
      </c>
      <c r="J16" s="95">
        <f>'Input Tab'!G6</f>
        <v>-3992970</v>
      </c>
      <c r="K16" s="95">
        <f>'Input Tab'!H6</f>
        <v>-3782256</v>
      </c>
      <c r="L16" s="95">
        <f>'Input Tab'!I6</f>
        <v>-5325599</v>
      </c>
      <c r="M16" s="95">
        <f>'Input Tab'!J6</f>
        <v>-3215251</v>
      </c>
      <c r="N16" s="95">
        <f>'Input Tab'!K6</f>
        <v>-4016772</v>
      </c>
      <c r="O16" s="95">
        <f>'Input Tab'!L6</f>
        <v>-3304259</v>
      </c>
      <c r="P16" s="95">
        <f>'Input Tab'!M6</f>
        <v>-4468025</v>
      </c>
      <c r="Q16" s="95">
        <f>'Input Tab'!N6</f>
        <v>-6320023</v>
      </c>
      <c r="R16" s="44"/>
      <c r="S16" s="6"/>
    </row>
    <row r="17" spans="1:19" ht="15.95" customHeight="1">
      <c r="A17" s="9">
        <f>A16+1</f>
        <v>11</v>
      </c>
      <c r="B17" s="2" t="s">
        <v>4</v>
      </c>
      <c r="C17" s="1"/>
      <c r="D17" s="208">
        <f t="shared" si="5"/>
        <v>15953897</v>
      </c>
      <c r="E17" s="208"/>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08">
        <f t="shared" si="5"/>
        <v>35169330</v>
      </c>
      <c r="E18" s="208"/>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08">
        <f t="shared" si="5"/>
        <v>-8661990</v>
      </c>
      <c r="E19" s="208"/>
      <c r="F19" s="95">
        <f>'Input Tab'!C9</f>
        <v>-1062694</v>
      </c>
      <c r="G19" s="95">
        <f>'Input Tab'!D9</f>
        <v>-1178481</v>
      </c>
      <c r="H19" s="95">
        <f>'Input Tab'!E9</f>
        <v>-1177115</v>
      </c>
      <c r="I19" s="95">
        <f>'Input Tab'!F9</f>
        <v>-1141305</v>
      </c>
      <c r="J19" s="95">
        <f>'Input Tab'!G9</f>
        <v>-1253488</v>
      </c>
      <c r="K19" s="95">
        <f>'Input Tab'!H9</f>
        <v>-1398529</v>
      </c>
      <c r="L19" s="95">
        <f>'Input Tab'!I9</f>
        <v>-1450378</v>
      </c>
      <c r="M19" s="95">
        <f>'Input Tab'!J9</f>
        <v>-1346819</v>
      </c>
      <c r="N19" s="95">
        <f>'Input Tab'!K9</f>
        <v>-1372213</v>
      </c>
      <c r="O19" s="95">
        <f>'Input Tab'!L9</f>
        <v>-1319316</v>
      </c>
      <c r="P19" s="95">
        <f>'Input Tab'!M9</f>
        <v>-1257650</v>
      </c>
      <c r="Q19" s="95">
        <f>'Input Tab'!N9</f>
        <v>-1191496</v>
      </c>
      <c r="R19" s="44"/>
    </row>
    <row r="20" spans="1:19" ht="15.95" customHeight="1">
      <c r="A20" s="9">
        <f t="shared" si="6"/>
        <v>14</v>
      </c>
      <c r="B20" s="2" t="s">
        <v>36</v>
      </c>
      <c r="C20" s="1"/>
      <c r="D20" s="208">
        <f t="shared" si="5"/>
        <v>10124241</v>
      </c>
      <c r="E20" s="208"/>
      <c r="F20" s="96">
        <f>'Input Tab'!C10</f>
        <v>1386858</v>
      </c>
      <c r="G20" s="96">
        <f>'Input Tab'!D10</f>
        <v>1618473</v>
      </c>
      <c r="H20" s="96">
        <f>'Input Tab'!E10</f>
        <v>1456728</v>
      </c>
      <c r="I20" s="96">
        <f>'Input Tab'!F10</f>
        <v>1423781</v>
      </c>
      <c r="J20" s="96">
        <f>'Input Tab'!G10</f>
        <v>1394142</v>
      </c>
      <c r="K20" s="96">
        <f>'Input Tab'!H10</f>
        <v>1391308</v>
      </c>
      <c r="L20" s="96">
        <f>'Input Tab'!I10</f>
        <v>1452951</v>
      </c>
      <c r="M20" s="96">
        <f>'Input Tab'!J10</f>
        <v>1443202</v>
      </c>
      <c r="N20" s="96">
        <f>'Input Tab'!K10</f>
        <v>1567441</v>
      </c>
      <c r="O20" s="96">
        <f>'Input Tab'!L10</f>
        <v>1406861</v>
      </c>
      <c r="P20" s="96">
        <f>'Input Tab'!M10</f>
        <v>1416449</v>
      </c>
      <c r="Q20" s="96">
        <f>'Input Tab'!N10</f>
        <v>1446134</v>
      </c>
      <c r="R20" s="44"/>
    </row>
    <row r="21" spans="1:19" ht="15.95" customHeight="1">
      <c r="A21" s="9">
        <f t="shared" si="6"/>
        <v>15</v>
      </c>
      <c r="B21" s="2" t="s">
        <v>37</v>
      </c>
      <c r="D21" s="208">
        <f t="shared" si="5"/>
        <v>239750</v>
      </c>
      <c r="E21" s="208"/>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169</v>
      </c>
      <c r="D22" s="208">
        <f t="shared" si="5"/>
        <v>-1763398</v>
      </c>
      <c r="E22" s="208"/>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2" t="s">
        <v>7</v>
      </c>
      <c r="C23" s="92"/>
      <c r="D23" s="202">
        <f>SUM(D15:E22)</f>
        <v>82409031</v>
      </c>
      <c r="E23" s="202"/>
      <c r="F23" s="97">
        <f>SUM(F15:F22)</f>
        <v>18199665</v>
      </c>
      <c r="G23" s="97">
        <f t="shared" ref="G23:Q23" si="7">SUM(G15:G22)</f>
        <v>17200889</v>
      </c>
      <c r="H23" s="97">
        <f t="shared" si="7"/>
        <v>15081709</v>
      </c>
      <c r="I23" s="97">
        <f t="shared" si="7"/>
        <v>10233296</v>
      </c>
      <c r="J23" s="97">
        <f t="shared" si="7"/>
        <v>6111472</v>
      </c>
      <c r="K23" s="97">
        <f t="shared" si="7"/>
        <v>5882705</v>
      </c>
      <c r="L23" s="97">
        <f t="shared" si="7"/>
        <v>9699295</v>
      </c>
      <c r="M23" s="97">
        <f t="shared" si="7"/>
        <v>14547927</v>
      </c>
      <c r="N23" s="97">
        <f t="shared" si="7"/>
        <v>12481353</v>
      </c>
      <c r="O23" s="97">
        <f t="shared" si="7"/>
        <v>13261866</v>
      </c>
      <c r="P23" s="97">
        <f t="shared" si="7"/>
        <v>16244124</v>
      </c>
      <c r="Q23" s="97">
        <f t="shared" si="7"/>
        <v>16930995</v>
      </c>
      <c r="R23" s="44"/>
    </row>
    <row r="24" spans="1:19" ht="28.5" customHeight="1">
      <c r="A24" s="9">
        <f t="shared" si="6"/>
        <v>18</v>
      </c>
      <c r="B24" s="92" t="s">
        <v>8</v>
      </c>
      <c r="C24" s="92"/>
      <c r="D24" s="207">
        <f>SUM(F24:L24)</f>
        <v>-1806190</v>
      </c>
      <c r="E24" s="207" t="str">
        <f t="shared" ref="E24:Q24" si="8">IF(E13=0," ",E13-E23)</f>
        <v xml:space="preserve"> </v>
      </c>
      <c r="F24" s="97">
        <f t="shared" si="8"/>
        <v>-3355489</v>
      </c>
      <c r="G24" s="97">
        <f t="shared" si="8"/>
        <v>5328292</v>
      </c>
      <c r="H24" s="97">
        <f t="shared" si="8"/>
        <v>2065529</v>
      </c>
      <c r="I24" s="97">
        <f t="shared" si="8"/>
        <v>-4947046</v>
      </c>
      <c r="J24" s="97">
        <f t="shared" si="8"/>
        <v>-2818164</v>
      </c>
      <c r="K24" s="97">
        <f t="shared" si="8"/>
        <v>662498</v>
      </c>
      <c r="L24" s="97">
        <f t="shared" si="8"/>
        <v>1258190</v>
      </c>
      <c r="M24" s="97">
        <f t="shared" si="8"/>
        <v>-14546094</v>
      </c>
      <c r="N24" s="97" t="str">
        <f t="shared" si="8"/>
        <v xml:space="preserve"> </v>
      </c>
      <c r="O24" s="97" t="str">
        <f t="shared" si="8"/>
        <v xml:space="preserve"> </v>
      </c>
      <c r="P24" s="97" t="str">
        <f t="shared" si="8"/>
        <v xml:space="preserve"> </v>
      </c>
      <c r="Q24" s="97" t="str">
        <f t="shared" si="8"/>
        <v xml:space="preserve"> </v>
      </c>
    </row>
    <row r="25" spans="1:19" ht="26.25" customHeight="1">
      <c r="A25" s="9">
        <f t="shared" si="6"/>
        <v>19</v>
      </c>
      <c r="B25" s="29" t="s">
        <v>123</v>
      </c>
      <c r="C25" s="29"/>
      <c r="D25" s="201">
        <f>SUM(F25:Q25)</f>
        <v>-2420561</v>
      </c>
      <c r="E25" s="201"/>
      <c r="F25" s="30">
        <f>'WA Monthly'!E138</f>
        <v>738821</v>
      </c>
      <c r="G25" s="30">
        <f>'WA Monthly'!F138</f>
        <v>-2484774</v>
      </c>
      <c r="H25" s="30">
        <f>'WA Monthly'!G138</f>
        <v>2619748</v>
      </c>
      <c r="I25" s="30">
        <f>'WA Monthly'!H138</f>
        <v>-439038</v>
      </c>
      <c r="J25" s="30">
        <f>'WA Monthly'!I138</f>
        <v>-1100871</v>
      </c>
      <c r="K25" s="30">
        <f>'WA Monthly'!J138</f>
        <v>-1173869</v>
      </c>
      <c r="L25" s="30">
        <f>'WA Monthly'!K138</f>
        <v>-580578</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01" t="e">
        <f>SUM(F26:Q26)</f>
        <v>#VALUE!</v>
      </c>
      <c r="E26" s="201"/>
      <c r="F26" s="30">
        <f>+F24+F25</f>
        <v>-2616668</v>
      </c>
      <c r="G26" s="30">
        <f t="shared" ref="G26:Q26" si="9">IF(G13=0,0,+G24+G25)</f>
        <v>2843518</v>
      </c>
      <c r="H26" s="30">
        <f t="shared" si="9"/>
        <v>4685277</v>
      </c>
      <c r="I26" s="30">
        <f t="shared" si="9"/>
        <v>-5386084</v>
      </c>
      <c r="J26" s="30">
        <f t="shared" si="9"/>
        <v>-3919035</v>
      </c>
      <c r="K26" s="30">
        <f t="shared" si="9"/>
        <v>-511371</v>
      </c>
      <c r="L26" s="30">
        <f t="shared" si="9"/>
        <v>677612</v>
      </c>
      <c r="M26" s="30" t="e">
        <f t="shared" si="9"/>
        <v>#VALUE!</v>
      </c>
      <c r="N26" s="30">
        <f t="shared" si="9"/>
        <v>0</v>
      </c>
      <c r="O26" s="30">
        <f t="shared" si="9"/>
        <v>0</v>
      </c>
      <c r="P26" s="30">
        <f t="shared" si="9"/>
        <v>0</v>
      </c>
      <c r="Q26" s="30">
        <f t="shared" si="9"/>
        <v>0</v>
      </c>
    </row>
    <row r="27" spans="1:19" ht="18.75" customHeight="1">
      <c r="A27" s="9">
        <f t="shared" si="6"/>
        <v>21</v>
      </c>
      <c r="B27" s="2" t="s">
        <v>71</v>
      </c>
      <c r="D27" s="14"/>
      <c r="E27" s="14"/>
      <c r="F27" s="98">
        <f>'Input Tab'!C13</f>
        <v>0.6573</v>
      </c>
      <c r="G27" s="98">
        <f>'Input Tab'!D13</f>
        <v>0.6573</v>
      </c>
      <c r="H27" s="98">
        <f>'Input Tab'!E13</f>
        <v>0.6573</v>
      </c>
      <c r="I27" s="98">
        <f>'Input Tab'!F13</f>
        <v>0.6573</v>
      </c>
      <c r="J27" s="98">
        <f>'Input Tab'!G13</f>
        <v>0.6573</v>
      </c>
      <c r="K27" s="98">
        <f>'Input Tab'!H13</f>
        <v>0.6573</v>
      </c>
      <c r="L27" s="98">
        <f>'Input Tab'!I13</f>
        <v>0.6573</v>
      </c>
      <c r="M27" s="98">
        <f>'Input Tab'!J13</f>
        <v>0.6573</v>
      </c>
      <c r="N27" s="98">
        <f>'Input Tab'!K13</f>
        <v>0.6573</v>
      </c>
      <c r="O27" s="98">
        <f>'Input Tab'!L13</f>
        <v>0.6573</v>
      </c>
      <c r="P27" s="98">
        <f>'Input Tab'!M13</f>
        <v>0.6573</v>
      </c>
      <c r="Q27" s="98">
        <f>'Input Tab'!N13</f>
        <v>0.6573</v>
      </c>
    </row>
    <row r="28" spans="1:19" ht="20.25" customHeight="1">
      <c r="A28" s="9">
        <f t="shared" si="6"/>
        <v>22</v>
      </c>
      <c r="B28" s="2" t="s">
        <v>72</v>
      </c>
      <c r="D28" s="205">
        <f>SUM(F28:L28)</f>
        <v>-2778244</v>
      </c>
      <c r="E28" s="205"/>
      <c r="F28" s="99">
        <f>+F26*F27</f>
        <v>-1719936</v>
      </c>
      <c r="G28" s="99">
        <f>+G26*G27</f>
        <v>1869044</v>
      </c>
      <c r="H28" s="99">
        <f>+H26*H27</f>
        <v>3079633</v>
      </c>
      <c r="I28" s="99">
        <f t="shared" ref="I28:Q28" si="10">+I26*I27</f>
        <v>-3540273</v>
      </c>
      <c r="J28" s="99">
        <f t="shared" si="10"/>
        <v>-2575982</v>
      </c>
      <c r="K28" s="99">
        <f t="shared" si="10"/>
        <v>-336124</v>
      </c>
      <c r="L28" s="99">
        <f t="shared" si="10"/>
        <v>445394</v>
      </c>
      <c r="M28" s="99" t="e">
        <f t="shared" si="10"/>
        <v>#VALUE!</v>
      </c>
      <c r="N28" s="99">
        <f t="shared" si="10"/>
        <v>0</v>
      </c>
      <c r="O28" s="99">
        <f t="shared" si="10"/>
        <v>0</v>
      </c>
      <c r="P28" s="99">
        <f t="shared" si="10"/>
        <v>0</v>
      </c>
      <c r="Q28" s="99">
        <f t="shared" si="10"/>
        <v>0</v>
      </c>
    </row>
    <row r="29" spans="1:19" ht="20.25" customHeight="1">
      <c r="A29" s="9">
        <f>A28+1</f>
        <v>23</v>
      </c>
      <c r="B29" s="2" t="s">
        <v>150</v>
      </c>
      <c r="D29" s="205">
        <f>SUM(F29:L29)</f>
        <v>0</v>
      </c>
      <c r="E29" s="205"/>
      <c r="F29" s="99">
        <f>'WA Monthly'!E136</f>
        <v>0</v>
      </c>
      <c r="G29" s="99">
        <f>'WA Monthly'!F136</f>
        <v>0</v>
      </c>
      <c r="H29" s="99">
        <f>'WA Monthly'!G136</f>
        <v>0</v>
      </c>
      <c r="I29" s="99">
        <f>'WA Monthly'!H136</f>
        <v>0</v>
      </c>
      <c r="J29" s="99">
        <f>'WA Monthly'!I136</f>
        <v>0</v>
      </c>
      <c r="K29" s="99">
        <f>'WA Monthly'!J136</f>
        <v>0</v>
      </c>
      <c r="L29" s="99">
        <f>'WA Monthly'!K136</f>
        <v>0</v>
      </c>
      <c r="M29" s="99">
        <f>'WA Monthly'!L136</f>
        <v>0</v>
      </c>
      <c r="N29" s="99">
        <f>'WA Monthly'!M136</f>
        <v>0</v>
      </c>
      <c r="O29" s="99">
        <f>'WA Monthly'!N136</f>
        <v>0</v>
      </c>
      <c r="P29" s="99">
        <f>'WA Monthly'!O136</f>
        <v>0</v>
      </c>
      <c r="Q29" s="99">
        <f>'WA Monthly'!P136</f>
        <v>0</v>
      </c>
    </row>
    <row r="30" spans="1:19" ht="29.25" customHeight="1">
      <c r="A30" s="9">
        <f t="shared" si="6"/>
        <v>24</v>
      </c>
      <c r="B30" s="199" t="s">
        <v>99</v>
      </c>
      <c r="C30" s="199"/>
      <c r="D30" s="204">
        <f>SUM(F30:Q30)</f>
        <v>38864</v>
      </c>
      <c r="E30" s="204"/>
      <c r="F30" s="100">
        <f>'WA RRC'!B19</f>
        <v>302672</v>
      </c>
      <c r="G30" s="100">
        <f>'WA RRC'!C19</f>
        <v>-383896</v>
      </c>
      <c r="H30" s="100">
        <f>'WA RRC'!D19</f>
        <v>-614997</v>
      </c>
      <c r="I30" s="100">
        <f>'WA RRC'!E19</f>
        <v>412799</v>
      </c>
      <c r="J30" s="100">
        <f>'WA RRC'!F19</f>
        <v>112155</v>
      </c>
      <c r="K30" s="100">
        <f>'WA RRC'!G19</f>
        <v>-87471</v>
      </c>
      <c r="L30" s="100">
        <f>'WA RRC'!H19</f>
        <v>297602</v>
      </c>
      <c r="M30" s="100" t="str">
        <f>'WA RRC'!I19</f>
        <v xml:space="preserve"> </v>
      </c>
      <c r="N30" s="100" t="str">
        <f>'WA RRC'!J19</f>
        <v xml:space="preserve"> </v>
      </c>
      <c r="O30" s="100" t="str">
        <f>'WA RRC'!K19</f>
        <v xml:space="preserve"> </v>
      </c>
      <c r="P30" s="100" t="str">
        <f>'WA RRC'!L19</f>
        <v xml:space="preserve"> </v>
      </c>
      <c r="Q30" s="100" t="str">
        <f>'WA RRC'!M19</f>
        <v xml:space="preserve"> </v>
      </c>
    </row>
    <row r="31" spans="1:19" ht="27" customHeight="1">
      <c r="A31" s="9">
        <f t="shared" si="6"/>
        <v>25</v>
      </c>
      <c r="B31" s="203" t="s">
        <v>62</v>
      </c>
      <c r="C31" s="203"/>
      <c r="D31" s="206">
        <f>SUM(F31:L31)</f>
        <v>-2739380</v>
      </c>
      <c r="E31" s="206"/>
      <c r="F31" s="27">
        <f>IF(F13=0," ",F28+F30+F29)</f>
        <v>-1417264</v>
      </c>
      <c r="G31" s="27">
        <f t="shared" ref="G31:Q31" si="11">IF(G13=0," ",G28+G30+G29)</f>
        <v>1485148</v>
      </c>
      <c r="H31" s="27">
        <f t="shared" si="11"/>
        <v>2464636</v>
      </c>
      <c r="I31" s="27">
        <f t="shared" si="11"/>
        <v>-3127474</v>
      </c>
      <c r="J31" s="27">
        <f t="shared" si="11"/>
        <v>-2463827</v>
      </c>
      <c r="K31" s="27">
        <f t="shared" si="11"/>
        <v>-423595</v>
      </c>
      <c r="L31" s="27">
        <f t="shared" si="11"/>
        <v>742996</v>
      </c>
      <c r="M31" s="27" t="e">
        <f t="shared" si="11"/>
        <v>#VALUE!</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00" t="s">
        <v>122</v>
      </c>
      <c r="C32" s="200"/>
      <c r="D32" s="42"/>
      <c r="E32" s="42"/>
      <c r="F32" s="27"/>
      <c r="G32" s="27"/>
      <c r="H32" s="27"/>
      <c r="I32" s="27"/>
      <c r="J32" s="27"/>
      <c r="K32" s="27"/>
      <c r="L32" s="101">
        <v>0</v>
      </c>
      <c r="M32" s="27"/>
      <c r="N32" s="27"/>
      <c r="O32" s="27"/>
      <c r="P32" s="27"/>
      <c r="Q32" s="27"/>
    </row>
    <row r="33" spans="1:19" ht="28.5" customHeight="1">
      <c r="A33" s="9">
        <f t="shared" si="6"/>
        <v>27</v>
      </c>
      <c r="B33" s="92" t="s">
        <v>115</v>
      </c>
      <c r="C33" s="92"/>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f t="shared" si="12"/>
        <v>-2739380</v>
      </c>
      <c r="M33" s="13" t="e">
        <f t="shared" si="12"/>
        <v>#VALUE!</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2">
        <v>10000000</v>
      </c>
      <c r="C34" s="103"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f t="shared" si="13"/>
        <v>0</v>
      </c>
      <c r="M34" s="14" t="e">
        <f t="shared" si="13"/>
        <v>#VALUE!</v>
      </c>
      <c r="N34" s="14" t="str">
        <f t="shared" si="13"/>
        <v xml:space="preserve"> </v>
      </c>
      <c r="O34" s="14" t="str">
        <f t="shared" si="13"/>
        <v xml:space="preserve"> </v>
      </c>
      <c r="P34" s="14" t="str">
        <f t="shared" si="13"/>
        <v xml:space="preserve"> </v>
      </c>
      <c r="Q34" s="14" t="str">
        <f t="shared" si="13"/>
        <v xml:space="preserve"> </v>
      </c>
      <c r="R34" s="11"/>
      <c r="S34" s="104"/>
    </row>
    <row r="35" spans="1:19" ht="19.5" hidden="1" customHeight="1" outlineLevel="1">
      <c r="A35" s="2" t="s">
        <v>33</v>
      </c>
      <c r="B35" s="102">
        <v>4000000</v>
      </c>
      <c r="C35" s="103"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f t="shared" si="14"/>
        <v>0</v>
      </c>
      <c r="M35" s="14" t="e">
        <f t="shared" si="14"/>
        <v>#VALUE!</v>
      </c>
      <c r="N35" s="14" t="str">
        <f t="shared" si="14"/>
        <v xml:space="preserve"> </v>
      </c>
      <c r="O35" s="14" t="str">
        <f t="shared" si="14"/>
        <v xml:space="preserve"> </v>
      </c>
      <c r="P35" s="14" t="str">
        <f t="shared" si="14"/>
        <v xml:space="preserve"> </v>
      </c>
      <c r="Q35" s="14" t="str">
        <f t="shared" si="14"/>
        <v xml:space="preserve"> </v>
      </c>
      <c r="R35" s="11"/>
      <c r="S35" s="104"/>
    </row>
    <row r="36" spans="1:19" ht="21.75" hidden="1" customHeight="1" outlineLevel="1">
      <c r="A36" s="2" t="s">
        <v>33</v>
      </c>
      <c r="B36" s="102">
        <v>0</v>
      </c>
      <c r="C36" s="103"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f t="shared" si="15"/>
        <v>-2739380</v>
      </c>
      <c r="M36" s="14" t="e">
        <f t="shared" si="15"/>
        <v>#VALUE!</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5"/>
      <c r="C37" s="2" t="s">
        <v>35</v>
      </c>
      <c r="D37" s="73"/>
      <c r="E37" s="73"/>
      <c r="F37" s="74">
        <f t="shared" ref="F37:Q37" si="16">IF(F13=0," ",SUM(F34:F36)-F33)</f>
        <v>0</v>
      </c>
      <c r="G37" s="74">
        <f t="shared" si="16"/>
        <v>0</v>
      </c>
      <c r="H37" s="74">
        <f t="shared" si="16"/>
        <v>0</v>
      </c>
      <c r="I37" s="74">
        <f t="shared" si="16"/>
        <v>0</v>
      </c>
      <c r="J37" s="74">
        <f t="shared" si="16"/>
        <v>0</v>
      </c>
      <c r="K37" s="74">
        <f t="shared" si="16"/>
        <v>0</v>
      </c>
      <c r="L37" s="74">
        <f t="shared" si="16"/>
        <v>0</v>
      </c>
      <c r="M37" s="74" t="e">
        <f t="shared" si="16"/>
        <v>#VALUE!</v>
      </c>
      <c r="N37" s="74" t="str">
        <f t="shared" si="16"/>
        <v xml:space="preserve"> </v>
      </c>
      <c r="O37" s="74" t="str">
        <f t="shared" si="16"/>
        <v xml:space="preserve"> </v>
      </c>
      <c r="P37" s="74" t="str">
        <f t="shared" si="16"/>
        <v xml:space="preserve"> </v>
      </c>
      <c r="Q37" s="74" t="str">
        <f t="shared" si="16"/>
        <v xml:space="preserve"> </v>
      </c>
      <c r="R37" s="12"/>
    </row>
    <row r="38" spans="1:19" ht="23.25" customHeight="1" collapsed="1">
      <c r="A38" s="2"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f t="shared" si="17"/>
        <v>0</v>
      </c>
      <c r="M38" s="14" t="e">
        <f t="shared" si="17"/>
        <v>#VALUE!</v>
      </c>
      <c r="N38" s="14" t="str">
        <f t="shared" si="17"/>
        <v xml:space="preserve"> </v>
      </c>
      <c r="O38" s="14" t="str">
        <f t="shared" si="17"/>
        <v xml:space="preserve"> </v>
      </c>
      <c r="P38" s="14" t="str">
        <f t="shared" si="17"/>
        <v xml:space="preserve"> </v>
      </c>
      <c r="Q38" s="14" t="str">
        <f t="shared" si="17"/>
        <v xml:space="preserve"> </v>
      </c>
      <c r="R38" s="11" t="s">
        <v>101</v>
      </c>
    </row>
    <row r="39" spans="1:19" ht="20.25" customHeight="1">
      <c r="A39" s="2" t="s">
        <v>151</v>
      </c>
      <c r="D39" s="76"/>
      <c r="E39" s="76"/>
      <c r="F39" s="14">
        <f>IF(F13=0," ",F38-D38)</f>
        <v>0</v>
      </c>
      <c r="G39" s="14">
        <f t="shared" ref="G39:Q39" si="18">IF(G13=0," ",G38-F38)</f>
        <v>0</v>
      </c>
      <c r="H39" s="14">
        <f t="shared" si="18"/>
        <v>0</v>
      </c>
      <c r="I39" s="14">
        <f t="shared" si="18"/>
        <v>0</v>
      </c>
      <c r="J39" s="14">
        <f t="shared" si="18"/>
        <v>0</v>
      </c>
      <c r="K39" s="14">
        <f t="shared" si="18"/>
        <v>0</v>
      </c>
      <c r="L39" s="14">
        <f t="shared" si="18"/>
        <v>0</v>
      </c>
      <c r="M39" s="14" t="e">
        <f t="shared" si="18"/>
        <v>#VALUE!</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00" t="s">
        <v>103</v>
      </c>
      <c r="B40" s="200"/>
      <c r="C40" s="200"/>
      <c r="D40" s="206">
        <f>SUM(F40:L40)</f>
        <v>0</v>
      </c>
      <c r="E40" s="206"/>
      <c r="F40" s="16">
        <f t="shared" ref="F40:Q40" si="19">IF(F13=0," ",-F39)</f>
        <v>0</v>
      </c>
      <c r="G40" s="16">
        <f t="shared" si="19"/>
        <v>0</v>
      </c>
      <c r="H40" s="16">
        <f t="shared" si="19"/>
        <v>0</v>
      </c>
      <c r="I40" s="16">
        <f t="shared" si="19"/>
        <v>0</v>
      </c>
      <c r="J40" s="16">
        <f t="shared" si="19"/>
        <v>0</v>
      </c>
      <c r="K40" s="16">
        <f t="shared" si="19"/>
        <v>0</v>
      </c>
      <c r="L40" s="16">
        <f t="shared" si="19"/>
        <v>0</v>
      </c>
      <c r="M40" s="16" t="e">
        <f t="shared" si="19"/>
        <v>#VALUE!</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198" t="s">
        <v>38</v>
      </c>
      <c r="B41" s="198"/>
      <c r="C41" s="198"/>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f t="shared" si="20"/>
        <v>-2739380</v>
      </c>
      <c r="M41" s="18" t="e">
        <f t="shared" si="20"/>
        <v>#VALUE!</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1"/>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85"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73</v>
      </c>
      <c r="B1" s="217"/>
      <c r="C1" s="217"/>
      <c r="D1" s="217"/>
      <c r="E1" s="217"/>
      <c r="F1" s="217"/>
      <c r="G1" s="217"/>
      <c r="H1" s="217"/>
      <c r="I1" s="217"/>
      <c r="J1" s="217"/>
      <c r="K1" s="217"/>
      <c r="L1" s="217"/>
      <c r="M1" s="217"/>
      <c r="N1" s="217"/>
      <c r="O1" s="217"/>
      <c r="P1" s="217"/>
      <c r="Q1" s="217"/>
      <c r="R1" s="217"/>
    </row>
    <row r="2" spans="1:18">
      <c r="A2" s="217" t="s">
        <v>86</v>
      </c>
      <c r="B2" s="217"/>
      <c r="C2" s="217"/>
      <c r="D2" s="217"/>
      <c r="E2" s="217"/>
      <c r="F2" s="217"/>
      <c r="G2" s="217"/>
      <c r="H2" s="217"/>
      <c r="I2" s="217"/>
      <c r="J2" s="217"/>
      <c r="K2" s="217"/>
      <c r="L2" s="217"/>
      <c r="M2" s="217"/>
      <c r="N2" s="217"/>
      <c r="O2" s="217"/>
      <c r="P2" s="217"/>
      <c r="Q2" s="217"/>
      <c r="R2" s="217"/>
    </row>
    <row r="3" spans="1:18" ht="38.25" customHeight="1">
      <c r="A3" s="4"/>
    </row>
    <row r="4" spans="1:18">
      <c r="A4" s="69" t="s">
        <v>0</v>
      </c>
      <c r="E4" s="112"/>
      <c r="F4" s="112"/>
      <c r="G4" s="112"/>
      <c r="H4" s="112"/>
      <c r="I4" s="112"/>
      <c r="J4" s="112"/>
      <c r="K4" s="112"/>
      <c r="L4" s="112"/>
      <c r="M4" s="112"/>
      <c r="N4" s="112"/>
      <c r="O4" s="112"/>
      <c r="P4" s="112"/>
    </row>
    <row r="5" spans="1:18">
      <c r="A5" s="113" t="s">
        <v>1</v>
      </c>
      <c r="C5" s="4" t="s">
        <v>90</v>
      </c>
      <c r="D5" s="114" t="s">
        <v>9</v>
      </c>
      <c r="E5" s="91">
        <v>43496</v>
      </c>
      <c r="F5" s="91">
        <f t="shared" ref="F5:P5" si="0">EOMONTH(E5,1)</f>
        <v>43524</v>
      </c>
      <c r="G5" s="91">
        <f t="shared" si="0"/>
        <v>43555</v>
      </c>
      <c r="H5" s="91">
        <f t="shared" si="0"/>
        <v>43585</v>
      </c>
      <c r="I5" s="91">
        <f t="shared" si="0"/>
        <v>43616</v>
      </c>
      <c r="J5" s="91">
        <f t="shared" si="0"/>
        <v>43646</v>
      </c>
      <c r="K5" s="91">
        <f t="shared" si="0"/>
        <v>43677</v>
      </c>
      <c r="L5" s="91">
        <f t="shared" si="0"/>
        <v>43708</v>
      </c>
      <c r="M5" s="91">
        <f t="shared" si="0"/>
        <v>43738</v>
      </c>
      <c r="N5" s="91">
        <f t="shared" si="0"/>
        <v>43769</v>
      </c>
      <c r="O5" s="91">
        <f t="shared" si="0"/>
        <v>43799</v>
      </c>
      <c r="P5" s="91">
        <f t="shared" si="0"/>
        <v>43830</v>
      </c>
      <c r="Q5" s="115"/>
      <c r="R5" s="91" t="s">
        <v>67</v>
      </c>
    </row>
    <row r="6" spans="1:18">
      <c r="A6" s="69"/>
      <c r="B6" s="53" t="s">
        <v>12</v>
      </c>
      <c r="C6" s="59"/>
    </row>
    <row r="7" spans="1:18">
      <c r="A7" s="69">
        <f>A6+1</f>
        <v>1</v>
      </c>
      <c r="B7" s="3" t="s">
        <v>102</v>
      </c>
      <c r="C7" s="28"/>
      <c r="D7" s="19">
        <f>SUM(E7:P7)</f>
        <v>22888786</v>
      </c>
      <c r="E7" s="19">
        <f>E23-SUM(E8:E22)</f>
        <v>2854577</v>
      </c>
      <c r="F7" s="19">
        <f t="shared" ref="F7:P7" si="1">F23-SUM(F8:F22)</f>
        <v>3156734</v>
      </c>
      <c r="G7" s="19">
        <f t="shared" si="1"/>
        <v>7001996</v>
      </c>
      <c r="H7" s="19">
        <f t="shared" si="1"/>
        <v>1757522</v>
      </c>
      <c r="I7" s="19">
        <f t="shared" si="1"/>
        <v>2214282</v>
      </c>
      <c r="J7" s="19">
        <f t="shared" si="1"/>
        <v>2424058</v>
      </c>
      <c r="K7" s="19">
        <f t="shared" si="1"/>
        <v>3479617</v>
      </c>
      <c r="L7" s="19">
        <f t="shared" si="1"/>
        <v>0</v>
      </c>
      <c r="M7" s="19">
        <f t="shared" si="1"/>
        <v>0</v>
      </c>
      <c r="N7" s="19">
        <f t="shared" si="1"/>
        <v>0</v>
      </c>
      <c r="O7" s="19">
        <f t="shared" si="1"/>
        <v>0</v>
      </c>
      <c r="P7" s="19">
        <f t="shared" si="1"/>
        <v>0</v>
      </c>
      <c r="Q7" s="45"/>
      <c r="R7" s="116">
        <f t="shared" ref="R7:R22" si="2">SUM(E7:P7)</f>
        <v>22888786</v>
      </c>
    </row>
    <row r="8" spans="1:18">
      <c r="A8" s="69">
        <v>2</v>
      </c>
      <c r="B8" s="117" t="s">
        <v>107</v>
      </c>
      <c r="C8" s="118">
        <v>100096</v>
      </c>
      <c r="D8" s="19">
        <f t="shared" ref="D8:D22" si="3">SUM(E8:P8)</f>
        <v>8944495</v>
      </c>
      <c r="E8" s="119">
        <f>'Input Tab'!C19</f>
        <v>1277785</v>
      </c>
      <c r="F8" s="119">
        <f>'Input Tab'!D19</f>
        <v>1277785</v>
      </c>
      <c r="G8" s="119">
        <f>'Input Tab'!E19</f>
        <v>1277785</v>
      </c>
      <c r="H8" s="119">
        <f>'Input Tab'!F19</f>
        <v>1277785</v>
      </c>
      <c r="I8" s="119">
        <f>'Input Tab'!G19</f>
        <v>1277785</v>
      </c>
      <c r="J8" s="119">
        <f>'Input Tab'!H19</f>
        <v>1277785</v>
      </c>
      <c r="K8" s="119">
        <f>'Input Tab'!I19</f>
        <v>1277785</v>
      </c>
      <c r="L8" s="119">
        <f>'Input Tab'!J19</f>
        <v>0</v>
      </c>
      <c r="M8" s="119">
        <f>'Input Tab'!K19</f>
        <v>0</v>
      </c>
      <c r="N8" s="119">
        <f>'Input Tab'!L19</f>
        <v>0</v>
      </c>
      <c r="O8" s="119">
        <f>'Input Tab'!M19</f>
        <v>0</v>
      </c>
      <c r="P8" s="119">
        <f>'Input Tab'!N19</f>
        <v>0</v>
      </c>
      <c r="Q8" s="45"/>
      <c r="R8" s="116">
        <f t="shared" si="2"/>
        <v>8944495</v>
      </c>
    </row>
    <row r="9" spans="1:18">
      <c r="A9" s="69">
        <v>3</v>
      </c>
      <c r="B9" s="117" t="s">
        <v>108</v>
      </c>
      <c r="C9" s="118">
        <v>107240</v>
      </c>
      <c r="D9" s="19">
        <f t="shared" si="3"/>
        <v>463400</v>
      </c>
      <c r="E9" s="119">
        <f>'Input Tab'!C20</f>
        <v>63699</v>
      </c>
      <c r="F9" s="119">
        <f>'Input Tab'!D20</f>
        <v>55709</v>
      </c>
      <c r="G9" s="119">
        <f>'Input Tab'!E20</f>
        <v>57590</v>
      </c>
      <c r="H9" s="119">
        <f>'Input Tab'!F20</f>
        <v>39998</v>
      </c>
      <c r="I9" s="119">
        <f>'Input Tab'!G20</f>
        <v>67634</v>
      </c>
      <c r="J9" s="119">
        <f>'Input Tab'!H20</f>
        <v>57526</v>
      </c>
      <c r="K9" s="119">
        <f>'Input Tab'!I20</f>
        <v>121244</v>
      </c>
      <c r="L9" s="119">
        <f>'Input Tab'!J20</f>
        <v>0</v>
      </c>
      <c r="M9" s="119">
        <f>'Input Tab'!K20</f>
        <v>0</v>
      </c>
      <c r="N9" s="119">
        <f>'Input Tab'!L20</f>
        <v>0</v>
      </c>
      <c r="O9" s="119">
        <f>'Input Tab'!M20</f>
        <v>0</v>
      </c>
      <c r="P9" s="119">
        <f>'Input Tab'!N20</f>
        <v>0</v>
      </c>
      <c r="Q9" s="45"/>
      <c r="R9" s="116">
        <f>SUM(E9:P9)</f>
        <v>463400</v>
      </c>
    </row>
    <row r="10" spans="1:18">
      <c r="A10" s="69">
        <v>4</v>
      </c>
      <c r="B10" s="3" t="s">
        <v>111</v>
      </c>
      <c r="C10" s="28">
        <v>100131</v>
      </c>
      <c r="D10" s="19">
        <f t="shared" si="3"/>
        <v>1070636</v>
      </c>
      <c r="E10" s="119">
        <f>'Input Tab'!C21</f>
        <v>152948</v>
      </c>
      <c r="F10" s="119">
        <f>'Input Tab'!D21</f>
        <v>152948</v>
      </c>
      <c r="G10" s="119">
        <f>'Input Tab'!E21</f>
        <v>152948</v>
      </c>
      <c r="H10" s="119">
        <f>'Input Tab'!F21</f>
        <v>152948</v>
      </c>
      <c r="I10" s="119">
        <f>'Input Tab'!G21</f>
        <v>152948</v>
      </c>
      <c r="J10" s="119">
        <f>'Input Tab'!H21</f>
        <v>152948</v>
      </c>
      <c r="K10" s="119">
        <f>'Input Tab'!I21</f>
        <v>152948</v>
      </c>
      <c r="L10" s="119">
        <f>'Input Tab'!J21</f>
        <v>0</v>
      </c>
      <c r="M10" s="119">
        <f>'Input Tab'!K21</f>
        <v>0</v>
      </c>
      <c r="N10" s="119">
        <f>'Input Tab'!L21</f>
        <v>0</v>
      </c>
      <c r="O10" s="119">
        <f>'Input Tab'!M21</f>
        <v>0</v>
      </c>
      <c r="P10" s="119">
        <f>'Input Tab'!N21</f>
        <v>0</v>
      </c>
      <c r="Q10" s="45"/>
      <c r="R10" s="116">
        <f t="shared" si="2"/>
        <v>1070636</v>
      </c>
    </row>
    <row r="11" spans="1:18" ht="13.5" customHeight="1">
      <c r="A11" s="69">
        <v>5</v>
      </c>
      <c r="B11" s="3" t="s">
        <v>109</v>
      </c>
      <c r="C11" s="28">
        <v>100085</v>
      </c>
      <c r="D11" s="19">
        <f t="shared" si="3"/>
        <v>5555298</v>
      </c>
      <c r="E11" s="120">
        <f>'Input Tab'!C22</f>
        <v>776466</v>
      </c>
      <c r="F11" s="120">
        <f>'Input Tab'!D22</f>
        <v>776466</v>
      </c>
      <c r="G11" s="120">
        <f>'Input Tab'!E22</f>
        <v>776466</v>
      </c>
      <c r="H11" s="120">
        <f>'Input Tab'!F22</f>
        <v>896502</v>
      </c>
      <c r="I11" s="120">
        <f>'Input Tab'!G22</f>
        <v>776466</v>
      </c>
      <c r="J11" s="120">
        <f>'Input Tab'!H22</f>
        <v>776466</v>
      </c>
      <c r="K11" s="120">
        <f>'Input Tab'!I22</f>
        <v>776466</v>
      </c>
      <c r="L11" s="120">
        <f>'Input Tab'!J22</f>
        <v>0</v>
      </c>
      <c r="M11" s="120">
        <f>'Input Tab'!K22</f>
        <v>0</v>
      </c>
      <c r="N11" s="120">
        <f>'Input Tab'!L22</f>
        <v>0</v>
      </c>
      <c r="O11" s="120">
        <f>'Input Tab'!M22</f>
        <v>0</v>
      </c>
      <c r="P11" s="120">
        <f>'Input Tab'!N22</f>
        <v>0</v>
      </c>
      <c r="Q11" s="45"/>
      <c r="R11" s="116">
        <f t="shared" si="2"/>
        <v>5555298</v>
      </c>
    </row>
    <row r="12" spans="1:18" ht="14.25">
      <c r="A12" s="69">
        <f>A11+1</f>
        <v>6</v>
      </c>
      <c r="B12" s="3" t="s">
        <v>110</v>
      </c>
      <c r="C12" s="80" t="s">
        <v>91</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7910918</v>
      </c>
    </row>
    <row r="13" spans="1:18">
      <c r="A13" s="69">
        <f t="shared" ref="A13:A23" si="4">A12+1</f>
        <v>7</v>
      </c>
      <c r="B13" s="4" t="s">
        <v>104</v>
      </c>
      <c r="C13" s="80">
        <v>100137</v>
      </c>
      <c r="D13" s="19">
        <f t="shared" si="3"/>
        <v>6391</v>
      </c>
      <c r="E13" s="120">
        <f>'Input Tab'!C24</f>
        <v>973</v>
      </c>
      <c r="F13" s="120">
        <f>'Input Tab'!D24</f>
        <v>1128</v>
      </c>
      <c r="G13" s="120">
        <f>'Input Tab'!E24</f>
        <v>1326</v>
      </c>
      <c r="H13" s="120">
        <f>'Input Tab'!F24</f>
        <v>1015</v>
      </c>
      <c r="I13" s="120">
        <f>'Input Tab'!G24</f>
        <v>700</v>
      </c>
      <c r="J13" s="120">
        <f>'Input Tab'!H24</f>
        <v>633</v>
      </c>
      <c r="K13" s="120">
        <f>'Input Tab'!I24</f>
        <v>616</v>
      </c>
      <c r="L13" s="120">
        <f>'Input Tab'!J24</f>
        <v>0</v>
      </c>
      <c r="M13" s="120">
        <f>'Input Tab'!K24</f>
        <v>0</v>
      </c>
      <c r="N13" s="120">
        <f>'Input Tab'!L24</f>
        <v>0</v>
      </c>
      <c r="O13" s="120">
        <f>'Input Tab'!M24</f>
        <v>0</v>
      </c>
      <c r="P13" s="120">
        <f>'Input Tab'!N24</f>
        <v>0</v>
      </c>
      <c r="Q13" s="45"/>
      <c r="R13" s="116">
        <f t="shared" si="2"/>
        <v>6391</v>
      </c>
    </row>
    <row r="14" spans="1:18">
      <c r="A14" s="69">
        <f t="shared" si="4"/>
        <v>8</v>
      </c>
      <c r="B14" s="4" t="s">
        <v>13</v>
      </c>
      <c r="C14" s="28" t="s">
        <v>148</v>
      </c>
      <c r="D14" s="19">
        <f t="shared" si="3"/>
        <v>997769</v>
      </c>
      <c r="E14" s="120">
        <f>'Input Tab'!C25</f>
        <v>137301</v>
      </c>
      <c r="F14" s="120">
        <f>'Input Tab'!D25</f>
        <v>160032</v>
      </c>
      <c r="G14" s="120">
        <f>'Input Tab'!E25</f>
        <v>130122</v>
      </c>
      <c r="H14" s="120">
        <f>'Input Tab'!F25</f>
        <v>164292</v>
      </c>
      <c r="I14" s="120">
        <f>'Input Tab'!G25</f>
        <v>134892</v>
      </c>
      <c r="J14" s="120">
        <f>'Input Tab'!H25</f>
        <v>155759</v>
      </c>
      <c r="K14" s="120">
        <f>'Input Tab'!I25</f>
        <v>115371</v>
      </c>
      <c r="L14" s="120">
        <f>'Input Tab'!J25</f>
        <v>0</v>
      </c>
      <c r="M14" s="120">
        <f>'Input Tab'!K25</f>
        <v>0</v>
      </c>
      <c r="N14" s="120">
        <f>'Input Tab'!L25</f>
        <v>0</v>
      </c>
      <c r="O14" s="120">
        <f>'Input Tab'!M25</f>
        <v>0</v>
      </c>
      <c r="P14" s="120">
        <f>'Input Tab'!N25</f>
        <v>0</v>
      </c>
      <c r="Q14" s="45"/>
      <c r="R14" s="116">
        <f t="shared" si="2"/>
        <v>997769</v>
      </c>
    </row>
    <row r="15" spans="1:18">
      <c r="A15" s="69">
        <f t="shared" si="4"/>
        <v>9</v>
      </c>
      <c r="B15" s="3" t="s">
        <v>40</v>
      </c>
      <c r="C15" s="28">
        <v>185895</v>
      </c>
      <c r="D15" s="19">
        <f t="shared" si="3"/>
        <v>1035071</v>
      </c>
      <c r="E15" s="120">
        <f>'Input Tab'!C35</f>
        <v>175035</v>
      </c>
      <c r="F15" s="120">
        <f>'Input Tab'!D35</f>
        <v>112639</v>
      </c>
      <c r="G15" s="120">
        <f>'Input Tab'!E35</f>
        <v>116166</v>
      </c>
      <c r="H15" s="120">
        <f>'Input Tab'!F35</f>
        <v>88987</v>
      </c>
      <c r="I15" s="120">
        <f>'Input Tab'!G35</f>
        <v>158545</v>
      </c>
      <c r="J15" s="120">
        <f>'Input Tab'!H35</f>
        <v>160694</v>
      </c>
      <c r="K15" s="120">
        <f>'Input Tab'!I35</f>
        <v>223005</v>
      </c>
      <c r="L15" s="120">
        <f>'Input Tab'!J35</f>
        <v>0</v>
      </c>
      <c r="M15" s="120">
        <f>'Input Tab'!K35</f>
        <v>0</v>
      </c>
      <c r="N15" s="120">
        <f>'Input Tab'!L35</f>
        <v>0</v>
      </c>
      <c r="O15" s="120">
        <f>'Input Tab'!M35</f>
        <v>0</v>
      </c>
      <c r="P15" s="120">
        <f>'Input Tab'!N35</f>
        <v>0</v>
      </c>
      <c r="Q15" s="45"/>
      <c r="R15" s="116">
        <f t="shared" si="2"/>
        <v>1035071</v>
      </c>
    </row>
    <row r="16" spans="1:18" ht="12.75" customHeight="1">
      <c r="A16" s="69">
        <f t="shared" si="4"/>
        <v>10</v>
      </c>
      <c r="B16" s="4" t="s">
        <v>89</v>
      </c>
      <c r="C16" s="28">
        <v>186298</v>
      </c>
      <c r="D16" s="19">
        <f t="shared" si="3"/>
        <v>1651994</v>
      </c>
      <c r="E16" s="120">
        <f>'Input Tab'!C36</f>
        <v>278635</v>
      </c>
      <c r="F16" s="120">
        <f>'Input Tab'!D36</f>
        <v>269107</v>
      </c>
      <c r="G16" s="120">
        <f>'Input Tab'!E36</f>
        <v>250887</v>
      </c>
      <c r="H16" s="120">
        <f>'Input Tab'!F36</f>
        <v>301774</v>
      </c>
      <c r="I16" s="120">
        <f>'Input Tab'!G36</f>
        <v>332525</v>
      </c>
      <c r="J16" s="120">
        <f>'Input Tab'!H36</f>
        <v>204948</v>
      </c>
      <c r="K16" s="120">
        <f>'Input Tab'!I36</f>
        <v>14118</v>
      </c>
      <c r="L16" s="120">
        <f>'Input Tab'!J36</f>
        <v>0</v>
      </c>
      <c r="M16" s="120">
        <f>'Input Tab'!K36</f>
        <v>0</v>
      </c>
      <c r="N16" s="120">
        <f>'Input Tab'!L36</f>
        <v>0</v>
      </c>
      <c r="O16" s="120">
        <f>'Input Tab'!M36</f>
        <v>0</v>
      </c>
      <c r="P16" s="120">
        <f>'Input Tab'!N36</f>
        <v>0</v>
      </c>
      <c r="Q16" s="45"/>
      <c r="R16" s="116">
        <f t="shared" si="2"/>
        <v>1651994</v>
      </c>
    </row>
    <row r="17" spans="1:20">
      <c r="A17" s="69">
        <f>A16+1</f>
        <v>11</v>
      </c>
      <c r="B17" s="3" t="s">
        <v>117</v>
      </c>
      <c r="C17" s="28">
        <v>223063</v>
      </c>
      <c r="D17" s="19">
        <f t="shared" si="3"/>
        <v>3040866</v>
      </c>
      <c r="E17" s="120">
        <f>'Input Tab'!C37</f>
        <v>584639</v>
      </c>
      <c r="F17" s="120">
        <f>'Input Tab'!D37</f>
        <v>427257</v>
      </c>
      <c r="G17" s="120">
        <f>'Input Tab'!E37</f>
        <v>466708</v>
      </c>
      <c r="H17" s="120">
        <f>'Input Tab'!F37</f>
        <v>424403</v>
      </c>
      <c r="I17" s="120">
        <f>'Input Tab'!G37</f>
        <v>265006</v>
      </c>
      <c r="J17" s="120">
        <f>'Input Tab'!H37</f>
        <v>390567</v>
      </c>
      <c r="K17" s="120">
        <f>'Input Tab'!I37</f>
        <v>482286</v>
      </c>
      <c r="L17" s="120">
        <f>'Input Tab'!J37</f>
        <v>0</v>
      </c>
      <c r="M17" s="120">
        <f>'Input Tab'!K37</f>
        <v>0</v>
      </c>
      <c r="N17" s="120">
        <f>'Input Tab'!L37</f>
        <v>0</v>
      </c>
      <c r="O17" s="120">
        <f>'Input Tab'!M37</f>
        <v>0</v>
      </c>
      <c r="P17" s="120">
        <f>'Input Tab'!N37</f>
        <v>0</v>
      </c>
      <c r="Q17" s="45"/>
      <c r="R17" s="116">
        <f t="shared" si="2"/>
        <v>3040866</v>
      </c>
    </row>
    <row r="18" spans="1:20">
      <c r="A18" s="69">
        <f>A17+1</f>
        <v>12</v>
      </c>
      <c r="B18" s="87" t="s">
        <v>181</v>
      </c>
      <c r="C18" s="28">
        <v>102475</v>
      </c>
      <c r="D18" s="19">
        <f t="shared" si="3"/>
        <v>8489</v>
      </c>
      <c r="E18" s="119">
        <f>'Input Tab'!C38</f>
        <v>1297</v>
      </c>
      <c r="F18" s="119">
        <f>'Input Tab'!D38</f>
        <v>1364</v>
      </c>
      <c r="G18" s="119">
        <f>'Input Tab'!E38</f>
        <v>1397</v>
      </c>
      <c r="H18" s="119">
        <f>'Input Tab'!F38</f>
        <v>1286</v>
      </c>
      <c r="I18" s="119">
        <f>'Input Tab'!G38</f>
        <v>955</v>
      </c>
      <c r="J18" s="119">
        <f>'Input Tab'!H38</f>
        <v>1187</v>
      </c>
      <c r="K18" s="119">
        <f>'Input Tab'!I38</f>
        <v>1003</v>
      </c>
      <c r="L18" s="119">
        <f>'Input Tab'!J38</f>
        <v>0</v>
      </c>
      <c r="M18" s="119">
        <f>'Input Tab'!K38</f>
        <v>0</v>
      </c>
      <c r="N18" s="119">
        <f>'Input Tab'!L38</f>
        <v>0</v>
      </c>
      <c r="O18" s="119">
        <f>'Input Tab'!M38</f>
        <v>0</v>
      </c>
      <c r="P18" s="119">
        <f>'Input Tab'!N38</f>
        <v>0</v>
      </c>
      <c r="Q18" s="45"/>
      <c r="R18" s="116">
        <f t="shared" si="2"/>
        <v>8489</v>
      </c>
    </row>
    <row r="19" spans="1:20">
      <c r="A19" s="69">
        <f>A18+1</f>
        <v>13</v>
      </c>
      <c r="B19" s="3" t="s">
        <v>105</v>
      </c>
      <c r="C19" s="28" t="s">
        <v>106</v>
      </c>
      <c r="D19" s="19">
        <f t="shared" si="3"/>
        <v>16123144</v>
      </c>
      <c r="E19" s="119">
        <f>'Input Tab'!C39</f>
        <v>2434351</v>
      </c>
      <c r="F19" s="119">
        <f>'Input Tab'!D39</f>
        <v>2347256</v>
      </c>
      <c r="G19" s="119">
        <f>'Input Tab'!E39</f>
        <v>2433715</v>
      </c>
      <c r="H19" s="119">
        <f>'Input Tab'!F39</f>
        <v>2283549</v>
      </c>
      <c r="I19" s="119">
        <f>'Input Tab'!G39</f>
        <v>2161515</v>
      </c>
      <c r="J19" s="119">
        <f>'Input Tab'!H39</f>
        <v>2100743</v>
      </c>
      <c r="K19" s="119">
        <f>'Input Tab'!I39</f>
        <v>2362015</v>
      </c>
      <c r="L19" s="119">
        <f>'Input Tab'!J39</f>
        <v>0</v>
      </c>
      <c r="M19" s="119">
        <f>'Input Tab'!K39</f>
        <v>0</v>
      </c>
      <c r="N19" s="119">
        <f>'Input Tab'!L39</f>
        <v>0</v>
      </c>
      <c r="O19" s="119">
        <f>'Input Tab'!M39</f>
        <v>0</v>
      </c>
      <c r="P19" s="119">
        <f>'Input Tab'!N39</f>
        <v>0</v>
      </c>
      <c r="Q19" s="45"/>
      <c r="R19" s="116">
        <f t="shared" si="2"/>
        <v>16123144</v>
      </c>
    </row>
    <row r="20" spans="1:20">
      <c r="A20" s="69">
        <f>A19+1</f>
        <v>14</v>
      </c>
      <c r="B20" s="3" t="s">
        <v>116</v>
      </c>
      <c r="C20" s="28">
        <v>181462</v>
      </c>
      <c r="D20" s="19">
        <f t="shared" si="3"/>
        <v>11333079</v>
      </c>
      <c r="E20" s="119">
        <f>'Input Tab'!C40</f>
        <v>1921037</v>
      </c>
      <c r="F20" s="119">
        <f>'Input Tab'!D40</f>
        <v>1708936</v>
      </c>
      <c r="G20" s="119">
        <f>'Input Tab'!E40</f>
        <v>1266884</v>
      </c>
      <c r="H20" s="119">
        <f>'Input Tab'!F40</f>
        <v>2031088</v>
      </c>
      <c r="I20" s="119">
        <f>'Input Tab'!G40</f>
        <v>1632368</v>
      </c>
      <c r="J20" s="119">
        <f>'Input Tab'!H40</f>
        <v>1626459</v>
      </c>
      <c r="K20" s="119">
        <f>'Input Tab'!I40</f>
        <v>1146307</v>
      </c>
      <c r="L20" s="119">
        <f>'Input Tab'!J40</f>
        <v>0</v>
      </c>
      <c r="M20" s="119">
        <f>'Input Tab'!K40</f>
        <v>0</v>
      </c>
      <c r="N20" s="119">
        <f>'Input Tab'!L40</f>
        <v>0</v>
      </c>
      <c r="O20" s="119">
        <f>'Input Tab'!M40</f>
        <v>0</v>
      </c>
      <c r="P20" s="119">
        <f>'Input Tab'!N40</f>
        <v>0</v>
      </c>
      <c r="Q20" s="45"/>
      <c r="R20" s="116">
        <f t="shared" si="2"/>
        <v>11333079</v>
      </c>
    </row>
    <row r="21" spans="1:20">
      <c r="A21" s="69">
        <f>A20+1</f>
        <v>15</v>
      </c>
      <c r="B21" s="4" t="s">
        <v>28</v>
      </c>
      <c r="C21" s="80"/>
      <c r="D21" s="19">
        <f t="shared" si="3"/>
        <v>1478221</v>
      </c>
      <c r="E21" s="21">
        <f>E35</f>
        <v>214294</v>
      </c>
      <c r="F21" s="21">
        <f>F35</f>
        <v>255268</v>
      </c>
      <c r="G21" s="21">
        <f t="shared" ref="G21:P21" si="5">G35</f>
        <v>255076</v>
      </c>
      <c r="H21" s="21">
        <f t="shared" si="5"/>
        <v>175722</v>
      </c>
      <c r="I21" s="21">
        <f t="shared" si="5"/>
        <v>184130</v>
      </c>
      <c r="J21" s="21">
        <f t="shared" si="5"/>
        <v>188967</v>
      </c>
      <c r="K21" s="21">
        <f t="shared" si="5"/>
        <v>204764</v>
      </c>
      <c r="L21" s="21">
        <f t="shared" si="5"/>
        <v>0</v>
      </c>
      <c r="M21" s="21">
        <f>M35</f>
        <v>0</v>
      </c>
      <c r="N21" s="21">
        <f>N35</f>
        <v>0</v>
      </c>
      <c r="O21" s="21">
        <f t="shared" si="5"/>
        <v>0</v>
      </c>
      <c r="P21" s="21">
        <f t="shared" si="5"/>
        <v>0</v>
      </c>
      <c r="Q21" s="21"/>
      <c r="R21" s="116">
        <f t="shared" si="2"/>
        <v>1478221</v>
      </c>
    </row>
    <row r="22" spans="1:20">
      <c r="A22" s="69">
        <f t="shared" si="4"/>
        <v>16</v>
      </c>
      <c r="B22" s="87" t="s">
        <v>14</v>
      </c>
      <c r="C22" s="121"/>
      <c r="D22" s="19">
        <f t="shared" si="3"/>
        <v>-1048619</v>
      </c>
      <c r="E22" s="22">
        <f>E33</f>
        <v>-336895</v>
      </c>
      <c r="F22" s="22">
        <f>F33</f>
        <v>-717182</v>
      </c>
      <c r="G22" s="22">
        <f t="shared" ref="G22:P22" si="6">G33</f>
        <v>-527151</v>
      </c>
      <c r="H22" s="22">
        <f t="shared" si="6"/>
        <v>-257975</v>
      </c>
      <c r="I22" s="22">
        <f t="shared" si="6"/>
        <v>22739</v>
      </c>
      <c r="J22" s="22">
        <f t="shared" si="6"/>
        <v>1248303</v>
      </c>
      <c r="K22" s="22">
        <f t="shared" si="6"/>
        <v>-480458</v>
      </c>
      <c r="L22" s="22">
        <f t="shared" si="6"/>
        <v>0</v>
      </c>
      <c r="M22" s="22">
        <f t="shared" si="6"/>
        <v>0</v>
      </c>
      <c r="N22" s="22">
        <f>N33</f>
        <v>0</v>
      </c>
      <c r="O22" s="22">
        <f t="shared" si="6"/>
        <v>0</v>
      </c>
      <c r="P22" s="22">
        <f t="shared" si="6"/>
        <v>0</v>
      </c>
      <c r="Q22" s="22"/>
      <c r="R22" s="116">
        <f t="shared" si="2"/>
        <v>-1048619</v>
      </c>
    </row>
    <row r="23" spans="1:20" s="26" customFormat="1" ht="13.5" thickBot="1">
      <c r="A23" s="122">
        <f t="shared" si="4"/>
        <v>17</v>
      </c>
      <c r="B23" s="54" t="s">
        <v>80</v>
      </c>
      <c r="C23" s="54"/>
      <c r="D23" s="34">
        <f>SUM(E23:P23)</f>
        <v>81459938</v>
      </c>
      <c r="E23" s="123">
        <f>E38</f>
        <v>13287337</v>
      </c>
      <c r="F23" s="123">
        <f t="shared" ref="F23:P23" si="7">F38</f>
        <v>12471420</v>
      </c>
      <c r="G23" s="123">
        <f>G38</f>
        <v>15020181</v>
      </c>
      <c r="H23" s="123">
        <f t="shared" si="7"/>
        <v>10654380</v>
      </c>
      <c r="I23" s="123">
        <f t="shared" si="7"/>
        <v>9382490</v>
      </c>
      <c r="J23" s="123">
        <f t="shared" si="7"/>
        <v>10767043</v>
      </c>
      <c r="K23" s="123">
        <f t="shared" si="7"/>
        <v>9877087</v>
      </c>
      <c r="L23" s="123">
        <f t="shared" si="7"/>
        <v>0</v>
      </c>
      <c r="M23" s="123">
        <f>M38</f>
        <v>0</v>
      </c>
      <c r="N23" s="123">
        <f>N38</f>
        <v>0</v>
      </c>
      <c r="O23" s="123">
        <f t="shared" si="7"/>
        <v>0</v>
      </c>
      <c r="P23" s="123">
        <f t="shared" si="7"/>
        <v>0</v>
      </c>
      <c r="Q23" s="23"/>
      <c r="R23" s="124">
        <f>SUM(R7:R21)</f>
        <v>82508557</v>
      </c>
    </row>
    <row r="24" spans="1:20" ht="13.5" thickTop="1">
      <c r="A24" s="69"/>
      <c r="E24" s="33" t="s">
        <v>24</v>
      </c>
      <c r="F24" s="125" t="s">
        <v>24</v>
      </c>
      <c r="G24" s="125"/>
      <c r="H24" s="125"/>
      <c r="I24" s="125"/>
      <c r="J24" s="125"/>
      <c r="K24" s="125"/>
      <c r="L24" s="125"/>
      <c r="M24" s="125"/>
      <c r="N24" s="125"/>
      <c r="O24" s="125"/>
      <c r="P24" s="125"/>
    </row>
    <row r="25" spans="1:20">
      <c r="A25" s="69"/>
      <c r="B25" s="3" t="s">
        <v>81</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89719797</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8799683</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89719797</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92</v>
      </c>
      <c r="D29" s="125">
        <f t="shared" ref="D29:D37" si="9">SUM(E29:P29)</f>
        <v>-13331734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1257360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-13331734</v>
      </c>
    </row>
    <row r="30" spans="1:20" outlineLevel="1">
      <c r="A30" s="69"/>
      <c r="B30" s="3">
        <v>555312</v>
      </c>
      <c r="C30" s="3" t="s">
        <v>60</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60</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93</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94</v>
      </c>
      <c r="D33" s="125">
        <f t="shared" si="9"/>
        <v>-1048619</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-480458</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-1048619</v>
      </c>
    </row>
    <row r="34" spans="1:18" outlineLevel="1">
      <c r="A34" s="69"/>
      <c r="B34" s="4">
        <v>555700</v>
      </c>
      <c r="C34" s="4" t="s">
        <v>95</v>
      </c>
      <c r="D34" s="125">
        <f t="shared" si="9"/>
        <v>4603698</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106223</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4603698</v>
      </c>
    </row>
    <row r="35" spans="1:18" outlineLevel="1">
      <c r="A35" s="69"/>
      <c r="B35" s="4">
        <v>555710</v>
      </c>
      <c r="C35" s="4" t="s">
        <v>96</v>
      </c>
      <c r="D35" s="125">
        <f t="shared" si="9"/>
        <v>1478221</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204764</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1478221</v>
      </c>
    </row>
    <row r="36" spans="1:18" outlineLevel="1">
      <c r="A36" s="69"/>
      <c r="C36" s="68" t="s">
        <v>187</v>
      </c>
      <c r="D36" s="125">
        <f t="shared" si="9"/>
        <v>-55087</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f>-SUM((40589/12)+(1.29*6317)-(K51*0.0063))</f>
        <v>-10485</v>
      </c>
      <c r="L36" s="14"/>
      <c r="M36" s="14"/>
      <c r="N36" s="14"/>
      <c r="O36" s="14"/>
      <c r="P36" s="14"/>
      <c r="Q36" s="45"/>
      <c r="R36" s="116"/>
    </row>
    <row r="37" spans="1:18" outlineLevel="1">
      <c r="A37" s="69"/>
      <c r="B37" s="51" t="s">
        <v>48</v>
      </c>
      <c r="C37" s="28" t="s">
        <v>139</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5"/>
      <c r="R37" s="116">
        <f t="shared" si="8"/>
        <v>93661</v>
      </c>
    </row>
    <row r="38" spans="1:18" s="26" customFormat="1" outlineLevel="1">
      <c r="A38" s="129"/>
      <c r="B38" s="52"/>
      <c r="C38" s="52"/>
      <c r="D38" s="35">
        <f>SUM(E38:P38)</f>
        <v>81459938</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9877087</v>
      </c>
      <c r="L38" s="35">
        <f t="shared" si="10"/>
        <v>0</v>
      </c>
      <c r="M38" s="35">
        <f t="shared" si="10"/>
        <v>0</v>
      </c>
      <c r="N38" s="35">
        <f t="shared" si="10"/>
        <v>0</v>
      </c>
      <c r="O38" s="35">
        <f t="shared" si="10"/>
        <v>0</v>
      </c>
      <c r="P38" s="35">
        <f t="shared" si="10"/>
        <v>0</v>
      </c>
      <c r="Q38" s="43"/>
      <c r="R38" s="35">
        <f>SUM(R27:R37)</f>
        <v>81515024</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-41213680</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-5181353</v>
      </c>
      <c r="L41" s="22">
        <f t="shared" si="12"/>
        <v>0</v>
      </c>
      <c r="M41" s="22">
        <f t="shared" si="12"/>
        <v>0</v>
      </c>
      <c r="N41" s="22">
        <f t="shared" si="12"/>
        <v>0</v>
      </c>
      <c r="O41" s="22">
        <f t="shared" si="12"/>
        <v>0</v>
      </c>
      <c r="P41" s="22">
        <f t="shared" si="12"/>
        <v>0</v>
      </c>
      <c r="Q41" s="130"/>
      <c r="R41" s="125">
        <f>SUM(E41:P41)</f>
        <v>-41213680</v>
      </c>
    </row>
    <row r="42" spans="1:18">
      <c r="A42" s="69">
        <f>A41+1</f>
        <v>19</v>
      </c>
      <c r="B42" s="4" t="s">
        <v>27</v>
      </c>
      <c r="C42" s="80" t="s">
        <v>97</v>
      </c>
      <c r="D42" s="125">
        <f t="shared" si="11"/>
        <v>-1071407</v>
      </c>
      <c r="E42" s="120">
        <f>'Input Tab'!C45</f>
        <v>-120724</v>
      </c>
      <c r="F42" s="120">
        <f>'Input Tab'!D45</f>
        <v>-304137</v>
      </c>
      <c r="G42" s="120">
        <f>'Input Tab'!E45</f>
        <v>-375125</v>
      </c>
      <c r="H42" s="120">
        <f>'Input Tab'!F45</f>
        <v>-60162</v>
      </c>
      <c r="I42" s="120">
        <f>'Input Tab'!G45</f>
        <v>-45193</v>
      </c>
      <c r="J42" s="120">
        <f>'Input Tab'!H45</f>
        <v>-61644</v>
      </c>
      <c r="K42" s="120">
        <f>'Input Tab'!I45</f>
        <v>-104422</v>
      </c>
      <c r="L42" s="120">
        <f>'Input Tab'!J45</f>
        <v>0</v>
      </c>
      <c r="M42" s="120">
        <f>'Input Tab'!K45</f>
        <v>0</v>
      </c>
      <c r="N42" s="120">
        <f>'Input Tab'!L45</f>
        <v>0</v>
      </c>
      <c r="O42" s="120">
        <f>'Input Tab'!M45</f>
        <v>0</v>
      </c>
      <c r="P42" s="120">
        <f>'Input Tab'!N45</f>
        <v>0</v>
      </c>
      <c r="Q42" s="130"/>
      <c r="R42" s="125">
        <f>SUM(E42:P42)</f>
        <v>-1071407</v>
      </c>
    </row>
    <row r="43" spans="1:18">
      <c r="A43" s="69">
        <f>A42+1</f>
        <v>20</v>
      </c>
      <c r="B43" s="3" t="s">
        <v>165</v>
      </c>
      <c r="C43" s="28" t="s">
        <v>138</v>
      </c>
      <c r="D43" s="125">
        <f t="shared" si="11"/>
        <v>-86133</v>
      </c>
      <c r="E43" s="120">
        <f>'Input Tab'!C46</f>
        <v>-12804</v>
      </c>
      <c r="F43" s="120">
        <f>'Input Tab'!D46</f>
        <v>-11620</v>
      </c>
      <c r="G43" s="120">
        <f>'Input Tab'!E46</f>
        <v>-12663</v>
      </c>
      <c r="H43" s="120">
        <f>'Input Tab'!F46</f>
        <v>-12424</v>
      </c>
      <c r="I43" s="120">
        <f>'Input Tab'!G46</f>
        <v>-12082</v>
      </c>
      <c r="J43" s="120">
        <f>'Input Tab'!H46</f>
        <v>-12073</v>
      </c>
      <c r="K43" s="120">
        <f>'Input Tab'!I46</f>
        <v>-12467</v>
      </c>
      <c r="L43" s="120">
        <f>'Input Tab'!J46</f>
        <v>0</v>
      </c>
      <c r="M43" s="120">
        <f>'Input Tab'!K46</f>
        <v>0</v>
      </c>
      <c r="N43" s="120">
        <f>'Input Tab'!L46</f>
        <v>0</v>
      </c>
      <c r="O43" s="120">
        <f>'Input Tab'!M46</f>
        <v>0</v>
      </c>
      <c r="P43" s="120">
        <f>'Input Tab'!N46</f>
        <v>0</v>
      </c>
      <c r="Q43" s="130"/>
      <c r="R43" s="125">
        <f>SUM(E43:P43)</f>
        <v>-86133</v>
      </c>
    </row>
    <row r="44" spans="1:18">
      <c r="A44" s="69">
        <f>A43+1</f>
        <v>21</v>
      </c>
      <c r="B44" s="4" t="s">
        <v>31</v>
      </c>
      <c r="C44" s="131" t="s">
        <v>137</v>
      </c>
      <c r="D44" s="125">
        <f t="shared" si="11"/>
        <v>-392451</v>
      </c>
      <c r="E44" s="120">
        <f>'Input Tab'!C47</f>
        <v>-63475</v>
      </c>
      <c r="F44" s="120">
        <f>'Input Tab'!D47</f>
        <v>-58476</v>
      </c>
      <c r="G44" s="120">
        <f>'Input Tab'!E47</f>
        <v>-58414</v>
      </c>
      <c r="H44" s="120">
        <f>'Input Tab'!F47</f>
        <v>-50505</v>
      </c>
      <c r="I44" s="120">
        <f>'Input Tab'!G47</f>
        <v>-54144</v>
      </c>
      <c r="J44" s="120">
        <f>'Input Tab'!H47</f>
        <v>-54456</v>
      </c>
      <c r="K44" s="120">
        <f>'Input Tab'!I47</f>
        <v>-52981</v>
      </c>
      <c r="L44" s="120">
        <f>'Input Tab'!J47</f>
        <v>0</v>
      </c>
      <c r="M44" s="120">
        <f>'Input Tab'!K47</f>
        <v>0</v>
      </c>
      <c r="N44" s="120">
        <f>'Input Tab'!L47</f>
        <v>0</v>
      </c>
      <c r="O44" s="120">
        <f>'Input Tab'!M47</f>
        <v>0</v>
      </c>
      <c r="P44" s="120">
        <f>'Input Tab'!N47</f>
        <v>0</v>
      </c>
      <c r="Q44" s="130"/>
      <c r="R44" s="125">
        <f>SUM(E44:P44)</f>
        <v>-392451</v>
      </c>
    </row>
    <row r="45" spans="1:18">
      <c r="A45" s="69">
        <f>A44+1</f>
        <v>22</v>
      </c>
      <c r="B45" s="4" t="s">
        <v>29</v>
      </c>
      <c r="C45" s="80"/>
      <c r="D45" s="125">
        <f t="shared" si="11"/>
        <v>-10115645</v>
      </c>
      <c r="E45" s="20">
        <f>E56</f>
        <v>-1090562</v>
      </c>
      <c r="F45" s="20">
        <f>F56</f>
        <v>-1486418</v>
      </c>
      <c r="G45" s="20">
        <f t="shared" ref="G45:P45" si="13">G56</f>
        <v>-1399685</v>
      </c>
      <c r="H45" s="20">
        <f t="shared" si="13"/>
        <v>-1642181</v>
      </c>
      <c r="I45" s="20">
        <f t="shared" si="13"/>
        <v>-1644969</v>
      </c>
      <c r="J45" s="20">
        <f>J56</f>
        <v>-1587682</v>
      </c>
      <c r="K45" s="20">
        <f>K56</f>
        <v>-1264148</v>
      </c>
      <c r="L45" s="20">
        <f t="shared" si="13"/>
        <v>0</v>
      </c>
      <c r="M45" s="20">
        <f t="shared" si="13"/>
        <v>0</v>
      </c>
      <c r="N45" s="20">
        <f t="shared" si="13"/>
        <v>0</v>
      </c>
      <c r="O45" s="20">
        <f t="shared" si="13"/>
        <v>0</v>
      </c>
      <c r="P45" s="20">
        <f t="shared" si="13"/>
        <v>0</v>
      </c>
      <c r="Q45" s="130"/>
      <c r="R45" s="125">
        <f>SUM(E45:P45)</f>
        <v>-10115645</v>
      </c>
    </row>
    <row r="46" spans="1:18" s="26" customFormat="1" ht="24.75" customHeight="1" thickBot="1">
      <c r="A46" s="122">
        <f>A45+1</f>
        <v>23</v>
      </c>
      <c r="B46" s="54" t="s">
        <v>79</v>
      </c>
      <c r="C46" s="54"/>
      <c r="D46" s="34">
        <f t="shared" si="11"/>
        <v>-52879316</v>
      </c>
      <c r="E46" s="123">
        <f>E57</f>
        <v>-6954796</v>
      </c>
      <c r="F46" s="123">
        <f>F57</f>
        <v>-3700447</v>
      </c>
      <c r="G46" s="123">
        <f t="shared" ref="G46:P46" si="14">G57</f>
        <v>-7976187</v>
      </c>
      <c r="H46" s="123">
        <f>H57</f>
        <v>-10773352</v>
      </c>
      <c r="I46" s="123">
        <f>I57</f>
        <v>-9218088</v>
      </c>
      <c r="J46" s="123">
        <f t="shared" si="14"/>
        <v>-7641075</v>
      </c>
      <c r="K46" s="123">
        <f t="shared" si="14"/>
        <v>-6615371</v>
      </c>
      <c r="L46" s="123">
        <f t="shared" si="14"/>
        <v>0</v>
      </c>
      <c r="M46" s="123">
        <f>M57</f>
        <v>0</v>
      </c>
      <c r="N46" s="123">
        <f t="shared" si="14"/>
        <v>0</v>
      </c>
      <c r="O46" s="123">
        <f t="shared" si="14"/>
        <v>0</v>
      </c>
      <c r="P46" s="123">
        <f t="shared" si="14"/>
        <v>0</v>
      </c>
      <c r="Q46" s="132"/>
      <c r="R46" s="124">
        <f>SUM(R41:R45)</f>
        <v>-52879316</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-45309847</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-3491018</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-45309847</v>
      </c>
    </row>
    <row r="51" spans="1:18" outlineLevel="2">
      <c r="A51" s="69"/>
      <c r="C51" s="26" t="s">
        <v>185</v>
      </c>
      <c r="D51" s="125">
        <f t="shared" si="15"/>
        <v>694749</v>
      </c>
      <c r="E51" s="14">
        <v>29529</v>
      </c>
      <c r="F51" s="14">
        <v>114980</v>
      </c>
      <c r="G51" s="14">
        <v>148778</v>
      </c>
      <c r="H51" s="14">
        <v>56427</v>
      </c>
      <c r="I51" s="14">
        <v>74697</v>
      </c>
      <c r="J51" s="14">
        <v>104242</v>
      </c>
      <c r="K51" s="14">
        <v>166096</v>
      </c>
      <c r="L51" s="14"/>
      <c r="M51" s="14"/>
      <c r="N51" s="14"/>
      <c r="O51" s="14"/>
      <c r="P51" s="14"/>
      <c r="Q51" s="134"/>
      <c r="R51" s="116"/>
    </row>
    <row r="52" spans="1:18" outlineLevel="2">
      <c r="A52" s="69"/>
      <c r="B52" s="4">
        <v>447100</v>
      </c>
      <c r="D52" s="125">
        <f t="shared" si="15"/>
        <v>22807841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103320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22807841</v>
      </c>
    </row>
    <row r="53" spans="1:18" outlineLevel="2">
      <c r="A53" s="69"/>
      <c r="B53" s="4">
        <v>447150</v>
      </c>
      <c r="D53" s="125">
        <f t="shared" si="15"/>
        <v>-13544058</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-1796712</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-13544058</v>
      </c>
    </row>
    <row r="54" spans="1:18" outlineLevel="2">
      <c r="A54" s="69"/>
      <c r="B54" s="4">
        <v>447700</v>
      </c>
      <c r="D54" s="125">
        <f t="shared" si="15"/>
        <v>-5934135</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-128145</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-5934135</v>
      </c>
    </row>
    <row r="55" spans="1:18" outlineLevel="2">
      <c r="A55" s="69"/>
      <c r="B55" s="4">
        <v>447710</v>
      </c>
      <c r="D55" s="125">
        <f t="shared" si="15"/>
        <v>-1478221</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-204764</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-1478221</v>
      </c>
    </row>
    <row r="56" spans="1:18" outlineLevel="2">
      <c r="A56" s="69"/>
      <c r="B56" s="4">
        <v>447720</v>
      </c>
      <c r="C56" s="3" t="s">
        <v>149</v>
      </c>
      <c r="D56" s="127">
        <f t="shared" si="15"/>
        <v>-10115645</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-1264148</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-10115645</v>
      </c>
    </row>
    <row r="57" spans="1:18" s="26" customFormat="1" outlineLevel="2">
      <c r="A57" s="129"/>
      <c r="D57" s="35">
        <f t="shared" si="15"/>
        <v>-52879316</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-6615371</v>
      </c>
      <c r="L57" s="25">
        <f t="shared" si="17"/>
        <v>0</v>
      </c>
      <c r="M57" s="25">
        <f>SUM(M50:M56)</f>
        <v>0</v>
      </c>
      <c r="N57" s="25">
        <f t="shared" si="17"/>
        <v>0</v>
      </c>
      <c r="O57" s="25">
        <f t="shared" si="17"/>
        <v>0</v>
      </c>
      <c r="P57" s="25">
        <f t="shared" si="17"/>
        <v>0</v>
      </c>
      <c r="Q57" s="136"/>
      <c r="R57" s="35">
        <f>SUM(R50:R56)</f>
        <v>-53574065</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88</v>
      </c>
      <c r="C60" s="3"/>
      <c r="D60" s="125">
        <f>SUM(E60:P60)</f>
        <v>2926333</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656265</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2926333</v>
      </c>
    </row>
    <row r="61" spans="1:18">
      <c r="A61" s="69">
        <f>+A60+1</f>
        <v>25</v>
      </c>
      <c r="B61" s="3" t="s">
        <v>87</v>
      </c>
      <c r="C61" s="3"/>
      <c r="D61" s="125">
        <f>SUM(E61:P61)</f>
        <v>3534</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162</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3534</v>
      </c>
    </row>
    <row r="62" spans="1:18">
      <c r="A62" s="69">
        <f>+A61+1</f>
        <v>26</v>
      </c>
      <c r="B62" s="5" t="s">
        <v>47</v>
      </c>
      <c r="C62" s="5"/>
      <c r="D62" s="125">
        <f>SUM(E62:P62)</f>
        <v>11588965</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1691988</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11588965</v>
      </c>
    </row>
    <row r="63" spans="1:18">
      <c r="A63" s="69">
        <f>+A62+1</f>
        <v>27</v>
      </c>
      <c r="B63" s="5" t="s">
        <v>46</v>
      </c>
      <c r="C63" s="5"/>
      <c r="D63" s="125">
        <f>SUM(E63:P63)</f>
        <v>128580</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17069</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128580</v>
      </c>
    </row>
    <row r="64" spans="1:18" s="26" customFormat="1" ht="27.75" customHeight="1" thickBot="1">
      <c r="A64" s="122">
        <f>+A63+1</f>
        <v>28</v>
      </c>
      <c r="B64" s="54" t="s">
        <v>78</v>
      </c>
      <c r="C64" s="54"/>
      <c r="D64" s="34">
        <f>SUM(E64:P64)</f>
        <v>14647412</v>
      </c>
      <c r="E64" s="16">
        <f>SUM(E60:E63)</f>
        <v>2866380</v>
      </c>
      <c r="F64" s="16">
        <f t="shared" ref="F64:P64" si="18">SUM(F60:F63)</f>
        <v>1489795</v>
      </c>
      <c r="G64" s="16">
        <f t="shared" si="18"/>
        <v>2867639</v>
      </c>
      <c r="H64" s="16">
        <f t="shared" si="18"/>
        <v>1993772</v>
      </c>
      <c r="I64" s="16">
        <f t="shared" si="18"/>
        <v>1171486</v>
      </c>
      <c r="J64" s="16">
        <f t="shared" si="18"/>
        <v>1892856</v>
      </c>
      <c r="K64" s="16">
        <f t="shared" si="18"/>
        <v>2365484</v>
      </c>
      <c r="L64" s="16">
        <f t="shared" si="18"/>
        <v>0</v>
      </c>
      <c r="M64" s="16">
        <f t="shared" si="18"/>
        <v>0</v>
      </c>
      <c r="N64" s="16">
        <f t="shared" si="18"/>
        <v>0</v>
      </c>
      <c r="O64" s="16">
        <f t="shared" si="18"/>
        <v>0</v>
      </c>
      <c r="P64" s="16">
        <f t="shared" si="18"/>
        <v>0</v>
      </c>
      <c r="Q64" s="139"/>
      <c r="R64" s="124">
        <f>SUM(E64:P64)</f>
        <v>14647412</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113</v>
      </c>
      <c r="D67" s="140">
        <f>SUM(E67:P67)</f>
        <v>235099</v>
      </c>
      <c r="E67" s="141">
        <f>'Input Tab'!C50</f>
        <v>55618</v>
      </c>
      <c r="F67" s="141">
        <f>'Input Tab'!D50</f>
        <v>49341</v>
      </c>
      <c r="G67" s="141">
        <f>'Input Tab'!E50</f>
        <v>52895</v>
      </c>
      <c r="H67" s="141">
        <f>'Input Tab'!F50</f>
        <v>0</v>
      </c>
      <c r="I67" s="141">
        <f>'Input Tab'!G50</f>
        <v>0</v>
      </c>
      <c r="J67" s="141">
        <f>'Input Tab'!H50</f>
        <v>22799</v>
      </c>
      <c r="K67" s="141">
        <f>'Input Tab'!I50</f>
        <v>54446</v>
      </c>
      <c r="L67" s="141">
        <f>'Input Tab'!J50</f>
        <v>0</v>
      </c>
      <c r="M67" s="141">
        <f>'Input Tab'!K50</f>
        <v>0</v>
      </c>
      <c r="N67" s="141">
        <f>'Input Tab'!L50</f>
        <v>0</v>
      </c>
      <c r="O67" s="141">
        <f>'Input Tab'!M50</f>
        <v>0</v>
      </c>
      <c r="P67" s="141">
        <f>'Input Tab'!N50</f>
        <v>0</v>
      </c>
      <c r="Q67" s="133"/>
      <c r="R67" s="142">
        <f>SUM(E67:P67)</f>
        <v>235099</v>
      </c>
    </row>
    <row r="68" spans="1:18">
      <c r="A68" s="69">
        <f>A67+1</f>
        <v>30</v>
      </c>
      <c r="B68" s="4" t="s">
        <v>25</v>
      </c>
      <c r="C68" s="3" t="s">
        <v>112</v>
      </c>
      <c r="D68" s="140">
        <f>SUM(E68:P68)</f>
        <v>536807</v>
      </c>
      <c r="E68" s="141">
        <f>'Input Tab'!C51</f>
        <v>94382</v>
      </c>
      <c r="F68" s="141">
        <f>'Input Tab'!D51</f>
        <v>84400</v>
      </c>
      <c r="G68" s="141">
        <f>'Input Tab'!E51</f>
        <v>99623</v>
      </c>
      <c r="H68" s="141">
        <f>'Input Tab'!F51</f>
        <v>69067</v>
      </c>
      <c r="I68" s="141">
        <f>'Input Tab'!G51</f>
        <v>42755</v>
      </c>
      <c r="J68" s="141">
        <f>'Input Tab'!H51</f>
        <v>66682</v>
      </c>
      <c r="K68" s="141">
        <f>'Input Tab'!I51</f>
        <v>79898</v>
      </c>
      <c r="L68" s="141">
        <f>'Input Tab'!J51</f>
        <v>0</v>
      </c>
      <c r="M68" s="141">
        <f>'Input Tab'!K51</f>
        <v>0</v>
      </c>
      <c r="N68" s="141">
        <f>'Input Tab'!L51</f>
        <v>0</v>
      </c>
      <c r="O68" s="141">
        <f>'Input Tab'!M51</f>
        <v>0</v>
      </c>
      <c r="P68" s="141">
        <f>'Input Tab'!N51</f>
        <v>0</v>
      </c>
      <c r="Q68" s="133"/>
      <c r="R68" s="142">
        <f>SUM(E68:P68)</f>
        <v>536807</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f t="shared" si="19"/>
        <v>11.94</v>
      </c>
      <c r="K71" s="144">
        <f>IF(K67=0," ",K60/K67)</f>
        <v>12.05</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12.45</v>
      </c>
    </row>
    <row r="72" spans="1:18">
      <c r="A72" s="69">
        <f>A71+1</f>
        <v>32</v>
      </c>
      <c r="B72" s="4" t="s">
        <v>19</v>
      </c>
      <c r="D72" s="69" t="s">
        <v>18</v>
      </c>
      <c r="E72" s="144">
        <f>IF(E68=0," ",E62/E68)</f>
        <v>21.91</v>
      </c>
      <c r="F72" s="144">
        <f>IF(F68=0," ",F62/F68)</f>
        <v>10.16</v>
      </c>
      <c r="G72" s="144">
        <f t="shared" ref="G72:P72" si="20">IF(G68=0," ",G62/G68)</f>
        <v>22.24</v>
      </c>
      <c r="H72" s="144">
        <f t="shared" si="20"/>
        <v>29.09</v>
      </c>
      <c r="I72" s="144">
        <f>IF(I68=0," ",I62/I68)</f>
        <v>27.43</v>
      </c>
      <c r="J72" s="144">
        <f t="shared" si="20"/>
        <v>23.6</v>
      </c>
      <c r="K72" s="144">
        <f t="shared" si="20"/>
        <v>21.18</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21.59</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46720</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-1050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46720</v>
      </c>
    </row>
    <row r="76" spans="1:18">
      <c r="A76" s="69">
        <f t="shared" ref="A76:A81" si="23">A75+1</f>
        <v>34</v>
      </c>
      <c r="B76" s="4" t="s">
        <v>50</v>
      </c>
      <c r="D76" s="125">
        <f t="shared" si="21"/>
        <v>568917</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100795</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568917</v>
      </c>
    </row>
    <row r="77" spans="1:18">
      <c r="A77" s="69">
        <f t="shared" si="23"/>
        <v>35</v>
      </c>
      <c r="B77" s="4" t="s">
        <v>49</v>
      </c>
      <c r="D77" s="125">
        <f t="shared" si="21"/>
        <v>154662</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27249</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154662</v>
      </c>
    </row>
    <row r="78" spans="1:18">
      <c r="A78" s="69">
        <f t="shared" si="23"/>
        <v>36</v>
      </c>
      <c r="B78" s="4" t="s">
        <v>51</v>
      </c>
      <c r="D78" s="125">
        <f t="shared" si="21"/>
        <v>17683502</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2648262</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17683502</v>
      </c>
    </row>
    <row r="79" spans="1:18">
      <c r="A79" s="69">
        <f>A78+1</f>
        <v>37</v>
      </c>
      <c r="B79" s="3" t="s">
        <v>58</v>
      </c>
      <c r="C79" s="3"/>
      <c r="D79" s="125">
        <f t="shared" si="21"/>
        <v>17901887</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2346743</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17901887</v>
      </c>
    </row>
    <row r="80" spans="1:18">
      <c r="A80" s="69">
        <f>A79+1</f>
        <v>38</v>
      </c>
      <c r="B80" s="56" t="s">
        <v>52</v>
      </c>
      <c r="C80" s="56"/>
      <c r="D80" s="125">
        <f t="shared" si="21"/>
        <v>1745402</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348664</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1745402</v>
      </c>
    </row>
    <row r="81" spans="1:18" s="26" customFormat="1" ht="21.75" customHeight="1">
      <c r="A81" s="122">
        <f t="shared" si="23"/>
        <v>39</v>
      </c>
      <c r="B81" s="54" t="s">
        <v>77</v>
      </c>
      <c r="C81" s="54"/>
      <c r="D81" s="34">
        <f t="shared" si="21"/>
        <v>38101090</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5470663</v>
      </c>
      <c r="L81" s="16">
        <f t="shared" si="24"/>
        <v>0</v>
      </c>
      <c r="M81" s="16">
        <f t="shared" si="24"/>
        <v>0</v>
      </c>
      <c r="N81" s="16">
        <f t="shared" si="24"/>
        <v>0</v>
      </c>
      <c r="O81" s="16">
        <f t="shared" si="24"/>
        <v>0</v>
      </c>
      <c r="P81" s="16">
        <f t="shared" si="24"/>
        <v>0</v>
      </c>
      <c r="Q81" s="150"/>
      <c r="R81" s="151">
        <f>SUM(R75:R80)</f>
        <v>38101090</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81329124</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11097863</v>
      </c>
      <c r="L83" s="16">
        <f t="shared" si="25"/>
        <v>0</v>
      </c>
      <c r="M83" s="16">
        <f t="shared" si="25"/>
        <v>0</v>
      </c>
      <c r="N83" s="16">
        <f t="shared" si="25"/>
        <v>0</v>
      </c>
      <c r="O83" s="16">
        <f t="shared" si="25"/>
        <v>0</v>
      </c>
      <c r="P83" s="16">
        <f t="shared" si="25"/>
        <v>0</v>
      </c>
      <c r="Q83" s="154"/>
      <c r="R83" s="155">
        <f>R23-R46+R64+R81</f>
        <v>188136375</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84</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-7739441</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-991350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-7739441</v>
      </c>
    </row>
    <row r="88" spans="1:18">
      <c r="A88" s="69">
        <v>45</v>
      </c>
      <c r="B88" s="58" t="s">
        <v>118</v>
      </c>
      <c r="C88" s="58"/>
      <c r="D88" s="45">
        <f t="shared" si="26"/>
        <v>-539000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-77000</v>
      </c>
      <c r="K88" s="48">
        <f>_xll.Get_Balance(K$85,"PTD","USD","Total","A","","001","456120","ED","AN","DL")</f>
        <v>-77000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-539000</v>
      </c>
    </row>
    <row r="89" spans="1:18">
      <c r="A89" s="69">
        <f>A88+1</f>
        <v>46</v>
      </c>
      <c r="B89" s="58" t="s">
        <v>153</v>
      </c>
      <c r="C89" s="58"/>
      <c r="D89" s="45">
        <f t="shared" si="26"/>
        <v>-28341</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-668</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-28341</v>
      </c>
    </row>
    <row r="90" spans="1:18">
      <c r="A90" s="69">
        <f>A89+1</f>
        <v>47</v>
      </c>
      <c r="B90" s="58" t="s">
        <v>188</v>
      </c>
      <c r="C90" s="58"/>
      <c r="D90" s="45">
        <f t="shared" si="26"/>
        <v>-611835</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-100462</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152</v>
      </c>
      <c r="C91" s="58"/>
      <c r="D91" s="45">
        <f t="shared" si="26"/>
        <v>-1478221</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-204764</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-1478221</v>
      </c>
    </row>
    <row r="92" spans="1:18">
      <c r="A92" s="69">
        <f>+A91+1</f>
        <v>49</v>
      </c>
      <c r="B92" s="3" t="s">
        <v>120</v>
      </c>
      <c r="C92" s="3"/>
      <c r="D92" s="36">
        <f>SUM(E92:P92)</f>
        <v>-41106</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-5778</v>
      </c>
      <c r="K92" s="37">
        <f>_xll.Get_Balance(K$85,"PTD","USD","Total","A","","001","456017","ED","AN","DL")</f>
        <v>-5778</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-41106</v>
      </c>
    </row>
    <row r="93" spans="1:18">
      <c r="A93" s="69">
        <f>+A92+1</f>
        <v>50</v>
      </c>
      <c r="B93" s="78" t="s">
        <v>166</v>
      </c>
      <c r="C93" s="58"/>
      <c r="D93" s="45">
        <f t="shared" si="26"/>
        <v>-62706</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-8958</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-62706</v>
      </c>
    </row>
    <row r="94" spans="1:18">
      <c r="A94" s="69">
        <f>+A93+1</f>
        <v>51</v>
      </c>
      <c r="B94" s="60" t="s">
        <v>121</v>
      </c>
      <c r="C94" s="60" t="s">
        <v>98</v>
      </c>
      <c r="D94" s="45">
        <f t="shared" si="26"/>
        <v>-979811</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-139973</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-979811</v>
      </c>
    </row>
    <row r="95" spans="1:18" s="26" customFormat="1" ht="20.25" customHeight="1">
      <c r="A95" s="122">
        <f>A94+1</f>
        <v>52</v>
      </c>
      <c r="B95" s="61" t="s">
        <v>83</v>
      </c>
      <c r="C95" s="61"/>
      <c r="D95" s="34">
        <f t="shared" si="26"/>
        <v>-11480461</v>
      </c>
      <c r="E95" s="34">
        <f>SUM(E87:E94)</f>
        <v>-1387701</v>
      </c>
      <c r="F95" s="34">
        <f t="shared" ref="F95:P95" si="28">SUM(F87:F94)</f>
        <v>-1693902</v>
      </c>
      <c r="G95" s="34">
        <f t="shared" si="28"/>
        <v>-2209602</v>
      </c>
      <c r="H95" s="34">
        <f t="shared" si="28"/>
        <v>-1531403</v>
      </c>
      <c r="I95" s="34">
        <f t="shared" si="28"/>
        <v>-1383252</v>
      </c>
      <c r="J95" s="34">
        <f t="shared" si="28"/>
        <v>-1745648</v>
      </c>
      <c r="K95" s="34">
        <f t="shared" si="28"/>
        <v>-1528953</v>
      </c>
      <c r="L95" s="34">
        <f t="shared" si="28"/>
        <v>0</v>
      </c>
      <c r="M95" s="34">
        <f t="shared" si="28"/>
        <v>0</v>
      </c>
      <c r="N95" s="34">
        <f t="shared" si="28"/>
        <v>0</v>
      </c>
      <c r="O95" s="34">
        <f t="shared" si="28"/>
        <v>0</v>
      </c>
      <c r="P95" s="34">
        <f t="shared" si="28"/>
        <v>0</v>
      </c>
      <c r="Q95" s="150"/>
      <c r="R95" s="151">
        <f t="shared" si="27"/>
        <v>-11480461</v>
      </c>
    </row>
    <row r="96" spans="1:18">
      <c r="A96" s="69"/>
      <c r="D96" s="5"/>
      <c r="E96" s="45"/>
      <c r="F96" s="125"/>
      <c r="G96" s="21"/>
      <c r="H96" s="21"/>
      <c r="I96" s="21"/>
      <c r="J96" s="21"/>
      <c r="K96" s="21"/>
      <c r="L96" s="21"/>
      <c r="M96" s="21"/>
      <c r="N96" s="21"/>
      <c r="O96" s="21"/>
      <c r="P96" s="21"/>
      <c r="Q96" s="147"/>
      <c r="R96" s="148"/>
    </row>
    <row r="97" spans="1:18">
      <c r="A97" s="69"/>
      <c r="B97" s="53" t="s">
        <v>85</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10299022</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1331513</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10299022</v>
      </c>
    </row>
    <row r="99" spans="1:18">
      <c r="A99" s="69">
        <f>A98+1</f>
        <v>54</v>
      </c>
      <c r="B99" s="3" t="s">
        <v>59</v>
      </c>
      <c r="C99" s="3" t="s">
        <v>60</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31752</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4536</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31752</v>
      </c>
    </row>
    <row r="101" spans="1:18" s="26" customFormat="1" ht="20.25" customHeight="1">
      <c r="A101" s="122">
        <f>A100+1</f>
        <v>56</v>
      </c>
      <c r="B101" s="61" t="s">
        <v>82</v>
      </c>
      <c r="C101" s="61"/>
      <c r="D101" s="34">
        <f>SUM(E101:P101)</f>
        <v>10330774</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1336049</v>
      </c>
      <c r="L101" s="16">
        <f t="shared" si="29"/>
        <v>0</v>
      </c>
      <c r="M101" s="16">
        <f t="shared" si="29"/>
        <v>0</v>
      </c>
      <c r="N101" s="16">
        <f t="shared" si="29"/>
        <v>0</v>
      </c>
      <c r="O101" s="16">
        <f t="shared" si="29"/>
        <v>0</v>
      </c>
      <c r="P101" s="16">
        <f t="shared" si="29"/>
        <v>0</v>
      </c>
      <c r="Q101" s="150"/>
      <c r="R101" s="151">
        <f>SUM(E101:P101)</f>
        <v>10330774</v>
      </c>
    </row>
    <row r="102" spans="1:18">
      <c r="A102" s="69"/>
      <c r="E102" s="21"/>
      <c r="F102" s="21"/>
      <c r="G102" s="21"/>
      <c r="H102" s="21"/>
      <c r="I102" s="21"/>
      <c r="J102" s="21"/>
      <c r="K102" s="21"/>
      <c r="L102" s="21"/>
      <c r="M102" s="21"/>
      <c r="N102" s="21"/>
      <c r="O102" s="21"/>
      <c r="P102" s="21"/>
      <c r="Q102" s="147"/>
      <c r="R102" s="148"/>
    </row>
    <row r="103" spans="1:18">
      <c r="A103" s="69"/>
      <c r="B103" s="53" t="s">
        <v>144</v>
      </c>
      <c r="E103" s="21"/>
      <c r="F103" s="21"/>
      <c r="G103" s="21"/>
      <c r="H103" s="21"/>
      <c r="I103" s="21"/>
      <c r="J103" s="21"/>
      <c r="K103" s="21"/>
      <c r="L103" s="21"/>
      <c r="M103" s="21"/>
      <c r="N103" s="21"/>
      <c r="O103" s="21"/>
      <c r="P103" s="21"/>
      <c r="Q103" s="147"/>
      <c r="R103" s="148"/>
    </row>
    <row r="104" spans="1:18">
      <c r="A104" s="69">
        <f>A101+1</f>
        <v>57</v>
      </c>
      <c r="B104" s="3" t="s">
        <v>147</v>
      </c>
      <c r="D104" s="125">
        <f>SUM(E104:P104)</f>
        <v>182989</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20813</v>
      </c>
      <c r="L104" s="21">
        <f>_xll.Get_Balance(L$85,"PTD","USD","Total","A","","001","557170","ED","AN","DL")</f>
        <v>1833</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146</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170</v>
      </c>
      <c r="C106" s="4" t="s">
        <v>171</v>
      </c>
      <c r="D106" s="125">
        <f>SUM(E106:P106)</f>
        <v>213144</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27210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173</v>
      </c>
      <c r="C107" s="4" t="s">
        <v>174</v>
      </c>
      <c r="D107" s="125">
        <f>SUM(E107:P107)</f>
        <v>29104</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4503</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145</v>
      </c>
      <c r="C108" s="61"/>
      <c r="D108" s="34">
        <f>D104+D105+D106+D107</f>
        <v>425237</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52526</v>
      </c>
      <c r="L108" s="34">
        <f t="shared" si="30"/>
        <v>1833</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190</v>
      </c>
      <c r="C110" s="8"/>
      <c r="E110" s="19"/>
      <c r="F110" s="19"/>
      <c r="G110" s="19"/>
      <c r="H110" s="19"/>
      <c r="I110" s="19"/>
      <c r="J110" s="19"/>
      <c r="K110" s="19"/>
      <c r="L110" s="19"/>
      <c r="M110" s="19"/>
      <c r="N110" s="19"/>
      <c r="O110" s="19"/>
      <c r="P110" s="19"/>
      <c r="Q110" s="147"/>
      <c r="R110" s="148"/>
    </row>
    <row r="111" spans="1:18">
      <c r="A111" s="69">
        <f>A108+1</f>
        <v>62</v>
      </c>
      <c r="B111" s="4" t="s">
        <v>63</v>
      </c>
      <c r="D111" s="125">
        <f>SUM(E111:P111)</f>
        <v>-2124053</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1701789</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-2124053</v>
      </c>
    </row>
    <row r="112" spans="1:18">
      <c r="A112" s="69">
        <f>A111+1</f>
        <v>63</v>
      </c>
      <c r="B112" s="4" t="s">
        <v>53</v>
      </c>
      <c r="D112" s="125">
        <f t="shared" ref="D112:D121" si="32">SUM(E112:P112)</f>
        <v>-4172623</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-1914467</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-4172623</v>
      </c>
    </row>
    <row r="113" spans="1:18">
      <c r="A113" s="69">
        <f t="shared" ref="A113:A121" si="33">A112+1</f>
        <v>64</v>
      </c>
      <c r="B113" s="4" t="s">
        <v>54</v>
      </c>
      <c r="D113" s="125">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3664491</v>
      </c>
    </row>
    <row r="114" spans="1:18">
      <c r="A114" s="69">
        <f t="shared" si="33"/>
        <v>65</v>
      </c>
      <c r="B114" s="3" t="s">
        <v>70</v>
      </c>
      <c r="C114" s="3"/>
      <c r="D114" s="125">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-3664491</v>
      </c>
    </row>
    <row r="115" spans="1:18">
      <c r="A115" s="69">
        <f t="shared" si="33"/>
        <v>66</v>
      </c>
      <c r="B115" s="4" t="s">
        <v>65</v>
      </c>
      <c r="D115" s="125">
        <f t="shared" si="32"/>
        <v>33784935</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3530258</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33784935</v>
      </c>
    </row>
    <row r="116" spans="1:18">
      <c r="A116" s="69">
        <f t="shared" si="33"/>
        <v>67</v>
      </c>
      <c r="B116" s="3" t="s">
        <v>68</v>
      </c>
      <c r="C116" s="3"/>
      <c r="D116" s="125">
        <f t="shared" si="32"/>
        <v>5950375</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-230059</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5950375</v>
      </c>
    </row>
    <row r="117" spans="1:18">
      <c r="A117" s="69">
        <f t="shared" si="33"/>
        <v>68</v>
      </c>
      <c r="B117" s="4" t="s">
        <v>55</v>
      </c>
      <c r="D117" s="125">
        <f t="shared" si="32"/>
        <v>-7895358</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-190255</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-7895358</v>
      </c>
    </row>
    <row r="118" spans="1:18">
      <c r="A118" s="69">
        <f t="shared" si="33"/>
        <v>69</v>
      </c>
      <c r="B118" s="4" t="s">
        <v>182</v>
      </c>
      <c r="D118" s="125">
        <f t="shared" si="32"/>
        <v>-229670</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-25386</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66</v>
      </c>
      <c r="D119" s="125">
        <f t="shared" si="32"/>
        <v>-29188396</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-3452532</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-29188396</v>
      </c>
    </row>
    <row r="120" spans="1:18">
      <c r="A120" s="69">
        <f t="shared" si="33"/>
        <v>71</v>
      </c>
      <c r="B120" s="3" t="s">
        <v>69</v>
      </c>
      <c r="C120" s="3"/>
      <c r="D120" s="125">
        <f t="shared" si="32"/>
        <v>2068579</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2068579</v>
      </c>
    </row>
    <row r="121" spans="1:18">
      <c r="A121" s="69">
        <f t="shared" si="33"/>
        <v>72</v>
      </c>
      <c r="B121" s="56" t="s">
        <v>56</v>
      </c>
      <c r="C121" s="56"/>
      <c r="D121" s="125">
        <f t="shared" si="32"/>
        <v>-2068579</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-2068579</v>
      </c>
    </row>
    <row r="122" spans="1:18" ht="22.5" customHeight="1">
      <c r="A122" s="160">
        <f>+A121+1</f>
        <v>73</v>
      </c>
      <c r="B122" s="61" t="s">
        <v>191</v>
      </c>
      <c r="C122" s="61"/>
      <c r="D122" s="34">
        <f>SUM(E122:P122)</f>
        <v>-3874790</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-580652</v>
      </c>
      <c r="L122" s="17">
        <f t="shared" si="34"/>
        <v>0</v>
      </c>
      <c r="M122" s="17">
        <f t="shared" si="34"/>
        <v>0</v>
      </c>
      <c r="N122" s="17">
        <f t="shared" si="34"/>
        <v>0</v>
      </c>
      <c r="O122" s="17">
        <f t="shared" si="34"/>
        <v>0</v>
      </c>
      <c r="P122" s="17">
        <f t="shared" si="34"/>
        <v>0</v>
      </c>
      <c r="Q122" s="147"/>
      <c r="R122" s="161">
        <f>SUM(R111:R121)</f>
        <v>-3645120</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114</v>
      </c>
      <c r="C125" s="63"/>
      <c r="D125" s="84">
        <f>SUM(E125:P125)</f>
        <v>1453861</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1059</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1453861</v>
      </c>
    </row>
    <row r="126" spans="1:18" ht="18.75" customHeight="1">
      <c r="A126" s="160">
        <f>A125+1</f>
        <v>75</v>
      </c>
      <c r="B126" s="61" t="s">
        <v>119</v>
      </c>
      <c r="C126" s="61"/>
      <c r="D126" s="49">
        <f>SUM(E126:P126)</f>
        <v>1453861</v>
      </c>
      <c r="E126" s="16">
        <f t="shared" ref="E126:P126" si="35">IF(E23=0," ",E125)</f>
        <v>436</v>
      </c>
      <c r="F126" s="16">
        <f t="shared" si="35"/>
        <v>267</v>
      </c>
      <c r="G126" s="16">
        <f t="shared" si="35"/>
        <v>1452099</v>
      </c>
      <c r="H126" s="16">
        <f t="shared" si="35"/>
        <v>0</v>
      </c>
      <c r="I126" s="16">
        <f t="shared" si="35"/>
        <v>0</v>
      </c>
      <c r="J126" s="16">
        <f t="shared" si="35"/>
        <v>1059</v>
      </c>
      <c r="K126" s="16">
        <f t="shared" si="35"/>
        <v>0</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1453861</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64</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75</v>
      </c>
      <c r="C130" s="64"/>
      <c r="D130" s="49">
        <f>SUM(E130:P130)</f>
        <v>368</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74</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368</v>
      </c>
    </row>
    <row r="131" spans="1:19" ht="17.25" customHeight="1">
      <c r="A131" s="69">
        <f>A130+1</f>
        <v>78</v>
      </c>
      <c r="B131" s="65" t="s">
        <v>76</v>
      </c>
      <c r="C131" s="65"/>
      <c r="D131" s="25">
        <f>SUM(E131:P131)</f>
        <v>368</v>
      </c>
      <c r="E131" s="25">
        <f>E130-E129</f>
        <v>25</v>
      </c>
      <c r="F131" s="25">
        <f t="shared" ref="F131:P131" si="36">F130-F129</f>
        <v>17</v>
      </c>
      <c r="G131" s="25">
        <f t="shared" si="36"/>
        <v>135</v>
      </c>
      <c r="H131" s="25">
        <f t="shared" si="36"/>
        <v>32</v>
      </c>
      <c r="I131" s="25">
        <f t="shared" si="36"/>
        <v>37</v>
      </c>
      <c r="J131" s="25">
        <f t="shared" si="36"/>
        <v>48</v>
      </c>
      <c r="K131" s="25">
        <f t="shared" si="36"/>
        <v>74</v>
      </c>
      <c r="L131" s="25">
        <f t="shared" si="36"/>
        <v>0</v>
      </c>
      <c r="M131" s="25">
        <f t="shared" si="36"/>
        <v>0</v>
      </c>
      <c r="N131" s="25">
        <f t="shared" si="36"/>
        <v>0</v>
      </c>
      <c r="O131" s="25">
        <f t="shared" si="36"/>
        <v>0</v>
      </c>
      <c r="P131" s="25">
        <f t="shared" si="36"/>
        <v>0</v>
      </c>
      <c r="Q131" s="147"/>
      <c r="R131" s="148">
        <f>SUM(E131:P131)</f>
        <v>368</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141</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142</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143</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61</v>
      </c>
      <c r="C138" s="54"/>
      <c r="D138" s="34">
        <f>SUM(E138:P138)</f>
        <v>-2420561</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f t="shared" si="38"/>
        <v>-580578</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-3159382</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78182280</v>
      </c>
      <c r="E140" s="38">
        <f t="shared" ref="E140:P140" si="39">IF(E23=0," ",E83+E95+E101+E108+E138+E136)</f>
        <v>15582997</v>
      </c>
      <c r="F140" s="38">
        <f t="shared" si="39"/>
        <v>20044407</v>
      </c>
      <c r="G140" s="38">
        <f t="shared" si="39"/>
        <v>19766986</v>
      </c>
      <c r="H140" s="38">
        <f t="shared" si="39"/>
        <v>4847212</v>
      </c>
      <c r="I140" s="38">
        <f t="shared" si="39"/>
        <v>2192437</v>
      </c>
      <c r="J140" s="38">
        <f t="shared" si="39"/>
        <v>5371334</v>
      </c>
      <c r="K140" s="38">
        <f t="shared" si="39"/>
        <v>10376907</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5" fitToHeight="2" orientation="landscape" r:id="rId1"/>
  <headerFooter alignWithMargins="0">
    <oddFooter>&amp;L&amp;F - &amp;D&amp;R&amp;P</oddFooter>
  </headerFooter>
  <rowBreaks count="1" manualBreakCount="1">
    <brk id="73"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73</v>
      </c>
      <c r="B1" s="218"/>
      <c r="C1" s="218"/>
      <c r="D1" s="218"/>
      <c r="E1" s="218"/>
      <c r="F1" s="218"/>
      <c r="G1" s="218"/>
      <c r="H1" s="218"/>
      <c r="I1" s="218"/>
      <c r="J1" s="218"/>
      <c r="K1" s="218"/>
      <c r="L1" s="218"/>
      <c r="M1" s="218"/>
      <c r="N1" s="218"/>
    </row>
    <row r="2" spans="1:17" ht="20.25">
      <c r="A2" s="219" t="s">
        <v>129</v>
      </c>
      <c r="B2" s="219"/>
      <c r="C2" s="219"/>
      <c r="D2" s="219"/>
      <c r="E2" s="219"/>
      <c r="F2" s="219"/>
      <c r="G2" s="219"/>
      <c r="H2" s="219"/>
      <c r="I2" s="219"/>
      <c r="J2" s="219"/>
      <c r="K2" s="219"/>
      <c r="L2" s="219"/>
      <c r="M2" s="219"/>
      <c r="N2" s="219"/>
    </row>
    <row r="3" spans="1:17" ht="23.25">
      <c r="A3" s="220" t="s">
        <v>183</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447380</v>
      </c>
      <c r="I8" s="172">
        <f>'Input Tab'!J54</f>
        <v>0</v>
      </c>
      <c r="J8" s="172">
        <f>'Input Tab'!K54</f>
        <v>0</v>
      </c>
      <c r="K8" s="172">
        <f>'Input Tab'!L54</f>
        <v>0</v>
      </c>
      <c r="L8" s="172">
        <f>'Input Tab'!M54</f>
        <v>0</v>
      </c>
      <c r="M8" s="172">
        <f>'Input Tab'!N54</f>
        <v>0</v>
      </c>
      <c r="N8" s="46">
        <f t="shared" ref="N8:N13" si="1">SUM(B8:M8)</f>
        <v>3325961</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-256648</v>
      </c>
      <c r="I9" s="175">
        <f t="shared" si="2"/>
        <v>0</v>
      </c>
      <c r="J9" s="175">
        <f t="shared" si="2"/>
        <v>0</v>
      </c>
      <c r="K9" s="175">
        <f t="shared" si="2"/>
        <v>0</v>
      </c>
      <c r="L9" s="175">
        <f t="shared" si="2"/>
        <v>0</v>
      </c>
      <c r="M9" s="175">
        <f t="shared" si="2"/>
        <v>0</v>
      </c>
      <c r="N9" s="46">
        <f t="shared" si="1"/>
        <v>-1904384</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283505</v>
      </c>
      <c r="I10" s="172">
        <f>'Input Tab'!J55</f>
        <v>0</v>
      </c>
      <c r="J10" s="172">
        <f>'Input Tab'!K55</f>
        <v>0</v>
      </c>
      <c r="K10" s="172">
        <f>'Input Tab'!L55</f>
        <v>0</v>
      </c>
      <c r="L10" s="172">
        <f>'Input Tab'!M55</f>
        <v>0</v>
      </c>
      <c r="M10" s="172">
        <f>'Input Tab'!N55</f>
        <v>0</v>
      </c>
      <c r="N10" s="46">
        <f t="shared" si="1"/>
        <v>1875374</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474237</v>
      </c>
      <c r="I11" s="178">
        <f t="shared" si="3"/>
        <v>0</v>
      </c>
      <c r="J11" s="178">
        <f t="shared" si="3"/>
        <v>0</v>
      </c>
      <c r="K11" s="178">
        <f t="shared" si="3"/>
        <v>0</v>
      </c>
      <c r="L11" s="178">
        <f t="shared" si="3"/>
        <v>0</v>
      </c>
      <c r="M11" s="178">
        <f>SUM(M8:M10)</f>
        <v>0</v>
      </c>
      <c r="N11" s="179">
        <f t="shared" si="1"/>
        <v>3296951</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SUM(B12:H12)</f>
        <v>3299097</v>
      </c>
      <c r="P12" s="140" t="s">
        <v>136</v>
      </c>
    </row>
    <row r="13" spans="1:17" ht="38.25" customHeight="1">
      <c r="A13" s="184" t="s">
        <v>128</v>
      </c>
      <c r="B13" s="47">
        <f>B11-B12</f>
        <v>-16713</v>
      </c>
      <c r="C13" s="47">
        <f>IF(C8=0," ",C11-C12)</f>
        <v>21198</v>
      </c>
      <c r="D13" s="47">
        <f t="shared" ref="D13:M13" si="4">IF(D8=0," ",D11-D12)</f>
        <v>33959</v>
      </c>
      <c r="E13" s="47">
        <f t="shared" si="4"/>
        <v>-22794</v>
      </c>
      <c r="F13" s="47">
        <f t="shared" si="4"/>
        <v>-6193</v>
      </c>
      <c r="G13" s="47">
        <f t="shared" si="4"/>
        <v>4830</v>
      </c>
      <c r="H13" s="47">
        <f t="shared" si="4"/>
        <v>-16433</v>
      </c>
      <c r="I13" s="47" t="str">
        <f t="shared" si="4"/>
        <v xml:space="preserve"> </v>
      </c>
      <c r="J13" s="47" t="str">
        <f t="shared" si="4"/>
        <v xml:space="preserve"> </v>
      </c>
      <c r="K13" s="47" t="str">
        <f t="shared" si="4"/>
        <v xml:space="preserve"> </v>
      </c>
      <c r="L13" s="47" t="str">
        <f t="shared" si="4"/>
        <v xml:space="preserve"> </v>
      </c>
      <c r="M13" s="47" t="str">
        <f t="shared" si="4"/>
        <v xml:space="preserve"> </v>
      </c>
      <c r="N13" s="185">
        <f t="shared" si="1"/>
        <v>-2146</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-297602</v>
      </c>
      <c r="I15" s="188">
        <f t="shared" si="5"/>
        <v>0</v>
      </c>
      <c r="J15" s="188">
        <f t="shared" si="5"/>
        <v>0</v>
      </c>
      <c r="K15" s="188">
        <f t="shared" si="5"/>
        <v>0</v>
      </c>
      <c r="L15" s="188">
        <f t="shared" si="5"/>
        <v>0</v>
      </c>
      <c r="M15" s="188">
        <f t="shared" si="5"/>
        <v>0</v>
      </c>
      <c r="N15" s="188">
        <f>SUM(B15:M15)</f>
        <v>-38864</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f t="shared" si="7"/>
        <v>297602</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38864</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Surcharge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2019-08-15T07:00:00+00:00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D068FF-8314-4DDB-A460-B4ABE5C45E5D}"/>
</file>

<file path=customXml/itemProps2.xml><?xml version="1.0" encoding="utf-8"?>
<ds:datastoreItem xmlns:ds="http://schemas.openxmlformats.org/officeDocument/2006/customXml" ds:itemID="{378D906E-807A-4876-988A-E54046AFCC30}"/>
</file>

<file path=customXml/itemProps3.xml><?xml version="1.0" encoding="utf-8"?>
<ds:datastoreItem xmlns:ds="http://schemas.openxmlformats.org/officeDocument/2006/customXml" ds:itemID="{59D9D7E9-4AC4-4D89-A8B3-88FCB5F79343}"/>
</file>

<file path=customXml/itemProps4.xml><?xml version="1.0" encoding="utf-8"?>
<ds:datastoreItem xmlns:ds="http://schemas.openxmlformats.org/officeDocument/2006/customXml" ds:itemID="{6F3D9F1C-5978-4D11-9C3E-CB27657FAA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2019-08-07T18:05:12Z</cp:lastPrinted>
  <dcterms:created xsi:type="dcterms:W3CDTF">2002-02-05T19:51:48Z</dcterms:created>
  <dcterms:modified xsi:type="dcterms:W3CDTF">2019-08-14T15:23:30Z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