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D1221A60-32D3-4C15-B92F-79D0DB50223B}" xr6:coauthVersionLast="45" xr6:coauthVersionMax="45" xr10:uidLastSave="{00000000-0000-0000-0000-000000000000}"/>
  <bookViews>
    <workbookView xWindow="-28920" yWindow="-120" windowWidth="29040" windowHeight="15840" xr2:uid="{E5907DC9-E8B9-4A95-93C4-B618E173F0B2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  <externalReference r:id="rId7"/>
  </externalReferences>
  <definedNames>
    <definedName name="FERCINT13">'[4]FERC Interest Rates'!$A$10:$C$21</definedName>
    <definedName name="FERCINT14">'[4]FERC Interest Rates'!$A$22:$C$33</definedName>
    <definedName name="FERCINT15">'[4]FERC Interest Rates'!$A$34:$C$45</definedName>
    <definedName name="FERCINT16">'[4]FERC Interest Rates'!$A$46:$C$57</definedName>
    <definedName name="FERCINT17">'[4]FERC Interest Rates'!$A$58:$C$69</definedName>
    <definedName name="FERCINT18">'[4]FERC Interest Rates'!$A$70:$C$81</definedName>
    <definedName name="FERCINT19">'[4]FERC Interest Rates'!$A$82:$C$93</definedName>
    <definedName name="FERCINT20">'[4]FERC Interest Rates'!$A$94:$C$105</definedName>
    <definedName name="FERCINT21">'[4]FERC Interest Rates'!$A$106:$C$117</definedName>
    <definedName name="_xlnm.Print_Area" localSheetId="1">'Core Cost Incurred'!$B$1:$Z$51</definedName>
    <definedName name="_xlnm.Print_Area" localSheetId="2">DEFERRALS!$B$1:$H$22</definedName>
    <definedName name="_xlnm.Print_Area" localSheetId="0">'WA Rates'!$B$1:$N$51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D8" i="7"/>
  <c r="E8" i="7"/>
  <c r="G8" i="7"/>
  <c r="D9" i="7"/>
  <c r="E9" i="7"/>
  <c r="E12" i="7" s="1"/>
  <c r="F9" i="7"/>
  <c r="G9" i="7"/>
  <c r="G12" i="7" s="1"/>
  <c r="E11" i="7"/>
  <c r="G11" i="7"/>
  <c r="D12" i="7"/>
  <c r="F12" i="7"/>
  <c r="F18" i="7" s="1"/>
  <c r="D18" i="7"/>
  <c r="G18" i="7" s="1"/>
  <c r="E18" i="7"/>
  <c r="V75" i="6" l="1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Z43" i="6"/>
  <c r="W43" i="6"/>
  <c r="AC42" i="6"/>
  <c r="AC44" i="6" s="1"/>
  <c r="AB42" i="6"/>
  <c r="AB44" i="6" s="1"/>
  <c r="Z42" i="6"/>
  <c r="Z44" i="6" s="1"/>
  <c r="W42" i="6"/>
  <c r="W44" i="6" s="1"/>
  <c r="Q47" i="6" s="1"/>
  <c r="Y40" i="6"/>
  <c r="AC38" i="6"/>
  <c r="AC40" i="6" s="1"/>
  <c r="AB38" i="6"/>
  <c r="AB40" i="6" s="1"/>
  <c r="Z38" i="6"/>
  <c r="Z40" i="6" s="1"/>
  <c r="W38" i="6"/>
  <c r="W40" i="6" s="1"/>
  <c r="T38" i="6"/>
  <c r="Q38" i="6"/>
  <c r="N37" i="6"/>
  <c r="K37" i="6"/>
  <c r="H37" i="6"/>
  <c r="N36" i="6"/>
  <c r="K36" i="6"/>
  <c r="H36" i="6"/>
  <c r="N35" i="6"/>
  <c r="H35" i="6" s="1"/>
  <c r="K35" i="6"/>
  <c r="N34" i="6"/>
  <c r="K34" i="6"/>
  <c r="H34" i="6" s="1"/>
  <c r="N33" i="6"/>
  <c r="K33" i="6"/>
  <c r="H33" i="6"/>
  <c r="N32" i="6"/>
  <c r="K32" i="6"/>
  <c r="H32" i="6"/>
  <c r="N31" i="6"/>
  <c r="H31" i="6" s="1"/>
  <c r="K31" i="6"/>
  <c r="N30" i="6"/>
  <c r="K30" i="6"/>
  <c r="K38" i="6" s="1"/>
  <c r="N29" i="6"/>
  <c r="K29" i="6"/>
  <c r="H29" i="6"/>
  <c r="N28" i="6"/>
  <c r="K28" i="6"/>
  <c r="H28" i="6"/>
  <c r="N27" i="6"/>
  <c r="H27" i="6" s="1"/>
  <c r="K27" i="6"/>
  <c r="N26" i="6"/>
  <c r="N38" i="6" s="1"/>
  <c r="K26" i="6"/>
  <c r="H26" i="6" s="1"/>
  <c r="N25" i="6"/>
  <c r="K25" i="6"/>
  <c r="H25" i="6"/>
  <c r="N24" i="6"/>
  <c r="K24" i="6"/>
  <c r="H24" i="6"/>
  <c r="AC22" i="6"/>
  <c r="AB22" i="6"/>
  <c r="Z22" i="6"/>
  <c r="W22" i="6"/>
  <c r="T22" i="6"/>
  <c r="N21" i="6"/>
  <c r="K21" i="6"/>
  <c r="H21" i="6"/>
  <c r="N20" i="6"/>
  <c r="H20" i="6" s="1"/>
  <c r="K20" i="6"/>
  <c r="N19" i="6"/>
  <c r="K19" i="6"/>
  <c r="H19" i="6" s="1"/>
  <c r="T18" i="6"/>
  <c r="N18" i="6"/>
  <c r="K18" i="6"/>
  <c r="H18" i="6" s="1"/>
  <c r="T17" i="6"/>
  <c r="T43" i="6" s="1"/>
  <c r="Q17" i="6"/>
  <c r="Q22" i="6" s="1"/>
  <c r="N17" i="6"/>
  <c r="N22" i="6" s="1"/>
  <c r="AC15" i="6"/>
  <c r="AB15" i="6"/>
  <c r="Z15" i="6"/>
  <c r="Y15" i="6"/>
  <c r="W15" i="6"/>
  <c r="V15" i="6"/>
  <c r="V40" i="6" s="1"/>
  <c r="P15" i="6"/>
  <c r="P40" i="6" s="1"/>
  <c r="N14" i="6"/>
  <c r="H14" i="6" s="1"/>
  <c r="M14" i="6"/>
  <c r="G14" i="6" s="1"/>
  <c r="K14" i="6"/>
  <c r="J14" i="6"/>
  <c r="N13" i="6"/>
  <c r="M13" i="6"/>
  <c r="K13" i="6"/>
  <c r="H13" i="6" s="1"/>
  <c r="J13" i="6"/>
  <c r="G13" i="6" s="1"/>
  <c r="N12" i="6"/>
  <c r="M12" i="6"/>
  <c r="K12" i="6"/>
  <c r="J12" i="6"/>
  <c r="H12" i="6"/>
  <c r="G12" i="6"/>
  <c r="N11" i="6"/>
  <c r="M11" i="6"/>
  <c r="K11" i="6"/>
  <c r="H11" i="6" s="1"/>
  <c r="J11" i="6"/>
  <c r="G11" i="6" s="1"/>
  <c r="T10" i="6"/>
  <c r="N10" i="6" s="1"/>
  <c r="N42" i="6" s="1"/>
  <c r="S10" i="6"/>
  <c r="M10" i="6" s="1"/>
  <c r="G10" i="6" s="1"/>
  <c r="Q10" i="6"/>
  <c r="K10" i="6" s="1"/>
  <c r="H10" i="6" s="1"/>
  <c r="P10" i="6"/>
  <c r="J10" i="6"/>
  <c r="N9" i="6"/>
  <c r="K9" i="6"/>
  <c r="H9" i="6"/>
  <c r="Q8" i="6"/>
  <c r="Q15" i="6" s="1"/>
  <c r="N8" i="6"/>
  <c r="M8" i="6"/>
  <c r="J8" i="6"/>
  <c r="G8" i="6" s="1"/>
  <c r="G15" i="6" s="1"/>
  <c r="G40" i="6" s="1"/>
  <c r="N7" i="6"/>
  <c r="K7" i="6"/>
  <c r="N6" i="6"/>
  <c r="N43" i="6" s="1"/>
  <c r="K6" i="6"/>
  <c r="H6" i="6"/>
  <c r="V3" i="6"/>
  <c r="V1" i="6"/>
  <c r="K45" i="4"/>
  <c r="I45" i="4"/>
  <c r="H45" i="4"/>
  <c r="G45" i="4"/>
  <c r="L45" i="4" s="1"/>
  <c r="L43" i="4"/>
  <c r="I43" i="4"/>
  <c r="H43" i="4"/>
  <c r="K43" i="4" s="1"/>
  <c r="L42" i="4"/>
  <c r="J42" i="4"/>
  <c r="M42" i="4" s="1"/>
  <c r="I42" i="4"/>
  <c r="H42" i="4"/>
  <c r="K42" i="4" s="1"/>
  <c r="J41" i="4"/>
  <c r="M41" i="4" s="1"/>
  <c r="I41" i="4"/>
  <c r="L41" i="4" s="1"/>
  <c r="H41" i="4"/>
  <c r="K41" i="4" s="1"/>
  <c r="I40" i="4"/>
  <c r="H40" i="4"/>
  <c r="G40" i="4"/>
  <c r="I39" i="4"/>
  <c r="L39" i="4" s="1"/>
  <c r="H39" i="4"/>
  <c r="K39" i="4" s="1"/>
  <c r="J38" i="4"/>
  <c r="I38" i="4"/>
  <c r="H38" i="4"/>
  <c r="G38" i="4"/>
  <c r="J36" i="4"/>
  <c r="M36" i="4" s="1"/>
  <c r="I36" i="4"/>
  <c r="L36" i="4" s="1"/>
  <c r="H36" i="4"/>
  <c r="K36" i="4" s="1"/>
  <c r="J35" i="4"/>
  <c r="M35" i="4" s="1"/>
  <c r="I35" i="4"/>
  <c r="L35" i="4" s="1"/>
  <c r="H35" i="4"/>
  <c r="K35" i="4" s="1"/>
  <c r="L34" i="4"/>
  <c r="J34" i="4"/>
  <c r="M34" i="4" s="1"/>
  <c r="H34" i="4"/>
  <c r="K34" i="4" s="1"/>
  <c r="N34" i="4" s="1"/>
  <c r="I32" i="4"/>
  <c r="H32" i="4"/>
  <c r="G32" i="4"/>
  <c r="L32" i="4" s="1"/>
  <c r="I31" i="4"/>
  <c r="L31" i="4" s="1"/>
  <c r="H31" i="4"/>
  <c r="K31" i="4" s="1"/>
  <c r="L30" i="4"/>
  <c r="I30" i="4"/>
  <c r="H30" i="4"/>
  <c r="K30" i="4" s="1"/>
  <c r="G30" i="4"/>
  <c r="I28" i="4"/>
  <c r="L28" i="4" s="1"/>
  <c r="H28" i="4"/>
  <c r="K28" i="4" s="1"/>
  <c r="J27" i="4"/>
  <c r="I27" i="4"/>
  <c r="H27" i="4"/>
  <c r="G27" i="4"/>
  <c r="L27" i="4" s="1"/>
  <c r="K26" i="4"/>
  <c r="I26" i="4"/>
  <c r="H26" i="4"/>
  <c r="G26" i="4"/>
  <c r="L26" i="4" s="1"/>
  <c r="J24" i="4"/>
  <c r="H24" i="4"/>
  <c r="K24" i="4" s="1"/>
  <c r="G24" i="4"/>
  <c r="L23" i="4"/>
  <c r="J23" i="4"/>
  <c r="M23" i="4" s="1"/>
  <c r="H23" i="4"/>
  <c r="K23" i="4" s="1"/>
  <c r="N23" i="4" s="1"/>
  <c r="H22" i="4"/>
  <c r="G22" i="4"/>
  <c r="J21" i="4"/>
  <c r="M21" i="4" s="1"/>
  <c r="I21" i="4"/>
  <c r="I22" i="4" s="1"/>
  <c r="H21" i="4"/>
  <c r="G21" i="4"/>
  <c r="J20" i="4"/>
  <c r="M20" i="4" s="1"/>
  <c r="I20" i="4"/>
  <c r="L20" i="4" s="1"/>
  <c r="H20" i="4"/>
  <c r="K20" i="4" s="1"/>
  <c r="U19" i="4"/>
  <c r="R19" i="4"/>
  <c r="J19" i="4"/>
  <c r="M19" i="4" s="1"/>
  <c r="I19" i="4"/>
  <c r="L19" i="4" s="1"/>
  <c r="H19" i="4"/>
  <c r="K19" i="4" s="1"/>
  <c r="U18" i="4"/>
  <c r="L18" i="4"/>
  <c r="J18" i="4"/>
  <c r="M18" i="4" s="1"/>
  <c r="H18" i="4"/>
  <c r="K18" i="4" s="1"/>
  <c r="N18" i="4" s="1"/>
  <c r="G18" i="4"/>
  <c r="J16" i="4"/>
  <c r="I16" i="4"/>
  <c r="H16" i="4"/>
  <c r="K16" i="4" s="1"/>
  <c r="G16" i="4"/>
  <c r="U15" i="4"/>
  <c r="R15" i="4"/>
  <c r="J15" i="4"/>
  <c r="I15" i="4"/>
  <c r="L15" i="4" s="1"/>
  <c r="H15" i="4"/>
  <c r="K15" i="4" s="1"/>
  <c r="N15" i="4" s="1"/>
  <c r="J14" i="4"/>
  <c r="H14" i="4"/>
  <c r="K14" i="4" s="1"/>
  <c r="G14" i="4"/>
  <c r="J12" i="4"/>
  <c r="I12" i="4"/>
  <c r="H12" i="4"/>
  <c r="K12" i="4" s="1"/>
  <c r="G12" i="4"/>
  <c r="J11" i="4"/>
  <c r="I11" i="4"/>
  <c r="L11" i="4" s="1"/>
  <c r="H11" i="4"/>
  <c r="K11" i="4" s="1"/>
  <c r="M10" i="4"/>
  <c r="L10" i="4"/>
  <c r="K10" i="4"/>
  <c r="N10" i="4" s="1"/>
  <c r="J10" i="4"/>
  <c r="J45" i="4" s="1"/>
  <c r="G10" i="4"/>
  <c r="U9" i="4"/>
  <c r="T9" i="4"/>
  <c r="R9" i="4"/>
  <c r="Q9" i="4"/>
  <c r="M9" i="4"/>
  <c r="L9" i="4"/>
  <c r="K9" i="4"/>
  <c r="I8" i="4"/>
  <c r="J8" i="4" s="1"/>
  <c r="R7" i="4"/>
  <c r="F3" i="4"/>
  <c r="M15" i="6" l="1"/>
  <c r="M40" i="6" s="1"/>
  <c r="N44" i="6"/>
  <c r="Q40" i="6"/>
  <c r="AE44" i="6"/>
  <c r="AE46" i="6" s="1"/>
  <c r="T47" i="6"/>
  <c r="M38" i="4"/>
  <c r="N20" i="4"/>
  <c r="K22" i="4"/>
  <c r="K47" i="4" s="1"/>
  <c r="M24" i="4"/>
  <c r="K38" i="4"/>
  <c r="L40" i="4"/>
  <c r="S15" i="6"/>
  <c r="S40" i="6" s="1"/>
  <c r="Q42" i="6"/>
  <c r="Q43" i="6"/>
  <c r="N11" i="4"/>
  <c r="M14" i="4"/>
  <c r="L16" i="4"/>
  <c r="J22" i="4"/>
  <c r="M22" i="4" s="1"/>
  <c r="J40" i="4"/>
  <c r="M40" i="4" s="1"/>
  <c r="H7" i="6"/>
  <c r="T15" i="6"/>
  <c r="T40" i="6" s="1"/>
  <c r="K17" i="6"/>
  <c r="T42" i="6"/>
  <c r="T44" i="6" s="1"/>
  <c r="T46" i="6" s="1"/>
  <c r="T48" i="6" s="1"/>
  <c r="J15" i="6"/>
  <c r="J40" i="6" s="1"/>
  <c r="K27" i="4"/>
  <c r="N27" i="4" s="1"/>
  <c r="M27" i="4"/>
  <c r="K32" i="4"/>
  <c r="G47" i="4"/>
  <c r="G49" i="4" s="1"/>
  <c r="G72" i="4" s="1"/>
  <c r="K21" i="4"/>
  <c r="N36" i="4"/>
  <c r="M45" i="4"/>
  <c r="N45" i="4" s="1"/>
  <c r="L12" i="4"/>
  <c r="N12" i="4" s="1"/>
  <c r="J26" i="4"/>
  <c r="M26" i="4" s="1"/>
  <c r="J39" i="4"/>
  <c r="M39" i="4" s="1"/>
  <c r="N39" i="4" s="1"/>
  <c r="N15" i="6"/>
  <c r="N40" i="6" s="1"/>
  <c r="H30" i="6"/>
  <c r="H38" i="6" s="1"/>
  <c r="K40" i="4"/>
  <c r="N40" i="4" s="1"/>
  <c r="K8" i="6"/>
  <c r="K15" i="6" s="1"/>
  <c r="N21" i="4"/>
  <c r="N41" i="4"/>
  <c r="N38" i="4"/>
  <c r="N19" i="4"/>
  <c r="N26" i="4"/>
  <c r="N35" i="4"/>
  <c r="O35" i="4" s="1"/>
  <c r="N42" i="4"/>
  <c r="N16" i="4"/>
  <c r="I24" i="4"/>
  <c r="L24" i="4" s="1"/>
  <c r="N24" i="4" s="1"/>
  <c r="L22" i="4"/>
  <c r="N22" i="4" s="1"/>
  <c r="N9" i="4"/>
  <c r="L21" i="4"/>
  <c r="L14" i="4"/>
  <c r="L38" i="4"/>
  <c r="J31" i="4"/>
  <c r="M31" i="4" s="1"/>
  <c r="N31" i="4" s="1"/>
  <c r="J32" i="4"/>
  <c r="M32" i="4" s="1"/>
  <c r="N32" i="4" s="1"/>
  <c r="J28" i="4"/>
  <c r="M28" i="4" s="1"/>
  <c r="N28" i="4" s="1"/>
  <c r="J30" i="4"/>
  <c r="M30" i="4" s="1"/>
  <c r="N30" i="4" s="1"/>
  <c r="J43" i="4"/>
  <c r="M43" i="4" s="1"/>
  <c r="N43" i="4" s="1"/>
  <c r="H15" i="6" l="1"/>
  <c r="K49" i="4"/>
  <c r="Q44" i="6"/>
  <c r="Q46" i="6" s="1"/>
  <c r="Q48" i="6" s="1"/>
  <c r="L47" i="4"/>
  <c r="N14" i="4"/>
  <c r="N47" i="4" s="1"/>
  <c r="K42" i="6"/>
  <c r="H8" i="6"/>
  <c r="K22" i="6"/>
  <c r="K40" i="6" s="1"/>
  <c r="H17" i="6"/>
  <c r="H22" i="6" s="1"/>
  <c r="H40" i="6" s="1"/>
  <c r="K43" i="6"/>
  <c r="M47" i="4"/>
  <c r="L49" i="4" l="1"/>
  <c r="M49" i="4"/>
  <c r="K44" i="6"/>
  <c r="M46" i="6" s="1"/>
  <c r="M51" i="6" s="1"/>
  <c r="N49" i="4"/>
  <c r="Q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A4805EA1-F860-41B7-9843-06AF30298E8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958619B2-EF83-4BDD-A99F-D4542BAC6DD6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F1162628-C819-4236-A36B-2248F3985E99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66E79283-0C4C-4813-B2D0-15691A2DE9D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B62DF02B-E0AA-4777-82AC-66CDFCAE301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189ED1AF-AEAE-4052-9627-E40C6A6EEB4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92CD2733-2A32-4AA3-8A8C-F1C68975B669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C10C9ED8-1F74-4378-9DEA-411E4DCD1FF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7EB88919-1939-40F6-B726-26D3DC7724D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1061BBE9-6201-44CA-A79D-29896C3CC06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FC9E467F-0D66-4F5E-93CD-4171606D4597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9692A1C6-9E3F-4295-A428-6A7AABC4975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DD037EC4-FD91-4B2B-9B3E-18D0D18F1BF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94E6B65B-7EA7-4BB9-A682-EB4EF8D7621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9AA996C4-DF05-4325-AB4B-5E90AA0B180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18849943-4109-4C6D-9A8C-3685CBCE8EF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11/12</t>
        </r>
      </text>
    </comment>
    <comment ref="G21" authorId="0" shapeId="0" xr:uid="{BC877452-73FA-47B4-A595-684A5F139DE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2" authorId="0" shapeId="0" xr:uid="{20D4C9C3-D6F2-417D-AC75-E7CCCF695C6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3" authorId="0" shapeId="0" xr:uid="{860D44F5-8E84-4466-BC95-0699D7779DC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E7255737-043B-47B7-9C4A-71051BBA537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6" authorId="0" shapeId="0" xr:uid="{0516908F-6DDD-4999-908E-5B0573B20A0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BAA4F915-D3D0-4D4F-8BE3-C0CDAEDD0EF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30" authorId="0" shapeId="0" xr:uid="{8EAC96D4-22B7-4E22-9EBE-DA5F5DE085A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31" authorId="0" shapeId="0" xr:uid="{8C90CE9B-BF1F-4F18-997B-C222DEE2766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2" authorId="0" shapeId="0" xr:uid="{24798D7D-DFAD-4E3F-91D5-D216F9EA979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4" authorId="0" shapeId="0" xr:uid="{35505488-0E47-4251-93B8-5FBF22599D2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4" authorId="0" shapeId="0" xr:uid="{FA8CE0C6-0FDE-4E50-82CA-C547353CC1E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5" authorId="0" shapeId="0" xr:uid="{4A85D84C-717E-43F0-B091-A43E504B8CE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6" authorId="0" shapeId="0" xr:uid="{F5EAAC7D-F212-4575-9EDA-981945A8719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8" authorId="0" shapeId="0" xr:uid="{819F62A0-5AEA-4E37-9159-C4D19973C3B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9" authorId="0" shapeId="0" xr:uid="{8239DE4D-919C-4327-B665-8DB2B132256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0" authorId="0" shapeId="0" xr:uid="{B8DFCBE7-5914-4A4E-8BBA-890463445BA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1" authorId="0" shapeId="0" xr:uid="{F012D30F-9CB5-4709-9697-25D76782485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13</t>
        </r>
      </text>
    </comment>
    <comment ref="G42" authorId="0" shapeId="0" xr:uid="{1EFE60F6-1046-4DF7-8B04-734F7B5ADD0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G43" authorId="0" shapeId="0" xr:uid="{A99AF0EF-DD47-4853-9B5E-A1CF8BB1860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N47" authorId="2" shapeId="0" xr:uid="{8FB5E955-A859-40E6-AA0F-06982430C8A3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9" authorId="3" shapeId="0" xr:uid="{62557370-89F8-438D-98C1-E75215961D08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6B91CA97-3794-45A1-B449-D510A00F996B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A59A73A3-1ECA-4271-BEB0-7759866350FA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9EF44E7C-D2AA-4942-A7A3-98581F11593A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E0501CA4-926D-43BC-869A-44C61D30181E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5FB00859-1927-47B5-B76E-4CD90C150C74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6191F240-6D1E-4A45-B4BA-F9C45C39BF34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57DCCB84-C5C5-4138-AFF4-0A17AF4AD2FC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<sst xmlns="http://schemas.openxmlformats.org/spreadsheetml/2006/main" count="460" uniqueCount="207">
  <si>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</si>
  <si>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</si>
  <si>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</si>
  <si>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</si>
  <si>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</si>
  <si>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</si>
  <si>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</si>
  <si>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</si>
  <si>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</si>
  <si>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>Amortization</t>
  </si>
  <si>
    <t>Total</t>
  </si>
  <si>
    <t>Gas Cost Recognized</t>
  </si>
  <si>
    <t>Total Gas Cost Recognized</t>
  </si>
  <si>
    <t>5</t>
  </si>
  <si>
    <t>Actual Gas Cost Incurred</t>
  </si>
  <si>
    <t>Deferred Gas Cost Journalized</t>
  </si>
  <si>
    <t>Gas Storage Mitigation</t>
  </si>
  <si>
    <t>Deferral Amount</t>
  </si>
  <si>
    <t xml:space="preserve"> Washington Deferrals</t>
  </si>
  <si>
    <t xml:space="preserve"> Month of</t>
  </si>
  <si>
    <t>4</t>
  </si>
  <si>
    <t>47WA.2530.01253 - Gas Loss</t>
  </si>
  <si>
    <t>( ____ )  = credit to gas cost</t>
  </si>
  <si>
    <t>JDE Gas Cost Account Code</t>
  </si>
  <si>
    <t>JDE Deferred Gas Account Code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</si>
  <si>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</si>
  <si>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</si>
  <si>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</si>
  <si>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</si>
  <si>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</si>
  <si>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</si>
  <si>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</si>
  <si>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</si>
  <si>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</si>
  <si>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</si>
  <si>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</si>
  <si>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</si>
  <si>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</si>
  <si>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</si>
  <si>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</si>
  <si>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</si>
  <si>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</si>
  <si>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</si>
  <si>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</si>
  <si>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</si>
  <si>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</si>
  <si>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</si>
  <si>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</si>
  <si>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</si>
  <si>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</si>
  <si>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</si>
  <si>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47WA.4002.4800</t>
  </si>
  <si>
    <t>Firm Res - air con</t>
  </si>
  <si>
    <t>541</t>
  </si>
  <si>
    <t>CNGWA 541</t>
  </si>
  <si>
    <t>47WA.6011.28040</t>
  </si>
  <si>
    <t>GC RECOGNIZED RS 15410</t>
  </si>
  <si>
    <t>Firm Residentials</t>
  </si>
  <si>
    <t>503</t>
  </si>
  <si>
    <t>CNGWA 503</t>
  </si>
  <si>
    <t>GC RECOGNIZED RS 15030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</si>
  <si>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</si>
  <si>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</si>
  <si>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</si>
  <si>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</si>
  <si>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</si>
  <si>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</si>
  <si>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</si>
  <si>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</si>
  <si>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</si>
  <si>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</si>
  <si>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GC RECOGNIZED RS 25040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</si>
  <si>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</si>
  <si>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</si>
  <si>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</si>
  <si>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</si>
  <si>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</si>
  <si>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</si>
  <si>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</si>
  <si>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</si>
  <si>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GC RECOGNIZED RS 25110</t>
  </si>
  <si>
    <t>Firm Com - Compressed NG</t>
  </si>
  <si>
    <t>512</t>
  </si>
  <si>
    <t>CNGWA 512</t>
  </si>
  <si>
    <t>GC RECOGNIZED RS 25120</t>
  </si>
  <si>
    <t>Firm Com - air con</t>
  </si>
  <si>
    <t>Unbilled</t>
  </si>
  <si>
    <t>GC RECOGNIZED RS 25410</t>
  </si>
  <si>
    <t>CNGWA 04LV</t>
  </si>
  <si>
    <t>CNGWA 11LV</t>
  </si>
  <si>
    <t xml:space="preserve">PM Unbilled </t>
  </si>
  <si>
    <t xml:space="preserve">CM 1501A (Unbilled) </t>
  </si>
  <si>
    <t>1501A</t>
  </si>
  <si>
    <t>511  04LV</t>
  </si>
  <si>
    <t>47WA.4002.4809</t>
  </si>
  <si>
    <t>Firm Ind'l</t>
  </si>
  <si>
    <t>505</t>
  </si>
  <si>
    <t>CNGWA 505</t>
  </si>
  <si>
    <t>505  05LV</t>
  </si>
  <si>
    <t>GC RECOGNIZED RS 35050</t>
  </si>
  <si>
    <t>Firm Industrial</t>
  </si>
  <si>
    <t>4813  570</t>
  </si>
  <si>
    <t>GC RECOGNIZED RS 35110</t>
  </si>
  <si>
    <t>Firm Ind'l - compressed NG</t>
  </si>
  <si>
    <t>GC RECOGNIZED RS 35120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</si>
  <si>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</si>
  <si>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</si>
  <si>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</si>
  <si>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</si>
  <si>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</si>
  <si>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</si>
  <si>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</si>
  <si>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>GC RECOGNIZED RS 55700</t>
  </si>
  <si>
    <t>GC RECOGNIZED RS 45700</t>
  </si>
  <si>
    <t xml:space="preserve">CM Unbilled </t>
  </si>
  <si>
    <t>47WA.4009.4813</t>
  </si>
  <si>
    <t>Interr Industrial</t>
  </si>
  <si>
    <t>47WA.4002.4813</t>
  </si>
  <si>
    <t>Interr Industrial - Ltd</t>
  </si>
  <si>
    <t>577</t>
  </si>
  <si>
    <t>CNGWA 577</t>
  </si>
  <si>
    <t>GC RECOGNIZED RS 55770</t>
  </si>
  <si>
    <t>CM Unbilled</t>
  </si>
  <si>
    <t>Interr Institutional</t>
  </si>
  <si>
    <t>GC RECOGNIZED RS 65700</t>
  </si>
  <si>
    <t>New Rates</t>
  </si>
  <si>
    <t xml:space="preserve">Total Gas Cost Recognized </t>
  </si>
  <si>
    <t>Old Rates</t>
  </si>
  <si>
    <t>S003000804009990670001</t>
  </si>
  <si>
    <t>GC RECOGNIZED CORE TOTAL</t>
  </si>
  <si>
    <t>Total WA</t>
  </si>
  <si>
    <t xml:space="preserve"> 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</si>
  <si>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</si>
  <si>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</si>
  <si>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</si>
  <si>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</si>
  <si>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</si>
  <si>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</si>
  <si>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</si>
  <si>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</si>
  <si>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</si>
  <si>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</si>
  <si>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</si>
  <si>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</si>
  <si>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</si>
  <si>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</si>
  <si>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</si>
  <si>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</si>
  <si>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</si>
  <si>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</si>
  <si>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</si>
  <si>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</si>
  <si>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</si>
  <si>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</si>
  <si>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</si>
  <si>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</si>
  <si>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</si>
  <si>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</si>
  <si>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</si>
  <si>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</si>
  <si>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</si>
  <si>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</si>
  <si>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</si>
  <si>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</si>
  <si>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</si>
  <si>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</si>
  <si>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</si>
  <si>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</si>
  <si>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</si>
  <si>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</si>
  <si>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</si>
  <si>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</si>
  <si>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</si>
  <si>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</si>
  <si>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</si>
  <si>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</si>
  <si>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</si>
  <si>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</si>
  <si>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</si>
  <si>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</si>
  <si>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</si>
  <si>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</si>
  <si>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</si>
  <si>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</si>
  <si>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</si>
  <si>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</si>
  <si>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</si>
  <si>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</si>
  <si>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</si>
  <si>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</si>
  <si>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</si>
  <si>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</si>
  <si>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</si>
  <si>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</si>
  <si>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</si>
  <si>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</si>
  <si>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1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</si>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</sst>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2" x14ac:knownFonts="1">
    <font>
      <sz val="10"/>
      <name val="Arial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u/>
      <sz val="10"/>
      <color rgb="FF00B05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4" fontId="0" fillId="0" borderId="0" xfId="0" applyNumberFormat="1"/>
    <xf numFmtId="43" fontId="1" fillId="0" borderId="1" xfId="1" applyFont="1" applyBorder="1"/>
    <xf numFmtId="0" fontId="5" fillId="0" borderId="0" xfId="0" applyFont="1"/>
    <xf numFmtId="44" fontId="1" fillId="0" borderId="0" xfId="0" applyNumberFormat="1" applyFont="1"/>
    <xf numFmtId="49" fontId="1" fillId="0" borderId="0" xfId="0" applyNumberFormat="1" applyFont="1" applyAlignment="1">
      <alignment horizontal="center"/>
    </xf>
    <xf numFmtId="43" fontId="1" fillId="0" borderId="0" xfId="1" applyFont="1"/>
    <xf numFmtId="44" fontId="1" fillId="0" borderId="0" xfId="2" applyFont="1" applyBorder="1"/>
    <xf numFmtId="0" fontId="0" fillId="0" borderId="0" xfId="0" applyAlignment="1">
      <alignment horizontal="left"/>
    </xf>
    <xf numFmtId="165" fontId="5" fillId="0" borderId="0" xfId="1" applyNumberFormat="1" applyFont="1"/>
    <xf numFmtId="0" fontId="6" fillId="0" borderId="0" xfId="0" applyFont="1"/>
    <xf numFmtId="49" fontId="3" fillId="0" borderId="0" xfId="0" applyNumberFormat="1" applyFont="1" applyAlignment="1">
      <alignment horizontal="center"/>
    </xf>
    <xf numFmtId="165" fontId="3" fillId="0" borderId="0" xfId="1" applyNumberFormat="1" applyFont="1"/>
    <xf numFmtId="49" fontId="1" fillId="0" borderId="0" xfId="1" applyNumberFormat="1" applyFont="1" applyAlignment="1"/>
    <xf numFmtId="49" fontId="3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1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3" fillId="0" borderId="0" xfId="1" applyNumberFormat="1" applyFont="1"/>
    <xf numFmtId="0" fontId="3" fillId="5" borderId="0" xfId="0" applyFont="1" applyFill="1"/>
    <xf numFmtId="49" fontId="3" fillId="5" borderId="0" xfId="1" applyNumberFormat="1" applyFont="1" applyFill="1" applyBorder="1"/>
    <xf numFmtId="49" fontId="3" fillId="5" borderId="0" xfId="0" applyNumberFormat="1" applyFont="1" applyFill="1"/>
    <xf numFmtId="165" fontId="3" fillId="5" borderId="0" xfId="1" applyNumberFormat="1" applyFont="1" applyFill="1" applyBorder="1" applyAlignment="1">
      <alignment horizontal="center"/>
    </xf>
    <xf numFmtId="166" fontId="3" fillId="5" borderId="0" xfId="2" applyNumberFormat="1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3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3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165" fontId="22" fillId="0" borderId="0" xfId="1" applyNumberFormat="1" applyFont="1" applyFill="1"/>
    <xf numFmtId="166" fontId="19" fillId="10" borderId="0" xfId="2" applyNumberFormat="1" applyFont="1" applyFill="1"/>
    <xf numFmtId="44" fontId="3" fillId="0" borderId="0" xfId="2"/>
    <xf numFmtId="44" fontId="3" fillId="0" borderId="12" xfId="2" applyBorder="1"/>
    <xf numFmtId="44" fontId="3" fillId="0" borderId="0" xfId="2" applyFill="1"/>
    <xf numFmtId="44" fontId="15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3" fillId="0" borderId="0" xfId="1" applyNumberFormat="1" applyFont="1" applyFill="1"/>
    <xf numFmtId="166" fontId="19" fillId="3" borderId="0" xfId="2" applyNumberFormat="1" applyFont="1" applyFill="1"/>
    <xf numFmtId="44" fontId="3" fillId="0" borderId="0" xfId="2" applyBorder="1"/>
    <xf numFmtId="44" fontId="3" fillId="0" borderId="0" xfId="2" applyFont="1" applyFill="1"/>
    <xf numFmtId="0" fontId="1" fillId="0" borderId="0" xfId="2" applyNumberFormat="1" applyFont="1"/>
    <xf numFmtId="37" fontId="1" fillId="0" borderId="0" xfId="2" applyNumberFormat="1" applyFont="1" applyAlignment="1">
      <alignment horizontal="left"/>
    </xf>
    <xf numFmtId="165" fontId="24" fillId="0" borderId="6" xfId="1" applyNumberFormat="1" applyFont="1" applyBorder="1"/>
    <xf numFmtId="165" fontId="25" fillId="11" borderId="0" xfId="1" applyNumberFormat="1" applyFont="1" applyFill="1"/>
    <xf numFmtId="166" fontId="19" fillId="12" borderId="0" xfId="2" applyNumberFormat="1" applyFont="1" applyFill="1"/>
    <xf numFmtId="165" fontId="24" fillId="0" borderId="0" xfId="1" applyNumberFormat="1" applyFont="1"/>
    <xf numFmtId="44" fontId="26" fillId="0" borderId="0" xfId="2" applyFont="1" applyFill="1"/>
    <xf numFmtId="44" fontId="6" fillId="0" borderId="0" xfId="0" applyNumberFormat="1" applyFont="1"/>
    <xf numFmtId="165" fontId="27" fillId="0" borderId="0" xfId="1" applyNumberFormat="1" applyFont="1" applyFill="1"/>
    <xf numFmtId="49" fontId="3" fillId="0" borderId="0" xfId="1" applyNumberFormat="1" applyFont="1" applyFill="1"/>
    <xf numFmtId="165" fontId="28" fillId="11" borderId="0" xfId="1" applyNumberFormat="1" applyFont="1" applyFill="1"/>
    <xf numFmtId="165" fontId="18" fillId="0" borderId="0" xfId="1" applyNumberFormat="1" applyFont="1" applyFill="1"/>
    <xf numFmtId="44" fontId="1" fillId="0" borderId="0" xfId="0" applyNumberFormat="1" applyFont="1" applyAlignment="1">
      <alignment horizontal="left"/>
    </xf>
    <xf numFmtId="165" fontId="29" fillId="0" borderId="0" xfId="1" applyNumberFormat="1" applyFont="1" applyFill="1"/>
    <xf numFmtId="166" fontId="30" fillId="12" borderId="0" xfId="2" applyNumberFormat="1" applyFont="1" applyFill="1"/>
    <xf numFmtId="0" fontId="1" fillId="0" borderId="0" xfId="0" applyFont="1" applyAlignment="1">
      <alignment horizontal="right"/>
    </xf>
    <xf numFmtId="165" fontId="31" fillId="11" borderId="0" xfId="1" applyNumberFormat="1" applyFont="1" applyFill="1"/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center"/>
    </xf>
    <xf numFmtId="165" fontId="6" fillId="0" borderId="0" xfId="0" applyNumberFormat="1" applyFont="1"/>
    <xf numFmtId="44" fontId="3" fillId="0" borderId="0" xfId="0" applyNumberFormat="1" applyFont="1" applyAlignment="1">
      <alignment horizontal="left"/>
    </xf>
    <xf numFmtId="166" fontId="3" fillId="0" borderId="0" xfId="2" applyNumberFormat="1"/>
    <xf numFmtId="166" fontId="3" fillId="0" borderId="0" xfId="2" applyNumberFormat="1" applyFont="1" applyFill="1"/>
    <xf numFmtId="165" fontId="32" fillId="0" borderId="0" xfId="1" applyNumberFormat="1" applyFont="1" applyFill="1"/>
    <xf numFmtId="165" fontId="11" fillId="0" borderId="0" xfId="1" applyNumberFormat="1" applyFont="1" applyFill="1"/>
    <xf numFmtId="166" fontId="33" fillId="0" borderId="0" xfId="2" applyNumberFormat="1" applyFont="1"/>
    <xf numFmtId="0" fontId="4" fillId="0" borderId="0" xfId="0" applyFont="1" applyAlignment="1">
      <alignment horizontal="left" indent="1"/>
    </xf>
    <xf numFmtId="49" fontId="3" fillId="0" borderId="0" xfId="0" applyNumberFormat="1" applyFont="1" applyAlignment="1">
      <alignment horizontal="right"/>
    </xf>
    <xf numFmtId="49" fontId="4" fillId="0" borderId="0" xfId="0" applyNumberFormat="1" applyFont="1"/>
    <xf numFmtId="165" fontId="1" fillId="0" borderId="0" xfId="1" applyNumberFormat="1" applyFont="1"/>
    <xf numFmtId="165" fontId="7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7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2" fillId="0" borderId="0" xfId="2" applyFont="1"/>
    <xf numFmtId="44" fontId="4" fillId="0" borderId="0" xfId="2" applyFont="1" applyBorder="1"/>
    <xf numFmtId="49" fontId="1" fillId="0" borderId="0" xfId="0" applyNumberFormat="1" applyFont="1"/>
    <xf numFmtId="165" fontId="7" fillId="11" borderId="0" xfId="1" applyNumberFormat="1" applyFont="1" applyFill="1"/>
    <xf numFmtId="165" fontId="3" fillId="0" borderId="0" xfId="1" applyNumberFormat="1"/>
    <xf numFmtId="44" fontId="27" fillId="0" borderId="0" xfId="2" applyFont="1"/>
    <xf numFmtId="44" fontId="27" fillId="0" borderId="0" xfId="2" applyFont="1" applyAlignment="1">
      <alignment horizontal="left"/>
    </xf>
    <xf numFmtId="44" fontId="22" fillId="0" borderId="0" xfId="2" applyFont="1"/>
    <xf numFmtId="165" fontId="6" fillId="0" borderId="0" xfId="1" applyNumberFormat="1" applyFont="1" applyAlignment="1">
      <alignment horizontal="center"/>
    </xf>
    <xf numFmtId="44" fontId="3" fillId="0" borderId="0" xfId="2" applyFont="1"/>
    <xf numFmtId="165" fontId="2" fillId="0" borderId="0" xfId="1" applyNumberFormat="1" applyFont="1" applyAlignment="1">
      <alignment horizontal="center" vertical="center"/>
    </xf>
    <xf numFmtId="165" fontId="27" fillId="0" borderId="0" xfId="1" applyNumberFormat="1" applyFont="1"/>
    <xf numFmtId="166" fontId="3" fillId="0" borderId="0" xfId="2" applyNumberFormat="1" applyFont="1" applyAlignment="1">
      <alignment horizontal="left"/>
    </xf>
    <xf numFmtId="43" fontId="3" fillId="0" borderId="0" xfId="1" applyFont="1" applyAlignment="1">
      <alignment horizontal="left"/>
    </xf>
    <xf numFmtId="168" fontId="3" fillId="0" borderId="0" xfId="2" applyNumberFormat="1"/>
    <xf numFmtId="44" fontId="27" fillId="0" borderId="0" xfId="2" applyFont="1" applyFill="1"/>
    <xf numFmtId="43" fontId="4" fillId="0" borderId="0" xfId="1" applyFont="1" applyAlignment="1">
      <alignment horizontal="left"/>
    </xf>
    <xf numFmtId="44" fontId="19" fillId="0" borderId="0" xfId="2" applyFont="1" applyFill="1"/>
    <xf numFmtId="43" fontId="3" fillId="0" borderId="0" xfId="1"/>
    <xf numFmtId="166" fontId="6" fillId="0" borderId="0" xfId="2" applyNumberFormat="1" applyFont="1" applyAlignment="1">
      <alignment horizontal="left"/>
    </xf>
    <xf numFmtId="0" fontId="3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2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2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3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49" fontId="7" fillId="0" borderId="0" xfId="1" applyNumberFormat="1" applyFont="1" applyBorder="1"/>
    <xf numFmtId="165" fontId="35" fillId="0" borderId="0" xfId="1" applyNumberFormat="1" applyFont="1"/>
    <xf numFmtId="165" fontId="3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7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vertical="center"/>
    </xf>
    <xf numFmtId="165" fontId="1" fillId="14" borderId="0" xfId="1" applyNumberFormat="1" applyFont="1" applyFill="1"/>
    <xf numFmtId="165" fontId="7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7" fillId="5" borderId="1" xfId="1" applyNumberFormat="1" applyFont="1" applyFill="1" applyBorder="1" applyAlignment="1">
      <alignment horizontal="left"/>
    </xf>
    <xf numFmtId="165" fontId="3" fillId="5" borderId="1" xfId="1" applyNumberFormat="1" applyFont="1" applyFill="1" applyBorder="1"/>
    <xf numFmtId="165" fontId="8" fillId="5" borderId="2" xfId="1" applyNumberFormat="1" applyFont="1" applyFill="1" applyBorder="1" applyAlignment="1">
      <alignment horizontal="center"/>
    </xf>
    <xf numFmtId="43" fontId="8" fillId="5" borderId="2" xfId="1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43" fontId="8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3" fillId="15" borderId="0" xfId="1" applyNumberFormat="1" applyFont="1" applyFill="1" applyAlignment="1">
      <alignment horizontal="right"/>
    </xf>
    <xf numFmtId="0" fontId="3" fillId="15" borderId="0" xfId="1" applyNumberFormat="1" applyFont="1" applyFill="1" applyAlignment="1">
      <alignment horizontal="center"/>
    </xf>
    <xf numFmtId="0" fontId="7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left" indent="3"/>
    </xf>
    <xf numFmtId="44" fontId="3" fillId="16" borderId="0" xfId="2" applyFont="1" applyFill="1"/>
    <xf numFmtId="165" fontId="3" fillId="0" borderId="0" xfId="1" applyNumberFormat="1" applyFont="1" applyFill="1" applyAlignment="1">
      <alignment horizontal="left"/>
    </xf>
    <xf numFmtId="165" fontId="33" fillId="14" borderId="0" xfId="1" applyNumberFormat="1" applyFont="1" applyFill="1"/>
    <xf numFmtId="44" fontId="15" fillId="16" borderId="0" xfId="2" applyFont="1" applyFill="1"/>
    <xf numFmtId="165" fontId="33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0" fontId="7" fillId="16" borderId="0" xfId="2" applyNumberFormat="1" applyFont="1" applyFill="1" applyAlignment="1">
      <alignment horizontal="center"/>
    </xf>
    <xf numFmtId="165" fontId="3" fillId="0" borderId="0" xfId="1" applyNumberFormat="1" applyFont="1" applyFill="1"/>
    <xf numFmtId="44" fontId="3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0" fillId="0" borderId="0" xfId="1" applyNumberFormat="1" applyFont="1" applyAlignment="1">
      <alignment horizontal="left"/>
    </xf>
    <xf numFmtId="165" fontId="40" fillId="0" borderId="0" xfId="1" applyNumberFormat="1" applyFont="1" applyAlignment="1">
      <alignment horizontal="left" indent="1"/>
    </xf>
    <xf numFmtId="44" fontId="41" fillId="18" borderId="0" xfId="2" applyFont="1" applyFill="1"/>
    <xf numFmtId="0" fontId="7" fillId="17" borderId="0" xfId="1" applyNumberFormat="1" applyFont="1" applyFill="1" applyAlignment="1">
      <alignment horizontal="center"/>
    </xf>
    <xf numFmtId="165" fontId="3" fillId="0" borderId="0" xfId="1" applyNumberFormat="1" applyFont="1" applyFill="1" applyAlignment="1">
      <alignment horizontal="left" indent="3"/>
    </xf>
    <xf numFmtId="165" fontId="3" fillId="0" borderId="0" xfId="1" applyNumberFormat="1" applyFont="1" applyAlignment="1">
      <alignment horizontal="left" indent="4"/>
    </xf>
    <xf numFmtId="165" fontId="42" fillId="0" borderId="0" xfId="1" applyNumberFormat="1" applyFont="1" applyAlignment="1">
      <alignment horizontal="left" indent="4"/>
    </xf>
    <xf numFmtId="44" fontId="11" fillId="17" borderId="0" xfId="2" applyFont="1" applyFill="1"/>
    <xf numFmtId="165" fontId="43" fillId="0" borderId="0" xfId="1" applyNumberFormat="1" applyFont="1" applyAlignment="1">
      <alignment horizontal="left"/>
    </xf>
    <xf numFmtId="43" fontId="33" fillId="14" borderId="0" xfId="1" applyFont="1" applyFill="1"/>
    <xf numFmtId="49" fontId="3" fillId="2" borderId="0" xfId="1" applyNumberFormat="1" applyFont="1" applyFill="1" applyAlignment="1">
      <alignment horizontal="right"/>
    </xf>
    <xf numFmtId="0" fontId="3" fillId="2" borderId="0" xfId="1" applyNumberFormat="1" applyFont="1" applyFill="1" applyAlignment="1">
      <alignment horizontal="center"/>
    </xf>
    <xf numFmtId="0" fontId="7" fillId="19" borderId="0" xfId="1" applyNumberFormat="1" applyFont="1" applyFill="1" applyAlignment="1">
      <alignment horizontal="center"/>
    </xf>
    <xf numFmtId="165" fontId="1" fillId="19" borderId="0" xfId="1" applyNumberFormat="1" applyFont="1" applyFill="1"/>
    <xf numFmtId="44" fontId="15" fillId="19" borderId="0" xfId="2" applyFont="1" applyFill="1"/>
    <xf numFmtId="165" fontId="44" fillId="0" borderId="0" xfId="1" applyNumberFormat="1" applyFont="1"/>
    <xf numFmtId="165" fontId="33" fillId="14" borderId="0" xfId="1" applyNumberFormat="1" applyFont="1" applyFill="1" applyAlignment="1">
      <alignment horizontal="left" vertical="top"/>
    </xf>
    <xf numFmtId="43" fontId="45" fillId="0" borderId="0" xfId="1" applyFont="1"/>
    <xf numFmtId="165" fontId="42" fillId="0" borderId="0" xfId="1" applyNumberFormat="1" applyFont="1" applyAlignment="1">
      <alignment horizontal="left"/>
    </xf>
    <xf numFmtId="165" fontId="45" fillId="0" borderId="0" xfId="1" applyNumberFormat="1" applyFont="1"/>
    <xf numFmtId="165" fontId="3" fillId="0" borderId="1" xfId="1" applyNumberFormat="1" applyFont="1" applyBorder="1"/>
    <xf numFmtId="44" fontId="3" fillId="17" borderId="1" xfId="2" applyFont="1" applyFill="1" applyBorder="1"/>
    <xf numFmtId="165" fontId="27" fillId="0" borderId="1" xfId="1" applyNumberFormat="1" applyFont="1" applyBorder="1"/>
    <xf numFmtId="44" fontId="27" fillId="17" borderId="0" xfId="2" applyFont="1" applyFill="1"/>
    <xf numFmtId="44" fontId="11" fillId="17" borderId="1" xfId="2" applyFont="1" applyFill="1" applyBorder="1"/>
    <xf numFmtId="49" fontId="3" fillId="15" borderId="0" xfId="1" applyNumberFormat="1" applyFont="1" applyFill="1" applyAlignment="1">
      <alignment horizontal="center"/>
    </xf>
    <xf numFmtId="49" fontId="7" fillId="0" borderId="0" xfId="1" applyNumberFormat="1" applyFont="1" applyAlignment="1">
      <alignment horizontal="center"/>
    </xf>
    <xf numFmtId="43" fontId="1" fillId="0" borderId="2" xfId="1" applyFont="1" applyBorder="1"/>
    <xf numFmtId="165" fontId="3" fillId="0" borderId="6" xfId="1" applyNumberFormat="1" applyFont="1" applyBorder="1"/>
    <xf numFmtId="44" fontId="3" fillId="0" borderId="6" xfId="2" applyFont="1" applyBorder="1"/>
    <xf numFmtId="44" fontId="3" fillId="0" borderId="2" xfId="2" applyFont="1" applyBorder="1"/>
    <xf numFmtId="44" fontId="1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5" fillId="0" borderId="0" xfId="2" applyFont="1"/>
    <xf numFmtId="43" fontId="3" fillId="0" borderId="6" xfId="1" applyFont="1" applyBorder="1"/>
    <xf numFmtId="165" fontId="33" fillId="0" borderId="6" xfId="1" applyNumberFormat="1" applyFont="1" applyBorder="1"/>
    <xf numFmtId="43" fontId="33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3" fillId="0" borderId="0" xfId="1" applyFont="1"/>
    <xf numFmtId="165" fontId="33" fillId="0" borderId="0" xfId="1" applyNumberFormat="1" applyFont="1" applyAlignment="1">
      <alignment horizontal="left" indent="4"/>
    </xf>
    <xf numFmtId="165" fontId="33" fillId="0" borderId="0" xfId="1" applyNumberFormat="1" applyFont="1" applyAlignment="1">
      <alignment horizontal="left" indent="3"/>
    </xf>
    <xf numFmtId="165" fontId="33" fillId="0" borderId="0" xfId="1" applyNumberFormat="1" applyFont="1" applyAlignment="1"/>
    <xf numFmtId="165" fontId="35" fillId="0" borderId="0" xfId="1" applyNumberFormat="1" applyFont="1" applyAlignment="1">
      <alignment horizontal="left"/>
    </xf>
    <xf numFmtId="165" fontId="44" fillId="0" borderId="0" xfId="1" applyNumberFormat="1" applyFont="1" applyAlignment="1">
      <alignment horizontal="left"/>
    </xf>
    <xf numFmtId="44" fontId="15" fillId="16" borderId="0" xfId="2" applyFont="1" applyFill="1" applyAlignment="1"/>
    <xf numFmtId="44" fontId="5" fillId="0" borderId="0" xfId="2" applyFont="1"/>
    <xf numFmtId="44" fontId="11" fillId="16" borderId="0" xfId="2" applyFont="1" applyFill="1"/>
    <xf numFmtId="165" fontId="33" fillId="0" borderId="1" xfId="1" applyNumberFormat="1" applyFont="1" applyBorder="1" applyAlignment="1">
      <alignment horizontal="left" indent="3"/>
    </xf>
    <xf numFmtId="44" fontId="3" fillId="16" borderId="1" xfId="2" applyFont="1" applyFill="1" applyBorder="1"/>
    <xf numFmtId="165" fontId="3" fillId="0" borderId="1" xfId="1" applyNumberFormat="1" applyFont="1" applyBorder="1" applyAlignment="1">
      <alignment horizontal="left" indent="3"/>
    </xf>
    <xf numFmtId="44" fontId="11" fillId="16" borderId="1" xfId="2" applyFont="1" applyFill="1" applyBorder="1"/>
    <xf numFmtId="165" fontId="1" fillId="0" borderId="6" xfId="1" applyNumberFormat="1" applyFont="1" applyBorder="1"/>
    <xf numFmtId="165" fontId="3" fillId="0" borderId="2" xfId="1" applyNumberFormat="1" applyFont="1" applyBorder="1"/>
    <xf numFmtId="165" fontId="33" fillId="0" borderId="2" xfId="1" applyNumberFormat="1" applyFont="1" applyBorder="1" applyAlignment="1">
      <alignment horizontal="left" indent="3"/>
    </xf>
    <xf numFmtId="165" fontId="3" fillId="0" borderId="6" xfId="1" applyNumberFormat="1" applyFont="1" applyBorder="1" applyAlignment="1">
      <alignment horizontal="left" indent="3"/>
    </xf>
    <xf numFmtId="44" fontId="1" fillId="0" borderId="6" xfId="2" applyFont="1" applyBorder="1"/>
    <xf numFmtId="165" fontId="33" fillId="0" borderId="6" xfId="1" applyNumberFormat="1" applyFont="1" applyBorder="1" applyAlignment="1">
      <alignment horizontal="left" indent="3"/>
    </xf>
    <xf numFmtId="165" fontId="1" fillId="0" borderId="0" xfId="1" applyNumberFormat="1" applyFont="1" applyAlignment="1">
      <alignment horizontal="left"/>
    </xf>
    <xf numFmtId="165" fontId="1" fillId="0" borderId="1" xfId="1" applyNumberFormat="1" applyFont="1" applyBorder="1"/>
    <xf numFmtId="44" fontId="3" fillId="0" borderId="1" xfId="2" applyFont="1" applyBorder="1"/>
    <xf numFmtId="165" fontId="33" fillId="0" borderId="1" xfId="1" applyNumberFormat="1" applyFont="1" applyBorder="1" applyAlignment="1"/>
    <xf numFmtId="49" fontId="7" fillId="0" borderId="0" xfId="1" applyNumberFormat="1" applyFont="1"/>
    <xf numFmtId="165" fontId="33" fillId="0" borderId="2" xfId="1" applyNumberFormat="1" applyFont="1" applyBorder="1"/>
    <xf numFmtId="165" fontId="4" fillId="0" borderId="0" xfId="1" applyNumberFormat="1" applyFont="1"/>
    <xf numFmtId="165" fontId="5" fillId="0" borderId="0" xfId="1" applyNumberFormat="1" applyFont="1" applyAlignment="1">
      <alignment horizontal="left" indent="1"/>
    </xf>
    <xf numFmtId="43" fontId="3" fillId="0" borderId="2" xfId="1" applyFont="1" applyBorder="1"/>
    <xf numFmtId="43" fontId="33" fillId="0" borderId="2" xfId="1" applyFont="1" applyBorder="1"/>
    <xf numFmtId="165" fontId="33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3" fillId="0" borderId="0" xfId="1" applyFont="1"/>
    <xf numFmtId="165" fontId="1" fillId="0" borderId="2" xfId="1" applyNumberFormat="1" applyFont="1" applyBorder="1"/>
    <xf numFmtId="165" fontId="1" fillId="0" borderId="0" xfId="1" applyNumberFormat="1" applyFont="1" applyFill="1" applyAlignment="1">
      <alignment horizontal="left"/>
    </xf>
    <xf numFmtId="165" fontId="7" fillId="0" borderId="2" xfId="1" applyNumberFormat="1" applyFont="1" applyBorder="1"/>
    <xf numFmtId="44" fontId="7" fillId="0" borderId="2" xfId="2" applyFont="1" applyBorder="1"/>
    <xf numFmtId="43" fontId="5" fillId="0" borderId="6" xfId="1" applyFont="1" applyBorder="1"/>
    <xf numFmtId="165" fontId="33" fillId="0" borderId="0" xfId="1" applyNumberFormat="1" applyFont="1"/>
    <xf numFmtId="165" fontId="4" fillId="0" borderId="0" xfId="1" applyNumberFormat="1" applyFont="1" applyAlignment="1">
      <alignment horizontal="center"/>
    </xf>
    <xf numFmtId="44" fontId="1" fillId="4" borderId="0" xfId="2" applyFont="1" applyFill="1"/>
    <xf numFmtId="44" fontId="1" fillId="8" borderId="0" xfId="2" applyFont="1" applyFill="1"/>
    <xf numFmtId="44" fontId="1" fillId="17" borderId="0" xfId="2" applyFont="1" applyFill="1"/>
    <xf numFmtId="44" fontId="5" fillId="18" borderId="0" xfId="2" applyFont="1" applyFill="1"/>
    <xf numFmtId="44" fontId="1" fillId="16" borderId="0" xfId="2" applyFont="1" applyFill="1"/>
    <xf numFmtId="44" fontId="5" fillId="16" borderId="0" xfId="2" applyFont="1" applyFill="1"/>
    <xf numFmtId="165" fontId="33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1" fillId="0" borderId="0" xfId="1" applyNumberFormat="1" applyFont="1" applyAlignment="1">
      <alignment horizontal="left" indent="2"/>
    </xf>
    <xf numFmtId="43" fontId="7" fillId="3" borderId="2" xfId="1" applyFont="1" applyFill="1" applyBorder="1"/>
    <xf numFmtId="165" fontId="46" fillId="0" borderId="0" xfId="1" applyNumberFormat="1" applyFont="1" applyFill="1"/>
    <xf numFmtId="43" fontId="7" fillId="0" borderId="0" xfId="1" applyFont="1" applyFill="1" applyAlignment="1">
      <alignment horizontal="left"/>
    </xf>
    <xf numFmtId="43" fontId="4" fillId="0" borderId="6" xfId="1" applyFont="1" applyBorder="1"/>
    <xf numFmtId="165" fontId="47" fillId="0" borderId="0" xfId="1" applyNumberFormat="1" applyFont="1" applyAlignment="1">
      <alignment horizontal="left" wrapText="1"/>
    </xf>
    <xf numFmtId="165" fontId="46" fillId="0" borderId="0" xfId="1" applyNumberFormat="1" applyFont="1"/>
    <xf numFmtId="43" fontId="7" fillId="0" borderId="0" xfId="1" applyFont="1" applyAlignment="1">
      <alignment horizontal="left"/>
    </xf>
    <xf numFmtId="165" fontId="5" fillId="0" borderId="0" xfId="1" applyNumberFormat="1" applyFont="1" applyBorder="1"/>
    <xf numFmtId="43" fontId="7" fillId="20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1" fillId="0" borderId="0" xfId="1" applyFont="1" applyBorder="1" applyAlignment="1">
      <alignment horizontal="left"/>
    </xf>
    <xf numFmtId="43" fontId="4" fillId="0" borderId="0" xfId="1" applyFont="1"/>
    <xf numFmtId="49" fontId="1" fillId="14" borderId="0" xfId="0" applyNumberFormat="1" applyFont="1" applyFill="1" applyAlignment="1">
      <alignment horizontal="right"/>
    </xf>
    <xf numFmtId="49" fontId="3" fillId="14" borderId="0" xfId="0" applyNumberFormat="1" applyFont="1" applyFill="1" applyAlignment="1">
      <alignment horizontal="right"/>
    </xf>
    <xf numFmtId="0" fontId="5" fillId="0" borderId="0" xfId="1" applyNumberFormat="1" applyFont="1"/>
    <xf numFmtId="15" fontId="5" fillId="0" borderId="0" xfId="1" applyNumberFormat="1" applyFont="1"/>
    <xf numFmtId="49" fontId="1" fillId="9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1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7" fillId="0" borderId="0" xfId="1" applyFont="1"/>
    <xf numFmtId="165" fontId="33" fillId="0" borderId="0" xfId="1" applyNumberFormat="1" applyFont="1" applyAlignment="1">
      <alignment horizontal="right"/>
    </xf>
    <xf numFmtId="43" fontId="7" fillId="0" borderId="0" xfId="1" applyFont="1" applyFill="1"/>
    <xf numFmtId="43" fontId="7" fillId="0" borderId="6" xfId="1" applyFont="1" applyBorder="1" applyAlignment="1">
      <alignment vertical="center"/>
    </xf>
    <xf numFmtId="165" fontId="7" fillId="0" borderId="0" xfId="1" applyNumberFormat="1" applyFont="1" applyBorder="1"/>
    <xf numFmtId="43" fontId="7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3" fillId="0" borderId="0" xfId="3" applyAlignment="1">
      <alignment horizontal="center"/>
    </xf>
    <xf numFmtId="44" fontId="3" fillId="0" borderId="0" xfId="3" applyNumberFormat="1"/>
    <xf numFmtId="0" fontId="11" fillId="0" borderId="0" xfId="3" applyFont="1" applyAlignment="1">
      <alignment horizontal="center"/>
    </xf>
    <xf numFmtId="0" fontId="11" fillId="0" borderId="9" xfId="3" applyFont="1" applyBorder="1" applyAlignment="1">
      <alignment horizontal="center"/>
    </xf>
    <xf numFmtId="0" fontId="1" fillId="0" borderId="0" xfId="3" applyFont="1" applyAlignment="1">
      <alignment horizontal="right"/>
    </xf>
    <xf numFmtId="44" fontId="1" fillId="0" borderId="0" xfId="3" applyNumberFormat="1" applyFont="1" applyAlignment="1">
      <alignment horizontal="right"/>
    </xf>
    <xf numFmtId="165" fontId="3" fillId="0" borderId="0" xfId="4" applyNumberFormat="1" applyFont="1" applyFill="1"/>
    <xf numFmtId="44" fontId="1" fillId="0" borderId="0" xfId="3" applyNumberFormat="1" applyFont="1"/>
    <xf numFmtId="44" fontId="1" fillId="0" borderId="4" xfId="3" applyNumberFormat="1" applyFont="1" applyBorder="1"/>
    <xf numFmtId="0" fontId="1" fillId="0" borderId="0" xfId="3" applyFont="1"/>
    <xf numFmtId="49" fontId="8" fillId="0" borderId="4" xfId="3" applyNumberFormat="1" applyFont="1" applyBorder="1" applyAlignment="1">
      <alignment horizontal="center"/>
    </xf>
    <xf numFmtId="49" fontId="8" fillId="0" borderId="0" xfId="3" applyNumberFormat="1" applyFont="1" applyAlignment="1">
      <alignment horizontal="center"/>
    </xf>
    <xf numFmtId="44" fontId="11" fillId="0" borderId="4" xfId="3" applyNumberFormat="1" applyFont="1" applyBorder="1" applyAlignment="1">
      <alignment horizontal="center"/>
    </xf>
    <xf numFmtId="44" fontId="1" fillId="0" borderId="10" xfId="3" applyNumberFormat="1" applyFont="1" applyBorder="1" applyAlignment="1">
      <alignment horizontal="left"/>
    </xf>
    <xf numFmtId="44" fontId="1" fillId="0" borderId="0" xfId="3" applyNumberFormat="1" applyFont="1" applyAlignment="1">
      <alignment horizontal="center"/>
    </xf>
    <xf numFmtId="0" fontId="1" fillId="0" borderId="4" xfId="3" applyFont="1" applyBorder="1"/>
    <xf numFmtId="0" fontId="1" fillId="0" borderId="10" xfId="3" applyFont="1" applyBorder="1"/>
    <xf numFmtId="44" fontId="7" fillId="0" borderId="2" xfId="3" applyNumberFormat="1" applyFont="1" applyBorder="1"/>
    <xf numFmtId="44" fontId="7" fillId="0" borderId="11" xfId="3" applyNumberFormat="1" applyFont="1" applyBorder="1"/>
    <xf numFmtId="0" fontId="4" fillId="0" borderId="2" xfId="3" applyFont="1" applyBorder="1"/>
    <xf numFmtId="0" fontId="1" fillId="0" borderId="2" xfId="3" applyFont="1" applyBorder="1"/>
    <xf numFmtId="44" fontId="1" fillId="0" borderId="4" xfId="5" applyFont="1" applyFill="1" applyBorder="1"/>
    <xf numFmtId="44" fontId="1" fillId="0" borderId="0" xfId="5" applyFont="1" applyFill="1"/>
    <xf numFmtId="0" fontId="1" fillId="0" borderId="1" xfId="3" applyFont="1" applyBorder="1"/>
    <xf numFmtId="0" fontId="3" fillId="0" borderId="0" xfId="3" applyAlignment="1">
      <alignment horizontal="left"/>
    </xf>
    <xf numFmtId="0" fontId="1" fillId="0" borderId="10" xfId="5" applyNumberFormat="1" applyFont="1" applyFill="1" applyBorder="1" applyAlignment="1">
      <alignment horizontal="left"/>
    </xf>
    <xf numFmtId="44" fontId="1" fillId="0" borderId="10" xfId="5" applyFont="1" applyFill="1" applyBorder="1"/>
    <xf numFmtId="44" fontId="1" fillId="0" borderId="0" xfId="5" applyFont="1" applyFill="1" applyBorder="1"/>
    <xf numFmtId="44" fontId="1" fillId="0" borderId="7" xfId="5" applyFont="1" applyFill="1" applyBorder="1"/>
    <xf numFmtId="44" fontId="1" fillId="0" borderId="1" xfId="3" applyNumberFormat="1" applyFont="1" applyBorder="1"/>
    <xf numFmtId="44" fontId="1" fillId="0" borderId="5" xfId="5" applyFont="1" applyFill="1" applyBorder="1"/>
    <xf numFmtId="44" fontId="1" fillId="0" borderId="1" xfId="5" applyFont="1" applyFill="1" applyBorder="1"/>
    <xf numFmtId="44" fontId="1" fillId="0" borderId="8" xfId="3" applyNumberFormat="1" applyFont="1" applyBorder="1" applyAlignment="1">
      <alignment horizontal="center"/>
    </xf>
    <xf numFmtId="44" fontId="1" fillId="0" borderId="4" xfId="3" applyNumberFormat="1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7" fillId="0" borderId="1" xfId="3" applyFont="1" applyBorder="1"/>
    <xf numFmtId="0" fontId="8" fillId="0" borderId="0" xfId="3" applyFont="1" applyAlignment="1">
      <alignment horizontal="center"/>
    </xf>
    <xf numFmtId="0" fontId="8" fillId="0" borderId="4" xfId="3" applyFont="1" applyBorder="1" applyAlignment="1">
      <alignment horizontal="center"/>
    </xf>
    <xf numFmtId="0" fontId="4" fillId="0" borderId="0" xfId="3" applyFont="1"/>
    <xf numFmtId="0" fontId="3" fillId="0" borderId="1" xfId="3" applyBorder="1" applyAlignment="1">
      <alignment horizontal="center"/>
    </xf>
    <xf numFmtId="0" fontId="3" fillId="0" borderId="3" xfId="3" applyBorder="1" applyAlignment="1">
      <alignment horizontal="center"/>
    </xf>
    <xf numFmtId="0" fontId="3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87A162EE-BA7D-4F76-A7E2-EA310234D259}"/>
    <cellStyle name="Currency" xfId="2" builtinId="4"/>
    <cellStyle name="Currency 3" xfId="5" xr:uid="{7EE5A304-ADFA-43A7-8F4F-D54C4A3BB821}"/>
    <cellStyle name="Normal" xfId="0" builtinId="0"/>
    <cellStyle name="Normal 3" xfId="3" xr:uid="{2212DA32-4804-40DB-8F08-B22D5A78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1-2021\PGA%20Allocations%2001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volk/Application%20Data/Microsoft/Excel/11-2010%20Core%20Billed%20The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0\Gas%20Supply%20Analysis\12-2020%20Gas%20Supply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1-2021\WA\UG-200807%20CNGC%20Monthly%20PGA%20Rpt%20January%202021,%2002.1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OR Deferrals"/>
      <sheetName val="WA Deferrals"/>
      <sheetName val="WA Rates"/>
      <sheetName val="OR Rates"/>
      <sheetName val="Core Cost Incurred"/>
    </sheetNames>
    <sheetDataSet>
      <sheetData sheetId="0" refreshError="1"/>
      <sheetData sheetId="1" refreshError="1"/>
      <sheetData sheetId="2"/>
      <sheetData sheetId="3"/>
      <sheetData sheetId="4" refreshError="1"/>
      <sheetData sheetId="5">
        <row r="2">
          <cell r="B2">
            <v>44221</v>
          </cell>
        </row>
        <row r="42">
          <cell r="K42">
            <v>11123137.610000001</v>
          </cell>
        </row>
        <row r="43">
          <cell r="K43">
            <v>4311376.34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Billed Therms "/>
      <sheetName val="Bill Freq Sum"/>
    </sheetNames>
    <sheetDataSet>
      <sheetData sheetId="0">
        <row r="12">
          <cell r="J12">
            <v>0</v>
          </cell>
        </row>
        <row r="88">
          <cell r="J88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11220.668674999919</v>
          </cell>
        </row>
      </sheetData>
      <sheetData sheetId="7"/>
      <sheetData sheetId="8">
        <row r="44">
          <cell r="R44">
            <v>1086178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DEFERRALS"/>
      <sheetName val="RA 1860.20479"/>
      <sheetName val="RA 1823.47020430"/>
      <sheetName val="RA 1823.47020431"/>
      <sheetName val="RA 1823.47020444"/>
      <sheetName val="RA 1823.47020449"/>
      <sheetName val="RA 1862.20477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D37D-FF45-4E9B-98AC-EEC47267713D}">
  <dimension ref="B1:AL111"/>
  <sheetViews>
    <sheetView showGridLines="0" tabSelected="1" zoomScaleNormal="100" workbookViewId="0">
      <selection activeCell="J54" sqref="J54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0" customWidth="1"/>
    <col min="4" max="4" width="3.5703125" style="18" hidden="1" customWidth="1"/>
    <col min="5" max="5" width="4" style="18" bestFit="1" customWidth="1"/>
    <col min="6" max="6" width="13.7109375" style="18" customWidth="1"/>
    <col min="7" max="7" width="15" style="120" bestFit="1" customWidth="1"/>
    <col min="8" max="8" width="12.5703125" style="93" customWidth="1"/>
    <col min="9" max="9" width="15" style="93" bestFit="1" customWidth="1"/>
    <col min="10" max="10" width="14" style="93" bestFit="1" customWidth="1"/>
    <col min="11" max="12" width="16.140625" style="93" bestFit="1" customWidth="1"/>
    <col min="13" max="13" width="14.5703125" style="93" bestFit="1" customWidth="1"/>
    <col min="14" max="14" width="16.85546875" style="93" bestFit="1" customWidth="1"/>
    <col min="15" max="15" width="8.28515625" style="93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2" bestFit="1" customWidth="1"/>
    <col min="25" max="25" width="14.28515625" style="14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8" ht="14.25" customHeight="1" x14ac:dyDescent="0.2">
      <c r="B1" s="1" t="s">
        <v>25</v>
      </c>
      <c r="C1" s="17"/>
      <c r="E1" s="19" t="s">
        <v>26</v>
      </c>
      <c r="F1" s="19"/>
      <c r="G1" s="19"/>
      <c r="H1" s="19"/>
      <c r="I1" s="19"/>
      <c r="J1" s="19"/>
      <c r="K1" s="19"/>
      <c r="L1" s="20"/>
      <c r="M1" s="20"/>
      <c r="N1" s="20"/>
      <c r="O1" s="20"/>
      <c r="P1" s="20"/>
      <c r="Q1" s="21"/>
      <c r="R1" s="21"/>
      <c r="S1" s="21"/>
      <c r="T1" s="21"/>
      <c r="U1" s="21"/>
      <c r="V1" s="21"/>
      <c r="W1" s="21"/>
      <c r="X1" s="22"/>
      <c r="Y1" s="23"/>
      <c r="Z1" s="21"/>
      <c r="AA1" s="21"/>
      <c r="AB1" s="21"/>
      <c r="AC1" s="21"/>
    </row>
    <row r="2" spans="2:38" ht="14.25" customHeight="1" x14ac:dyDescent="0.25">
      <c r="B2" s="1" t="s">
        <v>27</v>
      </c>
      <c r="C2" s="17"/>
      <c r="D2" s="21"/>
      <c r="E2" s="19"/>
      <c r="F2" s="19"/>
      <c r="G2" s="19"/>
      <c r="H2" s="19"/>
      <c r="I2" s="19"/>
      <c r="J2" s="19"/>
      <c r="K2" s="19"/>
      <c r="L2" s="24" t="s">
        <v>28</v>
      </c>
      <c r="M2" s="24"/>
      <c r="N2" s="24"/>
      <c r="O2" s="24"/>
      <c r="P2" s="24"/>
    </row>
    <row r="3" spans="2:38" ht="14.25" customHeight="1" x14ac:dyDescent="0.25">
      <c r="B3" s="25" t="s">
        <v>29</v>
      </c>
      <c r="C3" s="25"/>
      <c r="D3" s="21"/>
      <c r="E3" s="26"/>
      <c r="F3" s="27">
        <f>'Core Cost Incurred'!B2</f>
        <v>44221</v>
      </c>
      <c r="G3" s="27"/>
      <c r="H3" s="27"/>
      <c r="I3" s="27"/>
      <c r="J3" s="27"/>
      <c r="K3" s="27"/>
      <c r="L3" s="28" t="s">
        <v>30</v>
      </c>
      <c r="M3" s="28"/>
      <c r="N3" s="28"/>
      <c r="O3" s="28"/>
      <c r="P3" s="28"/>
    </row>
    <row r="4" spans="2:38" ht="14.25" customHeight="1" x14ac:dyDescent="0.25">
      <c r="B4" s="25" t="s">
        <v>31</v>
      </c>
      <c r="C4" s="25"/>
      <c r="D4" s="21"/>
      <c r="E4" s="26"/>
      <c r="F4" s="27"/>
      <c r="G4" s="27"/>
      <c r="H4" s="27"/>
      <c r="I4" s="27"/>
      <c r="J4" s="27"/>
      <c r="K4" s="27"/>
      <c r="L4" s="29" t="s">
        <v>32</v>
      </c>
      <c r="M4" s="29"/>
      <c r="N4" s="29"/>
      <c r="O4" s="29"/>
      <c r="P4" s="29"/>
    </row>
    <row r="5" spans="2:38" ht="14.25" customHeight="1" x14ac:dyDescent="0.2">
      <c r="D5" s="21"/>
      <c r="E5" s="26"/>
      <c r="F5" s="26"/>
      <c r="G5" s="26"/>
      <c r="H5" s="26"/>
      <c r="I5" s="26"/>
      <c r="J5" s="26"/>
      <c r="K5" s="26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2"/>
      <c r="Y5" s="23"/>
      <c r="Z5" s="21"/>
      <c r="AA5" s="21"/>
      <c r="AB5" s="21"/>
      <c r="AC5" s="21"/>
    </row>
    <row r="6" spans="2:38" ht="15.75" x14ac:dyDescent="0.25">
      <c r="B6" s="31"/>
      <c r="C6" s="32"/>
      <c r="D6" s="33"/>
      <c r="E6" s="33"/>
      <c r="F6" s="33"/>
      <c r="G6" s="34" t="s">
        <v>33</v>
      </c>
      <c r="H6" s="35" t="s">
        <v>3</v>
      </c>
      <c r="I6" s="35" t="s">
        <v>6</v>
      </c>
      <c r="J6" s="35" t="s">
        <v>34</v>
      </c>
      <c r="K6" s="35" t="s">
        <v>3</v>
      </c>
      <c r="L6" s="35" t="s">
        <v>6</v>
      </c>
      <c r="M6" s="35"/>
      <c r="N6" s="35" t="s">
        <v>10</v>
      </c>
      <c r="O6" s="36"/>
      <c r="Q6" s="37"/>
      <c r="R6" s="38">
        <v>200294.94</v>
      </c>
      <c r="S6" s="37"/>
      <c r="T6" s="37"/>
      <c r="U6" s="38">
        <v>140046.39000000001</v>
      </c>
      <c r="V6" s="37"/>
      <c r="W6" s="37"/>
      <c r="X6" s="39"/>
      <c r="Y6" s="40"/>
      <c r="Z6" s="37"/>
      <c r="AA6" s="37"/>
      <c r="AB6" s="37"/>
      <c r="AC6" s="37"/>
      <c r="AD6" s="41"/>
    </row>
    <row r="7" spans="2:38" ht="15.75" x14ac:dyDescent="0.25">
      <c r="B7" s="42"/>
      <c r="C7" s="43"/>
      <c r="D7" s="44"/>
      <c r="E7" s="44"/>
      <c r="F7" s="45" t="s">
        <v>35</v>
      </c>
      <c r="G7" s="34" t="s">
        <v>36</v>
      </c>
      <c r="H7" s="35" t="s">
        <v>37</v>
      </c>
      <c r="I7" s="35" t="s">
        <v>37</v>
      </c>
      <c r="J7" s="35" t="s">
        <v>9</v>
      </c>
      <c r="K7" s="35" t="s">
        <v>38</v>
      </c>
      <c r="L7" s="35" t="s">
        <v>38</v>
      </c>
      <c r="M7" s="35" t="s">
        <v>34</v>
      </c>
      <c r="N7" s="35" t="s">
        <v>34</v>
      </c>
      <c r="O7" s="36"/>
      <c r="Q7" s="38">
        <v>11214374</v>
      </c>
      <c r="R7" s="38">
        <f>2345597.06+78799.97+56688.77</f>
        <v>2481085.8000000003</v>
      </c>
      <c r="S7" s="37"/>
      <c r="T7" s="38">
        <v>2845776</v>
      </c>
      <c r="U7" s="38">
        <v>459339.89</v>
      </c>
      <c r="V7" s="37"/>
      <c r="W7" s="37"/>
      <c r="X7" s="39"/>
      <c r="Y7" s="40"/>
      <c r="Z7" s="37"/>
      <c r="AA7" s="37"/>
      <c r="AB7" s="37"/>
      <c r="AC7" s="37"/>
      <c r="AD7" s="46"/>
      <c r="AE7" s="3"/>
    </row>
    <row r="8" spans="2:38" s="53" customFormat="1" x14ac:dyDescent="0.2">
      <c r="B8" s="47"/>
      <c r="C8" s="48"/>
      <c r="D8" s="47" t="s">
        <v>39</v>
      </c>
      <c r="E8" s="49" t="s">
        <v>40</v>
      </c>
      <c r="F8" s="49" t="s">
        <v>40</v>
      </c>
      <c r="G8" s="50" t="s">
        <v>41</v>
      </c>
      <c r="H8" s="51" t="s">
        <v>42</v>
      </c>
      <c r="I8" s="51" t="str">
        <f>+H8</f>
        <v>Nov 1 2020</v>
      </c>
      <c r="J8" s="51" t="str">
        <f>I8</f>
        <v>Nov 1 2020</v>
      </c>
      <c r="K8" s="52" t="s">
        <v>43</v>
      </c>
      <c r="L8" s="52" t="s">
        <v>43</v>
      </c>
      <c r="M8" s="52" t="s">
        <v>9</v>
      </c>
      <c r="N8" s="52" t="s">
        <v>43</v>
      </c>
      <c r="O8" s="36"/>
      <c r="P8"/>
      <c r="V8" s="37"/>
      <c r="X8" s="54"/>
      <c r="Y8" s="55">
        <v>1501</v>
      </c>
      <c r="Z8" s="37"/>
      <c r="AA8" s="37"/>
      <c r="AB8" s="37"/>
      <c r="AC8" s="37"/>
      <c r="AD8" s="56"/>
      <c r="AE8" s="3" t="s">
        <v>44</v>
      </c>
      <c r="AF8" s="3" t="s">
        <v>45</v>
      </c>
      <c r="AG8" s="3" t="s">
        <v>46</v>
      </c>
      <c r="AH8" s="57" t="s">
        <v>0</v>
      </c>
      <c r="AI8" s="3" t="s">
        <v>47</v>
      </c>
      <c r="AJ8" s="3" t="s">
        <v>48</v>
      </c>
      <c r="AK8" s="3" t="s">
        <v>49</v>
      </c>
      <c r="AL8" s="3" t="s">
        <v>50</v>
      </c>
    </row>
    <row r="9" spans="2:38" ht="15.75" hidden="1" x14ac:dyDescent="0.25">
      <c r="B9" s="58" t="s">
        <v>51</v>
      </c>
      <c r="C9" s="30" t="s">
        <v>52</v>
      </c>
      <c r="D9" s="15">
        <v>1</v>
      </c>
      <c r="E9" s="18" t="s">
        <v>53</v>
      </c>
      <c r="F9" s="18" t="s">
        <v>54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  <c r="AD9" s="37"/>
      <c r="AE9" t="s">
        <v>55</v>
      </c>
      <c r="AH9" s="37">
        <v>0</v>
      </c>
      <c r="AL9" t="s">
        <v>56</v>
      </c>
    </row>
    <row r="10" spans="2:38" ht="15.75" x14ac:dyDescent="0.25">
      <c r="B10" s="58" t="s">
        <v>51</v>
      </c>
      <c r="C10" s="30" t="s">
        <v>57</v>
      </c>
      <c r="D10" s="15">
        <v>1</v>
      </c>
      <c r="E10" s="18" t="s">
        <v>58</v>
      </c>
      <c r="F10" s="18" t="s">
        <v>59</v>
      </c>
      <c r="G10" s="68">
        <f>+Y10</f>
        <v>19685299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4931757.96</v>
      </c>
      <c r="L10" s="61">
        <f>ROUND(G10*I10,2)</f>
        <v>3289807.17</v>
      </c>
      <c r="M10" s="70">
        <f>ROUND(G10*J10,2)</f>
        <v>2811454.4</v>
      </c>
      <c r="N10" s="71">
        <f>SUM(K10:M10)</f>
        <v>11033019.529999999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19685299</v>
      </c>
      <c r="Z10" s="65"/>
      <c r="AA10" s="65"/>
      <c r="AB10" s="65"/>
      <c r="AC10" s="65"/>
      <c r="AD10" s="37"/>
      <c r="AE10" t="s">
        <v>55</v>
      </c>
      <c r="AH10" s="37">
        <v>0</v>
      </c>
      <c r="AL10" t="s">
        <v>60</v>
      </c>
    </row>
    <row r="11" spans="2:38" ht="15.75" x14ac:dyDescent="0.25">
      <c r="B11" s="58" t="s">
        <v>61</v>
      </c>
      <c r="C11" s="30" t="s">
        <v>62</v>
      </c>
      <c r="D11" s="15">
        <v>1</v>
      </c>
      <c r="E11" s="18" t="s">
        <v>58</v>
      </c>
      <c r="F11" s="18" t="s">
        <v>59</v>
      </c>
      <c r="G11" s="75">
        <v>-13204857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-3308212.82</v>
      </c>
      <c r="L11" s="61">
        <f>ROUND(G11*I11,2)</f>
        <v>-2206795.7000000002</v>
      </c>
      <c r="M11" s="70"/>
      <c r="N11" s="71">
        <f>SUM(K11:M11)</f>
        <v>-5515008.5199999996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1264480</v>
      </c>
      <c r="Z11" s="65"/>
      <c r="AA11" s="65"/>
      <c r="AB11" s="65"/>
      <c r="AC11" s="65"/>
      <c r="AD11" s="37"/>
      <c r="AE11" t="s">
        <v>55</v>
      </c>
      <c r="AH11" s="37">
        <v>0</v>
      </c>
      <c r="AL11" t="s">
        <v>60</v>
      </c>
    </row>
    <row r="12" spans="2:38" ht="15.75" x14ac:dyDescent="0.25">
      <c r="B12" s="58" t="s">
        <v>61</v>
      </c>
      <c r="C12" s="30" t="s">
        <v>63</v>
      </c>
      <c r="D12" s="15">
        <v>1</v>
      </c>
      <c r="E12" s="18" t="s">
        <v>58</v>
      </c>
      <c r="F12" s="18" t="s">
        <v>59</v>
      </c>
      <c r="G12" s="75">
        <f>+Y21</f>
        <v>12651421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3169560.5</v>
      </c>
      <c r="L12" s="61">
        <f>ROUND(G12*I12,2)</f>
        <v>2114305.48</v>
      </c>
      <c r="M12" s="70"/>
      <c r="N12" s="71">
        <f>SUM(K12:M12)</f>
        <v>5283865.9800000004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431368</v>
      </c>
      <c r="AA12" s="65"/>
      <c r="AB12" s="65"/>
      <c r="AC12" s="65"/>
      <c r="AD12" s="37"/>
      <c r="AE12" t="s">
        <v>55</v>
      </c>
      <c r="AH12" s="37">
        <v>0</v>
      </c>
      <c r="AL12" t="s">
        <v>60</v>
      </c>
    </row>
    <row r="13" spans="2:38" ht="15" customHeight="1" x14ac:dyDescent="0.25">
      <c r="B13" s="58"/>
      <c r="D13" s="15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64</v>
      </c>
      <c r="Y13" s="77">
        <v>7535</v>
      </c>
      <c r="Z13" s="65"/>
      <c r="AA13" s="65"/>
      <c r="AB13" s="65"/>
      <c r="AC13" s="65"/>
      <c r="AD13" s="37"/>
      <c r="AH13" s="37"/>
    </row>
    <row r="14" spans="2:38" ht="15.75" x14ac:dyDescent="0.25">
      <c r="B14" s="58" t="s">
        <v>65</v>
      </c>
      <c r="C14" s="30" t="s">
        <v>66</v>
      </c>
      <c r="D14" s="15">
        <v>2</v>
      </c>
      <c r="E14" s="18" t="s">
        <v>67</v>
      </c>
      <c r="F14" s="18" t="s">
        <v>68</v>
      </c>
      <c r="G14" s="68">
        <f>+Y15</f>
        <v>12906274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3233408.83</v>
      </c>
      <c r="L14" s="61">
        <f>ROUND(G14*I14,2)</f>
        <v>2124501.7599999998</v>
      </c>
      <c r="M14" s="70">
        <f>ROUND(G14*J14,2)</f>
        <v>1843274.05</v>
      </c>
      <c r="N14" s="71">
        <f>SUM(K14:M14)</f>
        <v>7201184.6399999997</v>
      </c>
      <c r="O14" s="78">
        <v>-0.02</v>
      </c>
      <c r="Q14" s="65" t="s">
        <v>69</v>
      </c>
      <c r="R14" s="65"/>
      <c r="S14" s="65"/>
      <c r="T14" s="65"/>
      <c r="U14" s="65"/>
      <c r="V14" s="65"/>
      <c r="W14" s="72">
        <v>4810</v>
      </c>
      <c r="X14" s="73" t="s">
        <v>70</v>
      </c>
      <c r="Y14" s="77">
        <v>96370</v>
      </c>
      <c r="Z14" s="65"/>
      <c r="AB14" s="65"/>
      <c r="AC14" s="65"/>
      <c r="AD14" s="37"/>
      <c r="AE14" t="s">
        <v>55</v>
      </c>
      <c r="AH14" s="37">
        <v>0</v>
      </c>
      <c r="AL14" t="s">
        <v>71</v>
      </c>
    </row>
    <row r="15" spans="2:38" ht="15.75" x14ac:dyDescent="0.25">
      <c r="B15" s="58" t="s">
        <v>72</v>
      </c>
      <c r="C15" s="30" t="s">
        <v>73</v>
      </c>
      <c r="D15" s="15">
        <v>2</v>
      </c>
      <c r="E15" s="18" t="s">
        <v>67</v>
      </c>
      <c r="F15" s="18" t="s">
        <v>68</v>
      </c>
      <c r="G15" s="75">
        <v>-9569772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-2397514.98</v>
      </c>
      <c r="L15" s="61">
        <f>ROUND(G15*I15,2)</f>
        <v>-1575280.17</v>
      </c>
      <c r="M15" s="70"/>
      <c r="N15" s="71">
        <f>SUM(K15:M15)</f>
        <v>-3972795.15</v>
      </c>
      <c r="O15" s="78"/>
      <c r="Q15" s="65" t="s">
        <v>74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12906274</v>
      </c>
      <c r="Z15" s="65"/>
      <c r="AB15" s="65"/>
      <c r="AC15" s="65"/>
      <c r="AD15" s="37"/>
      <c r="AE15" t="s">
        <v>55</v>
      </c>
      <c r="AH15" s="37">
        <v>0</v>
      </c>
      <c r="AL15" t="s">
        <v>71</v>
      </c>
    </row>
    <row r="16" spans="2:38" ht="15.75" x14ac:dyDescent="0.25">
      <c r="B16" s="58" t="s">
        <v>72</v>
      </c>
      <c r="C16" s="30" t="s">
        <v>75</v>
      </c>
      <c r="D16" s="15">
        <v>2</v>
      </c>
      <c r="E16" s="18" t="s">
        <v>67</v>
      </c>
      <c r="F16" s="18" t="s">
        <v>68</v>
      </c>
      <c r="G16" s="75">
        <f>+Y22</f>
        <v>9206386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2306475.88</v>
      </c>
      <c r="L16" s="61">
        <f>ROUND(G16*I16,2)</f>
        <v>1515463.2</v>
      </c>
      <c r="M16" s="70"/>
      <c r="N16" s="71">
        <f>SUM(K16:M16)</f>
        <v>3821939.08</v>
      </c>
      <c r="O16" s="63"/>
      <c r="Q16" s="65" t="s">
        <v>74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1372740</v>
      </c>
      <c r="Z16" s="65"/>
      <c r="AA16" s="65"/>
      <c r="AB16" s="65"/>
      <c r="AC16" s="65"/>
      <c r="AD16" s="37"/>
      <c r="AE16" t="s">
        <v>55</v>
      </c>
      <c r="AH16" s="37">
        <v>0</v>
      </c>
      <c r="AL16" t="s">
        <v>71</v>
      </c>
    </row>
    <row r="17" spans="2:38" ht="15" customHeight="1" x14ac:dyDescent="0.25">
      <c r="B17" s="58"/>
      <c r="D17" s="15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76</v>
      </c>
      <c r="Y17" s="77">
        <v>0</v>
      </c>
      <c r="Z17" s="65"/>
      <c r="AA17" s="5"/>
      <c r="AB17" s="5"/>
      <c r="AC17" s="5"/>
      <c r="AD17" s="37"/>
      <c r="AH17" s="37"/>
    </row>
    <row r="18" spans="2:38" ht="15.75" x14ac:dyDescent="0.25">
      <c r="B18" s="58" t="s">
        <v>65</v>
      </c>
      <c r="C18" s="30" t="s">
        <v>77</v>
      </c>
      <c r="D18" s="15">
        <v>2</v>
      </c>
      <c r="E18" s="18" t="s">
        <v>78</v>
      </c>
      <c r="F18" s="18" t="s">
        <v>79</v>
      </c>
      <c r="G18" s="68">
        <f>+Y16</f>
        <v>1372740</v>
      </c>
      <c r="H18" s="76">
        <f t="shared" ref="H18:H24" si="2">$H$10</f>
        <v>0.25052999999999997</v>
      </c>
      <c r="I18" s="69">
        <v>0.15223</v>
      </c>
      <c r="J18" s="76">
        <f t="shared" ref="J18:J24" si="3">+$J$10</f>
        <v>0.14282</v>
      </c>
      <c r="K18" s="61">
        <f t="shared" ref="K18:K24" si="4">ROUND(H18*G18,2)</f>
        <v>343912.55</v>
      </c>
      <c r="L18" s="61">
        <f t="shared" ref="L18:L24" si="5">ROUND(G18*I18,2)</f>
        <v>208972.21</v>
      </c>
      <c r="M18" s="70">
        <f t="shared" ref="M18:M24" si="6">ROUND(G18*J18,2)</f>
        <v>196054.73</v>
      </c>
      <c r="N18" s="71">
        <f t="shared" ref="N18:N24" si="7">SUM(K18:M18)</f>
        <v>748939.49</v>
      </c>
      <c r="O18" s="78">
        <v>2.0699999999999998</v>
      </c>
      <c r="Q18" s="65" t="s">
        <v>69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244469</v>
      </c>
      <c r="AA18" s="65"/>
      <c r="AB18" s="65"/>
      <c r="AC18" s="65"/>
      <c r="AD18" s="37"/>
      <c r="AE18" t="s">
        <v>55</v>
      </c>
      <c r="AH18" s="37">
        <v>0</v>
      </c>
      <c r="AL18" t="s">
        <v>80</v>
      </c>
    </row>
    <row r="19" spans="2:38" ht="15.75" x14ac:dyDescent="0.25">
      <c r="B19" s="58" t="s">
        <v>65</v>
      </c>
      <c r="C19" s="30" t="s">
        <v>81</v>
      </c>
      <c r="D19" s="15">
        <v>2</v>
      </c>
      <c r="E19" s="18" t="s">
        <v>82</v>
      </c>
      <c r="F19" s="18" t="s">
        <v>83</v>
      </c>
      <c r="G19" s="68"/>
      <c r="H19" s="76">
        <f t="shared" si="2"/>
        <v>0.25052999999999997</v>
      </c>
      <c r="I19" s="76">
        <f t="shared" ref="I19:I20" si="8">+$I$14</f>
        <v>0.16461000000000001</v>
      </c>
      <c r="J19" s="76">
        <f t="shared" si="3"/>
        <v>0.14282</v>
      </c>
      <c r="K19" s="61">
        <f t="shared" si="4"/>
        <v>0</v>
      </c>
      <c r="L19" s="61">
        <f t="shared" si="5"/>
        <v>0</v>
      </c>
      <c r="M19" s="70">
        <f t="shared" si="6"/>
        <v>0</v>
      </c>
      <c r="N19" s="71">
        <f>SUM(K19:M19)</f>
        <v>0</v>
      </c>
      <c r="O19" s="63">
        <v>0.01</v>
      </c>
      <c r="Q19" s="65" t="s">
        <v>69</v>
      </c>
      <c r="R19" s="65">
        <f>+-128.04-565547.01</f>
        <v>-565675.05000000005</v>
      </c>
      <c r="S19" s="65"/>
      <c r="T19" s="65"/>
      <c r="U19" s="66">
        <f>+-193.7-79036.58</f>
        <v>-79230.28</v>
      </c>
      <c r="V19" s="65"/>
      <c r="W19" s="72"/>
      <c r="X19" s="73"/>
      <c r="Y19" s="79"/>
      <c r="AA19" s="65"/>
      <c r="AB19" s="65"/>
      <c r="AC19" s="65"/>
      <c r="AD19" s="80"/>
      <c r="AE19" t="s">
        <v>55</v>
      </c>
      <c r="AH19" s="37">
        <v>0</v>
      </c>
      <c r="AL19" t="s">
        <v>84</v>
      </c>
    </row>
    <row r="20" spans="2:38" ht="15.75" x14ac:dyDescent="0.25">
      <c r="B20" s="58" t="s">
        <v>65</v>
      </c>
      <c r="C20" s="30" t="s">
        <v>85</v>
      </c>
      <c r="D20" s="15">
        <v>2</v>
      </c>
      <c r="E20" s="18" t="s">
        <v>53</v>
      </c>
      <c r="F20" s="18" t="s">
        <v>54</v>
      </c>
      <c r="G20" s="68">
        <v>0</v>
      </c>
      <c r="H20" s="76">
        <f t="shared" si="2"/>
        <v>0.25052999999999997</v>
      </c>
      <c r="I20" s="76">
        <f t="shared" si="8"/>
        <v>0.16461000000000001</v>
      </c>
      <c r="J20" s="76">
        <f t="shared" si="3"/>
        <v>0.14282</v>
      </c>
      <c r="K20" s="61">
        <f t="shared" si="4"/>
        <v>0</v>
      </c>
      <c r="L20" s="61">
        <f t="shared" si="5"/>
        <v>0</v>
      </c>
      <c r="M20" s="70">
        <f t="shared" si="6"/>
        <v>0</v>
      </c>
      <c r="N20" s="71">
        <f t="shared" si="7"/>
        <v>0</v>
      </c>
      <c r="O20" s="63"/>
      <c r="Q20" s="65" t="s">
        <v>69</v>
      </c>
      <c r="R20" s="65"/>
      <c r="S20" s="65"/>
      <c r="T20" s="65"/>
      <c r="U20" s="65"/>
      <c r="V20" s="65"/>
      <c r="W20" s="72"/>
      <c r="X20" s="73"/>
      <c r="Y20" s="55" t="s">
        <v>86</v>
      </c>
      <c r="Z20" s="65"/>
      <c r="AA20" s="65"/>
      <c r="AB20" s="65"/>
      <c r="AC20" s="65"/>
      <c r="AD20" s="80"/>
      <c r="AE20" t="s">
        <v>55</v>
      </c>
      <c r="AH20" s="37">
        <v>0</v>
      </c>
      <c r="AL20" t="s">
        <v>87</v>
      </c>
    </row>
    <row r="21" spans="2:38" ht="15.75" x14ac:dyDescent="0.25">
      <c r="B21" s="58" t="s">
        <v>65</v>
      </c>
      <c r="C21" s="30" t="s">
        <v>77</v>
      </c>
      <c r="D21" s="15">
        <v>2</v>
      </c>
      <c r="E21" s="18" t="s">
        <v>78</v>
      </c>
      <c r="F21" s="18" t="s">
        <v>88</v>
      </c>
      <c r="G21" s="68">
        <f>+Y13</f>
        <v>7535</v>
      </c>
      <c r="H21" s="76">
        <f t="shared" si="2"/>
        <v>0.25052999999999997</v>
      </c>
      <c r="I21" s="76">
        <f>+$I$18</f>
        <v>0.15223</v>
      </c>
      <c r="J21" s="76">
        <f t="shared" si="3"/>
        <v>0.14282</v>
      </c>
      <c r="K21" s="61">
        <f t="shared" si="4"/>
        <v>1887.74</v>
      </c>
      <c r="L21" s="61">
        <f t="shared" si="5"/>
        <v>1147.05</v>
      </c>
      <c r="M21" s="70">
        <f t="shared" si="6"/>
        <v>1076.1500000000001</v>
      </c>
      <c r="N21" s="71">
        <f t="shared" si="7"/>
        <v>4110.9400000000005</v>
      </c>
      <c r="O21" s="78"/>
      <c r="Q21" s="65" t="s">
        <v>69</v>
      </c>
      <c r="R21" s="65"/>
      <c r="S21" s="65"/>
      <c r="T21" s="65"/>
      <c r="U21" s="65"/>
      <c r="V21" s="65"/>
      <c r="W21" s="72"/>
      <c r="X21" s="73"/>
      <c r="Y21" s="75">
        <v>12651421</v>
      </c>
      <c r="Z21" s="65"/>
      <c r="AA21" s="65"/>
      <c r="AB21" s="65"/>
      <c r="AC21" s="65"/>
      <c r="AD21" s="37"/>
      <c r="AE21" t="s">
        <v>55</v>
      </c>
      <c r="AH21" s="37">
        <v>0</v>
      </c>
      <c r="AL21" t="s">
        <v>80</v>
      </c>
    </row>
    <row r="22" spans="2:38" ht="15.75" x14ac:dyDescent="0.25">
      <c r="B22" s="58" t="s">
        <v>65</v>
      </c>
      <c r="C22" s="81" t="s">
        <v>77</v>
      </c>
      <c r="D22" s="15">
        <v>2</v>
      </c>
      <c r="E22" s="18" t="s">
        <v>78</v>
      </c>
      <c r="F22" s="18" t="s">
        <v>89</v>
      </c>
      <c r="G22" s="68">
        <f>+Y14</f>
        <v>96370</v>
      </c>
      <c r="H22" s="76">
        <f t="shared" si="2"/>
        <v>0.25052999999999997</v>
      </c>
      <c r="I22" s="76">
        <f>+I21</f>
        <v>0.15223</v>
      </c>
      <c r="J22" s="76">
        <f t="shared" si="3"/>
        <v>0.14282</v>
      </c>
      <c r="K22" s="61">
        <f t="shared" si="4"/>
        <v>24143.58</v>
      </c>
      <c r="L22" s="61">
        <f t="shared" si="5"/>
        <v>14670.41</v>
      </c>
      <c r="M22" s="70">
        <f t="shared" si="6"/>
        <v>13763.56</v>
      </c>
      <c r="N22" s="71">
        <f t="shared" si="7"/>
        <v>52577.55</v>
      </c>
      <c r="O22" s="78"/>
      <c r="Q22" s="65"/>
      <c r="R22" s="65"/>
      <c r="S22" s="65"/>
      <c r="T22" s="65"/>
      <c r="U22" s="65"/>
      <c r="V22" s="65"/>
      <c r="W22" s="72"/>
      <c r="X22" s="73"/>
      <c r="Y22" s="75">
        <v>9206386</v>
      </c>
      <c r="Z22" s="65"/>
      <c r="AB22" s="65"/>
      <c r="AC22" s="65"/>
      <c r="AD22" s="37"/>
      <c r="AH22" s="37"/>
    </row>
    <row r="23" spans="2:38" ht="15.75" x14ac:dyDescent="0.25">
      <c r="B23" s="58" t="s">
        <v>72</v>
      </c>
      <c r="C23" s="30" t="s">
        <v>90</v>
      </c>
      <c r="D23" s="15">
        <v>2</v>
      </c>
      <c r="E23" s="18" t="s">
        <v>78</v>
      </c>
      <c r="F23" s="18" t="s">
        <v>88</v>
      </c>
      <c r="G23" s="82">
        <v>-160193</v>
      </c>
      <c r="H23" s="76">
        <f t="shared" si="2"/>
        <v>0.25052999999999997</v>
      </c>
      <c r="I23" s="76">
        <v>0.16012999999999999</v>
      </c>
      <c r="J23" s="76">
        <f t="shared" si="3"/>
        <v>0.14282</v>
      </c>
      <c r="K23" s="61">
        <f t="shared" si="4"/>
        <v>-40133.15</v>
      </c>
      <c r="L23" s="61">
        <f t="shared" si="5"/>
        <v>-25651.71</v>
      </c>
      <c r="M23" s="70">
        <f t="shared" si="6"/>
        <v>-22878.76</v>
      </c>
      <c r="N23" s="71">
        <f t="shared" si="7"/>
        <v>-88663.62</v>
      </c>
      <c r="O23" s="78"/>
      <c r="Q23" s="5"/>
      <c r="R23" s="5">
        <v>57899.56</v>
      </c>
      <c r="S23" s="5"/>
      <c r="T23" s="5"/>
      <c r="U23" s="66">
        <v>8091.98</v>
      </c>
      <c r="V23" s="65"/>
      <c r="W23" s="72"/>
      <c r="X23" s="73"/>
      <c r="Z23" s="5"/>
      <c r="AA23" s="5"/>
      <c r="AB23" s="5"/>
      <c r="AC23" s="5"/>
      <c r="AD23" s="83"/>
      <c r="AE23" t="s">
        <v>55</v>
      </c>
      <c r="AH23" s="37">
        <v>0</v>
      </c>
      <c r="AL23" t="s">
        <v>80</v>
      </c>
    </row>
    <row r="24" spans="2:38" ht="15.75" x14ac:dyDescent="0.25">
      <c r="B24" s="58" t="s">
        <v>72</v>
      </c>
      <c r="C24" s="30" t="s">
        <v>91</v>
      </c>
      <c r="D24" s="15">
        <v>2</v>
      </c>
      <c r="E24" s="18" t="s">
        <v>78</v>
      </c>
      <c r="F24" s="18" t="s">
        <v>88</v>
      </c>
      <c r="G24" s="82">
        <f>+Y25</f>
        <v>99979</v>
      </c>
      <c r="H24" s="76">
        <f t="shared" si="2"/>
        <v>0.25052999999999997</v>
      </c>
      <c r="I24" s="76">
        <f>+I22</f>
        <v>0.15223</v>
      </c>
      <c r="J24" s="76">
        <f t="shared" si="3"/>
        <v>0.14282</v>
      </c>
      <c r="K24" s="61">
        <f t="shared" si="4"/>
        <v>25047.74</v>
      </c>
      <c r="L24" s="61">
        <f t="shared" si="5"/>
        <v>15219.8</v>
      </c>
      <c r="M24" s="70">
        <f t="shared" si="6"/>
        <v>14279</v>
      </c>
      <c r="N24" s="71">
        <f t="shared" si="7"/>
        <v>54546.54</v>
      </c>
      <c r="O24" s="63"/>
      <c r="Q24" s="5"/>
      <c r="R24" s="5">
        <v>61282.61</v>
      </c>
      <c r="S24" s="5"/>
      <c r="T24" s="5"/>
      <c r="U24" s="66">
        <v>6665.73</v>
      </c>
      <c r="V24" s="65"/>
      <c r="W24" s="8"/>
      <c r="X24" s="84"/>
      <c r="Y24" s="55" t="s">
        <v>92</v>
      </c>
      <c r="AA24" s="5"/>
      <c r="AB24" s="5"/>
      <c r="AC24" s="5"/>
      <c r="AD24" s="83"/>
      <c r="AE24" t="s">
        <v>55</v>
      </c>
      <c r="AH24" s="37">
        <v>0</v>
      </c>
      <c r="AL24" t="s">
        <v>80</v>
      </c>
    </row>
    <row r="25" spans="2:38" ht="15.75" x14ac:dyDescent="0.25">
      <c r="B25" s="58"/>
      <c r="D25" s="15"/>
      <c r="G25" s="85"/>
      <c r="H25" s="86"/>
      <c r="I25" s="76"/>
      <c r="J25" s="76"/>
      <c r="K25" s="61"/>
      <c r="L25" s="61"/>
      <c r="M25" s="70"/>
      <c r="N25" s="71"/>
      <c r="O25" s="63"/>
      <c r="Q25" s="5"/>
      <c r="R25" s="5"/>
      <c r="S25" s="5"/>
      <c r="T25" s="5"/>
      <c r="U25" s="66"/>
      <c r="V25" s="65"/>
      <c r="W25" s="87" t="s">
        <v>93</v>
      </c>
      <c r="X25" s="87"/>
      <c r="Y25" s="82">
        <v>99979</v>
      </c>
      <c r="AA25" s="5"/>
      <c r="AB25" s="5"/>
      <c r="AC25" s="5"/>
      <c r="AD25" s="83"/>
      <c r="AH25" s="37"/>
    </row>
    <row r="26" spans="2:38" ht="15.75" x14ac:dyDescent="0.25">
      <c r="B26" s="58" t="s">
        <v>94</v>
      </c>
      <c r="C26" s="30" t="s">
        <v>95</v>
      </c>
      <c r="D26" s="15">
        <v>3</v>
      </c>
      <c r="E26" s="18" t="s">
        <v>96</v>
      </c>
      <c r="F26" s="18" t="s">
        <v>97</v>
      </c>
      <c r="G26" s="68">
        <f>+Y11</f>
        <v>1264480</v>
      </c>
      <c r="H26" s="76">
        <f t="shared" ref="H26:H28" si="9">$H$10</f>
        <v>0.25052999999999997</v>
      </c>
      <c r="I26" s="76">
        <f>$I$18</f>
        <v>0.15223</v>
      </c>
      <c r="J26" s="76">
        <f t="shared" ref="J26:J28" si="10">+$J$10</f>
        <v>0.14282</v>
      </c>
      <c r="K26" s="61">
        <f>ROUND(H26*G26,2)</f>
        <v>316790.17</v>
      </c>
      <c r="L26" s="61">
        <f>ROUND(G26*I26,2)</f>
        <v>192491.79</v>
      </c>
      <c r="M26" s="70">
        <f>ROUND(G26*J26,2)</f>
        <v>180593.03</v>
      </c>
      <c r="N26" s="71">
        <f>SUM(K26:M26)</f>
        <v>689874.99</v>
      </c>
      <c r="O26" s="63">
        <v>-0.01</v>
      </c>
      <c r="Q26" s="65" t="s">
        <v>69</v>
      </c>
      <c r="R26" s="65">
        <v>49965.85</v>
      </c>
      <c r="S26" s="65"/>
      <c r="T26" s="65"/>
      <c r="U26" s="66">
        <v>5434.8</v>
      </c>
      <c r="V26" s="65"/>
      <c r="W26" s="87" t="s">
        <v>98</v>
      </c>
      <c r="X26" s="87"/>
      <c r="Y26" s="88">
        <v>0</v>
      </c>
      <c r="Z26" s="65"/>
      <c r="AA26" s="65"/>
      <c r="AB26" s="65"/>
      <c r="AC26" s="65"/>
      <c r="AD26" s="80"/>
      <c r="AE26" t="s">
        <v>55</v>
      </c>
      <c r="AH26" s="37">
        <v>0</v>
      </c>
      <c r="AL26" t="s">
        <v>99</v>
      </c>
    </row>
    <row r="27" spans="2:38" ht="15.75" x14ac:dyDescent="0.25">
      <c r="B27" s="58" t="s">
        <v>94</v>
      </c>
      <c r="C27" s="30" t="s">
        <v>100</v>
      </c>
      <c r="D27" s="15">
        <v>3</v>
      </c>
      <c r="E27" s="18" t="s">
        <v>78</v>
      </c>
      <c r="F27" s="18" t="s">
        <v>79</v>
      </c>
      <c r="G27" s="68">
        <f>+'WA Rates'!Y12</f>
        <v>431368</v>
      </c>
      <c r="H27" s="76">
        <f t="shared" si="9"/>
        <v>0.25052999999999997</v>
      </c>
      <c r="I27" s="76">
        <f>$I$18</f>
        <v>0.15223</v>
      </c>
      <c r="J27" s="76">
        <f t="shared" si="10"/>
        <v>0.14282</v>
      </c>
      <c r="K27" s="61">
        <f>ROUND(H27*G27,2)</f>
        <v>108070.63</v>
      </c>
      <c r="L27" s="61">
        <f>ROUND(G27*I27,2)</f>
        <v>65667.149999999994</v>
      </c>
      <c r="M27" s="70">
        <f>ROUND(G27*J27,2)</f>
        <v>61607.98</v>
      </c>
      <c r="N27" s="71">
        <f>SUM(K27:M27)</f>
        <v>235345.76</v>
      </c>
      <c r="O27" s="63"/>
      <c r="Q27" s="65" t="s">
        <v>69</v>
      </c>
      <c r="R27" s="65"/>
      <c r="S27" s="65"/>
      <c r="T27" s="65"/>
      <c r="U27" s="66"/>
      <c r="V27" s="65"/>
      <c r="W27" s="87" t="s">
        <v>101</v>
      </c>
      <c r="X27" s="87"/>
      <c r="Y27" s="82">
        <v>248648</v>
      </c>
      <c r="Z27" s="65"/>
      <c r="AA27" s="65"/>
      <c r="AB27" s="65"/>
      <c r="AC27" s="65"/>
      <c r="AD27" s="80"/>
      <c r="AE27" t="s">
        <v>55</v>
      </c>
      <c r="AH27" s="37">
        <v>0</v>
      </c>
      <c r="AL27" t="s">
        <v>102</v>
      </c>
    </row>
    <row r="28" spans="2:38" x14ac:dyDescent="0.2">
      <c r="B28" s="58" t="s">
        <v>94</v>
      </c>
      <c r="C28" s="30" t="s">
        <v>103</v>
      </c>
      <c r="D28" s="15">
        <v>3</v>
      </c>
      <c r="E28" s="18" t="s">
        <v>82</v>
      </c>
      <c r="F28" s="18" t="s">
        <v>83</v>
      </c>
      <c r="G28" s="59">
        <v>0</v>
      </c>
      <c r="H28" s="76">
        <f t="shared" si="9"/>
        <v>0.25052999999999997</v>
      </c>
      <c r="I28" s="76">
        <f>+$I$14</f>
        <v>0.16461000000000001</v>
      </c>
      <c r="J28" s="76">
        <f t="shared" si="10"/>
        <v>0.14282</v>
      </c>
      <c r="K28" s="61">
        <f>ROUND(H28*G28,2)</f>
        <v>0</v>
      </c>
      <c r="L28" s="61">
        <f>ROUND(G28*I28,2)</f>
        <v>0</v>
      </c>
      <c r="M28" s="70">
        <f>ROUND(G28*J28,2)</f>
        <v>0</v>
      </c>
      <c r="N28" s="71">
        <f>SUM(K28:M28)</f>
        <v>0</v>
      </c>
      <c r="O28" s="63"/>
      <c r="Q28" s="5"/>
      <c r="R28" s="5"/>
      <c r="S28" s="5"/>
      <c r="T28" s="5"/>
      <c r="U28" s="66"/>
      <c r="V28" s="5"/>
      <c r="W28" s="89"/>
      <c r="Z28" s="5"/>
      <c r="AA28" s="5"/>
      <c r="AB28" s="5"/>
      <c r="AC28" s="5"/>
      <c r="AD28" s="37"/>
      <c r="AE28" t="s">
        <v>55</v>
      </c>
      <c r="AH28" s="37">
        <v>0</v>
      </c>
      <c r="AL28" t="s">
        <v>104</v>
      </c>
    </row>
    <row r="29" spans="2:38" ht="12.2" customHeight="1" x14ac:dyDescent="0.2">
      <c r="B29" s="58"/>
      <c r="D29" s="15"/>
      <c r="G29" s="59"/>
      <c r="H29" s="76"/>
      <c r="I29" s="76"/>
      <c r="J29" s="76"/>
      <c r="K29" s="61"/>
      <c r="L29" s="61"/>
      <c r="M29" s="70"/>
      <c r="N29" s="71"/>
      <c r="O29" s="63"/>
      <c r="Q29" s="5"/>
      <c r="R29" s="5">
        <v>17029.240000000002</v>
      </c>
      <c r="S29" s="5"/>
      <c r="T29" s="5"/>
      <c r="U29" s="66">
        <v>1729.72</v>
      </c>
      <c r="V29" s="5"/>
      <c r="W29" s="90"/>
      <c r="X29" s="90"/>
      <c r="Y29" s="91"/>
      <c r="Z29" s="5"/>
      <c r="AA29" s="5"/>
      <c r="AB29" s="5"/>
      <c r="AC29" s="5"/>
      <c r="AD29" s="37"/>
      <c r="AH29" s="37"/>
    </row>
    <row r="30" spans="2:38" x14ac:dyDescent="0.2">
      <c r="B30" s="58" t="s">
        <v>105</v>
      </c>
      <c r="C30" s="30" t="s">
        <v>106</v>
      </c>
      <c r="D30" s="15">
        <v>3</v>
      </c>
      <c r="E30" s="18" t="s">
        <v>96</v>
      </c>
      <c r="F30" s="18" t="s">
        <v>107</v>
      </c>
      <c r="G30" s="59">
        <f>+Y17</f>
        <v>0</v>
      </c>
      <c r="H30" s="76">
        <f t="shared" ref="H30:H32" si="11">$H$10</f>
        <v>0.25052999999999997</v>
      </c>
      <c r="I30" s="76">
        <f>$I$18</f>
        <v>0.15223</v>
      </c>
      <c r="J30" s="76">
        <f t="shared" ref="J30:J32" si="12">+$J$10</f>
        <v>0.14282</v>
      </c>
      <c r="K30" s="61">
        <f t="shared" ref="K30:K32" si="13">ROUND(H30*G30,2)</f>
        <v>0</v>
      </c>
      <c r="L30" s="61">
        <f t="shared" ref="L30:L32" si="14">ROUND(G30*I30,2)</f>
        <v>0</v>
      </c>
      <c r="M30" s="70">
        <f t="shared" ref="M30:M32" si="15">ROUND(G30*J30,2)</f>
        <v>0</v>
      </c>
      <c r="N30" s="71">
        <f t="shared" ref="N30:N32" si="16">SUM(K30:M30)</f>
        <v>0</v>
      </c>
      <c r="O30" s="63"/>
      <c r="Q30" s="65" t="s">
        <v>69</v>
      </c>
      <c r="R30" s="65"/>
      <c r="S30" s="65"/>
      <c r="T30" s="65"/>
      <c r="U30" s="66"/>
      <c r="V30" s="65"/>
      <c r="W30" s="65"/>
      <c r="X30" s="92"/>
      <c r="Z30" s="65"/>
      <c r="AA30" s="65"/>
      <c r="AB30" s="65"/>
      <c r="AC30" s="65"/>
      <c r="AD30" s="80"/>
      <c r="AE30" t="s">
        <v>55</v>
      </c>
      <c r="AH30" s="37">
        <v>0</v>
      </c>
      <c r="AL30" t="s">
        <v>99</v>
      </c>
    </row>
    <row r="31" spans="2:38" ht="15.75" x14ac:dyDescent="0.25">
      <c r="B31" s="58" t="s">
        <v>108</v>
      </c>
      <c r="C31" s="30" t="s">
        <v>90</v>
      </c>
      <c r="D31" s="15">
        <v>3</v>
      </c>
      <c r="E31" s="18" t="s">
        <v>96</v>
      </c>
      <c r="F31" s="18" t="s">
        <v>107</v>
      </c>
      <c r="G31" s="82">
        <v>0</v>
      </c>
      <c r="H31" s="76">
        <f t="shared" si="11"/>
        <v>0.25052999999999997</v>
      </c>
      <c r="I31" s="76">
        <f>$I$18</f>
        <v>0.15223</v>
      </c>
      <c r="J31" s="76">
        <f t="shared" si="12"/>
        <v>0.14282</v>
      </c>
      <c r="K31" s="61">
        <f t="shared" si="13"/>
        <v>0</v>
      </c>
      <c r="L31" s="61">
        <f t="shared" si="14"/>
        <v>0</v>
      </c>
      <c r="M31" s="70">
        <f t="shared" si="15"/>
        <v>0</v>
      </c>
      <c r="N31" s="71">
        <f t="shared" si="16"/>
        <v>0</v>
      </c>
      <c r="O31" s="63"/>
      <c r="Q31" s="5"/>
      <c r="R31" s="5">
        <v>128505.68</v>
      </c>
      <c r="S31" s="5"/>
      <c r="T31" s="5"/>
      <c r="U31" s="66">
        <v>17959.87</v>
      </c>
      <c r="V31" s="5"/>
      <c r="W31" s="5"/>
      <c r="X31" s="89"/>
      <c r="Z31" s="5"/>
      <c r="AA31" s="5"/>
      <c r="AB31" s="5"/>
      <c r="AC31" s="5"/>
      <c r="AD31" s="83"/>
      <c r="AE31" t="s">
        <v>55</v>
      </c>
      <c r="AH31" s="37">
        <v>0</v>
      </c>
      <c r="AL31" t="s">
        <v>99</v>
      </c>
    </row>
    <row r="32" spans="2:38" x14ac:dyDescent="0.2">
      <c r="B32" s="58" t="s">
        <v>108</v>
      </c>
      <c r="C32" s="30" t="s">
        <v>91</v>
      </c>
      <c r="D32" s="15">
        <v>3</v>
      </c>
      <c r="E32" s="18" t="s">
        <v>96</v>
      </c>
      <c r="F32" s="18" t="s">
        <v>107</v>
      </c>
      <c r="G32" s="88">
        <f>+Y26</f>
        <v>0</v>
      </c>
      <c r="H32" s="76">
        <f t="shared" si="11"/>
        <v>0.25052999999999997</v>
      </c>
      <c r="I32" s="76">
        <f>$I$18</f>
        <v>0.15223</v>
      </c>
      <c r="J32" s="76">
        <f t="shared" si="12"/>
        <v>0.14282</v>
      </c>
      <c r="K32" s="61">
        <f t="shared" si="13"/>
        <v>0</v>
      </c>
      <c r="L32" s="61">
        <f t="shared" si="14"/>
        <v>0</v>
      </c>
      <c r="M32" s="70">
        <f t="shared" si="15"/>
        <v>0</v>
      </c>
      <c r="N32" s="71">
        <f t="shared" si="16"/>
        <v>0</v>
      </c>
      <c r="O32" s="61"/>
      <c r="Q32" s="5"/>
      <c r="R32" s="5">
        <v>97.86</v>
      </c>
      <c r="S32" s="5"/>
      <c r="T32" s="5"/>
      <c r="U32" s="66">
        <v>10.64</v>
      </c>
      <c r="V32" s="5"/>
      <c r="W32" s="5"/>
      <c r="X32" s="89"/>
      <c r="Y32" s="79"/>
      <c r="Z32" s="5"/>
      <c r="AA32" s="5"/>
      <c r="AB32" s="5"/>
      <c r="AC32" s="5"/>
      <c r="AD32" s="83"/>
      <c r="AE32" t="s">
        <v>55</v>
      </c>
      <c r="AH32" s="37">
        <v>0</v>
      </c>
      <c r="AL32" t="s">
        <v>99</v>
      </c>
    </row>
    <row r="33" spans="2:38" ht="12.2" customHeight="1" x14ac:dyDescent="0.2">
      <c r="B33" s="58"/>
      <c r="D33" s="15"/>
      <c r="G33" s="59"/>
      <c r="H33" s="76"/>
      <c r="I33" s="76"/>
      <c r="J33" s="76"/>
      <c r="K33" s="61"/>
      <c r="L33" s="61"/>
      <c r="M33" s="70"/>
      <c r="N33" s="71"/>
      <c r="O33" s="61"/>
      <c r="Q33" s="5"/>
      <c r="R33" s="5"/>
      <c r="S33" s="5"/>
      <c r="T33" s="5"/>
      <c r="U33" s="66"/>
      <c r="V33" s="5"/>
      <c r="W33" s="5"/>
      <c r="X33" s="89"/>
      <c r="Y33" s="79"/>
      <c r="Z33" s="5"/>
      <c r="AA33" s="5"/>
      <c r="AB33" s="5"/>
      <c r="AC33" s="5"/>
      <c r="AD33" s="80"/>
      <c r="AH33" s="37"/>
    </row>
    <row r="34" spans="2:38" x14ac:dyDescent="0.2">
      <c r="B34" s="58" t="s">
        <v>105</v>
      </c>
      <c r="C34" s="30" t="s">
        <v>109</v>
      </c>
      <c r="D34" s="15" t="s">
        <v>20</v>
      </c>
      <c r="E34" s="18" t="s">
        <v>110</v>
      </c>
      <c r="F34" s="18" t="s">
        <v>111</v>
      </c>
      <c r="G34" s="59">
        <v>0</v>
      </c>
      <c r="H34" s="76">
        <f t="shared" ref="H34:H36" si="17">$H$10</f>
        <v>0.25052999999999997</v>
      </c>
      <c r="I34" s="69">
        <v>0.13988999999999999</v>
      </c>
      <c r="J34" s="76">
        <f t="shared" ref="J34:J36" si="18">+$J$10</f>
        <v>0.14282</v>
      </c>
      <c r="K34" s="61">
        <f>ROUND(H34*G34,2)</f>
        <v>0</v>
      </c>
      <c r="L34" s="61">
        <f>ROUND(G34*I34,2)</f>
        <v>0</v>
      </c>
      <c r="M34" s="70">
        <f>ROUND(G34*J34,2)</f>
        <v>0</v>
      </c>
      <c r="N34" s="71">
        <f>SUM(K34:M34)</f>
        <v>0</v>
      </c>
      <c r="Q34" s="5"/>
      <c r="R34" s="5"/>
      <c r="S34" s="5"/>
      <c r="T34" s="5"/>
      <c r="U34" s="66"/>
      <c r="V34" s="5"/>
      <c r="W34" s="5"/>
      <c r="X34" s="89"/>
      <c r="Y34" s="79"/>
      <c r="Z34" s="5"/>
      <c r="AA34" s="5"/>
      <c r="AB34" s="5"/>
      <c r="AC34" s="5"/>
      <c r="AD34" s="37"/>
      <c r="AE34" t="s">
        <v>55</v>
      </c>
      <c r="AH34" s="37">
        <v>0</v>
      </c>
      <c r="AL34" t="s">
        <v>112</v>
      </c>
    </row>
    <row r="35" spans="2:38" x14ac:dyDescent="0.2">
      <c r="B35" s="58" t="s">
        <v>108</v>
      </c>
      <c r="C35" s="30" t="s">
        <v>90</v>
      </c>
      <c r="D35" s="15">
        <v>4</v>
      </c>
      <c r="E35" s="18" t="s">
        <v>110</v>
      </c>
      <c r="F35" s="18" t="s">
        <v>111</v>
      </c>
      <c r="G35" s="88">
        <v>0</v>
      </c>
      <c r="H35" s="76">
        <f t="shared" si="17"/>
        <v>0.25052999999999997</v>
      </c>
      <c r="I35" s="76">
        <f>$I$34</f>
        <v>0.13988999999999999</v>
      </c>
      <c r="J35" s="76">
        <f t="shared" si="18"/>
        <v>0.14282</v>
      </c>
      <c r="K35" s="61">
        <f>ROUND(H35*G35,2)</f>
        <v>0</v>
      </c>
      <c r="L35" s="61">
        <f>ROUND(G35*I35,2)</f>
        <v>0</v>
      </c>
      <c r="M35" s="70">
        <f>ROUND(G35*J35,2)</f>
        <v>0</v>
      </c>
      <c r="N35" s="71">
        <f>SUM(K35:M35)</f>
        <v>0</v>
      </c>
      <c r="O35" s="61">
        <f>-N35-80.06</f>
        <v>-80.06</v>
      </c>
      <c r="Q35" s="5"/>
      <c r="R35" s="5">
        <v>18307.25</v>
      </c>
      <c r="S35" s="5"/>
      <c r="T35" s="5"/>
      <c r="U35" s="66">
        <v>1859.59</v>
      </c>
      <c r="V35" s="5"/>
      <c r="W35" s="5"/>
      <c r="X35" s="89"/>
      <c r="Y35" s="79"/>
      <c r="Z35" s="5"/>
      <c r="AA35" s="5"/>
      <c r="AB35" s="5"/>
      <c r="AC35" s="5"/>
      <c r="AD35" s="83"/>
      <c r="AE35" t="s">
        <v>55</v>
      </c>
      <c r="AH35" s="37">
        <v>0</v>
      </c>
      <c r="AL35" t="s">
        <v>113</v>
      </c>
    </row>
    <row r="36" spans="2:38" x14ac:dyDescent="0.2">
      <c r="B36" s="58" t="s">
        <v>108</v>
      </c>
      <c r="C36" s="30" t="s">
        <v>114</v>
      </c>
      <c r="D36" s="15">
        <v>4</v>
      </c>
      <c r="E36" s="18" t="s">
        <v>110</v>
      </c>
      <c r="F36" s="18" t="s">
        <v>111</v>
      </c>
      <c r="G36" s="88">
        <v>0</v>
      </c>
      <c r="H36" s="76">
        <f t="shared" si="17"/>
        <v>0.25052999999999997</v>
      </c>
      <c r="I36" s="76">
        <f>$I$34</f>
        <v>0.13988999999999999</v>
      </c>
      <c r="J36" s="76">
        <f t="shared" si="18"/>
        <v>0.14282</v>
      </c>
      <c r="K36" s="61">
        <f>ROUND(H36*G36,2)</f>
        <v>0</v>
      </c>
      <c r="L36" s="61">
        <f>ROUND(G36*I36,2)</f>
        <v>0</v>
      </c>
      <c r="M36" s="70">
        <f>ROUND(G36*J36,2)</f>
        <v>0</v>
      </c>
      <c r="N36" s="71">
        <f>SUM(K36:M36)</f>
        <v>0</v>
      </c>
      <c r="O36" s="61"/>
      <c r="Q36" s="5"/>
      <c r="R36" s="5"/>
      <c r="S36" s="5"/>
      <c r="T36" s="5"/>
      <c r="U36" s="66"/>
      <c r="V36" s="5"/>
      <c r="W36" s="5"/>
      <c r="X36" s="89"/>
      <c r="Y36" s="79"/>
      <c r="Z36" s="5"/>
      <c r="AA36" s="5"/>
      <c r="AB36" s="5"/>
      <c r="AC36" s="5"/>
      <c r="AD36" s="83"/>
      <c r="AE36" t="s">
        <v>55</v>
      </c>
      <c r="AH36" s="37">
        <v>0</v>
      </c>
      <c r="AL36" t="s">
        <v>113</v>
      </c>
    </row>
    <row r="37" spans="2:38" ht="12.2" customHeight="1" x14ac:dyDescent="0.2">
      <c r="B37" s="58"/>
      <c r="D37" s="15"/>
      <c r="G37" s="59"/>
      <c r="H37" s="76"/>
      <c r="I37" s="76"/>
      <c r="J37" s="76"/>
      <c r="M37" s="70"/>
      <c r="N37" s="94"/>
      <c r="Q37" s="5"/>
      <c r="R37" s="5"/>
      <c r="S37" s="5"/>
      <c r="T37" s="5"/>
      <c r="U37" s="5"/>
      <c r="V37" s="5"/>
      <c r="W37" s="5"/>
      <c r="X37" s="89"/>
      <c r="Y37" s="79"/>
      <c r="Z37" s="5"/>
      <c r="AA37" s="5"/>
      <c r="AB37" s="5"/>
      <c r="AC37" s="5"/>
      <c r="AD37" s="37"/>
      <c r="AH37" s="37"/>
    </row>
    <row r="38" spans="2:38" ht="15.75" x14ac:dyDescent="0.25">
      <c r="B38" s="58" t="s">
        <v>115</v>
      </c>
      <c r="C38" s="30" t="s">
        <v>116</v>
      </c>
      <c r="D38" s="15" t="s">
        <v>13</v>
      </c>
      <c r="E38" s="18" t="s">
        <v>110</v>
      </c>
      <c r="F38" s="18" t="s">
        <v>111</v>
      </c>
      <c r="G38" s="68">
        <f>+Y18</f>
        <v>244469</v>
      </c>
      <c r="H38" s="76">
        <f t="shared" ref="H38:H43" si="19">$H$10</f>
        <v>0.25052999999999997</v>
      </c>
      <c r="I38" s="76">
        <f t="shared" ref="I38:I43" si="20">$I$34</f>
        <v>0.13988999999999999</v>
      </c>
      <c r="J38" s="76">
        <f t="shared" ref="J38:J45" si="21">+$J$10</f>
        <v>0.14282</v>
      </c>
      <c r="K38" s="61">
        <f t="shared" ref="K38:K43" si="22">ROUND(H38*G38,2)</f>
        <v>61246.82</v>
      </c>
      <c r="L38" s="61">
        <f t="shared" ref="L38:L43" si="23">ROUND(G38*I38,2)</f>
        <v>34198.769999999997</v>
      </c>
      <c r="M38" s="70">
        <f t="shared" ref="M38:M42" si="24">ROUND(G38*J38,2)</f>
        <v>34915.06</v>
      </c>
      <c r="N38" s="71">
        <f>SUM(K38:M38)</f>
        <v>130360.65</v>
      </c>
      <c r="O38" s="61">
        <v>0.01</v>
      </c>
      <c r="Q38" s="5"/>
      <c r="R38" s="5"/>
      <c r="S38" s="5"/>
      <c r="T38" s="5"/>
      <c r="U38" s="5"/>
      <c r="V38" s="5"/>
      <c r="W38" s="5"/>
      <c r="X38" s="89"/>
      <c r="Y38" s="79"/>
      <c r="Z38" s="5"/>
      <c r="AA38" s="5"/>
      <c r="AB38" s="5"/>
      <c r="AC38" s="5"/>
      <c r="AD38" s="37"/>
      <c r="AE38" t="s">
        <v>55</v>
      </c>
      <c r="AH38" s="37">
        <v>0</v>
      </c>
      <c r="AL38" t="s">
        <v>113</v>
      </c>
    </row>
    <row r="39" spans="2:38" ht="15.75" x14ac:dyDescent="0.25">
      <c r="B39" s="58" t="s">
        <v>115</v>
      </c>
      <c r="C39" s="30" t="s">
        <v>90</v>
      </c>
      <c r="D39" s="15">
        <v>5</v>
      </c>
      <c r="E39" s="18" t="s">
        <v>110</v>
      </c>
      <c r="F39" s="18" t="s">
        <v>111</v>
      </c>
      <c r="G39" s="82">
        <v>-244469</v>
      </c>
      <c r="H39" s="76">
        <f t="shared" si="19"/>
        <v>0.25052999999999997</v>
      </c>
      <c r="I39" s="76">
        <f t="shared" si="20"/>
        <v>0.13988999999999999</v>
      </c>
      <c r="J39" s="76">
        <f t="shared" si="21"/>
        <v>0.14282</v>
      </c>
      <c r="K39" s="61">
        <f t="shared" si="22"/>
        <v>-61246.82</v>
      </c>
      <c r="L39" s="61">
        <f t="shared" si="23"/>
        <v>-34198.769999999997</v>
      </c>
      <c r="M39" s="70">
        <f t="shared" si="24"/>
        <v>-34915.06</v>
      </c>
      <c r="N39" s="71">
        <f t="shared" ref="N39:N43" si="25">SUM(K39:M39)</f>
        <v>-130360.65</v>
      </c>
      <c r="O39" s="61"/>
      <c r="Q39" s="5"/>
      <c r="R39" s="5"/>
      <c r="S39" s="5"/>
      <c r="T39" s="5"/>
      <c r="U39" s="5"/>
      <c r="V39" s="5"/>
      <c r="W39" s="5"/>
      <c r="X39" s="89"/>
      <c r="Y39" s="79"/>
      <c r="Z39" s="5"/>
      <c r="AA39" s="5"/>
      <c r="AB39" s="5"/>
      <c r="AC39" s="5"/>
      <c r="AD39" s="83"/>
      <c r="AE39" t="s">
        <v>55</v>
      </c>
      <c r="AH39" s="37">
        <v>0</v>
      </c>
      <c r="AL39" t="s">
        <v>112</v>
      </c>
    </row>
    <row r="40" spans="2:38" ht="15.75" x14ac:dyDescent="0.25">
      <c r="B40" s="58" t="s">
        <v>115</v>
      </c>
      <c r="C40" s="30" t="s">
        <v>91</v>
      </c>
      <c r="D40" s="15">
        <v>5</v>
      </c>
      <c r="E40" s="18" t="s">
        <v>110</v>
      </c>
      <c r="F40" s="18" t="s">
        <v>111</v>
      </c>
      <c r="G40" s="82">
        <f>+Y27</f>
        <v>248648</v>
      </c>
      <c r="H40" s="76">
        <f t="shared" si="19"/>
        <v>0.25052999999999997</v>
      </c>
      <c r="I40" s="76">
        <f t="shared" si="20"/>
        <v>0.13988999999999999</v>
      </c>
      <c r="J40" s="76">
        <f t="shared" si="21"/>
        <v>0.14282</v>
      </c>
      <c r="K40" s="61">
        <f t="shared" si="22"/>
        <v>62293.78</v>
      </c>
      <c r="L40" s="61">
        <f t="shared" si="23"/>
        <v>34783.370000000003</v>
      </c>
      <c r="M40" s="70">
        <f t="shared" si="24"/>
        <v>35511.910000000003</v>
      </c>
      <c r="N40" s="71">
        <f t="shared" si="25"/>
        <v>132589.06</v>
      </c>
      <c r="O40" s="61"/>
      <c r="Q40" s="5"/>
      <c r="R40" s="5"/>
      <c r="S40" s="5"/>
      <c r="T40" s="5"/>
      <c r="U40" s="5"/>
      <c r="V40" s="5"/>
      <c r="W40" s="5"/>
      <c r="X40" s="89"/>
      <c r="Y40" s="79"/>
      <c r="Z40" s="5"/>
      <c r="AA40" s="5"/>
      <c r="AB40" s="5"/>
      <c r="AC40" s="5"/>
      <c r="AD40" s="83"/>
      <c r="AE40" t="s">
        <v>55</v>
      </c>
      <c r="AH40" s="37">
        <v>0</v>
      </c>
      <c r="AL40" t="s">
        <v>112</v>
      </c>
    </row>
    <row r="41" spans="2:38" x14ac:dyDescent="0.2">
      <c r="B41" s="58" t="s">
        <v>117</v>
      </c>
      <c r="C41" s="30" t="s">
        <v>118</v>
      </c>
      <c r="D41" s="15">
        <v>5</v>
      </c>
      <c r="E41" s="18" t="s">
        <v>119</v>
      </c>
      <c r="F41" s="18" t="s">
        <v>120</v>
      </c>
      <c r="G41" s="59"/>
      <c r="H41" s="76">
        <f t="shared" si="19"/>
        <v>0.25052999999999997</v>
      </c>
      <c r="I41" s="76">
        <f t="shared" si="20"/>
        <v>0.13988999999999999</v>
      </c>
      <c r="J41" s="76">
        <f t="shared" si="21"/>
        <v>0.14282</v>
      </c>
      <c r="K41" s="61">
        <f t="shared" si="22"/>
        <v>0</v>
      </c>
      <c r="L41" s="61">
        <f t="shared" si="23"/>
        <v>0</v>
      </c>
      <c r="M41" s="70">
        <f t="shared" si="24"/>
        <v>0</v>
      </c>
      <c r="N41" s="71">
        <f t="shared" si="25"/>
        <v>0</v>
      </c>
      <c r="O41" s="61">
        <v>-0.01</v>
      </c>
      <c r="Q41" s="5"/>
      <c r="R41" s="5"/>
      <c r="S41" s="5"/>
      <c r="T41" s="5"/>
      <c r="U41" s="5"/>
      <c r="V41" s="5"/>
      <c r="W41" s="5"/>
      <c r="X41" s="89"/>
      <c r="Y41" s="79"/>
      <c r="Z41" s="5"/>
      <c r="AA41" s="5"/>
      <c r="AB41" s="5"/>
      <c r="AC41" s="5"/>
      <c r="AD41" s="37"/>
      <c r="AE41" t="s">
        <v>55</v>
      </c>
      <c r="AH41" s="37">
        <v>0</v>
      </c>
      <c r="AL41" t="s">
        <v>121</v>
      </c>
    </row>
    <row r="42" spans="2:38" x14ac:dyDescent="0.2">
      <c r="B42" s="58" t="s">
        <v>115</v>
      </c>
      <c r="C42" s="30" t="s">
        <v>90</v>
      </c>
      <c r="D42" s="15">
        <v>5</v>
      </c>
      <c r="E42" s="18" t="s">
        <v>119</v>
      </c>
      <c r="F42" s="18" t="s">
        <v>120</v>
      </c>
      <c r="G42" s="88">
        <v>0</v>
      </c>
      <c r="H42" s="76">
        <f t="shared" si="19"/>
        <v>0.25052999999999997</v>
      </c>
      <c r="I42" s="76">
        <f t="shared" si="20"/>
        <v>0.13988999999999999</v>
      </c>
      <c r="J42" s="76">
        <f t="shared" si="21"/>
        <v>0.14282</v>
      </c>
      <c r="K42" s="61">
        <f>ROUND(H42*G42,2)</f>
        <v>0</v>
      </c>
      <c r="L42" s="61">
        <f t="shared" si="23"/>
        <v>0</v>
      </c>
      <c r="M42" s="70">
        <f t="shared" si="24"/>
        <v>0</v>
      </c>
      <c r="N42" s="71">
        <f t="shared" si="25"/>
        <v>0</v>
      </c>
      <c r="O42" s="61">
        <v>-0.01</v>
      </c>
      <c r="Q42" s="5"/>
      <c r="R42" s="5"/>
      <c r="S42" s="5"/>
      <c r="T42" s="5"/>
      <c r="U42" s="5"/>
      <c r="V42" s="5"/>
      <c r="W42" s="5"/>
      <c r="X42" s="89"/>
      <c r="Y42" s="79"/>
      <c r="Z42" s="5"/>
      <c r="AA42" s="5"/>
      <c r="AB42" s="5"/>
      <c r="AC42" s="5"/>
      <c r="AD42" s="83"/>
      <c r="AE42" t="s">
        <v>55</v>
      </c>
      <c r="AH42" s="37">
        <v>0</v>
      </c>
      <c r="AL42" t="s">
        <v>112</v>
      </c>
    </row>
    <row r="43" spans="2:38" x14ac:dyDescent="0.2">
      <c r="B43" s="58" t="s">
        <v>115</v>
      </c>
      <c r="C43" s="30" t="s">
        <v>122</v>
      </c>
      <c r="D43" s="15">
        <v>5</v>
      </c>
      <c r="E43" s="18" t="s">
        <v>119</v>
      </c>
      <c r="F43" s="18" t="s">
        <v>120</v>
      </c>
      <c r="G43" s="88"/>
      <c r="H43" s="76">
        <f t="shared" si="19"/>
        <v>0.25052999999999997</v>
      </c>
      <c r="I43" s="76">
        <f t="shared" si="20"/>
        <v>0.13988999999999999</v>
      </c>
      <c r="J43" s="76">
        <f t="shared" si="21"/>
        <v>0.14282</v>
      </c>
      <c r="K43" s="61">
        <f t="shared" si="22"/>
        <v>0</v>
      </c>
      <c r="L43" s="61">
        <f t="shared" si="23"/>
        <v>0</v>
      </c>
      <c r="M43" s="70">
        <f>ROUND(G43*J43,2)</f>
        <v>0</v>
      </c>
      <c r="N43" s="71">
        <f t="shared" si="25"/>
        <v>0</v>
      </c>
      <c r="O43" s="61">
        <v>0.01</v>
      </c>
      <c r="Q43" s="5"/>
      <c r="R43" s="5"/>
      <c r="S43" s="5"/>
      <c r="T43" s="5"/>
      <c r="U43" s="5"/>
      <c r="V43" s="5"/>
      <c r="W43" s="5"/>
      <c r="X43" s="89"/>
      <c r="Y43" s="79"/>
      <c r="Z43" s="5"/>
      <c r="AA43" s="5"/>
      <c r="AB43" s="5"/>
      <c r="AC43" s="5"/>
      <c r="AD43" s="83"/>
      <c r="AE43" t="s">
        <v>55</v>
      </c>
      <c r="AH43" s="37">
        <v>0</v>
      </c>
      <c r="AL43" t="s">
        <v>112</v>
      </c>
    </row>
    <row r="44" spans="2:38" ht="12.2" customHeight="1" x14ac:dyDescent="0.2">
      <c r="B44" s="58"/>
      <c r="D44" s="15"/>
      <c r="G44" s="95"/>
      <c r="H44" s="76"/>
      <c r="I44" s="76"/>
      <c r="J44" s="76"/>
      <c r="K44" s="61"/>
      <c r="L44" s="61"/>
      <c r="M44" s="70"/>
      <c r="N44" s="61"/>
      <c r="O44" s="61"/>
      <c r="Q44" s="5"/>
      <c r="R44" s="5"/>
      <c r="S44" s="5"/>
      <c r="T44" s="5"/>
      <c r="U44" s="5"/>
      <c r="V44" s="5"/>
      <c r="W44" s="5"/>
      <c r="X44" s="89"/>
      <c r="Y44" s="79"/>
      <c r="Z44" s="5"/>
      <c r="AA44" s="5"/>
      <c r="AB44" s="5"/>
      <c r="AC44" s="5"/>
      <c r="AD44" s="83"/>
      <c r="AH44" s="37"/>
    </row>
    <row r="45" spans="2:38" x14ac:dyDescent="0.2">
      <c r="B45" s="58" t="s">
        <v>117</v>
      </c>
      <c r="C45" s="30" t="s">
        <v>123</v>
      </c>
      <c r="D45" s="15">
        <v>6</v>
      </c>
      <c r="E45" s="18" t="s">
        <v>110</v>
      </c>
      <c r="G45" s="96">
        <f>'[2]Core Billed Therms '!$J$88</f>
        <v>0</v>
      </c>
      <c r="H45" s="76">
        <f>$H$10</f>
        <v>0.25052999999999997</v>
      </c>
      <c r="I45" s="76">
        <f>$I$34</f>
        <v>0.13988999999999999</v>
      </c>
      <c r="J45" s="76">
        <f t="shared" si="21"/>
        <v>0.14282</v>
      </c>
      <c r="K45" s="61">
        <f>ROUND(H45*G45,2)</f>
        <v>0</v>
      </c>
      <c r="L45" s="61">
        <f>ROUND(G45*I45,2)</f>
        <v>0</v>
      </c>
      <c r="M45" s="70">
        <f>ROUND(G45*J45,2)</f>
        <v>0</v>
      </c>
      <c r="N45" s="61">
        <f>SUM(K45:M45)</f>
        <v>0</v>
      </c>
      <c r="O45" s="61"/>
      <c r="Q45" s="5"/>
      <c r="R45" s="5"/>
      <c r="S45" s="5"/>
      <c r="T45" s="5"/>
      <c r="U45" s="5"/>
      <c r="V45" s="5"/>
      <c r="W45" s="5"/>
      <c r="X45" s="89"/>
      <c r="Y45" s="79"/>
      <c r="Z45" s="5"/>
      <c r="AA45" s="5"/>
      <c r="AB45" s="5"/>
      <c r="AC45" s="5"/>
      <c r="AD45" s="37"/>
      <c r="AE45" t="s">
        <v>55</v>
      </c>
      <c r="AH45" s="37">
        <v>0</v>
      </c>
      <c r="AL45" t="s">
        <v>124</v>
      </c>
    </row>
    <row r="46" spans="2:38" ht="12.2" customHeight="1" x14ac:dyDescent="0.2">
      <c r="B46" s="58"/>
      <c r="D46" s="15"/>
      <c r="G46" s="96"/>
      <c r="J46" s="97"/>
      <c r="K46" s="61"/>
      <c r="L46" s="61"/>
      <c r="M46" s="70"/>
      <c r="N46" s="61"/>
      <c r="O46" s="61"/>
      <c r="AD46" s="37"/>
      <c r="AH46" s="37"/>
    </row>
    <row r="47" spans="2:38" ht="15.75" x14ac:dyDescent="0.25">
      <c r="B47" s="98"/>
      <c r="D47" s="99"/>
      <c r="E47" s="100"/>
      <c r="F47" s="18" t="s">
        <v>125</v>
      </c>
      <c r="G47" s="101">
        <f>SUM(G9:G46)</f>
        <v>35035678</v>
      </c>
      <c r="H47" s="102" t="s">
        <v>126</v>
      </c>
      <c r="K47" s="103">
        <f>SUM(K9:K46)</f>
        <v>8777488.4100000001</v>
      </c>
      <c r="L47" s="104">
        <f>SUM(L9:L46)</f>
        <v>5769301.8099999996</v>
      </c>
      <c r="M47" s="105">
        <f>SUM(M9:M46)</f>
        <v>5134736.0500000017</v>
      </c>
      <c r="N47" s="106">
        <f>SUM(N9:N46)</f>
        <v>19681526.269999996</v>
      </c>
      <c r="O47" s="107">
        <v>0.03</v>
      </c>
      <c r="Q47" s="106"/>
      <c r="R47" s="106"/>
      <c r="S47" s="106"/>
      <c r="T47" s="106"/>
      <c r="U47" s="106"/>
      <c r="V47" s="106"/>
      <c r="W47" s="106"/>
      <c r="X47" s="108"/>
      <c r="Y47" s="109"/>
      <c r="Z47" s="106"/>
      <c r="AA47" s="106"/>
      <c r="AB47" s="106"/>
      <c r="AC47" s="106"/>
      <c r="AD47" s="37"/>
      <c r="AH47" s="37"/>
    </row>
    <row r="48" spans="2:38" ht="15.75" x14ac:dyDescent="0.25">
      <c r="C48" s="4"/>
      <c r="D48" s="99"/>
      <c r="F48" s="18" t="s">
        <v>127</v>
      </c>
      <c r="G48" s="101"/>
      <c r="K48" s="106"/>
      <c r="L48" s="106"/>
      <c r="M48" s="110"/>
      <c r="N48" s="106"/>
      <c r="O48" s="106"/>
      <c r="Q48" s="106">
        <f>-N47</f>
        <v>-19681526.269999996</v>
      </c>
      <c r="R48" s="106"/>
      <c r="S48" s="106"/>
      <c r="T48" s="106"/>
      <c r="U48" s="106"/>
      <c r="V48" s="106"/>
      <c r="W48" s="106"/>
      <c r="X48" s="108"/>
      <c r="Y48" s="109"/>
      <c r="Z48" s="106"/>
      <c r="AA48" s="106"/>
      <c r="AB48" s="106"/>
      <c r="AC48" s="106"/>
      <c r="AD48" s="4" t="s">
        <v>128</v>
      </c>
      <c r="AE48" t="s">
        <v>55</v>
      </c>
      <c r="AH48" s="37">
        <v>0</v>
      </c>
      <c r="AL48" t="s">
        <v>129</v>
      </c>
    </row>
    <row r="49" spans="6:32" ht="15.75" x14ac:dyDescent="0.25">
      <c r="F49" s="111" t="s">
        <v>130</v>
      </c>
      <c r="G49" s="112">
        <f>+G47+G48</f>
        <v>35035678</v>
      </c>
      <c r="H49" s="113"/>
      <c r="I49" s="113"/>
      <c r="K49" s="106">
        <f>SUM(K47:K48)</f>
        <v>8777488.4100000001</v>
      </c>
      <c r="L49" s="106">
        <f>SUM(L47:L48)</f>
        <v>5769301.8099999996</v>
      </c>
      <c r="M49" s="106">
        <f>SUM(M47:M48)</f>
        <v>5134736.0500000017</v>
      </c>
      <c r="N49" s="106">
        <f>SUM(N47:N48)</f>
        <v>19681526.269999996</v>
      </c>
      <c r="O49" s="106"/>
      <c r="P49" s="61"/>
      <c r="Q49" s="114"/>
      <c r="R49" s="114"/>
      <c r="S49" s="114"/>
      <c r="T49" s="114"/>
      <c r="U49" s="114"/>
      <c r="V49" s="114"/>
      <c r="W49" s="114"/>
      <c r="X49" s="115"/>
      <c r="Y49" s="116"/>
      <c r="Z49" s="114"/>
      <c r="AA49" s="114"/>
      <c r="AB49" s="114"/>
      <c r="AC49" s="114"/>
      <c r="AF49" s="37"/>
    </row>
    <row r="50" spans="6:32" ht="21.75" customHeight="1" x14ac:dyDescent="0.2">
      <c r="G50" s="117"/>
      <c r="K50" s="106"/>
      <c r="L50" s="118"/>
      <c r="M50" s="106"/>
      <c r="N50" s="106"/>
      <c r="O50" s="106"/>
    </row>
    <row r="51" spans="6:32" ht="21.75" customHeight="1" x14ac:dyDescent="0.2">
      <c r="G51" s="119"/>
      <c r="H51" s="113"/>
      <c r="L51" s="108"/>
      <c r="M51" s="61"/>
      <c r="N51" s="61"/>
      <c r="O51" s="61"/>
    </row>
    <row r="52" spans="6:32" x14ac:dyDescent="0.2">
      <c r="H52" s="113"/>
      <c r="L52" s="121"/>
      <c r="N52" s="118"/>
      <c r="O52" s="118"/>
    </row>
    <row r="53" spans="6:32" x14ac:dyDescent="0.2">
      <c r="F53" s="18" t="s">
        <v>131</v>
      </c>
      <c r="L53" s="122"/>
      <c r="N53" s="123"/>
      <c r="O53" s="123"/>
    </row>
    <row r="54" spans="6:32" x14ac:dyDescent="0.2">
      <c r="L54" s="122"/>
      <c r="M54" s="124"/>
    </row>
    <row r="55" spans="6:32" x14ac:dyDescent="0.2">
      <c r="L55" s="122"/>
      <c r="M55" s="124"/>
      <c r="N55" s="118"/>
      <c r="O55" s="118"/>
    </row>
    <row r="56" spans="6:32" x14ac:dyDescent="0.2">
      <c r="L56" s="122"/>
      <c r="M56" s="124"/>
      <c r="N56" s="61"/>
      <c r="O56" s="61"/>
    </row>
    <row r="57" spans="6:32" x14ac:dyDescent="0.2">
      <c r="L57" s="122"/>
      <c r="M57" s="124"/>
      <c r="N57" s="61"/>
      <c r="O57" s="61"/>
    </row>
    <row r="58" spans="6:32" x14ac:dyDescent="0.2">
      <c r="L58" s="122"/>
      <c r="M58" s="61"/>
      <c r="N58" s="124"/>
      <c r="O58" s="124"/>
    </row>
    <row r="59" spans="6:32" x14ac:dyDescent="0.2">
      <c r="L59" s="125"/>
      <c r="N59" s="126"/>
      <c r="O59" s="126"/>
    </row>
    <row r="60" spans="6:32" x14ac:dyDescent="0.2">
      <c r="L60" s="121"/>
      <c r="N60" s="127"/>
      <c r="O60" s="127"/>
    </row>
    <row r="72" spans="2:38" s="93" customFormat="1" x14ac:dyDescent="0.2">
      <c r="B72" s="4"/>
      <c r="C72" s="30"/>
      <c r="D72" s="18"/>
      <c r="E72" s="18"/>
      <c r="F72" s="18"/>
      <c r="G72" s="120" t="e">
        <f>+G49+#REF!</f>
        <v>#REF!</v>
      </c>
      <c r="P72"/>
      <c r="Q72"/>
      <c r="R72"/>
      <c r="S72"/>
      <c r="T72"/>
      <c r="U72"/>
      <c r="V72"/>
      <c r="W72"/>
      <c r="X72" s="12"/>
      <c r="Y72" s="14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107" spans="2:29" x14ac:dyDescent="0.2">
      <c r="B107" s="16"/>
      <c r="D107" s="99"/>
    </row>
    <row r="108" spans="2:29" x14ac:dyDescent="0.2">
      <c r="B108" s="16"/>
      <c r="D108" s="99"/>
      <c r="Q108" s="121"/>
      <c r="R108" s="121"/>
      <c r="S108" s="121"/>
      <c r="T108" s="121"/>
      <c r="U108" s="121"/>
      <c r="V108" s="121"/>
      <c r="W108" s="121"/>
      <c r="X108" s="121"/>
      <c r="Y108" s="128"/>
      <c r="Z108" s="121"/>
      <c r="AA108" s="121"/>
      <c r="AB108" s="121"/>
      <c r="AC108" s="121"/>
    </row>
    <row r="109" spans="2:29" x14ac:dyDescent="0.2">
      <c r="Q109" s="121"/>
      <c r="R109" s="121"/>
      <c r="S109" s="121"/>
      <c r="T109" s="121"/>
      <c r="U109" s="121"/>
      <c r="V109" s="121"/>
      <c r="W109" s="121"/>
      <c r="X109" s="121"/>
      <c r="Y109" s="128"/>
      <c r="Z109" s="121"/>
      <c r="AA109" s="121"/>
      <c r="AB109" s="121"/>
      <c r="AC109" s="121"/>
    </row>
    <row r="110" spans="2:29" x14ac:dyDescent="0.2">
      <c r="D110" s="99"/>
    </row>
    <row r="111" spans="2:29" x14ac:dyDescent="0.2">
      <c r="D111" s="99"/>
    </row>
  </sheetData>
  <mergeCells count="13">
    <mergeCell ref="L5:P5"/>
    <mergeCell ref="W25:X25"/>
    <mergeCell ref="W26:X26"/>
    <mergeCell ref="W27:X27"/>
    <mergeCell ref="W29:X29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44BB-DF1B-4F92-939B-11C7C8EA8D61}">
  <dimension ref="B1:AG75"/>
  <sheetViews>
    <sheetView showGridLines="0" zoomScaleNormal="100" zoomScaleSheetLayoutView="100" workbookViewId="0">
      <selection activeCell="S42" sqref="S42:S43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1" customWidth="1"/>
    <col min="3" max="3" width="5.5703125" style="131" customWidth="1"/>
    <col min="4" max="4" width="6.42578125" style="131" customWidth="1"/>
    <col min="5" max="5" width="8.85546875" style="246" customWidth="1"/>
    <col min="6" max="6" width="29.42578125" style="13" customWidth="1"/>
    <col min="7" max="7" width="12.140625" style="13" bestFit="1" customWidth="1"/>
    <col min="8" max="8" width="15.5703125" style="133" bestFit="1" customWidth="1"/>
    <col min="9" max="9" width="2.7109375" style="13" customWidth="1"/>
    <col min="10" max="10" width="13.42578125" style="13" bestFit="1" customWidth="1"/>
    <col min="11" max="11" width="18.140625" style="133" customWidth="1"/>
    <col min="12" max="12" width="2.7109375" style="13" customWidth="1"/>
    <col min="13" max="13" width="16.5703125" style="13" bestFit="1" customWidth="1"/>
    <col min="14" max="14" width="16.5703125" style="133" bestFit="1" customWidth="1"/>
    <col min="15" max="15" width="3" style="13" customWidth="1"/>
    <col min="16" max="16" width="13.5703125" style="144" bestFit="1" customWidth="1"/>
    <col min="17" max="17" width="17.42578125" style="144" customWidth="1"/>
    <col min="18" max="18" width="3.7109375" style="144" customWidth="1"/>
    <col min="19" max="19" width="13.5703125" style="144" bestFit="1" customWidth="1"/>
    <col min="20" max="20" width="16.85546875" style="144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3.8554687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30" t="s">
        <v>132</v>
      </c>
      <c r="D1" s="132"/>
      <c r="E1" s="132"/>
      <c r="F1" s="132"/>
      <c r="I1" s="134"/>
      <c r="K1" s="135"/>
      <c r="O1" s="134"/>
      <c r="P1" s="136"/>
      <c r="Q1" s="137"/>
      <c r="R1" s="136"/>
      <c r="S1" s="136"/>
      <c r="T1" s="136"/>
      <c r="U1" s="134"/>
      <c r="V1" s="138">
        <f>B2-31</f>
        <v>44190</v>
      </c>
      <c r="W1" s="138"/>
      <c r="X1" s="138"/>
      <c r="Y1" s="138"/>
      <c r="Z1" s="138"/>
    </row>
    <row r="2" spans="2:33" ht="15" customHeight="1" x14ac:dyDescent="0.25">
      <c r="B2" s="139">
        <v>44221</v>
      </c>
      <c r="C2" s="139"/>
      <c r="D2" s="139"/>
      <c r="E2" s="139"/>
      <c r="I2" s="134"/>
      <c r="J2" s="140" t="s">
        <v>133</v>
      </c>
      <c r="K2" s="140"/>
      <c r="L2" s="140"/>
      <c r="M2" s="140"/>
      <c r="N2" s="140"/>
      <c r="O2" s="134"/>
      <c r="P2" s="141" t="s">
        <v>134</v>
      </c>
      <c r="Q2" s="141"/>
      <c r="R2" s="141"/>
      <c r="S2" s="141"/>
      <c r="T2" s="141"/>
      <c r="U2" s="134"/>
      <c r="V2" s="142" t="s">
        <v>135</v>
      </c>
      <c r="W2" s="142"/>
      <c r="X2" s="142"/>
      <c r="Y2" s="142"/>
      <c r="Z2" s="142"/>
    </row>
    <row r="3" spans="2:33" ht="15.75" x14ac:dyDescent="0.25">
      <c r="E3" s="143"/>
      <c r="F3" s="13" t="s">
        <v>131</v>
      </c>
      <c r="I3" s="134"/>
      <c r="K3" s="135"/>
      <c r="O3" s="134"/>
      <c r="U3" s="145"/>
      <c r="V3" s="138">
        <f>B2</f>
        <v>44221</v>
      </c>
      <c r="W3" s="138"/>
      <c r="X3" s="138"/>
      <c r="Y3" s="138"/>
      <c r="Z3" s="138"/>
      <c r="AB3" s="146" t="s">
        <v>136</v>
      </c>
      <c r="AC3" s="146"/>
      <c r="AD3" s="147"/>
    </row>
    <row r="4" spans="2:33" ht="16.5" customHeight="1" x14ac:dyDescent="0.25">
      <c r="B4" s="148"/>
      <c r="C4" s="148"/>
      <c r="D4" s="148"/>
      <c r="E4" s="149"/>
      <c r="F4" s="150"/>
      <c r="G4" s="151" t="s">
        <v>10</v>
      </c>
      <c r="H4" s="151"/>
      <c r="I4" s="134"/>
      <c r="J4" s="152" t="s">
        <v>137</v>
      </c>
      <c r="K4" s="152"/>
      <c r="L4" s="153"/>
      <c r="M4" s="152" t="s">
        <v>138</v>
      </c>
      <c r="N4" s="152"/>
      <c r="O4" s="154"/>
      <c r="P4" s="155" t="s">
        <v>137</v>
      </c>
      <c r="Q4" s="155"/>
      <c r="R4" s="156"/>
      <c r="S4" s="155" t="s">
        <v>138</v>
      </c>
      <c r="T4" s="155"/>
      <c r="U4" s="154"/>
      <c r="V4" s="152" t="s">
        <v>137</v>
      </c>
      <c r="W4" s="152"/>
      <c r="X4" s="153"/>
      <c r="Y4" s="152" t="s">
        <v>138</v>
      </c>
      <c r="Z4" s="152"/>
      <c r="AB4" s="157" t="s">
        <v>2</v>
      </c>
      <c r="AC4" s="157" t="s">
        <v>8</v>
      </c>
      <c r="AD4" s="157"/>
    </row>
    <row r="5" spans="2:33" s="16" customFormat="1" ht="17.25" customHeight="1" x14ac:dyDescent="0.25">
      <c r="B5" s="158" t="s">
        <v>139</v>
      </c>
      <c r="C5" s="158"/>
      <c r="D5" s="158"/>
      <c r="E5" s="158"/>
      <c r="F5" s="159"/>
      <c r="G5" s="160" t="s">
        <v>36</v>
      </c>
      <c r="H5" s="161" t="s">
        <v>140</v>
      </c>
      <c r="I5" s="154"/>
      <c r="J5" s="162" t="s">
        <v>36</v>
      </c>
      <c r="K5" s="163" t="s">
        <v>140</v>
      </c>
      <c r="L5" s="164"/>
      <c r="M5" s="162" t="s">
        <v>36</v>
      </c>
      <c r="N5" s="163" t="s">
        <v>140</v>
      </c>
      <c r="O5" s="154"/>
      <c r="P5" s="165" t="s">
        <v>36</v>
      </c>
      <c r="Q5" s="166" t="s">
        <v>140</v>
      </c>
      <c r="R5" s="164"/>
      <c r="S5" s="164" t="s">
        <v>36</v>
      </c>
      <c r="T5" s="167" t="s">
        <v>140</v>
      </c>
      <c r="U5" s="154"/>
      <c r="V5" s="162" t="s">
        <v>141</v>
      </c>
      <c r="W5" s="167" t="s">
        <v>140</v>
      </c>
      <c r="X5" s="164"/>
      <c r="Y5" s="164" t="s">
        <v>141</v>
      </c>
      <c r="Z5" s="167" t="s">
        <v>140</v>
      </c>
      <c r="AB5" s="168" t="s">
        <v>140</v>
      </c>
      <c r="AC5" s="168" t="s">
        <v>140</v>
      </c>
      <c r="AD5" s="168"/>
    </row>
    <row r="6" spans="2:33" ht="14.25" customHeight="1" x14ac:dyDescent="0.25">
      <c r="B6" s="169" t="s">
        <v>142</v>
      </c>
      <c r="C6" s="170">
        <v>6011</v>
      </c>
      <c r="D6" s="170">
        <v>28040</v>
      </c>
      <c r="E6" s="171">
        <v>671010</v>
      </c>
      <c r="F6" s="101" t="s">
        <v>143</v>
      </c>
      <c r="G6" s="172" t="s">
        <v>144</v>
      </c>
      <c r="H6" s="118">
        <f>K6+N6</f>
        <v>343142.25</v>
      </c>
      <c r="I6" s="134"/>
      <c r="J6" s="173"/>
      <c r="K6" s="174">
        <f>+Q6+W6</f>
        <v>40113.33</v>
      </c>
      <c r="L6" s="175" t="s">
        <v>145</v>
      </c>
      <c r="M6" s="173"/>
      <c r="N6" s="174">
        <f>+T6+Z6</f>
        <v>303028.92</v>
      </c>
      <c r="O6" s="176" t="s">
        <v>145</v>
      </c>
      <c r="P6" s="173"/>
      <c r="Q6" s="177">
        <v>39996.46</v>
      </c>
      <c r="R6" s="16"/>
      <c r="S6" s="173"/>
      <c r="T6" s="177">
        <v>302146.03999999998</v>
      </c>
      <c r="U6" s="134"/>
      <c r="V6" s="178"/>
      <c r="W6" s="177">
        <v>116.87</v>
      </c>
      <c r="Y6" s="179"/>
      <c r="Z6" s="177">
        <v>882.88</v>
      </c>
      <c r="AE6" s="180">
        <v>671010</v>
      </c>
    </row>
    <row r="7" spans="2:33" ht="14.25" customHeight="1" x14ac:dyDescent="0.25">
      <c r="B7" s="169" t="s">
        <v>142</v>
      </c>
      <c r="C7" s="170">
        <v>6011</v>
      </c>
      <c r="D7" s="170">
        <v>28040</v>
      </c>
      <c r="E7" s="171">
        <v>671030</v>
      </c>
      <c r="F7" s="101" t="s">
        <v>146</v>
      </c>
      <c r="G7" s="172" t="s">
        <v>144</v>
      </c>
      <c r="H7" s="118">
        <f t="shared" ref="H7:H13" si="0">+K7+N7</f>
        <v>397108.28</v>
      </c>
      <c r="I7" s="134"/>
      <c r="J7" s="173"/>
      <c r="K7" s="174">
        <f>+Q7+W7</f>
        <v>245072.25</v>
      </c>
      <c r="L7" s="175" t="s">
        <v>145</v>
      </c>
      <c r="M7" s="173"/>
      <c r="N7" s="174">
        <f>+T7+Z7</f>
        <v>152036.03</v>
      </c>
      <c r="O7" s="176" t="s">
        <v>145</v>
      </c>
      <c r="P7" s="173"/>
      <c r="Q7" s="177">
        <v>240810.66</v>
      </c>
      <c r="R7" s="16"/>
      <c r="S7" s="173"/>
      <c r="T7" s="177">
        <v>151937.20000000001</v>
      </c>
      <c r="U7" s="134"/>
      <c r="V7" s="178"/>
      <c r="W7" s="177">
        <v>4261.59</v>
      </c>
      <c r="Y7" s="179"/>
      <c r="Z7" s="177">
        <v>98.83</v>
      </c>
      <c r="AE7" s="180">
        <v>671030</v>
      </c>
    </row>
    <row r="8" spans="2:33" ht="14.25" customHeight="1" x14ac:dyDescent="0.25">
      <c r="B8" s="169" t="s">
        <v>142</v>
      </c>
      <c r="C8" s="170">
        <v>6011</v>
      </c>
      <c r="D8" s="170">
        <v>28040</v>
      </c>
      <c r="E8" s="171">
        <v>671050</v>
      </c>
      <c r="F8" s="101" t="s">
        <v>147</v>
      </c>
      <c r="G8" s="16">
        <f t="shared" ref="G8:G14" si="1">+J8+M8</f>
        <v>49382680</v>
      </c>
      <c r="H8" s="118">
        <f t="shared" si="0"/>
        <v>14483517.93</v>
      </c>
      <c r="I8" s="134"/>
      <c r="J8" s="181">
        <f>+P8+V8</f>
        <v>36191980</v>
      </c>
      <c r="K8" s="182">
        <f>+Q8+W8</f>
        <v>11175540.439999999</v>
      </c>
      <c r="L8" s="175" t="s">
        <v>148</v>
      </c>
      <c r="M8" s="16">
        <f>+S8+Y8</f>
        <v>13190700</v>
      </c>
      <c r="N8" s="182">
        <f>+T8+Z8</f>
        <v>3307977.4899999998</v>
      </c>
      <c r="O8" s="176" t="s">
        <v>148</v>
      </c>
      <c r="P8" s="183">
        <v>36191569</v>
      </c>
      <c r="Q8" s="184">
        <f>12000+11163406.92</f>
        <v>11175406.92</v>
      </c>
      <c r="R8" s="16"/>
      <c r="S8" s="183">
        <v>13191111</v>
      </c>
      <c r="T8" s="184">
        <v>3308111.01</v>
      </c>
      <c r="U8" s="134"/>
      <c r="V8" s="185">
        <v>411</v>
      </c>
      <c r="W8" s="184">
        <v>133.52000000000001</v>
      </c>
      <c r="X8" s="144"/>
      <c r="Y8" s="186">
        <v>-411</v>
      </c>
      <c r="Z8" s="184">
        <v>-133.52000000000001</v>
      </c>
      <c r="AB8" s="187">
        <v>0</v>
      </c>
      <c r="AC8" s="187">
        <v>0</v>
      </c>
      <c r="AE8" s="188">
        <v>671050</v>
      </c>
    </row>
    <row r="9" spans="2:33" ht="14.25" customHeight="1" x14ac:dyDescent="0.25">
      <c r="B9" s="169" t="s">
        <v>142</v>
      </c>
      <c r="C9" s="170">
        <v>6011</v>
      </c>
      <c r="D9" s="170">
        <v>28040</v>
      </c>
      <c r="E9" s="171">
        <v>671051</v>
      </c>
      <c r="F9" s="101" t="s">
        <v>149</v>
      </c>
      <c r="G9" s="172" t="s">
        <v>144</v>
      </c>
      <c r="H9" s="118">
        <f t="shared" si="0"/>
        <v>92225</v>
      </c>
      <c r="I9" s="134"/>
      <c r="J9" s="189"/>
      <c r="K9" s="182">
        <f t="shared" ref="J9:K14" si="2">+Q9+W9</f>
        <v>68973.23</v>
      </c>
      <c r="L9" s="175" t="s">
        <v>148</v>
      </c>
      <c r="M9" s="190"/>
      <c r="N9" s="182">
        <f>+T9+Z9</f>
        <v>23251.77</v>
      </c>
      <c r="O9" s="176" t="s">
        <v>148</v>
      </c>
      <c r="P9" s="173"/>
      <c r="Q9" s="184">
        <v>68973.23</v>
      </c>
      <c r="R9" s="16"/>
      <c r="S9" s="173"/>
      <c r="T9" s="184">
        <v>23251.77</v>
      </c>
      <c r="U9" s="134"/>
      <c r="V9" s="191"/>
      <c r="W9" s="192"/>
      <c r="X9" s="179"/>
      <c r="Y9" s="193"/>
      <c r="Z9" s="192"/>
      <c r="AE9" s="188">
        <v>671051</v>
      </c>
    </row>
    <row r="10" spans="2:33" ht="14.25" customHeight="1" x14ac:dyDescent="0.25">
      <c r="B10" s="169" t="s">
        <v>142</v>
      </c>
      <c r="C10" s="170">
        <v>6011</v>
      </c>
      <c r="D10" s="170">
        <v>28040</v>
      </c>
      <c r="E10" s="171">
        <v>671070</v>
      </c>
      <c r="F10" s="101" t="s">
        <v>150</v>
      </c>
      <c r="G10" s="16">
        <f t="shared" si="1"/>
        <v>280060</v>
      </c>
      <c r="H10" s="118">
        <f>+K10+N10</f>
        <v>96533.569999999963</v>
      </c>
      <c r="I10" s="134"/>
      <c r="J10" s="181">
        <f t="shared" si="2"/>
        <v>189374</v>
      </c>
      <c r="K10" s="182">
        <f t="shared" si="2"/>
        <v>60357.409999999974</v>
      </c>
      <c r="L10" s="175" t="s">
        <v>148</v>
      </c>
      <c r="M10" s="16">
        <f>+S10+Y10</f>
        <v>90686</v>
      </c>
      <c r="N10" s="182">
        <f>+T10+Z10</f>
        <v>36176.159999999989</v>
      </c>
      <c r="O10" s="194" t="s">
        <v>148</v>
      </c>
      <c r="P10" s="183">
        <f>1112754-923380</f>
        <v>189374</v>
      </c>
      <c r="Q10" s="184">
        <f>352595.43-17254.97-2354.6-272628.45</f>
        <v>60357.409999999974</v>
      </c>
      <c r="R10" s="16"/>
      <c r="S10" s="183">
        <f>434896-344210</f>
        <v>90686</v>
      </c>
      <c r="T10" s="184">
        <f>137804.33-101628.17</f>
        <v>36176.159999999989</v>
      </c>
      <c r="U10" s="134"/>
      <c r="V10" s="191"/>
      <c r="W10" s="192"/>
      <c r="X10" s="179">
        <v>0</v>
      </c>
      <c r="Y10" s="193"/>
      <c r="Z10" s="192"/>
      <c r="AE10" s="188">
        <v>671070</v>
      </c>
    </row>
    <row r="11" spans="2:33" ht="14.25" customHeight="1" x14ac:dyDescent="0.25">
      <c r="B11" s="195" t="s">
        <v>142</v>
      </c>
      <c r="C11" s="196">
        <v>6011</v>
      </c>
      <c r="D11" s="196">
        <v>28081</v>
      </c>
      <c r="E11" s="197">
        <v>671050</v>
      </c>
      <c r="F11" s="198" t="s">
        <v>151</v>
      </c>
      <c r="G11" s="16">
        <f t="shared" si="1"/>
        <v>0</v>
      </c>
      <c r="H11" s="118">
        <f t="shared" si="0"/>
        <v>0</v>
      </c>
      <c r="I11" s="134"/>
      <c r="J11" s="181">
        <f t="shared" si="2"/>
        <v>0</v>
      </c>
      <c r="K11" s="182">
        <f t="shared" si="2"/>
        <v>0</v>
      </c>
      <c r="L11" s="175" t="s">
        <v>148</v>
      </c>
      <c r="M11" s="16">
        <f t="shared" ref="M11:N14" si="3">+S11+Y11</f>
        <v>0</v>
      </c>
      <c r="N11" s="182">
        <f t="shared" si="3"/>
        <v>0</v>
      </c>
      <c r="O11" s="176" t="s">
        <v>148</v>
      </c>
      <c r="P11" s="183">
        <v>0</v>
      </c>
      <c r="Q11" s="199">
        <v>0</v>
      </c>
      <c r="R11" s="200">
        <v>-1</v>
      </c>
      <c r="S11" s="183">
        <v>0</v>
      </c>
      <c r="T11" s="199">
        <v>0</v>
      </c>
      <c r="U11" s="201">
        <v>-4</v>
      </c>
      <c r="V11" s="191"/>
      <c r="W11" s="192"/>
      <c r="X11" s="179"/>
      <c r="Y11" s="193"/>
      <c r="Z11" s="192"/>
      <c r="AE11" s="197">
        <v>671050</v>
      </c>
      <c r="AF11" s="144"/>
    </row>
    <row r="12" spans="2:33" ht="14.25" customHeight="1" x14ac:dyDescent="0.25">
      <c r="B12" s="195" t="s">
        <v>142</v>
      </c>
      <c r="C12" s="196">
        <v>6011</v>
      </c>
      <c r="D12" s="196">
        <v>28082</v>
      </c>
      <c r="E12" s="197">
        <v>671050</v>
      </c>
      <c r="F12" s="198" t="s">
        <v>152</v>
      </c>
      <c r="G12" s="16">
        <f t="shared" si="1"/>
        <v>-738140</v>
      </c>
      <c r="H12" s="118">
        <f t="shared" si="0"/>
        <v>-245392.6</v>
      </c>
      <c r="I12" s="134"/>
      <c r="J12" s="181">
        <f t="shared" si="2"/>
        <v>-738140</v>
      </c>
      <c r="K12" s="182">
        <f t="shared" si="2"/>
        <v>-245392.6</v>
      </c>
      <c r="L12" s="175" t="s">
        <v>148</v>
      </c>
      <c r="M12" s="120">
        <f t="shared" si="3"/>
        <v>0</v>
      </c>
      <c r="N12" s="182">
        <f t="shared" si="3"/>
        <v>0</v>
      </c>
      <c r="O12" s="176" t="s">
        <v>148</v>
      </c>
      <c r="P12" s="183">
        <v>-738140</v>
      </c>
      <c r="Q12" s="199">
        <v>-245392.6</v>
      </c>
      <c r="R12" s="200">
        <v>-2</v>
      </c>
      <c r="S12" s="202"/>
      <c r="T12" s="199"/>
      <c r="U12" s="201"/>
      <c r="V12" s="203"/>
      <c r="W12" s="192"/>
      <c r="X12" s="179"/>
      <c r="Y12" s="193"/>
      <c r="Z12" s="192"/>
      <c r="AE12" s="197">
        <v>671050</v>
      </c>
      <c r="AF12" s="144"/>
      <c r="AG12" s="183"/>
    </row>
    <row r="13" spans="2:33" ht="14.25" customHeight="1" x14ac:dyDescent="0.25">
      <c r="B13" s="195" t="s">
        <v>142</v>
      </c>
      <c r="C13" s="196">
        <v>6011</v>
      </c>
      <c r="D13" s="196">
        <v>28120</v>
      </c>
      <c r="E13" s="197">
        <v>671070</v>
      </c>
      <c r="F13" s="198" t="s">
        <v>153</v>
      </c>
      <c r="G13" s="16">
        <f t="shared" si="1"/>
        <v>-59271</v>
      </c>
      <c r="H13" s="118">
        <f t="shared" si="0"/>
        <v>-14261.560000000001</v>
      </c>
      <c r="I13" s="134"/>
      <c r="J13" s="181">
        <f>+P13+V13</f>
        <v>-47011</v>
      </c>
      <c r="K13" s="182">
        <f>+Q13+W13</f>
        <v>-11777.6</v>
      </c>
      <c r="L13" s="175" t="s">
        <v>148</v>
      </c>
      <c r="M13" s="16">
        <f t="shared" si="3"/>
        <v>-12260</v>
      </c>
      <c r="N13" s="182">
        <f t="shared" si="3"/>
        <v>-2483.96</v>
      </c>
      <c r="O13" s="176" t="s">
        <v>148</v>
      </c>
      <c r="P13" s="183">
        <v>-47011</v>
      </c>
      <c r="Q13" s="199">
        <v>-11777.6</v>
      </c>
      <c r="R13" s="200">
        <v>-3</v>
      </c>
      <c r="S13" s="204">
        <v>-12260</v>
      </c>
      <c r="T13" s="199">
        <v>-2483.96</v>
      </c>
      <c r="U13" s="201">
        <v>-5</v>
      </c>
      <c r="V13" s="191"/>
      <c r="W13" s="192"/>
      <c r="X13" s="179"/>
      <c r="Y13" s="193">
        <v>0</v>
      </c>
      <c r="Z13" s="192"/>
      <c r="AE13" s="197">
        <v>671070</v>
      </c>
    </row>
    <row r="14" spans="2:33" ht="14.25" customHeight="1" x14ac:dyDescent="0.25">
      <c r="B14" s="169" t="s">
        <v>142</v>
      </c>
      <c r="C14" s="170">
        <v>6011</v>
      </c>
      <c r="D14" s="170">
        <v>28040</v>
      </c>
      <c r="E14" s="171">
        <v>671100</v>
      </c>
      <c r="F14" s="101" t="s">
        <v>154</v>
      </c>
      <c r="G14" s="16">
        <f t="shared" si="1"/>
        <v>0</v>
      </c>
      <c r="H14" s="118">
        <f>+K14+N14</f>
        <v>0</v>
      </c>
      <c r="I14" s="134"/>
      <c r="J14" s="181">
        <f>+P14+V14</f>
        <v>0</v>
      </c>
      <c r="K14" s="182">
        <f t="shared" si="2"/>
        <v>0</v>
      </c>
      <c r="L14" s="175" t="s">
        <v>148</v>
      </c>
      <c r="M14" s="205">
        <f t="shared" si="3"/>
        <v>0</v>
      </c>
      <c r="N14" s="206">
        <f t="shared" si="3"/>
        <v>0</v>
      </c>
      <c r="O14" s="176" t="s">
        <v>148</v>
      </c>
      <c r="P14" s="207"/>
      <c r="Q14" s="208"/>
      <c r="R14" s="16"/>
      <c r="S14" s="207"/>
      <c r="T14" s="192"/>
      <c r="U14" s="134"/>
      <c r="V14" s="191"/>
      <c r="W14" s="192"/>
      <c r="X14" s="179"/>
      <c r="Y14" s="193"/>
      <c r="Z14" s="209"/>
      <c r="AE14" s="188">
        <v>671100</v>
      </c>
    </row>
    <row r="15" spans="2:33" ht="14.25" customHeight="1" x14ac:dyDescent="0.25">
      <c r="B15" s="169"/>
      <c r="C15" s="210"/>
      <c r="D15" s="210"/>
      <c r="E15" s="211"/>
      <c r="F15" s="212" t="s">
        <v>155</v>
      </c>
      <c r="G15" s="213">
        <f>SUM(G6:G14)</f>
        <v>48865329</v>
      </c>
      <c r="H15" s="214">
        <f>SUM(H6:H14)</f>
        <v>15152872.869999999</v>
      </c>
      <c r="I15" s="134"/>
      <c r="J15" s="213">
        <f>SUM(J6:J14)</f>
        <v>35596203</v>
      </c>
      <c r="K15" s="214">
        <f>SUM(K6:K14)</f>
        <v>11332886.460000001</v>
      </c>
      <c r="L15" s="175"/>
      <c r="M15" s="16">
        <f>SUM(M6:M14)</f>
        <v>13269126</v>
      </c>
      <c r="N15" s="215">
        <f>SUM(N6:N14)</f>
        <v>3819986.4099999997</v>
      </c>
      <c r="O15" s="176"/>
      <c r="P15" s="16">
        <f>SUM(P6:P14)</f>
        <v>35595792</v>
      </c>
      <c r="Q15" s="216">
        <f>SUM(Q6:Q14)</f>
        <v>11328374.48</v>
      </c>
      <c r="R15" s="16"/>
      <c r="S15" s="16">
        <f>SUM(S6:S14)</f>
        <v>13269537</v>
      </c>
      <c r="T15" s="216">
        <f>SUM(T6:T14)</f>
        <v>3819138.22</v>
      </c>
      <c r="U15" s="134"/>
      <c r="V15" s="217">
        <f>+SUM(V6:V14)</f>
        <v>411</v>
      </c>
      <c r="W15" s="216">
        <f>SUM(W6:W14)</f>
        <v>4511.9800000000005</v>
      </c>
      <c r="X15" s="179"/>
      <c r="Y15" s="217">
        <f>SUM(Y6:Y14)</f>
        <v>-411</v>
      </c>
      <c r="Z15" s="216">
        <f>SUM(Z6:Z14)</f>
        <v>848.19</v>
      </c>
      <c r="AB15" s="218">
        <f>SUM(AB6:AB14)</f>
        <v>0</v>
      </c>
      <c r="AC15" s="218">
        <f>SUM(AC6:AC14)</f>
        <v>0</v>
      </c>
      <c r="AD15" s="218"/>
      <c r="AE15" s="211"/>
    </row>
    <row r="16" spans="2:33" ht="14.25" customHeight="1" x14ac:dyDescent="0.25">
      <c r="B16" s="169"/>
      <c r="C16" s="210"/>
      <c r="D16" s="210"/>
      <c r="E16" s="211"/>
      <c r="F16" s="101"/>
      <c r="G16" s="213"/>
      <c r="H16" s="219"/>
      <c r="I16" s="134"/>
      <c r="J16" s="220"/>
      <c r="K16" s="221"/>
      <c r="L16" s="222"/>
      <c r="M16" s="220"/>
      <c r="N16" s="223"/>
      <c r="O16" s="176"/>
      <c r="P16" s="213"/>
      <c r="Q16" s="118"/>
      <c r="R16" s="16"/>
      <c r="S16" s="213"/>
      <c r="T16" s="118"/>
      <c r="U16" s="134"/>
      <c r="V16" s="224"/>
      <c r="W16" s="118"/>
      <c r="X16" s="179"/>
      <c r="Y16" s="179"/>
      <c r="Z16" s="118"/>
      <c r="AE16" s="211"/>
    </row>
    <row r="17" spans="2:33" ht="14.25" customHeight="1" x14ac:dyDescent="0.25">
      <c r="B17" s="169" t="s">
        <v>142</v>
      </c>
      <c r="C17" s="170">
        <v>6011</v>
      </c>
      <c r="D17" s="170">
        <v>28040</v>
      </c>
      <c r="E17" s="171">
        <v>672010</v>
      </c>
      <c r="F17" s="101" t="s">
        <v>156</v>
      </c>
      <c r="G17" s="172"/>
      <c r="H17" s="118">
        <f>K17+N17</f>
        <v>4579689.96</v>
      </c>
      <c r="I17" s="134"/>
      <c r="J17" s="225"/>
      <c r="K17" s="174">
        <f>+Q17+W17</f>
        <v>3660371.94</v>
      </c>
      <c r="L17" s="175" t="s">
        <v>145</v>
      </c>
      <c r="M17" s="173"/>
      <c r="N17" s="174">
        <f>+T17+Z17</f>
        <v>919318.02</v>
      </c>
      <c r="O17" s="176" t="s">
        <v>145</v>
      </c>
      <c r="P17" s="173"/>
      <c r="Q17" s="177">
        <f>3404515+128780.55</f>
        <v>3533295.55</v>
      </c>
      <c r="R17" s="16"/>
      <c r="S17" s="13"/>
      <c r="T17" s="177">
        <f>569934.65+360332</f>
        <v>930266.65</v>
      </c>
      <c r="U17" s="134"/>
      <c r="V17" s="226"/>
      <c r="W17" s="177">
        <v>127076.39</v>
      </c>
      <c r="X17" s="227"/>
      <c r="Y17" s="228"/>
      <c r="Z17" s="229">
        <v>-10948.63</v>
      </c>
      <c r="AE17" s="180">
        <v>672010</v>
      </c>
    </row>
    <row r="18" spans="2:33" ht="14.25" customHeight="1" x14ac:dyDescent="0.25">
      <c r="B18" s="169" t="s">
        <v>142</v>
      </c>
      <c r="C18" s="170">
        <v>6011</v>
      </c>
      <c r="D18" s="170">
        <v>28040</v>
      </c>
      <c r="E18" s="171">
        <v>672020</v>
      </c>
      <c r="F18" s="101" t="s">
        <v>157</v>
      </c>
      <c r="G18" s="172"/>
      <c r="H18" s="118">
        <f>K18+N18</f>
        <v>115466.5</v>
      </c>
      <c r="I18" s="134"/>
      <c r="J18" s="225"/>
      <c r="K18" s="182">
        <f>+Q18+W18</f>
        <v>75436.73</v>
      </c>
      <c r="L18" s="175" t="s">
        <v>148</v>
      </c>
      <c r="M18" s="173"/>
      <c r="N18" s="182">
        <f>+T18+Z18</f>
        <v>40029.769999999997</v>
      </c>
      <c r="O18" s="176" t="s">
        <v>148</v>
      </c>
      <c r="P18" s="173"/>
      <c r="Q18" s="184">
        <v>79726.33</v>
      </c>
      <c r="R18" s="16"/>
      <c r="S18" s="13"/>
      <c r="T18" s="184">
        <f>29879.67</f>
        <v>29879.67</v>
      </c>
      <c r="U18" s="134"/>
      <c r="V18" s="226"/>
      <c r="W18" s="184">
        <v>-4289.6000000000004</v>
      </c>
      <c r="X18" s="227"/>
      <c r="Y18" s="228"/>
      <c r="Z18" s="184">
        <v>10150.1</v>
      </c>
      <c r="AE18" s="188">
        <v>672020</v>
      </c>
      <c r="AF18" s="230"/>
    </row>
    <row r="19" spans="2:33" ht="14.25" customHeight="1" x14ac:dyDescent="0.25">
      <c r="B19" s="169" t="s">
        <v>142</v>
      </c>
      <c r="C19" s="170">
        <v>6011</v>
      </c>
      <c r="D19" s="170">
        <v>28040</v>
      </c>
      <c r="E19" s="171">
        <v>672030</v>
      </c>
      <c r="F19" s="101" t="s">
        <v>158</v>
      </c>
      <c r="G19" s="172"/>
      <c r="H19" s="118">
        <f>K19+N19</f>
        <v>0</v>
      </c>
      <c r="I19" s="134"/>
      <c r="J19" s="225"/>
      <c r="K19" s="174">
        <f>+Q19+W19</f>
        <v>0</v>
      </c>
      <c r="L19" s="175" t="s">
        <v>145</v>
      </c>
      <c r="N19" s="174">
        <f>+T19+Z19</f>
        <v>0</v>
      </c>
      <c r="O19" s="176" t="s">
        <v>145</v>
      </c>
      <c r="P19" s="173"/>
      <c r="Q19" s="231"/>
      <c r="R19" s="16"/>
      <c r="S19" s="173"/>
      <c r="T19" s="231"/>
      <c r="U19" s="134"/>
      <c r="V19" s="226"/>
      <c r="W19" s="231"/>
      <c r="X19" s="179"/>
      <c r="Y19" s="178"/>
      <c r="Z19" s="231"/>
      <c r="AE19" s="180">
        <v>672030</v>
      </c>
      <c r="AF19" s="230"/>
    </row>
    <row r="20" spans="2:33" ht="14.25" customHeight="1" x14ac:dyDescent="0.25">
      <c r="B20" s="169" t="s">
        <v>142</v>
      </c>
      <c r="C20" s="170">
        <v>6011</v>
      </c>
      <c r="D20" s="170">
        <v>28040</v>
      </c>
      <c r="E20" s="171">
        <v>672040</v>
      </c>
      <c r="F20" s="101" t="s">
        <v>159</v>
      </c>
      <c r="G20" s="172"/>
      <c r="H20" s="118">
        <f>K20+N20</f>
        <v>0</v>
      </c>
      <c r="I20" s="134"/>
      <c r="J20" s="225"/>
      <c r="K20" s="174">
        <f>+Q20+W20</f>
        <v>0</v>
      </c>
      <c r="L20" s="175" t="s">
        <v>145</v>
      </c>
      <c r="M20" s="173"/>
      <c r="N20" s="174">
        <f>+T20+Z20</f>
        <v>0</v>
      </c>
      <c r="O20" s="176" t="s">
        <v>145</v>
      </c>
      <c r="P20" s="173"/>
      <c r="Q20" s="231"/>
      <c r="R20" s="16"/>
      <c r="S20" s="173"/>
      <c r="T20" s="231"/>
      <c r="U20" s="134"/>
      <c r="V20" s="226"/>
      <c r="W20" s="231"/>
      <c r="X20" s="179"/>
      <c r="Y20" s="178"/>
      <c r="Z20" s="231"/>
      <c r="AE20" s="180">
        <v>672040</v>
      </c>
      <c r="AF20" s="230"/>
      <c r="AG20" s="230"/>
    </row>
    <row r="21" spans="2:33" ht="14.25" customHeight="1" x14ac:dyDescent="0.25">
      <c r="B21" s="169" t="s">
        <v>142</v>
      </c>
      <c r="C21" s="170">
        <v>6011</v>
      </c>
      <c r="D21" s="170">
        <v>28040</v>
      </c>
      <c r="E21" s="171">
        <v>672050</v>
      </c>
      <c r="F21" s="101" t="s">
        <v>160</v>
      </c>
      <c r="G21" s="172"/>
      <c r="H21" s="118">
        <f>K21+N21</f>
        <v>0</v>
      </c>
      <c r="I21" s="134"/>
      <c r="J21" s="232"/>
      <c r="K21" s="174">
        <f>+Q21+W21</f>
        <v>0</v>
      </c>
      <c r="L21" s="175" t="s">
        <v>145</v>
      </c>
      <c r="M21" s="173"/>
      <c r="N21" s="233">
        <f>+T21+Z21</f>
        <v>0</v>
      </c>
      <c r="O21" s="176" t="s">
        <v>145</v>
      </c>
      <c r="P21" s="173"/>
      <c r="Q21" s="231"/>
      <c r="R21" s="172"/>
      <c r="S21" s="234"/>
      <c r="T21" s="235"/>
      <c r="U21" s="134"/>
      <c r="V21" s="226"/>
      <c r="W21" s="231"/>
      <c r="X21" s="179"/>
      <c r="Y21" s="178"/>
      <c r="Z21" s="231"/>
      <c r="AE21" s="180">
        <v>672050</v>
      </c>
      <c r="AF21" s="230"/>
      <c r="AG21" s="230"/>
    </row>
    <row r="22" spans="2:33" ht="14.25" customHeight="1" x14ac:dyDescent="0.25">
      <c r="B22" s="169"/>
      <c r="C22" s="210"/>
      <c r="D22" s="210"/>
      <c r="E22" s="211"/>
      <c r="F22" s="236" t="s">
        <v>161</v>
      </c>
      <c r="G22" s="237"/>
      <c r="H22" s="215">
        <f>SUM(H17:H21)</f>
        <v>4695156.46</v>
      </c>
      <c r="I22" s="134"/>
      <c r="J22" s="238"/>
      <c r="K22" s="215">
        <f>SUM(K17:K21)</f>
        <v>3735808.67</v>
      </c>
      <c r="L22" s="175"/>
      <c r="M22" s="239"/>
      <c r="N22" s="215">
        <f>SUM(N17:N21)</f>
        <v>959347.79</v>
      </c>
      <c r="O22" s="176"/>
      <c r="P22" s="213"/>
      <c r="Q22" s="216">
        <f>SUM(Q17:Q21)</f>
        <v>3613021.88</v>
      </c>
      <c r="R22" s="175"/>
      <c r="S22" s="237"/>
      <c r="T22" s="216">
        <f>SUM(T17:T21)</f>
        <v>960146.32000000007</v>
      </c>
      <c r="U22" s="134"/>
      <c r="V22" s="226"/>
      <c r="W22" s="240">
        <f>SUM(W17:W21)</f>
        <v>122786.79</v>
      </c>
      <c r="X22" s="179"/>
      <c r="Y22" s="178"/>
      <c r="Z22" s="216">
        <f>SUM(Z17:Z21)</f>
        <v>-798.52999999999884</v>
      </c>
      <c r="AB22" s="218">
        <f>SUM(AB17:AB21)</f>
        <v>0</v>
      </c>
      <c r="AC22" s="218">
        <f>SUM(AC17:AC21)</f>
        <v>0</v>
      </c>
      <c r="AD22" s="218"/>
      <c r="AE22" s="211"/>
    </row>
    <row r="23" spans="2:33" ht="14.25" customHeight="1" x14ac:dyDescent="0.25">
      <c r="B23" s="169"/>
      <c r="C23" s="210"/>
      <c r="D23" s="210"/>
      <c r="E23" s="211"/>
      <c r="F23" s="236"/>
      <c r="G23" s="16"/>
      <c r="H23" s="219"/>
      <c r="I23" s="134"/>
      <c r="J23" s="225"/>
      <c r="K23" s="223"/>
      <c r="L23" s="222"/>
      <c r="M23" s="241"/>
      <c r="N23" s="223"/>
      <c r="O23" s="176"/>
      <c r="P23" s="213"/>
      <c r="Q23" s="118"/>
      <c r="R23" s="16"/>
      <c r="S23" s="16"/>
      <c r="T23" s="118"/>
      <c r="U23" s="134"/>
      <c r="W23" s="214"/>
      <c r="X23" s="179"/>
      <c r="Y23" s="178"/>
      <c r="Z23" s="118"/>
      <c r="AE23" s="211"/>
    </row>
    <row r="24" spans="2:33" ht="14.25" customHeight="1" x14ac:dyDescent="0.25">
      <c r="B24" s="169" t="s">
        <v>142</v>
      </c>
      <c r="C24" s="170">
        <v>6011</v>
      </c>
      <c r="D24" s="170">
        <v>28040</v>
      </c>
      <c r="E24" s="171">
        <v>673020</v>
      </c>
      <c r="F24" s="101" t="s">
        <v>162</v>
      </c>
      <c r="G24" s="172"/>
      <c r="H24" s="118">
        <f>K24+N24</f>
        <v>56703.269999999982</v>
      </c>
      <c r="I24" s="134"/>
      <c r="J24" s="225"/>
      <c r="K24" s="174">
        <f t="shared" ref="K24:K37" si="4">+Q24+W24</f>
        <v>52282.059999999983</v>
      </c>
      <c r="L24" s="175" t="s">
        <v>145</v>
      </c>
      <c r="M24" s="173"/>
      <c r="N24" s="174">
        <f t="shared" ref="N24:N33" si="5">+T24+Z24</f>
        <v>4421.2099999999991</v>
      </c>
      <c r="O24" s="176" t="s">
        <v>145</v>
      </c>
      <c r="P24" s="173"/>
      <c r="Q24" s="177">
        <v>158846.26999999999</v>
      </c>
      <c r="R24" s="16"/>
      <c r="S24" s="173"/>
      <c r="T24" s="177">
        <v>18527.599999999999</v>
      </c>
      <c r="U24" s="134"/>
      <c r="V24" s="226"/>
      <c r="W24" s="177">
        <v>-106564.21</v>
      </c>
      <c r="X24" s="242"/>
      <c r="Y24" s="242"/>
      <c r="Z24" s="177">
        <v>-14106.39</v>
      </c>
      <c r="AE24" s="180">
        <v>673020</v>
      </c>
    </row>
    <row r="25" spans="2:33" ht="14.25" customHeight="1" x14ac:dyDescent="0.25">
      <c r="B25" s="169" t="s">
        <v>142</v>
      </c>
      <c r="C25" s="170">
        <v>6011</v>
      </c>
      <c r="D25" s="170">
        <v>28040</v>
      </c>
      <c r="E25" s="171">
        <v>673030</v>
      </c>
      <c r="F25" s="101" t="s">
        <v>163</v>
      </c>
      <c r="G25" s="172"/>
      <c r="H25" s="118">
        <f t="shared" ref="H25:H37" si="6">K25+N25</f>
        <v>173055</v>
      </c>
      <c r="I25" s="134"/>
      <c r="J25" s="225"/>
      <c r="K25" s="174">
        <f t="shared" si="4"/>
        <v>152824.87</v>
      </c>
      <c r="L25" s="175" t="s">
        <v>145</v>
      </c>
      <c r="M25" s="173"/>
      <c r="N25" s="174">
        <f t="shared" si="5"/>
        <v>20230.13</v>
      </c>
      <c r="O25" s="176" t="s">
        <v>145</v>
      </c>
      <c r="P25" s="173"/>
      <c r="Q25" s="177">
        <v>152824.87</v>
      </c>
      <c r="R25" s="16"/>
      <c r="S25" s="173"/>
      <c r="T25" s="177">
        <v>20230.13</v>
      </c>
      <c r="U25" s="134"/>
      <c r="V25" s="226"/>
      <c r="W25" s="231"/>
      <c r="X25" s="242"/>
      <c r="Y25" s="242"/>
      <c r="Z25" s="231"/>
      <c r="AE25" s="180">
        <v>673030</v>
      </c>
    </row>
    <row r="26" spans="2:33" ht="14.25" customHeight="1" x14ac:dyDescent="0.25">
      <c r="B26" s="169" t="s">
        <v>142</v>
      </c>
      <c r="C26" s="170">
        <v>6011</v>
      </c>
      <c r="D26" s="170">
        <v>28040</v>
      </c>
      <c r="E26" s="171">
        <v>673040</v>
      </c>
      <c r="F26" s="101" t="s">
        <v>164</v>
      </c>
      <c r="G26" s="172"/>
      <c r="H26" s="118">
        <f t="shared" si="6"/>
        <v>0</v>
      </c>
      <c r="I26" s="134"/>
      <c r="J26" s="225"/>
      <c r="K26" s="182">
        <f t="shared" si="4"/>
        <v>0</v>
      </c>
      <c r="L26" s="175" t="s">
        <v>148</v>
      </c>
      <c r="M26" s="173"/>
      <c r="N26" s="182">
        <f>+T26+Z26</f>
        <v>0</v>
      </c>
      <c r="O26" s="176" t="s">
        <v>148</v>
      </c>
      <c r="P26" s="173"/>
      <c r="Q26" s="192"/>
      <c r="R26" s="16"/>
      <c r="S26" s="173"/>
      <c r="T26" s="192"/>
      <c r="U26" s="134"/>
      <c r="V26" s="226"/>
      <c r="W26" s="192"/>
      <c r="X26" s="242"/>
      <c r="Y26" s="242"/>
      <c r="Z26" s="192"/>
      <c r="AE26" s="188">
        <v>673040</v>
      </c>
    </row>
    <row r="27" spans="2:33" ht="14.25" customHeight="1" x14ac:dyDescent="0.25">
      <c r="B27" s="169" t="s">
        <v>142</v>
      </c>
      <c r="C27" s="170">
        <v>6011</v>
      </c>
      <c r="D27" s="170">
        <v>28040</v>
      </c>
      <c r="E27" s="171">
        <v>673050</v>
      </c>
      <c r="F27" s="101" t="s">
        <v>165</v>
      </c>
      <c r="G27" s="172"/>
      <c r="H27" s="118">
        <f t="shared" si="6"/>
        <v>0</v>
      </c>
      <c r="I27" s="134"/>
      <c r="J27" s="225"/>
      <c r="K27" s="182">
        <f t="shared" si="4"/>
        <v>0</v>
      </c>
      <c r="L27" s="175" t="s">
        <v>148</v>
      </c>
      <c r="M27" s="173"/>
      <c r="N27" s="182">
        <f t="shared" si="5"/>
        <v>0</v>
      </c>
      <c r="O27" s="176" t="s">
        <v>145</v>
      </c>
      <c r="P27" s="173"/>
      <c r="Q27" s="192"/>
      <c r="R27" s="16"/>
      <c r="S27" s="173"/>
      <c r="T27" s="192"/>
      <c r="U27" s="134"/>
      <c r="V27" s="226"/>
      <c r="W27" s="192"/>
      <c r="X27" s="242"/>
      <c r="Y27" s="242"/>
      <c r="Z27" s="192"/>
      <c r="AE27" s="188">
        <v>673050</v>
      </c>
    </row>
    <row r="28" spans="2:33" ht="14.25" customHeight="1" x14ac:dyDescent="0.25">
      <c r="B28" s="169" t="s">
        <v>142</v>
      </c>
      <c r="C28" s="170">
        <v>6011</v>
      </c>
      <c r="D28" s="170">
        <v>28040</v>
      </c>
      <c r="E28" s="171">
        <v>673060</v>
      </c>
      <c r="F28" s="101" t="s">
        <v>166</v>
      </c>
      <c r="G28" s="172"/>
      <c r="H28" s="118">
        <f t="shared" si="6"/>
        <v>0</v>
      </c>
      <c r="I28" s="134"/>
      <c r="J28" s="225"/>
      <c r="K28" s="182">
        <f t="shared" si="4"/>
        <v>0</v>
      </c>
      <c r="L28" s="175" t="s">
        <v>148</v>
      </c>
      <c r="M28" s="173"/>
      <c r="N28" s="182">
        <f t="shared" si="5"/>
        <v>0</v>
      </c>
      <c r="O28" s="176" t="s">
        <v>145</v>
      </c>
      <c r="P28" s="173"/>
      <c r="Q28" s="192"/>
      <c r="R28" s="16"/>
      <c r="S28" s="173"/>
      <c r="T28" s="192"/>
      <c r="U28" s="134"/>
      <c r="V28" s="226"/>
      <c r="W28" s="192"/>
      <c r="X28" s="242"/>
      <c r="Y28" s="242"/>
      <c r="Z28" s="192"/>
      <c r="AE28" s="188">
        <v>673060</v>
      </c>
    </row>
    <row r="29" spans="2:33" ht="14.25" customHeight="1" x14ac:dyDescent="0.25">
      <c r="B29" s="169" t="s">
        <v>142</v>
      </c>
      <c r="C29" s="170">
        <v>6011</v>
      </c>
      <c r="D29" s="170">
        <v>28040</v>
      </c>
      <c r="E29" s="171">
        <v>673070</v>
      </c>
      <c r="F29" s="101" t="s">
        <v>167</v>
      </c>
      <c r="G29" s="172"/>
      <c r="H29" s="118">
        <f t="shared" si="6"/>
        <v>0</v>
      </c>
      <c r="I29" s="134"/>
      <c r="J29" s="225"/>
      <c r="K29" s="174">
        <f t="shared" si="4"/>
        <v>0</v>
      </c>
      <c r="L29" s="175" t="s">
        <v>148</v>
      </c>
      <c r="M29" s="173"/>
      <c r="N29" s="174">
        <f t="shared" si="5"/>
        <v>0</v>
      </c>
      <c r="O29" s="176" t="s">
        <v>145</v>
      </c>
      <c r="P29" s="173"/>
      <c r="Q29" s="231"/>
      <c r="R29" s="16"/>
      <c r="S29" s="173"/>
      <c r="T29" s="231"/>
      <c r="U29" s="134"/>
      <c r="V29" s="226"/>
      <c r="W29" s="231"/>
      <c r="X29" s="242"/>
      <c r="Y29" s="242"/>
      <c r="Z29" s="231"/>
      <c r="AE29" s="180">
        <v>673070</v>
      </c>
    </row>
    <row r="30" spans="2:33" ht="14.25" customHeight="1" x14ac:dyDescent="0.25">
      <c r="B30" s="169" t="s">
        <v>142</v>
      </c>
      <c r="C30" s="170">
        <v>6011</v>
      </c>
      <c r="D30" s="170">
        <v>28040</v>
      </c>
      <c r="E30" s="171">
        <v>673080</v>
      </c>
      <c r="F30" s="101" t="s">
        <v>168</v>
      </c>
      <c r="G30" s="172"/>
      <c r="H30" s="118">
        <f t="shared" si="6"/>
        <v>0</v>
      </c>
      <c r="I30" s="134"/>
      <c r="J30" s="225"/>
      <c r="K30" s="174">
        <f t="shared" si="4"/>
        <v>0</v>
      </c>
      <c r="L30" s="175" t="s">
        <v>145</v>
      </c>
      <c r="M30" s="173"/>
      <c r="N30" s="174">
        <f t="shared" si="5"/>
        <v>0</v>
      </c>
      <c r="O30" s="176" t="s">
        <v>145</v>
      </c>
      <c r="P30" s="173"/>
      <c r="Q30" s="231"/>
      <c r="R30" s="16"/>
      <c r="S30" s="173"/>
      <c r="T30" s="231"/>
      <c r="U30" s="134"/>
      <c r="V30" s="226"/>
      <c r="W30" s="231"/>
      <c r="X30" s="242"/>
      <c r="Y30" s="242"/>
      <c r="Z30" s="231"/>
      <c r="AE30" s="180">
        <v>673080</v>
      </c>
    </row>
    <row r="31" spans="2:33" ht="14.25" customHeight="1" x14ac:dyDescent="0.25">
      <c r="B31" s="169" t="s">
        <v>142</v>
      </c>
      <c r="C31" s="170">
        <v>6011</v>
      </c>
      <c r="D31" s="170">
        <v>28040</v>
      </c>
      <c r="E31" s="171">
        <v>673090</v>
      </c>
      <c r="F31" s="101" t="s">
        <v>169</v>
      </c>
      <c r="G31" s="172"/>
      <c r="H31" s="118">
        <f t="shared" si="6"/>
        <v>0</v>
      </c>
      <c r="I31" s="134"/>
      <c r="J31" s="225"/>
      <c r="K31" s="182">
        <f t="shared" si="4"/>
        <v>0</v>
      </c>
      <c r="L31" s="175" t="s">
        <v>148</v>
      </c>
      <c r="M31" s="173"/>
      <c r="N31" s="182">
        <f>+T31+Z31</f>
        <v>0</v>
      </c>
      <c r="O31" s="176" t="s">
        <v>148</v>
      </c>
      <c r="P31" s="173"/>
      <c r="Q31" s="192"/>
      <c r="R31" s="16"/>
      <c r="S31" s="173"/>
      <c r="T31" s="192"/>
      <c r="U31" s="134"/>
      <c r="V31" s="226"/>
      <c r="W31" s="192"/>
      <c r="X31" s="242"/>
      <c r="Y31" s="242"/>
      <c r="Z31" s="192"/>
      <c r="AE31" s="188">
        <v>673090</v>
      </c>
    </row>
    <row r="32" spans="2:33" ht="14.25" customHeight="1" x14ac:dyDescent="0.25">
      <c r="B32" s="169" t="s">
        <v>142</v>
      </c>
      <c r="C32" s="170">
        <v>6011</v>
      </c>
      <c r="D32" s="170">
        <v>28040</v>
      </c>
      <c r="E32" s="171">
        <v>673120</v>
      </c>
      <c r="F32" s="101" t="s">
        <v>170</v>
      </c>
      <c r="G32" s="172"/>
      <c r="H32" s="118">
        <f t="shared" si="6"/>
        <v>180996.47999999998</v>
      </c>
      <c r="I32" s="134"/>
      <c r="J32" s="225"/>
      <c r="K32" s="174">
        <f t="shared" si="4"/>
        <v>160711.88999999998</v>
      </c>
      <c r="L32" s="175" t="s">
        <v>145</v>
      </c>
      <c r="M32" s="173"/>
      <c r="N32" s="174">
        <f t="shared" si="5"/>
        <v>20284.59</v>
      </c>
      <c r="O32" s="176" t="s">
        <v>145</v>
      </c>
      <c r="P32" s="173"/>
      <c r="Q32" s="177">
        <v>156661.87</v>
      </c>
      <c r="R32" s="16"/>
      <c r="S32" s="173"/>
      <c r="T32" s="177">
        <v>19791.77</v>
      </c>
      <c r="U32" s="134"/>
      <c r="V32" s="226"/>
      <c r="W32" s="177">
        <v>4050.02</v>
      </c>
      <c r="X32" s="242"/>
      <c r="Y32" s="242"/>
      <c r="Z32" s="177">
        <v>492.82</v>
      </c>
      <c r="AE32" s="180">
        <v>673120</v>
      </c>
    </row>
    <row r="33" spans="2:32" ht="14.25" customHeight="1" x14ac:dyDescent="0.25">
      <c r="B33" s="169" t="s">
        <v>142</v>
      </c>
      <c r="C33" s="170">
        <v>6011</v>
      </c>
      <c r="D33" s="170">
        <v>28040</v>
      </c>
      <c r="E33" s="171">
        <v>673130</v>
      </c>
      <c r="F33" s="101" t="s">
        <v>171</v>
      </c>
      <c r="G33" s="172"/>
      <c r="H33" s="118">
        <f t="shared" si="6"/>
        <v>0</v>
      </c>
      <c r="I33" s="134"/>
      <c r="J33" s="225"/>
      <c r="K33" s="174">
        <f t="shared" si="4"/>
        <v>0</v>
      </c>
      <c r="L33" s="175" t="s">
        <v>145</v>
      </c>
      <c r="M33" s="173"/>
      <c r="N33" s="174">
        <f t="shared" si="5"/>
        <v>0</v>
      </c>
      <c r="O33" s="176" t="s">
        <v>145</v>
      </c>
      <c r="P33" s="173"/>
      <c r="Q33" s="231"/>
      <c r="R33" s="16"/>
      <c r="S33" s="173"/>
      <c r="T33" s="231"/>
      <c r="U33" s="134"/>
      <c r="V33" s="226"/>
      <c r="W33" s="231"/>
      <c r="X33" s="179"/>
      <c r="Y33" s="178"/>
      <c r="Z33" s="177"/>
      <c r="AE33" s="180">
        <v>673130</v>
      </c>
    </row>
    <row r="34" spans="2:32" ht="14.25" customHeight="1" x14ac:dyDescent="0.25">
      <c r="B34" s="169" t="s">
        <v>142</v>
      </c>
      <c r="C34" s="170">
        <v>6011</v>
      </c>
      <c r="D34" s="170">
        <v>28040</v>
      </c>
      <c r="E34" s="171">
        <v>673140</v>
      </c>
      <c r="F34" s="101" t="s">
        <v>172</v>
      </c>
      <c r="G34" s="172"/>
      <c r="H34" s="118">
        <f t="shared" si="6"/>
        <v>0</v>
      </c>
      <c r="I34" s="134"/>
      <c r="J34" s="225"/>
      <c r="K34" s="182">
        <f t="shared" si="4"/>
        <v>0</v>
      </c>
      <c r="L34" s="175" t="s">
        <v>148</v>
      </c>
      <c r="M34" s="173"/>
      <c r="N34" s="182">
        <f>+T34+Z34</f>
        <v>0</v>
      </c>
      <c r="O34" s="176" t="s">
        <v>148</v>
      </c>
      <c r="P34" s="173"/>
      <c r="Q34" s="184"/>
      <c r="R34" s="16"/>
      <c r="S34" s="173"/>
      <c r="T34" s="184"/>
      <c r="U34" s="134"/>
      <c r="V34" s="226"/>
      <c r="W34" s="192"/>
      <c r="X34" s="179"/>
      <c r="Y34" s="178"/>
      <c r="Z34" s="192"/>
      <c r="AE34" s="188">
        <v>673140</v>
      </c>
    </row>
    <row r="35" spans="2:32" ht="14.25" customHeight="1" x14ac:dyDescent="0.25">
      <c r="B35" s="169" t="s">
        <v>142</v>
      </c>
      <c r="C35" s="170">
        <v>6011</v>
      </c>
      <c r="D35" s="170">
        <v>28040</v>
      </c>
      <c r="E35" s="171">
        <v>673160</v>
      </c>
      <c r="F35" s="101" t="s">
        <v>173</v>
      </c>
      <c r="G35" s="172"/>
      <c r="H35" s="118">
        <f t="shared" si="6"/>
        <v>0</v>
      </c>
      <c r="I35" s="134"/>
      <c r="J35" s="225"/>
      <c r="K35" s="182">
        <f t="shared" si="4"/>
        <v>0</v>
      </c>
      <c r="L35" s="175" t="s">
        <v>148</v>
      </c>
      <c r="M35" s="173"/>
      <c r="N35" s="182">
        <f>+T35+Z35</f>
        <v>0</v>
      </c>
      <c r="O35" s="176" t="s">
        <v>148</v>
      </c>
      <c r="P35" s="173"/>
      <c r="Q35" s="192"/>
      <c r="R35" s="16"/>
      <c r="S35" s="173"/>
      <c r="T35" s="192"/>
      <c r="U35" s="134"/>
      <c r="V35" s="226"/>
      <c r="W35" s="192"/>
      <c r="X35" s="179"/>
      <c r="Y35" s="178"/>
      <c r="Z35" s="192"/>
      <c r="AE35" s="188">
        <v>673160</v>
      </c>
    </row>
    <row r="36" spans="2:32" ht="14.25" customHeight="1" x14ac:dyDescent="0.25">
      <c r="B36" s="169" t="s">
        <v>142</v>
      </c>
      <c r="C36" s="170">
        <v>6011</v>
      </c>
      <c r="D36" s="170">
        <v>28040</v>
      </c>
      <c r="E36" s="171">
        <v>673180</v>
      </c>
      <c r="F36" s="101" t="s">
        <v>174</v>
      </c>
      <c r="G36" s="172"/>
      <c r="H36" s="118">
        <f t="shared" si="6"/>
        <v>0</v>
      </c>
      <c r="I36" s="134"/>
      <c r="J36" s="225"/>
      <c r="K36" s="174">
        <f>+Q36+W36</f>
        <v>0</v>
      </c>
      <c r="L36" s="175" t="s">
        <v>145</v>
      </c>
      <c r="M36" s="173"/>
      <c r="N36" s="174">
        <f>+T36+Z36</f>
        <v>0</v>
      </c>
      <c r="O36" s="176" t="s">
        <v>145</v>
      </c>
      <c r="P36" s="173"/>
      <c r="Q36" s="231"/>
      <c r="R36" s="16"/>
      <c r="S36" s="173"/>
      <c r="T36" s="231"/>
      <c r="U36" s="134"/>
      <c r="V36" s="226"/>
      <c r="W36" s="231"/>
      <c r="X36" s="242"/>
      <c r="Y36" s="242"/>
      <c r="Z36" s="231"/>
      <c r="AE36" s="180">
        <v>673180</v>
      </c>
    </row>
    <row r="37" spans="2:32" ht="14.25" customHeight="1" x14ac:dyDescent="0.25">
      <c r="B37" s="169" t="s">
        <v>142</v>
      </c>
      <c r="C37" s="170">
        <v>6011</v>
      </c>
      <c r="D37" s="170">
        <v>28040</v>
      </c>
      <c r="E37" s="171">
        <v>673190</v>
      </c>
      <c r="F37" s="243" t="s">
        <v>175</v>
      </c>
      <c r="G37" s="172"/>
      <c r="H37" s="244">
        <f t="shared" si="6"/>
        <v>0</v>
      </c>
      <c r="I37" s="134"/>
      <c r="J37" s="225"/>
      <c r="K37" s="182">
        <f t="shared" si="4"/>
        <v>0</v>
      </c>
      <c r="L37" s="175" t="s">
        <v>148</v>
      </c>
      <c r="M37" s="234"/>
      <c r="N37" s="182">
        <f>+T37+Z37</f>
        <v>0</v>
      </c>
      <c r="O37" s="176" t="s">
        <v>148</v>
      </c>
      <c r="P37" s="234"/>
      <c r="Q37" s="192"/>
      <c r="R37" s="16"/>
      <c r="S37" s="234"/>
      <c r="T37" s="209"/>
      <c r="U37" s="134"/>
      <c r="V37" s="245"/>
      <c r="W37" s="192"/>
      <c r="X37" s="179"/>
      <c r="Y37" s="178"/>
      <c r="Z37" s="192"/>
      <c r="AE37" s="188">
        <v>673190</v>
      </c>
    </row>
    <row r="38" spans="2:32" ht="15" x14ac:dyDescent="0.25">
      <c r="F38" s="101" t="s">
        <v>176</v>
      </c>
      <c r="G38" s="237"/>
      <c r="H38" s="118">
        <f>SUM(H24:H37)</f>
        <v>410754.75</v>
      </c>
      <c r="I38" s="134"/>
      <c r="J38" s="247"/>
      <c r="K38" s="215">
        <f>SUM(K24:K37)</f>
        <v>365818.81999999995</v>
      </c>
      <c r="L38" s="175"/>
      <c r="M38" s="16"/>
      <c r="N38" s="215">
        <f>SUM(N24:N37)</f>
        <v>44935.93</v>
      </c>
      <c r="O38" s="134"/>
      <c r="P38" s="248"/>
      <c r="Q38" s="216">
        <f>SUM(Q24:Q37)</f>
        <v>468333.01</v>
      </c>
      <c r="R38" s="175"/>
      <c r="S38" s="237"/>
      <c r="T38" s="216">
        <f>SUM(T24:T37)</f>
        <v>58549.5</v>
      </c>
      <c r="U38" s="134"/>
      <c r="W38" s="216">
        <f>SUM(W24:W37)</f>
        <v>-102514.19</v>
      </c>
      <c r="Y38" s="249"/>
      <c r="Z38" s="216">
        <f>SUM(Z24:Z37)</f>
        <v>-13613.57</v>
      </c>
      <c r="AB38" s="218">
        <f>SUM(AB24:AB37)</f>
        <v>0</v>
      </c>
      <c r="AC38" s="218">
        <f>SUM(AC24:AC37)</f>
        <v>0</v>
      </c>
      <c r="AD38" s="218"/>
    </row>
    <row r="39" spans="2:32" ht="14.1" customHeight="1" x14ac:dyDescent="0.25">
      <c r="F39" s="236"/>
      <c r="G39" s="16"/>
      <c r="H39" s="250"/>
      <c r="I39" s="134"/>
      <c r="J39" s="247"/>
      <c r="K39" s="251"/>
      <c r="L39" s="252"/>
      <c r="M39" s="247"/>
      <c r="N39" s="251"/>
      <c r="O39" s="134"/>
      <c r="P39" s="253"/>
      <c r="Q39" s="254"/>
      <c r="R39" s="248"/>
      <c r="S39" s="253"/>
      <c r="T39" s="254"/>
      <c r="U39" s="134"/>
      <c r="V39" s="255"/>
      <c r="W39" s="250"/>
      <c r="Z39" s="256"/>
      <c r="AB39" s="133"/>
      <c r="AC39" s="133"/>
      <c r="AD39" s="133"/>
    </row>
    <row r="40" spans="2:32" ht="15.75" customHeight="1" x14ac:dyDescent="0.25">
      <c r="F40" s="257" t="s">
        <v>177</v>
      </c>
      <c r="G40" s="237">
        <f>+G38+G22+G15</f>
        <v>48865329</v>
      </c>
      <c r="H40" s="118">
        <f>+H38+H22+H15</f>
        <v>20258784.079999998</v>
      </c>
      <c r="I40" s="134"/>
      <c r="J40" s="257">
        <f>+J38+J22+J15</f>
        <v>35596203</v>
      </c>
      <c r="K40" s="216">
        <f>+K38+K22+K15</f>
        <v>15434513.950000001</v>
      </c>
      <c r="L40" s="258"/>
      <c r="M40" s="257">
        <f>+M38+M22+M15</f>
        <v>13269126</v>
      </c>
      <c r="N40" s="216">
        <f>+N38+N22+N15</f>
        <v>4824270.13</v>
      </c>
      <c r="O40" s="154"/>
      <c r="P40" s="259">
        <f>+P38+P22+P15</f>
        <v>35595792</v>
      </c>
      <c r="Q40" s="260">
        <f>+Q38+Q22+Q15</f>
        <v>15409729.370000001</v>
      </c>
      <c r="R40" s="102"/>
      <c r="S40" s="259">
        <f>+S38+S22+S15</f>
        <v>13269537</v>
      </c>
      <c r="T40" s="260">
        <f>+T38+T22+T15</f>
        <v>4837834.04</v>
      </c>
      <c r="U40" s="134"/>
      <c r="V40" s="13">
        <f>+V38+V22+V15</f>
        <v>411</v>
      </c>
      <c r="W40" s="216">
        <f>+W38+W22+W15</f>
        <v>24784.579999999991</v>
      </c>
      <c r="Y40" s="13">
        <f>+Y38+Y22+Y15</f>
        <v>-411</v>
      </c>
      <c r="Z40" s="216">
        <f>+Z38+Z22+Z15</f>
        <v>-13563.909999999998</v>
      </c>
      <c r="AB40" s="218">
        <f>+AB38+AB22+AB15</f>
        <v>0</v>
      </c>
      <c r="AC40" s="218">
        <f>+AC38+AC22+AC15</f>
        <v>0</v>
      </c>
      <c r="AD40" s="218"/>
      <c r="AE40" s="230"/>
    </row>
    <row r="41" spans="2:32" ht="14.1" customHeight="1" x14ac:dyDescent="0.25">
      <c r="H41" s="261"/>
      <c r="I41" s="134"/>
      <c r="J41" s="262"/>
      <c r="K41" s="223"/>
      <c r="L41" s="252"/>
      <c r="M41" s="262"/>
      <c r="N41" s="223"/>
      <c r="O41" s="134"/>
      <c r="P41" s="248"/>
      <c r="Q41" s="106"/>
      <c r="R41" s="248"/>
      <c r="S41" s="248"/>
      <c r="T41" s="106"/>
      <c r="U41" s="134"/>
      <c r="W41" s="256"/>
      <c r="Z41" s="256"/>
    </row>
    <row r="42" spans="2:32" ht="14.1" customHeight="1" x14ac:dyDescent="0.25">
      <c r="C42" s="16" t="s">
        <v>178</v>
      </c>
      <c r="I42" s="134"/>
      <c r="J42" s="263"/>
      <c r="K42" s="264">
        <f>+K8+K9+K10+K11+K12+K13+K14+K18+K26+K27+K28+K31+K34+K35+K37</f>
        <v>11123137.610000001</v>
      </c>
      <c r="L42" s="252" t="s">
        <v>148</v>
      </c>
      <c r="M42" s="262"/>
      <c r="N42" s="265">
        <f>+N8+N9+N10+N11+N12+N13+N14+N18+N26+N31+N34+N35+N37+N27+N28</f>
        <v>3404951.23</v>
      </c>
      <c r="O42" s="176" t="s">
        <v>148</v>
      </c>
      <c r="P42" s="248"/>
      <c r="Q42" s="266">
        <f>+Q8+Q9+Q10+Q11+Q12+Q13+Q14+Q18+Q26+Q27+Q28+Q31+Q34+Q35+Q37</f>
        <v>11127293.690000001</v>
      </c>
      <c r="R42" s="248"/>
      <c r="S42" s="263"/>
      <c r="T42" s="266">
        <f>+T8+T10+T9+T11+T12+T13+T14+T18+T26+T31+T34+T35+T37+T27+T28</f>
        <v>3394934.65</v>
      </c>
      <c r="U42" s="134"/>
      <c r="W42" s="266">
        <f>+W8+W9+W10+W11+W12+W13+W14+W18+W26+W27+W28+W31+W34+W35+W37</f>
        <v>-4156.08</v>
      </c>
      <c r="Z42" s="266">
        <f>Z9+Z10+Z11+Z12+Z13+Z14+Z18+Z26+Z31+Z34+Z35+Z37+Z8+Z27+Z28</f>
        <v>10016.58</v>
      </c>
      <c r="AB42" s="267">
        <f>+AB8+AB9+AB10+AB11+AB12+AB13+AB14+AB18+AB26+AB27+AB28+AB29+AB31+AB34+AB35+AB37</f>
        <v>0</v>
      </c>
      <c r="AC42" s="267">
        <f>+AC6+AC8+AC9+AC10+AC11+AC12+AC13+AC14+AC18+AC26+AC31+AC34+AC35+AC37</f>
        <v>0</v>
      </c>
    </row>
    <row r="43" spans="2:32" ht="14.1" customHeight="1" x14ac:dyDescent="0.25">
      <c r="C43" s="16" t="s">
        <v>179</v>
      </c>
      <c r="I43" s="134"/>
      <c r="J43" s="263"/>
      <c r="K43" s="264">
        <f>+K6+K7+K17+K24+K25+K30+K32+K33+K36+K19+K20+K21+K29</f>
        <v>4311376.34</v>
      </c>
      <c r="L43" s="252" t="s">
        <v>145</v>
      </c>
      <c r="M43" s="262"/>
      <c r="N43" s="265">
        <f>N6+N7+N17+N24+N25+N30+N32+N33+N36+N19+N20+N21+N29</f>
        <v>1419318.9</v>
      </c>
      <c r="O43" s="176" t="s">
        <v>145</v>
      </c>
      <c r="P43" s="248"/>
      <c r="Q43" s="268">
        <f>Q6+Q7+Q17+Q24+Q25+Q30+Q32+Q33+Q36+Q19+Q20+Q21+Q29</f>
        <v>4282435.68</v>
      </c>
      <c r="R43" s="248"/>
      <c r="S43" s="263"/>
      <c r="T43" s="268">
        <f>+T7+T6+T17+T24+T25+T30+T32+T33+T36+T19+T20+T21+T29</f>
        <v>1442899.3900000001</v>
      </c>
      <c r="U43" s="134"/>
      <c r="W43" s="268">
        <f>W6+W7+W17+W24+W25+W30+W32+W33+W36+W19+W20+W21+W29</f>
        <v>28940.66</v>
      </c>
      <c r="Z43" s="268">
        <f>+Z7+Z17+Z24+Z25+Z30+Z32+Z33+Z36+Z19+Z20+Z21+Z29+Z6</f>
        <v>-23580.489999999998</v>
      </c>
      <c r="AB43" s="269">
        <f>AB6+AB7+AB17+AB24+AB25+AB30+AB32+AB33+AB36</f>
        <v>0</v>
      </c>
      <c r="AC43" s="269">
        <f>+AC7+AC17+AC24+AC25+AC27+AC28+AC29+AC30+AC32+AC33+AC36</f>
        <v>0</v>
      </c>
    </row>
    <row r="44" spans="2:32" ht="15" customHeight="1" x14ac:dyDescent="0.25">
      <c r="C44" s="16" t="s">
        <v>10</v>
      </c>
      <c r="I44" s="134"/>
      <c r="J44" s="262"/>
      <c r="K44" s="216">
        <f>SUM(K42:K43)</f>
        <v>15434513.950000001</v>
      </c>
      <c r="L44" s="270"/>
      <c r="M44" s="262"/>
      <c r="N44" s="216">
        <f>SUM(N42:N43)</f>
        <v>4824270.13</v>
      </c>
      <c r="O44" s="134"/>
      <c r="P44" s="248"/>
      <c r="Q44" s="216">
        <f>SUM(Q42:Q43)</f>
        <v>15409729.370000001</v>
      </c>
      <c r="R44" s="248"/>
      <c r="S44" s="248"/>
      <c r="T44" s="216">
        <f>SUM(T42:T43)</f>
        <v>4837834.04</v>
      </c>
      <c r="U44" s="134"/>
      <c r="W44" s="260">
        <f>SUM(W42:W43)</f>
        <v>24784.58</v>
      </c>
      <c r="Z44" s="260">
        <f>SUM(Z42:Z43)</f>
        <v>-13563.909999999998</v>
      </c>
      <c r="AB44" s="271">
        <f>SUM(AB42:AB43)</f>
        <v>0</v>
      </c>
      <c r="AC44" s="271">
        <f>SUM(AC42:AC43)</f>
        <v>0</v>
      </c>
      <c r="AD44" s="272"/>
      <c r="AE44" s="11">
        <f>+Z44+W44</f>
        <v>11220.670000000004</v>
      </c>
    </row>
    <row r="45" spans="2:32" ht="15" customHeight="1" x14ac:dyDescent="0.25">
      <c r="K45" s="273"/>
      <c r="M45" s="172" t="s">
        <v>180</v>
      </c>
      <c r="AE45" s="11">
        <f>+[3]Invoices!$N$68</f>
        <v>11220.668674999919</v>
      </c>
      <c r="AF45" s="101" t="s">
        <v>181</v>
      </c>
    </row>
    <row r="46" spans="2:32" ht="15" x14ac:dyDescent="0.25">
      <c r="K46" s="273" t="s">
        <v>182</v>
      </c>
      <c r="M46" s="274">
        <f>K44+N44</f>
        <v>20258784.080000002</v>
      </c>
      <c r="P46" s="275" t="s">
        <v>183</v>
      </c>
      <c r="Q46" s="276">
        <f>Q44-Q11-Q12-Q13</f>
        <v>15666899.57</v>
      </c>
      <c r="R46" s="136"/>
      <c r="S46" s="275" t="s">
        <v>183</v>
      </c>
      <c r="T46" s="276">
        <f>T44-T11-T12-T13</f>
        <v>4840318</v>
      </c>
      <c r="W46" s="230"/>
      <c r="AE46" s="277">
        <f>+AE44-AE45</f>
        <v>1.3250000847619958E-3</v>
      </c>
    </row>
    <row r="47" spans="2:32" ht="15" customHeight="1" x14ac:dyDescent="0.25">
      <c r="F47" s="278"/>
      <c r="K47" s="273" t="s">
        <v>184</v>
      </c>
      <c r="M47" s="10">
        <v>20532580.59</v>
      </c>
      <c r="P47" s="279" t="s">
        <v>185</v>
      </c>
      <c r="Q47" s="280">
        <f>W44</f>
        <v>24784.58</v>
      </c>
      <c r="R47" s="200"/>
      <c r="S47" s="279" t="s">
        <v>185</v>
      </c>
      <c r="T47" s="280">
        <f>Z44</f>
        <v>-13563.909999999998</v>
      </c>
      <c r="W47" s="281"/>
    </row>
    <row r="48" spans="2:32" ht="15" customHeight="1" x14ac:dyDescent="0.25">
      <c r="F48" s="278"/>
      <c r="G48" s="13" t="s">
        <v>186</v>
      </c>
      <c r="K48" s="273">
        <v>28051</v>
      </c>
      <c r="M48" s="10">
        <v>-404737.03</v>
      </c>
      <c r="Q48" s="282">
        <f>Q46+Q47</f>
        <v>15691684.15</v>
      </c>
      <c r="R48" s="283"/>
      <c r="S48" s="283"/>
      <c r="T48" s="282">
        <f>T46+T47</f>
        <v>4826754.09</v>
      </c>
      <c r="U48" s="281"/>
      <c r="V48" s="281"/>
      <c r="W48" s="284"/>
      <c r="Z48" s="133"/>
    </row>
    <row r="49" spans="2:26" ht="15" customHeight="1" x14ac:dyDescent="0.25">
      <c r="F49" s="278"/>
      <c r="K49" s="273">
        <v>28051</v>
      </c>
      <c r="M49" s="6">
        <v>130940.52</v>
      </c>
      <c r="T49" s="285"/>
      <c r="U49" s="281"/>
      <c r="V49" s="281"/>
      <c r="W49" s="284"/>
      <c r="Z49" s="133"/>
    </row>
    <row r="50" spans="2:26" ht="15" customHeight="1" x14ac:dyDescent="0.25">
      <c r="F50" s="278"/>
      <c r="K50" s="273" t="s">
        <v>187</v>
      </c>
      <c r="M50" s="274">
        <f>+M47+M48+M49</f>
        <v>20258784.079999998</v>
      </c>
      <c r="N50" s="13"/>
      <c r="T50" s="285"/>
      <c r="U50" s="281"/>
      <c r="V50" s="281"/>
      <c r="W50" s="284"/>
      <c r="Z50" s="133"/>
    </row>
    <row r="51" spans="2:26" ht="15" customHeight="1" x14ac:dyDescent="0.25">
      <c r="F51" s="278"/>
      <c r="K51" s="273"/>
      <c r="M51" s="256">
        <f>+M46-M50</f>
        <v>0</v>
      </c>
      <c r="U51" s="281"/>
      <c r="V51" s="281"/>
      <c r="W51" s="284"/>
      <c r="Z51" s="133"/>
    </row>
    <row r="52" spans="2:26" ht="15" customHeight="1" x14ac:dyDescent="0.25">
      <c r="F52" s="278"/>
      <c r="U52" s="281"/>
      <c r="V52" s="281"/>
      <c r="W52" s="284"/>
      <c r="Z52" s="133"/>
    </row>
    <row r="53" spans="2:26" ht="15" customHeight="1" x14ac:dyDescent="0.25">
      <c r="F53" s="278"/>
      <c r="L53" s="286"/>
      <c r="M53" s="287" t="s">
        <v>1</v>
      </c>
      <c r="N53" s="9" t="s">
        <v>188</v>
      </c>
      <c r="Z53" s="133"/>
    </row>
    <row r="54" spans="2:26" ht="14.1" customHeight="1" x14ac:dyDescent="0.25">
      <c r="L54" s="145"/>
      <c r="M54" s="287" t="s">
        <v>189</v>
      </c>
      <c r="N54" s="9" t="s">
        <v>190</v>
      </c>
      <c r="P54" s="102"/>
      <c r="Z54" s="133"/>
    </row>
    <row r="55" spans="2:26" ht="14.1" customHeight="1" x14ac:dyDescent="0.25">
      <c r="B55" s="13"/>
      <c r="L55" s="145"/>
      <c r="M55" s="287" t="s">
        <v>191</v>
      </c>
      <c r="N55" s="9" t="s">
        <v>192</v>
      </c>
    </row>
    <row r="56" spans="2:26" ht="14.1" customHeight="1" x14ac:dyDescent="0.25">
      <c r="B56" s="288"/>
      <c r="L56" s="145"/>
      <c r="M56" s="287" t="s">
        <v>193</v>
      </c>
      <c r="N56" s="9" t="s">
        <v>194</v>
      </c>
      <c r="W56" s="289"/>
    </row>
    <row r="57" spans="2:26" ht="14.1" customHeight="1" x14ac:dyDescent="0.25">
      <c r="L57" s="145"/>
      <c r="M57" s="287" t="s">
        <v>195</v>
      </c>
      <c r="N57" s="290" t="s">
        <v>196</v>
      </c>
    </row>
    <row r="58" spans="2:26" ht="14.1" customHeight="1" x14ac:dyDescent="0.25">
      <c r="L58" s="145"/>
      <c r="M58" s="287" t="s">
        <v>197</v>
      </c>
      <c r="N58" s="9" t="s">
        <v>198</v>
      </c>
    </row>
    <row r="59" spans="2:26" ht="14.1" customHeight="1" x14ac:dyDescent="0.25">
      <c r="L59" s="145"/>
      <c r="M59" s="287" t="s">
        <v>199</v>
      </c>
      <c r="N59" s="9" t="s">
        <v>200</v>
      </c>
    </row>
    <row r="60" spans="2:26" ht="14.1" customHeight="1" x14ac:dyDescent="0.25">
      <c r="L60" s="145"/>
      <c r="M60" s="287" t="s">
        <v>201</v>
      </c>
      <c r="N60" s="9" t="s">
        <v>202</v>
      </c>
    </row>
    <row r="61" spans="2:26" ht="14.1" customHeight="1" x14ac:dyDescent="0.25">
      <c r="L61" s="291"/>
      <c r="M61" s="292"/>
      <c r="N61" s="9" t="s">
        <v>203</v>
      </c>
    </row>
    <row r="62" spans="2:26" ht="14.1" customHeight="1" thickBot="1" x14ac:dyDescent="0.3">
      <c r="P62" s="293" t="s">
        <v>141</v>
      </c>
      <c r="Q62" s="294"/>
      <c r="R62" s="293"/>
      <c r="S62" s="293" t="s">
        <v>141</v>
      </c>
      <c r="T62" s="294"/>
    </row>
    <row r="63" spans="2:26" ht="14.1" customHeight="1" x14ac:dyDescent="0.25">
      <c r="B63" s="13"/>
      <c r="J63" s="99" t="s">
        <v>204</v>
      </c>
      <c r="K63" s="9" t="s">
        <v>205</v>
      </c>
      <c r="L63" s="101"/>
      <c r="M63" s="2">
        <v>6011</v>
      </c>
      <c r="N63" s="9" t="s">
        <v>206</v>
      </c>
      <c r="P63" s="102" t="e">
        <f ca="1">_xll.GXL(1, N$53,"CURRENCY="&amp;N$58&amp;";"&amp;"WEEKLY=FALSE",N$55,N$56,N$57,N$59,J63,$M63,$N63)</f>
        <v>#NAME?</v>
      </c>
      <c r="Q63" s="295" t="e">
        <f ca="1">_xll.GXL(1, N$54,"CURRENCY="&amp;N$58&amp;";"&amp;"WEEKLY=FALSE",N$55,N$56,N$57,N$59,J63,$M63,$N63)</f>
        <v>#NAME?</v>
      </c>
      <c r="R63" s="200">
        <v>-1</v>
      </c>
      <c r="S63" s="102" t="e">
        <f ca="1">_xll.GXL(1, N$53,"CURRENCY="&amp;N$58&amp;";"&amp;"WEEKLY=FALSE",N$55,N$56,N$57,N$59,K63,$M63,$N63)</f>
        <v>#NAME?</v>
      </c>
      <c r="T63" s="295" t="e">
        <f ca="1">_xll.GXL(1, N$54,"CURRENCY="&amp;N$58&amp;";"&amp;"WEEKLY=FALSE",N$55,N$56,N$57,N$59,K63,$M63,$N63)</f>
        <v>#NAME?</v>
      </c>
      <c r="U63" s="296">
        <v>-4</v>
      </c>
    </row>
    <row r="64" spans="2:26" ht="14.1" customHeight="1" x14ac:dyDescent="0.25">
      <c r="J64" s="99" t="s">
        <v>204</v>
      </c>
      <c r="K64" s="9" t="s">
        <v>205</v>
      </c>
      <c r="L64" s="101"/>
      <c r="M64" s="2">
        <v>6011</v>
      </c>
      <c r="N64" s="2">
        <v>28082</v>
      </c>
      <c r="P64" s="102" t="e">
        <f ca="1">_xll.GXL(1, N$53,"CURRENCY="&amp;N$58&amp;";"&amp;"WEEKLY=FALSE",N$55,N$56,N$57,N$59,J64,$M64,$N64)</f>
        <v>#NAME?</v>
      </c>
      <c r="Q64" s="297" t="e">
        <f ca="1">_xll.GXL(1, N$54,"CURRENCY="&amp;N$58&amp;";"&amp;"WEEKLY=FALSE",N$55,N$56,N$57,N$59,N$60,$M64,$N64)</f>
        <v>#NAME?</v>
      </c>
      <c r="R64" s="200">
        <v>-2</v>
      </c>
      <c r="S64" s="295"/>
      <c r="T64" s="297"/>
      <c r="U64" s="296"/>
    </row>
    <row r="65" spans="2:22" ht="15" x14ac:dyDescent="0.25">
      <c r="J65" s="99" t="s">
        <v>204</v>
      </c>
      <c r="K65" s="9" t="s">
        <v>205</v>
      </c>
      <c r="L65" s="101"/>
      <c r="M65" s="2">
        <v>6011</v>
      </c>
      <c r="N65" s="2">
        <v>28120</v>
      </c>
      <c r="P65" s="102" t="e">
        <f ca="1">_xll.GXL(1, N$53,"CURRENCY="&amp;N$58&amp;";"&amp;"WEEKLY=FALSE",N$55,N$56,N$57,N$59,J65,$M65,$N65)</f>
        <v>#NAME?</v>
      </c>
      <c r="Q65" s="295" t="e">
        <f ca="1">_xll.GXL(1, N$54,"CURRENCY="&amp;N$58&amp;";"&amp;"WEEKLY=FALSE",N$55,N$56,N$57,N$59,J65,$M65,$N65)</f>
        <v>#NAME?</v>
      </c>
      <c r="R65" s="200">
        <v>-3</v>
      </c>
      <c r="S65" s="102" t="e">
        <f ca="1">_xll.GXL(1, N$53,"CURRENCY="&amp;N$58&amp;";"&amp;"WEEKLY=FALSE",N$55,N$56,N$57,N$59,K65,$M65,$N65)</f>
        <v>#NAME?</v>
      </c>
      <c r="T65" s="295" t="e">
        <f ca="1">_xll.GXL(1, N$54,"CURRENCY="&amp;N$58&amp;";"&amp;"WEEKLY=FALSE",N$55,N$56,N$57,N$59,K65,$M65,$N65)</f>
        <v>#NAME?</v>
      </c>
      <c r="U65" s="296">
        <v>-5</v>
      </c>
    </row>
    <row r="66" spans="2:22" ht="14.1" customHeight="1" x14ac:dyDescent="0.25">
      <c r="B66" s="7"/>
      <c r="P66" s="102"/>
      <c r="Q66" s="298" t="e">
        <f ca="1">SUM(Q63:Q65)</f>
        <v>#NAME?</v>
      </c>
      <c r="R66" s="156"/>
      <c r="S66" s="156"/>
      <c r="T66" s="298" t="e">
        <f ca="1">SUM(T63:T65)</f>
        <v>#NAME?</v>
      </c>
      <c r="U66" s="101"/>
    </row>
    <row r="67" spans="2:22" ht="14.1" customHeight="1" x14ac:dyDescent="0.25">
      <c r="P67" s="299"/>
      <c r="Q67" s="300"/>
      <c r="R67" s="299"/>
      <c r="S67" s="299"/>
      <c r="T67" s="300"/>
      <c r="U67" s="101"/>
    </row>
    <row r="73" spans="2:22" ht="14.1" customHeight="1" x14ac:dyDescent="0.25">
      <c r="Q73" s="144">
        <v>9776852</v>
      </c>
      <c r="S73" s="144">
        <v>2278617.61</v>
      </c>
      <c r="T73" s="144">
        <v>2102518</v>
      </c>
      <c r="V73" s="13">
        <v>317389.78000000003</v>
      </c>
    </row>
    <row r="75" spans="2:22" ht="14.1" customHeight="1" x14ac:dyDescent="0.25">
      <c r="S75" s="301">
        <f>+S73/Q73</f>
        <v>0.23306250416800825</v>
      </c>
      <c r="V75" s="302">
        <f>+V73/T73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" right="0" top="0.75" bottom="0" header="0.35" footer="0.24"/>
  <pageSetup scale="52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06FA-E3DB-426B-93F0-D8D63FE2575E}">
  <dimension ref="B1:H27"/>
  <sheetViews>
    <sheetView showGridLines="0" view="pageBreakPreview" zoomScaleNormal="115" zoomScaleSheetLayoutView="100" workbookViewId="0">
      <selection activeCell="E37" sqref="E37"/>
    </sheetView>
  </sheetViews>
  <sheetFormatPr defaultRowHeight="12.75" x14ac:dyDescent="0.2"/>
  <cols>
    <col min="1" max="1" width="1.7109375" style="129" customWidth="1"/>
    <col min="2" max="2" width="10" style="129" customWidth="1"/>
    <col min="3" max="3" width="26.42578125" style="129" customWidth="1"/>
    <col min="4" max="4" width="20.42578125" style="129" customWidth="1"/>
    <col min="5" max="5" width="19.5703125" style="129" customWidth="1"/>
    <col min="6" max="6" width="16.42578125" style="129" bestFit="1" customWidth="1"/>
    <col min="7" max="7" width="17.7109375" style="129" bestFit="1" customWidth="1"/>
    <col min="8" max="8" width="3.7109375" style="129" customWidth="1"/>
    <col min="9" max="16384" width="9.140625" style="129"/>
  </cols>
  <sheetData>
    <row r="1" spans="2:8" ht="18" customHeight="1" x14ac:dyDescent="0.2">
      <c r="B1" s="349" t="s">
        <v>18</v>
      </c>
      <c r="C1" s="349"/>
      <c r="D1" s="349"/>
      <c r="E1" s="349"/>
      <c r="F1" s="349"/>
      <c r="G1" s="351"/>
      <c r="H1" s="350"/>
    </row>
    <row r="2" spans="2:8" ht="15" x14ac:dyDescent="0.2">
      <c r="B2" s="349" t="s">
        <v>19</v>
      </c>
      <c r="C2" s="348">
        <f>'[1]Core Cost Incurred'!B2</f>
        <v>44221</v>
      </c>
      <c r="D2" s="347"/>
      <c r="E2" s="347"/>
      <c r="F2" s="347"/>
      <c r="G2" s="347"/>
    </row>
    <row r="4" spans="2:8" ht="15" customHeight="1" thickBot="1" x14ac:dyDescent="0.25">
      <c r="B4" s="346"/>
      <c r="C4" s="346"/>
      <c r="D4" s="346"/>
      <c r="E4" s="346"/>
      <c r="F4" s="345"/>
      <c r="G4" s="344"/>
    </row>
    <row r="5" spans="2:8" ht="14.25" x14ac:dyDescent="0.2">
      <c r="B5" s="343"/>
      <c r="C5" s="343"/>
      <c r="D5" s="341" t="s">
        <v>3</v>
      </c>
      <c r="E5" s="341" t="s">
        <v>6</v>
      </c>
      <c r="F5" s="342" t="s">
        <v>9</v>
      </c>
      <c r="G5" s="341" t="s">
        <v>10</v>
      </c>
    </row>
    <row r="6" spans="2:8" ht="15" x14ac:dyDescent="0.25">
      <c r="B6" s="327" t="s">
        <v>11</v>
      </c>
      <c r="C6" s="340"/>
      <c r="D6" s="338">
        <v>692010</v>
      </c>
      <c r="E6" s="338">
        <v>691010</v>
      </c>
      <c r="F6" s="339">
        <v>693010</v>
      </c>
      <c r="G6" s="338"/>
    </row>
    <row r="7" spans="2:8" ht="15.75" customHeight="1" x14ac:dyDescent="0.2">
      <c r="B7" s="313" t="s">
        <v>12</v>
      </c>
      <c r="C7" s="313"/>
      <c r="D7" s="318">
        <v>8777488.4100000001</v>
      </c>
      <c r="E7" s="318">
        <v>5769301.8099999996</v>
      </c>
      <c r="F7" s="337">
        <v>5134736.0500000017</v>
      </c>
      <c r="G7" s="336">
        <v>19681526.27</v>
      </c>
    </row>
    <row r="8" spans="2:8" ht="15.75" customHeight="1" x14ac:dyDescent="0.2">
      <c r="B8" s="313" t="s">
        <v>14</v>
      </c>
      <c r="C8" s="313"/>
      <c r="D8" s="335">
        <f>'[1]Core Cost Incurred'!K42</f>
        <v>11123137.610000001</v>
      </c>
      <c r="E8" s="335">
        <f>'[1]Core Cost Incurred'!K43</f>
        <v>4311376.34</v>
      </c>
      <c r="F8" s="334">
        <v>0</v>
      </c>
      <c r="G8" s="333">
        <f>SUM(D8:E8)</f>
        <v>15434513.950000001</v>
      </c>
    </row>
    <row r="9" spans="2:8" ht="15.75" customHeight="1" x14ac:dyDescent="0.2">
      <c r="B9" s="313" t="s">
        <v>15</v>
      </c>
      <c r="C9" s="313"/>
      <c r="D9" s="326">
        <f>D7-D8</f>
        <v>-2345649.2000000011</v>
      </c>
      <c r="E9" s="332">
        <f>E7-E8</f>
        <v>1457925.4699999997</v>
      </c>
      <c r="F9" s="332">
        <f>F7-F8</f>
        <v>5134736.0500000017</v>
      </c>
      <c r="G9" s="326">
        <f>G7-G8</f>
        <v>4247012.3199999984</v>
      </c>
    </row>
    <row r="10" spans="2:8" ht="15.75" customHeight="1" x14ac:dyDescent="0.2">
      <c r="B10" s="313" t="s">
        <v>21</v>
      </c>
      <c r="C10" s="313"/>
      <c r="D10" s="331">
        <v>0</v>
      </c>
      <c r="E10" s="330"/>
      <c r="F10" s="329"/>
      <c r="G10" s="328"/>
    </row>
    <row r="11" spans="2:8" ht="15.75" customHeight="1" x14ac:dyDescent="0.2">
      <c r="B11" s="327" t="s">
        <v>16</v>
      </c>
      <c r="C11" s="327"/>
      <c r="D11" s="326"/>
      <c r="E11" s="326">
        <f>358876.62-192.33</f>
        <v>358684.29</v>
      </c>
      <c r="F11" s="325"/>
      <c r="G11" s="311">
        <f>E11</f>
        <v>358684.29</v>
      </c>
    </row>
    <row r="12" spans="2:8" ht="15.75" customHeight="1" x14ac:dyDescent="0.25">
      <c r="B12" s="324" t="s">
        <v>17</v>
      </c>
      <c r="C12" s="323"/>
      <c r="D12" s="321">
        <f>+D7-D8+D10</f>
        <v>-2345649.2000000011</v>
      </c>
      <c r="E12" s="321">
        <f>+E9+E11</f>
        <v>1816609.7599999998</v>
      </c>
      <c r="F12" s="322">
        <f>+F7-F8</f>
        <v>5134736.0500000017</v>
      </c>
      <c r="G12" s="321">
        <f>G9+G11</f>
        <v>4605696.6099999985</v>
      </c>
    </row>
    <row r="13" spans="2:8" ht="14.25" customHeight="1" x14ac:dyDescent="0.2">
      <c r="D13" s="313"/>
      <c r="E13" s="313"/>
      <c r="F13" s="319"/>
      <c r="G13" s="313"/>
    </row>
    <row r="14" spans="2:8" ht="14.25" customHeight="1" x14ac:dyDescent="0.2">
      <c r="D14" s="313" t="s">
        <v>22</v>
      </c>
      <c r="E14" s="313"/>
      <c r="F14" s="319"/>
      <c r="G14" s="313"/>
    </row>
    <row r="15" spans="2:8" ht="14.25" customHeight="1" x14ac:dyDescent="0.2">
      <c r="D15" s="313"/>
      <c r="E15" s="320"/>
      <c r="F15" s="319"/>
      <c r="G15" s="313"/>
    </row>
    <row r="16" spans="2:8" ht="14.25" customHeight="1" x14ac:dyDescent="0.2">
      <c r="B16" s="310" t="s">
        <v>23</v>
      </c>
      <c r="C16" s="310"/>
      <c r="D16" s="318" t="s">
        <v>4</v>
      </c>
      <c r="E16" s="317" t="s">
        <v>4</v>
      </c>
      <c r="F16" s="316"/>
      <c r="G16" s="306"/>
    </row>
    <row r="17" spans="2:7" ht="14.25" customHeight="1" x14ac:dyDescent="0.2">
      <c r="D17" s="315"/>
      <c r="E17" s="315"/>
      <c r="F17" s="314"/>
      <c r="G17" s="313"/>
    </row>
    <row r="18" spans="2:7" ht="14.25" customHeight="1" x14ac:dyDescent="0.2">
      <c r="D18" s="311">
        <f>-D12</f>
        <v>2345649.2000000011</v>
      </c>
      <c r="E18" s="311">
        <f>-E9-E11</f>
        <v>-1816609.7599999998</v>
      </c>
      <c r="F18" s="312">
        <f>-F12</f>
        <v>-5134736.0500000017</v>
      </c>
      <c r="G18" s="311">
        <f>SUM(D18:F18)</f>
        <v>-4605696.6100000003</v>
      </c>
    </row>
    <row r="19" spans="2:7" ht="14.25" customHeight="1" thickBot="1" x14ac:dyDescent="0.25">
      <c r="B19" s="310" t="s">
        <v>24</v>
      </c>
      <c r="C19" s="310"/>
      <c r="D19" s="309" t="s">
        <v>5</v>
      </c>
      <c r="E19" s="308" t="s">
        <v>7</v>
      </c>
      <c r="F19" s="307"/>
      <c r="G19" s="306"/>
    </row>
    <row r="21" spans="2:7" x14ac:dyDescent="0.2">
      <c r="E21" s="305"/>
      <c r="F21" s="304"/>
    </row>
    <row r="22" spans="2:7" x14ac:dyDescent="0.2">
      <c r="E22" s="305"/>
      <c r="F22" s="304"/>
    </row>
    <row r="23" spans="2:7" x14ac:dyDescent="0.2">
      <c r="E23" s="305"/>
      <c r="F23" s="304"/>
    </row>
    <row r="24" spans="2:7" x14ac:dyDescent="0.2">
      <c r="F24" s="304"/>
    </row>
    <row r="27" spans="2:7" x14ac:dyDescent="0.2">
      <c r="B27" s="303"/>
      <c r="C27" s="303"/>
    </row>
  </sheetData>
  <mergeCells count="1">
    <mergeCell ref="B4:E4"/>
  </mergeCells>
  <pageMargins left="0.75" right="0.75" top="0.7" bottom="1" header="0.7" footer="0.5"/>
  <pageSetup scale="72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2021-02-26T08:00:00+00:00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3AEDC83-424E-44A7-9A23-76385E6689F4}"/>
</file>

<file path=customXml/itemProps2.xml><?xml version="1.0" encoding="utf-8"?>
<ds:datastoreItem xmlns:ds="http://schemas.openxmlformats.org/officeDocument/2006/customXml" ds:itemID="{C76AF0E2-7E46-4F3E-B923-628BF3583382}"/>
</file>

<file path=customXml/itemProps3.xml><?xml version="1.0" encoding="utf-8"?>
<ds:datastoreItem xmlns:ds="http://schemas.openxmlformats.org/officeDocument/2006/customXml" ds:itemID="{9CDA3EC8-F57F-4930-BF39-D19A0C09995D}"/>
</file>

<file path=customXml/itemProps4.xml><?xml version="1.0" encoding="utf-8"?>
<ds:datastoreItem xmlns:ds="http://schemas.openxmlformats.org/officeDocument/2006/customXml" ds:itemID="{16BDDFB5-1214-4BEE-9DEA-6E9C87838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2021-02-17T00:28:48Z</dcterms:created>
  <dcterms:modified xsi:type="dcterms:W3CDTF">2021-02-17T00:30:48Z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