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600" activeTab="0"/>
  </bookViews>
  <sheets>
    <sheet name="CAM-2" sheetId="1" r:id="rId1"/>
    <sheet name="CAM-3" sheetId="2" r:id="rId2"/>
    <sheet name="CAM-4" sheetId="3" r:id="rId3"/>
  </sheets>
  <externalReferences>
    <externalReference r:id="rId6"/>
  </externalReferences>
  <definedNames>
    <definedName name="\p">'[1]Emb Cost LTD (detail)'!#REF!</definedName>
    <definedName name="ASSET">'[1]Emb Cost LTD (detail)'!#REF!</definedName>
    <definedName name="_xlnm.Print_Area" localSheetId="1">'CAM-3'!$A$1:$AU$77</definedName>
  </definedNames>
  <calcPr fullCalcOnLoad="1"/>
</workbook>
</file>

<file path=xl/sharedStrings.xml><?xml version="1.0" encoding="utf-8"?>
<sst xmlns="http://schemas.openxmlformats.org/spreadsheetml/2006/main" count="260" uniqueCount="226">
  <si>
    <t>NORTHWEST NATURAL GAS COMPANY</t>
  </si>
  <si>
    <t>COST OF CAPITAL COMPUTATION Oregon</t>
  </si>
  <si>
    <t>PERIOD ENDED September 30, 2007</t>
  </si>
  <si>
    <t>COST OF</t>
  </si>
  <si>
    <t>LINE</t>
  </si>
  <si>
    <t>MONEY BOND</t>
  </si>
  <si>
    <t>VALUE</t>
  </si>
  <si>
    <t>WEIGHTED</t>
  </si>
  <si>
    <t>NO.</t>
  </si>
  <si>
    <t>TYPE OF ISSUE</t>
  </si>
  <si>
    <t>TABLE</t>
  </si>
  <si>
    <t>OUTSTANDING</t>
  </si>
  <si>
    <t>COST</t>
  </si>
  <si>
    <t>FIRST MORTGAGE BONDS, DEBENTURES AND</t>
  </si>
  <si>
    <t xml:space="preserve">  AND MEDIUM-TERM NOTES</t>
  </si>
  <si>
    <t>6.500% Series due 2008</t>
  </si>
  <si>
    <t>4.110% Series due 2010</t>
  </si>
  <si>
    <t>7.450% Series due 2010</t>
  </si>
  <si>
    <t>6.665% Series due 2011</t>
  </si>
  <si>
    <t>7.130% Series due 2012</t>
  </si>
  <si>
    <t>8.260% Series due 2014</t>
  </si>
  <si>
    <t>4.700% Series due 2015</t>
  </si>
  <si>
    <t>5.150% Series due 2016</t>
  </si>
  <si>
    <t>7.000% Series due 2017</t>
  </si>
  <si>
    <t>6.600% Series due 2018</t>
  </si>
  <si>
    <t>8.310% Series due 2019</t>
  </si>
  <si>
    <t>7.630% Series due 2019</t>
  </si>
  <si>
    <t>9.050% Series due 2021</t>
  </si>
  <si>
    <t>5.620% Series due 2023</t>
  </si>
  <si>
    <t>7.720% Series due 2025</t>
  </si>
  <si>
    <t>6.520% Series due 2025</t>
  </si>
  <si>
    <t>7.050% Series due 2026</t>
  </si>
  <si>
    <t>7.000% Series due 2027</t>
  </si>
  <si>
    <t>6.650% Series due 2027</t>
  </si>
  <si>
    <t>6.650% Series due 2028</t>
  </si>
  <si>
    <t>7.740% Series due 2030</t>
  </si>
  <si>
    <t>7.850% Series due 2030</t>
  </si>
  <si>
    <t>5.820% Series due 2032</t>
  </si>
  <si>
    <t>5.660% Series due 2033</t>
  </si>
  <si>
    <t>5.250% Series due 2035</t>
  </si>
  <si>
    <t>Sub-total</t>
  </si>
  <si>
    <t>Weighted Average Cost of Money</t>
  </si>
  <si>
    <t>SHORT-TERM DEBT &amp; MATURITIES</t>
  </si>
  <si>
    <t>Net Investments/borrowings(13-month average)</t>
  </si>
  <si>
    <t xml:space="preserve"> </t>
  </si>
  <si>
    <t>COMMON STOCK EQUITY</t>
  </si>
  <si>
    <t>Common no par</t>
  </si>
  <si>
    <t xml:space="preserve">TOTAL                  </t>
  </si>
  <si>
    <t>EMBEDDED COST OF LONG-TERM DEBT CAPITAL AT</t>
  </si>
  <si>
    <t xml:space="preserve">     Underwriter's</t>
  </si>
  <si>
    <t/>
  </si>
  <si>
    <t>Premium or Discount</t>
  </si>
  <si>
    <t xml:space="preserve">       Commission</t>
  </si>
  <si>
    <t xml:space="preserve">  Expense of  Issue</t>
  </si>
  <si>
    <t xml:space="preserve">        Net Proceeds</t>
  </si>
  <si>
    <t xml:space="preserve"> Original</t>
  </si>
  <si>
    <t xml:space="preserve">Cost of </t>
  </si>
  <si>
    <t>Annual</t>
  </si>
  <si>
    <t>Description</t>
  </si>
  <si>
    <t>Per $ 100</t>
  </si>
  <si>
    <t>Per $100</t>
  </si>
  <si>
    <t>Term to</t>
  </si>
  <si>
    <t>Money</t>
  </si>
  <si>
    <t>Cost Out-</t>
  </si>
  <si>
    <t>ln.</t>
  </si>
  <si>
    <t>of</t>
  </si>
  <si>
    <t>Date</t>
  </si>
  <si>
    <t>Maturity</t>
  </si>
  <si>
    <t>Principal</t>
  </si>
  <si>
    <t xml:space="preserve"> Maturity</t>
  </si>
  <si>
    <t>(Bond</t>
  </si>
  <si>
    <t>standing</t>
  </si>
  <si>
    <t>#</t>
  </si>
  <si>
    <t>Issue</t>
  </si>
  <si>
    <t>Issued</t>
  </si>
  <si>
    <t>Outstanding</t>
  </si>
  <si>
    <t>Offered</t>
  </si>
  <si>
    <t>Amount</t>
  </si>
  <si>
    <t xml:space="preserve"> Yrs.</t>
  </si>
  <si>
    <t>Table)</t>
  </si>
  <si>
    <t>Debt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</si>
  <si>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</si>
  <si>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</si>
  <si>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</si>
  <si>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</si>
  <si>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</si>
  <si>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</si>
  <si>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</si>
  <si>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</si>
  <si>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</si>
  <si>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</si>
  <si>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</si>
  <si>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</si>
  <si>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</si>
  <si>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</si>
  <si>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</si>
  <si>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</si>
  <si>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Medium-Term Notes</t>
  </si>
  <si>
    <t xml:space="preserve">  First Mortgage Bonds:</t>
  </si>
  <si>
    <t xml:space="preserve">   9.050% Series</t>
  </si>
  <si>
    <t>8/91</t>
  </si>
  <si>
    <t>8/2021</t>
  </si>
  <si>
    <t>30</t>
  </si>
  <si>
    <t>[2]</t>
  </si>
  <si>
    <t xml:space="preserve">   6.500% Series</t>
  </si>
  <si>
    <t>7/93</t>
  </si>
  <si>
    <t>7/2008</t>
  </si>
  <si>
    <t>15</t>
  </si>
  <si>
    <t xml:space="preserve">   8.310% Series</t>
  </si>
  <si>
    <t>9/94</t>
  </si>
  <si>
    <t>9/2019</t>
  </si>
  <si>
    <t>[1]</t>
  </si>
  <si>
    <t xml:space="preserve">   8.260% Series</t>
  </si>
  <si>
    <t>9/2014</t>
  </si>
  <si>
    <t xml:space="preserve">   6.520% Series</t>
  </si>
  <si>
    <t>12/95</t>
  </si>
  <si>
    <t>12/2025</t>
  </si>
  <si>
    <t xml:space="preserve">   7.050% Series</t>
  </si>
  <si>
    <t>10/96</t>
  </si>
  <si>
    <t>10/2026</t>
  </si>
  <si>
    <t xml:space="preserve">   7.000% Series</t>
  </si>
  <si>
    <t>8/97</t>
  </si>
  <si>
    <t>8/2017</t>
  </si>
  <si>
    <t>5/97</t>
  </si>
  <si>
    <t>5/2027</t>
  </si>
  <si>
    <t xml:space="preserve">   6.650% Series</t>
  </si>
  <si>
    <t>11/97</t>
  </si>
  <si>
    <t>11/2027</t>
  </si>
  <si>
    <t>6/98</t>
  </si>
  <si>
    <t>6/2028</t>
  </si>
  <si>
    <t xml:space="preserve">   6.600% Series</t>
  </si>
  <si>
    <t>3/98</t>
  </si>
  <si>
    <t>3/2018</t>
  </si>
  <si>
    <t>[3]</t>
  </si>
  <si>
    <t xml:space="preserve">   7.630% Series</t>
  </si>
  <si>
    <t>12/99</t>
  </si>
  <si>
    <t>12/2019</t>
  </si>
  <si>
    <t xml:space="preserve">   7.740% Series</t>
  </si>
  <si>
    <t>8/00</t>
  </si>
  <si>
    <t>8/2030</t>
  </si>
  <si>
    <t>[6]</t>
  </si>
  <si>
    <t xml:space="preserve">   7.720% Series</t>
  </si>
  <si>
    <t>9/00</t>
  </si>
  <si>
    <t>9/2025</t>
  </si>
  <si>
    <t>[4]</t>
  </si>
  <si>
    <t xml:space="preserve">   7.850% Series</t>
  </si>
  <si>
    <t>9/2030</t>
  </si>
  <si>
    <t>[5]</t>
  </si>
  <si>
    <t xml:space="preserve">   7.450% Series</t>
  </si>
  <si>
    <t>12/00</t>
  </si>
  <si>
    <t>12/2010</t>
  </si>
  <si>
    <t xml:space="preserve">   6.665% Series</t>
  </si>
  <si>
    <t>6/01</t>
  </si>
  <si>
    <t>06/2011</t>
  </si>
  <si>
    <t xml:space="preserve">   7.130% Series</t>
  </si>
  <si>
    <t>03/02</t>
  </si>
  <si>
    <t>03/2012</t>
  </si>
  <si>
    <t xml:space="preserve">   5.820% Series</t>
  </si>
  <si>
    <t>09/02</t>
  </si>
  <si>
    <t>09/2032</t>
  </si>
  <si>
    <t xml:space="preserve">   5.660% Series</t>
  </si>
  <si>
    <t>02/03</t>
  </si>
  <si>
    <t>02/25/33</t>
  </si>
  <si>
    <t xml:space="preserve">   4.110% Series</t>
  </si>
  <si>
    <t>11/03</t>
  </si>
  <si>
    <t>11/21/2010</t>
  </si>
  <si>
    <t xml:space="preserve">   5.620% Series</t>
  </si>
  <si>
    <t>11/21/2023</t>
  </si>
  <si>
    <t xml:space="preserve">   4.700% Series</t>
  </si>
  <si>
    <t>06/05</t>
  </si>
  <si>
    <t>06/22/2015</t>
  </si>
  <si>
    <t xml:space="preserve">   5.250% Series</t>
  </si>
  <si>
    <t>06/21/2035</t>
  </si>
  <si>
    <t xml:space="preserve">   5.150% Series</t>
  </si>
  <si>
    <t>12/15</t>
  </si>
  <si>
    <t>12/15/2016</t>
  </si>
  <si>
    <t xml:space="preserve">      WEIGHTED EMBEDDED COST:  </t>
  </si>
  <si>
    <t>/</t>
  </si>
  <si>
    <t>EQUALS  =</t>
  </si>
  <si>
    <t>[1]  INCLUDES PREMIUM AND UMAMORTIZED COST ON EARLY REDEMPTION OF 9.8% SERIES BONDS ($1,044,111 ALLOCATED TO THE 8.31% SERIES, AND $835,723 ALLCOATED TO THE 8.26% SERIES).</t>
  </si>
  <si>
    <t>[2]  INCLUDES $3,628,165 ($2,356,200 + $1,271,965) PREMIUM AND UNAMORTIZED COSTS ON EARLY REDEMPTION OF 9 3/8% SERIES BONDS ($282,714 ALLOCATED TO THE 6.34% SERIES,</t>
  </si>
  <si>
    <t xml:space="preserve">       $942,381 ALLOCATED TO THE 6.4% SERIES, $282,714 ALLOCATED TO THE 6.45% SERIES, $565,428 ALLOCATED TO THE 7.5% SERIES AND $1,554,928 ALLOCATED TO THE 7.52% SERIES).</t>
  </si>
  <si>
    <t xml:space="preserve">[3]  INCLUDES $910,800 PREMIUM AND $222,664 UNAMORTIZED COSTS ON EARLY REDEMPTION OF 9.125% SERIES BONDS ALLOCATED TO THE 6.60% SERIES. </t>
  </si>
  <si>
    <t>[7]  INCLUDES $178,125 PREMIUM ON EARLY REDEMPTION OF 7.125% PREFERRED SERIES.</t>
  </si>
  <si>
    <t>[7]</t>
  </si>
  <si>
    <t>[8]</t>
  </si>
  <si>
    <t xml:space="preserve">[4]  INCLUDES $992,143 PREMIUM, $178,966 UNAMORTIZED COSTS ON EARLY REDEMPTION OF 9.75% SERIES BONDS, AND $148,605 UNAMORTIZED COSTS ON EARLY REDEMPTION OF </t>
  </si>
  <si>
    <t xml:space="preserve">15.375% SERIES BONDS ALLOCATED TO THE 7.74% SERIES. </t>
  </si>
  <si>
    <t xml:space="preserve">[5]  INCLUDES $826,786 PREMIUM, $149,139 UNAMORTIZED COSTS ON EARLY REDEMPTION OF 9.75% SERIES BONDS, AND $123,837 UNAMORTIZED COSTS ON EARLY REDEMPTION OF </t>
  </si>
  <si>
    <t xml:space="preserve">15.375% SERIES BONDS ALLOCATED TO THE 7.72% SERIES. </t>
  </si>
  <si>
    <t xml:space="preserve">[6]  INCLUDES $496,071 PREMIUM, $89,483 UNAMORTIZED COSTS ON EARLY REDEMPTION OF 9.75% SERIES BONDS, AND $74,302 UNAMORTIZED COSTS ON EARLY REDEMPTION OF </t>
  </si>
  <si>
    <t xml:space="preserve">15.375% SERIES BONDS ALLOCATED TO THE 7.85% SERIES. </t>
  </si>
  <si>
    <t>[8]  INCLUDES $150,000 PREMIUM AND $405,971 UNAMORTIZED COSTS ON EARLY REDEMPTION OF 7.50% SERIES BONDS, $413,600 PREMIUM AND $1,116,479 UNAMORTIZED COSTS ON EARLY</t>
  </si>
  <si>
    <t xml:space="preserve">      REDEMPTION OF 7.52% SERIES BONDS AND $730,000 PREMIUM AND $136,800 UNAMORTIZED COSTS ON EARLY REDEMPTION OF 7.25% SERIES BONDS ALLOCATED TO 5.62% SERIES.</t>
  </si>
  <si>
    <t>SUMMARY OF MONTHLY AVERAGE IN SHORT-TERM BORROWING</t>
  </si>
  <si>
    <t>(IN $000'S)</t>
  </si>
  <si>
    <t>COMM'L PAPER</t>
  </si>
  <si>
    <t>AVERAGE</t>
  </si>
  <si>
    <t>MONTH</t>
  </si>
  <si>
    <t>#DAYS</t>
  </si>
  <si>
    <t>BORROWING</t>
  </si>
  <si>
    <t>(B) X (C)</t>
  </si>
  <si>
    <t>INT. RATE</t>
  </si>
  <si>
    <t>(D) X (E)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</si>
  <si>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</si>
  <si>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</si>
  <si>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</si>
  <si>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</si>
  <si>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</si>
  <si>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</si>
  <si>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</si>
  <si>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</si>
  <si>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</si>
  <si>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</si>
  <si>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</si>
  <si>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</si>
  <si>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</t>
  </si>
  <si>
    <t>13 MONTH AVERAGE</t>
  </si>
  <si>
    <t>CC: STEVE FELTZ</t>
  </si>
  <si>
    <t xml:space="preserve">        LINDA DECKARD</t>
  </si>
  <si>
    <t xml:space="preserve">    DAVID AIMONE</t>
  </si>
  <si>
    <t xml:space="preserve">        NELS WAHLMAN</t>
  </si>
  <si>
    <t xml:space="preserve">        MARTY CRESALIA</t>
  </si>
  <si>
    <t xml:space="preserve">       SHELBY BELL</t>
  </si>
  <si>
    <t>KATHY GILMAN</t>
  </si>
  <si>
    <t>DAN MCDONNELL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</si>
</sst>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hh:mm\ AM/PM_)"/>
    <numFmt numFmtId="167" formatCode="#,##0.000_);\(#,##0.000\)"/>
    <numFmt numFmtId="168" formatCode="0.000%"/>
    <numFmt numFmtId="169" formatCode="&quot;$&quot;#,##0.0_);[Red]\(&quot;$&quot;#,##0.0\)"/>
    <numFmt numFmtId="170" formatCode="#,##0.0_);[Red]\(#,##0.0\)"/>
    <numFmt numFmtId="171" formatCode="0.000"/>
    <numFmt numFmtId="172" formatCode="0.0%"/>
    <numFmt numFmtId="173" formatCode="#,##0.000_);[Red]\(#,##0.000\)"/>
    <numFmt numFmtId="174" formatCode="0.0000%"/>
    <numFmt numFmtId="175" formatCode="0.00000%"/>
    <numFmt numFmtId="176" formatCode="0.000000%"/>
    <numFmt numFmtId="177" formatCode="&quot;$&quot;#,##0"/>
    <numFmt numFmtId="178" formatCode="_(* #,##0.000_);_(* \(#,##0.000\);_(* &quot;-&quot;???_);_(@_)"/>
    <numFmt numFmtId="179" formatCode="[$-409]dddd\,\ mmmm\ dd\,\ yyyy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name val="Courier New"/>
      <family val="0"/>
    </font>
    <font>
      <sz val="10"/>
      <name val="Courier New"/>
      <family val="0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9.5"/>
      <name val="Courier New"/>
      <family val="0"/>
    </font>
    <font>
      <sz val="9.5"/>
      <name val="Courier New"/>
      <family val="0"/>
    </font>
    <font>
      <sz val="9.5"/>
      <name val="Courier"/>
      <family val="0"/>
    </font>
    <font>
      <b/>
      <u val="single"/>
      <sz val="10"/>
      <name val="Arial"/>
      <family val="2"/>
    </font>
    <font>
      <sz val="8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6" fillId="0" borderId="0" xfId="0" applyFont="1" applyFill="1" applyAlignment="1" applyProtection="1" quotePrefix="1">
      <alignment horizontal="left"/>
      <protection/>
    </xf>
    <xf numFmtId="164" fontId="6" fillId="0" borderId="0" xfId="0" applyFont="1" applyFill="1" applyAlignment="1" applyProtection="1">
      <alignment horizontal="left"/>
      <protection/>
    </xf>
    <xf numFmtId="38" fontId="6" fillId="0" borderId="0" xfId="42" applyNumberFormat="1" applyFont="1" applyFill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5" fontId="6" fillId="0" borderId="0" xfId="45" applyNumberFormat="1" applyFont="1" applyFill="1" applyAlignment="1">
      <alignment/>
    </xf>
    <xf numFmtId="164" fontId="6" fillId="0" borderId="0" xfId="0" applyFont="1" applyFill="1" applyAlignment="1">
      <alignment/>
    </xf>
    <xf numFmtId="168" fontId="6" fillId="0" borderId="0" xfId="0" applyNumberFormat="1" applyFont="1" applyFill="1" applyAlignment="1" applyProtection="1">
      <alignment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38" fontId="8" fillId="0" borderId="0" xfId="42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39" fontId="6" fillId="0" borderId="0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Border="1" applyAlignment="1" applyProtection="1">
      <alignment horizontal="left"/>
      <protection/>
    </xf>
    <xf numFmtId="5" fontId="5" fillId="0" borderId="10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8" fontId="5" fillId="0" borderId="10" xfId="0" applyNumberFormat="1" applyFont="1" applyFill="1" applyBorder="1" applyAlignment="1" applyProtection="1">
      <alignment/>
      <protection/>
    </xf>
    <xf numFmtId="164" fontId="5" fillId="0" borderId="0" xfId="0" applyFont="1" applyFill="1" applyAlignment="1" applyProtection="1">
      <alignment horizontal="centerContinuous"/>
      <protection/>
    </xf>
    <xf numFmtId="164" fontId="5" fillId="0" borderId="0" xfId="0" applyFont="1" applyFill="1" applyAlignment="1" applyProtection="1" quotePrefix="1">
      <alignment horizontal="centerContinuous"/>
      <protection/>
    </xf>
    <xf numFmtId="164" fontId="10" fillId="0" borderId="0" xfId="0" applyFont="1" applyFill="1" applyAlignment="1" applyProtection="1">
      <alignment/>
      <protection/>
    </xf>
    <xf numFmtId="164" fontId="1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5" fillId="0" borderId="0" xfId="0" applyFont="1" applyFill="1" applyBorder="1" applyAlignment="1" applyProtection="1">
      <alignment horizontal="centerContinuous"/>
      <protection/>
    </xf>
    <xf numFmtId="164" fontId="5" fillId="0" borderId="0" xfId="0" applyFont="1" applyFill="1" applyBorder="1" applyAlignment="1" applyProtection="1" quotePrefix="1">
      <alignment horizontal="centerContinuous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5" fillId="0" borderId="11" xfId="0" applyFont="1" applyFill="1" applyBorder="1" applyAlignment="1">
      <alignment horizontal="centerContinuous"/>
    </xf>
    <xf numFmtId="164" fontId="5" fillId="0" borderId="12" xfId="0" applyFont="1" applyFill="1" applyBorder="1" applyAlignment="1">
      <alignment/>
    </xf>
    <xf numFmtId="164" fontId="5" fillId="0" borderId="13" xfId="0" applyFont="1" applyFill="1" applyBorder="1" applyAlignment="1">
      <alignment/>
    </xf>
    <xf numFmtId="164" fontId="5" fillId="0" borderId="13" xfId="0" applyFont="1" applyFill="1" applyBorder="1" applyAlignment="1">
      <alignment horizontal="center"/>
    </xf>
    <xf numFmtId="164" fontId="5" fillId="0" borderId="13" xfId="0" applyFont="1" applyFill="1" applyBorder="1" applyAlignment="1" quotePrefix="1">
      <alignment horizontal="left"/>
    </xf>
    <xf numFmtId="164" fontId="5" fillId="0" borderId="14" xfId="0" applyFont="1" applyFill="1" applyBorder="1" applyAlignment="1">
      <alignment/>
    </xf>
    <xf numFmtId="164" fontId="5" fillId="0" borderId="15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16" xfId="0" applyFont="1" applyFill="1" applyBorder="1" applyAlignment="1" quotePrefix="1">
      <alignment horizontal="left"/>
    </xf>
    <xf numFmtId="164" fontId="5" fillId="0" borderId="16" xfId="0" applyFont="1" applyFill="1" applyBorder="1" applyAlignment="1">
      <alignment/>
    </xf>
    <xf numFmtId="164" fontId="5" fillId="0" borderId="0" xfId="0" applyFont="1" applyFill="1" applyBorder="1" applyAlignment="1">
      <alignment horizontal="centerContinuous"/>
    </xf>
    <xf numFmtId="164" fontId="5" fillId="0" borderId="17" xfId="0" applyFont="1" applyFill="1" applyBorder="1" applyAlignment="1" quotePrefix="1">
      <alignment horizontal="center"/>
    </xf>
    <xf numFmtId="164" fontId="5" fillId="0" borderId="0" xfId="0" applyFont="1" applyFill="1" applyBorder="1" applyAlignment="1" quotePrefix="1">
      <alignment horizontal="center"/>
    </xf>
    <xf numFmtId="164" fontId="5" fillId="0" borderId="15" xfId="0" applyFont="1" applyFill="1" applyBorder="1" applyAlignment="1" quotePrefix="1">
      <alignment horizontal="left"/>
    </xf>
    <xf numFmtId="164" fontId="5" fillId="0" borderId="16" xfId="0" applyFont="1" applyFill="1" applyBorder="1" applyAlignment="1" quotePrefix="1">
      <alignment horizontal="center"/>
    </xf>
    <xf numFmtId="164" fontId="5" fillId="0" borderId="16" xfId="0" applyFont="1" applyFill="1" applyBorder="1" applyAlignment="1">
      <alignment horizontal="center"/>
    </xf>
    <xf numFmtId="164" fontId="5" fillId="0" borderId="16" xfId="0" applyFont="1" applyFill="1" applyBorder="1" applyAlignment="1">
      <alignment horizontal="centerContinuous"/>
    </xf>
    <xf numFmtId="164" fontId="5" fillId="0" borderId="16" xfId="0" applyFont="1" applyFill="1" applyBorder="1" applyAlignment="1" quotePrefix="1">
      <alignment horizontal="centerContinuous"/>
    </xf>
    <xf numFmtId="164" fontId="5" fillId="0" borderId="18" xfId="0" applyFont="1" applyFill="1" applyBorder="1" applyAlignment="1" quotePrefix="1">
      <alignment horizontal="center"/>
    </xf>
    <xf numFmtId="164" fontId="5" fillId="0" borderId="15" xfId="0" applyFont="1" applyFill="1" applyBorder="1" applyAlignment="1" applyProtection="1">
      <alignment/>
      <protection/>
    </xf>
    <xf numFmtId="164" fontId="5" fillId="0" borderId="17" xfId="0" applyFont="1" applyFill="1" applyBorder="1" applyAlignment="1" applyProtection="1">
      <alignment horizontal="center"/>
      <protection/>
    </xf>
    <xf numFmtId="164" fontId="6" fillId="0" borderId="15" xfId="0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 horizontal="right"/>
      <protection/>
    </xf>
    <xf numFmtId="37" fontId="6" fillId="0" borderId="17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4" fontId="6" fillId="0" borderId="15" xfId="0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horizontal="left"/>
      <protection/>
    </xf>
    <xf numFmtId="164" fontId="6" fillId="0" borderId="17" xfId="0" applyFont="1" applyFill="1" applyBorder="1" applyAlignment="1" applyProtection="1">
      <alignment/>
      <protection/>
    </xf>
    <xf numFmtId="164" fontId="6" fillId="0" borderId="15" xfId="0" applyFont="1" applyFill="1" applyBorder="1" applyAlignment="1" applyProtection="1" quotePrefix="1">
      <alignment horizontal="right"/>
      <protection/>
    </xf>
    <xf numFmtId="164" fontId="6" fillId="0" borderId="0" xfId="0" applyFont="1" applyFill="1" applyBorder="1" applyAlignment="1" applyProtection="1" quotePrefix="1">
      <alignment horizontal="left"/>
      <protection/>
    </xf>
    <xf numFmtId="164" fontId="6" fillId="0" borderId="0" xfId="0" applyFont="1" applyFill="1" applyBorder="1" applyAlignment="1" applyProtection="1" quotePrefix="1">
      <alignment horizontal="center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167" fontId="6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 quotePrefix="1">
      <alignment horizontal="right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Alignment="1" applyProtection="1">
      <alignment/>
      <protection/>
    </xf>
    <xf numFmtId="38" fontId="8" fillId="0" borderId="0" xfId="43" applyFont="1" applyFill="1" applyBorder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 quotePrefix="1">
      <alignment horizontal="center"/>
      <protection/>
    </xf>
    <xf numFmtId="164" fontId="6" fillId="0" borderId="0" xfId="0" applyFont="1" applyFill="1" applyBorder="1" applyAlignment="1" quotePrefix="1">
      <alignment horizontal="center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38" fontId="8" fillId="0" borderId="0" xfId="42" applyNumberFormat="1" applyFont="1" applyFill="1" applyBorder="1" applyAlignment="1">
      <alignment horizontal="right"/>
    </xf>
    <xf numFmtId="38" fontId="13" fillId="0" borderId="0" xfId="42" applyNumberFormat="1" applyFont="1" applyFill="1" applyBorder="1" applyAlignment="1">
      <alignment horizontal="right"/>
    </xf>
    <xf numFmtId="164" fontId="6" fillId="0" borderId="15" xfId="0" applyFont="1" applyFill="1" applyBorder="1" applyAlignment="1" applyProtection="1" quotePrefix="1">
      <alignment horizontal="left"/>
      <protection/>
    </xf>
    <xf numFmtId="164" fontId="6" fillId="0" borderId="19" xfId="0" applyFont="1" applyFill="1" applyBorder="1" applyAlignment="1" applyProtection="1">
      <alignment/>
      <protection/>
    </xf>
    <xf numFmtId="164" fontId="6" fillId="0" borderId="11" xfId="0" applyFont="1" applyFill="1" applyBorder="1" applyAlignment="1" applyProtection="1">
      <alignment/>
      <protection/>
    </xf>
    <xf numFmtId="164" fontId="6" fillId="0" borderId="11" xfId="0" applyFont="1" applyFill="1" applyBorder="1" applyAlignment="1">
      <alignment/>
    </xf>
    <xf numFmtId="164" fontId="6" fillId="0" borderId="11" xfId="0" applyFont="1" applyFill="1" applyBorder="1" applyAlignment="1">
      <alignment horizontal="center"/>
    </xf>
    <xf numFmtId="164" fontId="6" fillId="0" borderId="20" xfId="0" applyFont="1" applyFill="1" applyBorder="1" applyAlignment="1">
      <alignment/>
    </xf>
    <xf numFmtId="164" fontId="5" fillId="0" borderId="12" xfId="0" applyFont="1" applyFill="1" applyBorder="1" applyAlignment="1" applyProtection="1">
      <alignment horizontal="left"/>
      <protection/>
    </xf>
    <xf numFmtId="164" fontId="6" fillId="0" borderId="21" xfId="0" applyFont="1" applyFill="1" applyBorder="1" applyAlignment="1">
      <alignment/>
    </xf>
    <xf numFmtId="164" fontId="6" fillId="0" borderId="13" xfId="0" applyFont="1" applyFill="1" applyBorder="1" applyAlignment="1" applyProtection="1">
      <alignment/>
      <protection/>
    </xf>
    <xf numFmtId="164" fontId="5" fillId="0" borderId="13" xfId="0" applyFont="1" applyFill="1" applyBorder="1" applyAlignment="1" applyProtection="1">
      <alignment/>
      <protection/>
    </xf>
    <xf numFmtId="164" fontId="5" fillId="0" borderId="13" xfId="0" applyFont="1" applyFill="1" applyBorder="1" applyAlignment="1" applyProtection="1">
      <alignment horizontal="center"/>
      <protection/>
    </xf>
    <xf numFmtId="5" fontId="5" fillId="0" borderId="13" xfId="0" applyNumberFormat="1" applyFont="1" applyFill="1" applyBorder="1" applyAlignment="1" applyProtection="1">
      <alignment/>
      <protection/>
    </xf>
    <xf numFmtId="164" fontId="5" fillId="0" borderId="13" xfId="0" applyFont="1" applyFill="1" applyBorder="1" applyAlignment="1" applyProtection="1" quotePrefix="1">
      <alignment horizontal="left"/>
      <protection/>
    </xf>
    <xf numFmtId="164" fontId="5" fillId="0" borderId="13" xfId="0" applyFont="1" applyFill="1" applyBorder="1" applyAlignment="1" applyProtection="1">
      <alignment horizontal="left"/>
      <protection/>
    </xf>
    <xf numFmtId="168" fontId="5" fillId="0" borderId="13" xfId="0" applyNumberFormat="1" applyFont="1" applyFill="1" applyBorder="1" applyAlignment="1" applyProtection="1">
      <alignment/>
      <protection/>
    </xf>
    <xf numFmtId="164" fontId="6" fillId="0" borderId="13" xfId="0" applyFont="1" applyFill="1" applyBorder="1" applyAlignment="1">
      <alignment/>
    </xf>
    <xf numFmtId="164" fontId="5" fillId="0" borderId="14" xfId="0" applyFont="1" applyFill="1" applyBorder="1" applyAlignment="1" applyProtection="1">
      <alignment/>
      <protection/>
    </xf>
    <xf numFmtId="164" fontId="6" fillId="0" borderId="0" xfId="0" applyFont="1" applyFill="1" applyAlignment="1" quotePrefix="1">
      <alignment/>
    </xf>
    <xf numFmtId="41" fontId="6" fillId="0" borderId="0" xfId="0" applyNumberFormat="1" applyFont="1" applyFill="1" applyBorder="1" applyAlignment="1">
      <alignment/>
    </xf>
    <xf numFmtId="164" fontId="11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5" fillId="0" borderId="0" xfId="0" applyFont="1" applyFill="1" applyAlignment="1" applyProtection="1">
      <alignment horizontal="left"/>
      <protection/>
    </xf>
    <xf numFmtId="164" fontId="6" fillId="0" borderId="0" xfId="0" applyFont="1" applyFill="1" applyAlignment="1">
      <alignment horizontal="centerContinuous"/>
    </xf>
    <xf numFmtId="38" fontId="5" fillId="0" borderId="0" xfId="42" applyNumberFormat="1" applyFont="1" applyFill="1" applyAlignment="1" applyProtection="1">
      <alignment horizontal="centerContinuous"/>
      <protection/>
    </xf>
    <xf numFmtId="164" fontId="7" fillId="0" borderId="0" xfId="0" applyFont="1" applyFill="1" applyAlignment="1" applyProtection="1">
      <alignment horizontal="left"/>
      <protection/>
    </xf>
    <xf numFmtId="164" fontId="5" fillId="0" borderId="0" xfId="0" applyFont="1" applyFill="1" applyAlignment="1">
      <alignment horizontal="right"/>
    </xf>
    <xf numFmtId="164" fontId="5" fillId="0" borderId="0" xfId="0" applyFont="1" applyFill="1" applyAlignment="1">
      <alignment horizontal="centerContinuous"/>
    </xf>
    <xf numFmtId="38" fontId="5" fillId="0" borderId="0" xfId="42" applyNumberFormat="1" applyFont="1" applyFill="1" applyAlignment="1">
      <alignment horizontal="centerContinuous"/>
    </xf>
    <xf numFmtId="38" fontId="5" fillId="0" borderId="0" xfId="42" applyNumberFormat="1" applyFont="1" applyFill="1" applyBorder="1" applyAlignment="1" applyProtection="1">
      <alignment horizontal="centerContinuous"/>
      <protection/>
    </xf>
    <xf numFmtId="164" fontId="5" fillId="0" borderId="0" xfId="0" applyFont="1" applyFill="1" applyBorder="1" applyAlignment="1" applyProtection="1" quotePrefix="1">
      <alignment horizontal="right"/>
      <protection/>
    </xf>
    <xf numFmtId="164" fontId="5" fillId="0" borderId="16" xfId="0" applyFont="1" applyFill="1" applyBorder="1" applyAlignment="1" applyProtection="1">
      <alignment horizontal="right"/>
      <protection/>
    </xf>
    <xf numFmtId="164" fontId="5" fillId="0" borderId="16" xfId="0" applyFont="1" applyFill="1" applyBorder="1" applyAlignment="1" applyProtection="1">
      <alignment horizontal="centerContinuous"/>
      <protection/>
    </xf>
    <xf numFmtId="164" fontId="5" fillId="0" borderId="16" xfId="0" applyFont="1" applyFill="1" applyBorder="1" applyAlignment="1" applyProtection="1">
      <alignment horizontal="center"/>
      <protection/>
    </xf>
    <xf numFmtId="38" fontId="5" fillId="0" borderId="16" xfId="42" applyNumberFormat="1" applyFont="1" applyFill="1" applyBorder="1" applyAlignment="1" applyProtection="1">
      <alignment horizontal="centerContinuous"/>
      <protection/>
    </xf>
    <xf numFmtId="164" fontId="6" fillId="0" borderId="0" xfId="0" applyFont="1" applyFill="1" applyAlignment="1" applyProtection="1">
      <alignment horizontal="right"/>
      <protection/>
    </xf>
    <xf numFmtId="164" fontId="5" fillId="0" borderId="0" xfId="0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38" fontId="6" fillId="0" borderId="0" xfId="42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164" fontId="5" fillId="0" borderId="0" xfId="0" applyFont="1" applyFill="1" applyAlignment="1" quotePrefix="1">
      <alignment horizontal="left"/>
    </xf>
    <xf numFmtId="5" fontId="6" fillId="0" borderId="0" xfId="0" applyNumberFormat="1" applyFont="1" applyFill="1" applyAlignment="1">
      <alignment/>
    </xf>
    <xf numFmtId="164" fontId="6" fillId="0" borderId="0" xfId="0" applyFont="1" applyFill="1" applyAlignment="1" applyProtection="1" quotePrefix="1">
      <alignment horizontal="right"/>
      <protection/>
    </xf>
    <xf numFmtId="5" fontId="6" fillId="0" borderId="22" xfId="0" applyNumberFormat="1" applyFont="1" applyFill="1" applyBorder="1" applyAlignment="1" applyProtection="1">
      <alignment/>
      <protection/>
    </xf>
    <xf numFmtId="164" fontId="6" fillId="0" borderId="22" xfId="0" applyFont="1" applyFill="1" applyBorder="1" applyAlignment="1">
      <alignment/>
    </xf>
    <xf numFmtId="5" fontId="6" fillId="0" borderId="22" xfId="45" applyNumberFormat="1" applyFont="1" applyFill="1" applyBorder="1" applyAlignment="1">
      <alignment/>
    </xf>
    <xf numFmtId="168" fontId="6" fillId="0" borderId="23" xfId="0" applyNumberFormat="1" applyFont="1" applyFill="1" applyBorder="1" applyAlignment="1">
      <alignment/>
    </xf>
    <xf numFmtId="168" fontId="8" fillId="0" borderId="0" xfId="0" applyNumberFormat="1" applyFont="1" applyFill="1" applyAlignment="1" applyProtection="1">
      <alignment/>
      <protection/>
    </xf>
    <xf numFmtId="5" fontId="8" fillId="0" borderId="16" xfId="0" applyNumberFormat="1" applyFont="1" applyFill="1" applyBorder="1" applyAlignment="1" applyProtection="1">
      <alignment/>
      <protection/>
    </xf>
    <xf numFmtId="5" fontId="6" fillId="0" borderId="16" xfId="0" applyNumberFormat="1" applyFont="1" applyFill="1" applyBorder="1" applyAlignment="1" applyProtection="1">
      <alignment/>
      <protection/>
    </xf>
    <xf numFmtId="6" fontId="6" fillId="0" borderId="16" xfId="45" applyFont="1" applyFill="1" applyBorder="1" applyAlignment="1">
      <alignment/>
    </xf>
    <xf numFmtId="5" fontId="5" fillId="0" borderId="0" xfId="0" applyNumberFormat="1" applyFont="1" applyFill="1" applyAlignment="1" applyProtection="1">
      <alignment/>
      <protection/>
    </xf>
    <xf numFmtId="5" fontId="6" fillId="0" borderId="0" xfId="0" applyNumberFormat="1" applyFont="1" applyFill="1" applyBorder="1" applyAlignment="1" applyProtection="1">
      <alignment/>
      <protection/>
    </xf>
    <xf numFmtId="40" fontId="6" fillId="0" borderId="0" xfId="42" applyFont="1" applyFill="1" applyAlignment="1">
      <alignment/>
    </xf>
    <xf numFmtId="168" fontId="9" fillId="0" borderId="23" xfId="0" applyNumberFormat="1" applyFont="1" applyFill="1" applyBorder="1" applyAlignment="1">
      <alignment/>
    </xf>
    <xf numFmtId="5" fontId="6" fillId="0" borderId="23" xfId="0" applyNumberFormat="1" applyFont="1" applyFill="1" applyBorder="1" applyAlignment="1" applyProtection="1">
      <alignment/>
      <protection/>
    </xf>
    <xf numFmtId="164" fontId="14" fillId="0" borderId="15" xfId="0" applyFont="1" applyFill="1" applyBorder="1" applyAlignment="1" applyProtection="1" quotePrefix="1">
      <alignment horizontal="left"/>
      <protection/>
    </xf>
    <xf numFmtId="164" fontId="15" fillId="0" borderId="0" xfId="0" applyFont="1" applyFill="1" applyBorder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/>
      <protection/>
    </xf>
    <xf numFmtId="168" fontId="15" fillId="0" borderId="17" xfId="57" applyNumberFormat="1" applyFont="1" applyFill="1" applyBorder="1" applyAlignment="1" applyProtection="1">
      <alignment/>
      <protection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14" fillId="0" borderId="15" xfId="0" applyFont="1" applyFill="1" applyBorder="1" applyAlignment="1" applyProtection="1">
      <alignment horizontal="left"/>
      <protection/>
    </xf>
    <xf numFmtId="164" fontId="14" fillId="0" borderId="24" xfId="0" applyFont="1" applyFill="1" applyBorder="1" applyAlignment="1" applyProtection="1">
      <alignment/>
      <protection/>
    </xf>
    <xf numFmtId="164" fontId="15" fillId="0" borderId="17" xfId="0" applyFont="1" applyFill="1" applyBorder="1" applyAlignment="1" applyProtection="1">
      <alignment/>
      <protection/>
    </xf>
    <xf numFmtId="168" fontId="17" fillId="0" borderId="0" xfId="0" applyNumberFormat="1" applyFont="1" applyFill="1" applyAlignment="1" applyProtection="1">
      <alignment/>
      <protection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14" fillId="0" borderId="17" xfId="0" applyFont="1" applyFill="1" applyBorder="1" applyAlignment="1">
      <alignment/>
    </xf>
    <xf numFmtId="164" fontId="14" fillId="0" borderId="0" xfId="0" applyFont="1" applyFill="1" applyBorder="1" applyAlignment="1" quotePrefix="1">
      <alignment/>
    </xf>
    <xf numFmtId="164" fontId="14" fillId="0" borderId="15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16" fillId="0" borderId="0" xfId="0" applyFont="1" applyFill="1" applyBorder="1" applyAlignment="1">
      <alignment horizontal="center"/>
    </xf>
    <xf numFmtId="164" fontId="16" fillId="0" borderId="17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/>
    </xf>
    <xf numFmtId="164" fontId="17" fillId="0" borderId="17" xfId="0" applyFont="1" applyFill="1" applyBorder="1" applyAlignment="1">
      <alignment/>
    </xf>
    <xf numFmtId="164" fontId="14" fillId="0" borderId="19" xfId="0" applyFont="1" applyFill="1" applyBorder="1" applyAlignment="1">
      <alignment/>
    </xf>
    <xf numFmtId="164" fontId="17" fillId="0" borderId="11" xfId="0" applyFont="1" applyFill="1" applyBorder="1" applyAlignment="1">
      <alignment/>
    </xf>
    <xf numFmtId="164" fontId="17" fillId="0" borderId="11" xfId="0" applyFont="1" applyFill="1" applyBorder="1" applyAlignment="1">
      <alignment horizontal="center"/>
    </xf>
    <xf numFmtId="41" fontId="14" fillId="0" borderId="11" xfId="0" applyNumberFormat="1" applyFont="1" applyFill="1" applyBorder="1" applyAlignment="1">
      <alignment/>
    </xf>
    <xf numFmtId="164" fontId="17" fillId="0" borderId="20" xfId="0" applyFont="1" applyFill="1" applyBorder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center"/>
    </xf>
    <xf numFmtId="38" fontId="9" fillId="0" borderId="0" xfId="0" applyNumberFormat="1" applyFont="1" applyAlignment="1">
      <alignment/>
    </xf>
    <xf numFmtId="6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/>
    </xf>
    <xf numFmtId="3" fontId="0" fillId="0" borderId="0" xfId="0" applyNumberFormat="1" applyAlignment="1">
      <alignment horizontal="center"/>
    </xf>
    <xf numFmtId="38" fontId="9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164" fontId="0" fillId="0" borderId="23" xfId="0" applyBorder="1" applyAlignment="1">
      <alignment horizontal="center"/>
    </xf>
    <xf numFmtId="38" fontId="9" fillId="0" borderId="23" xfId="0" applyNumberFormat="1" applyFont="1" applyBorder="1" applyAlignment="1">
      <alignment horizontal="center"/>
    </xf>
    <xf numFmtId="38" fontId="0" fillId="0" borderId="0" xfId="0" applyNumberFormat="1" applyAlignment="1">
      <alignment/>
    </xf>
    <xf numFmtId="43" fontId="0" fillId="0" borderId="0" xfId="44" applyNumberFormat="1" applyFont="1" applyAlignment="1">
      <alignment/>
    </xf>
    <xf numFmtId="10" fontId="9" fillId="0" borderId="0" xfId="0" applyNumberFormat="1" applyFont="1" applyAlignment="1">
      <alignment/>
    </xf>
    <xf numFmtId="15" fontId="0" fillId="0" borderId="0" xfId="0" applyNumberFormat="1" applyAlignment="1">
      <alignment horizontal="center"/>
    </xf>
    <xf numFmtId="38" fontId="9" fillId="0" borderId="23" xfId="0" applyNumberFormat="1" applyFont="1" applyBorder="1" applyAlignment="1">
      <alignment/>
    </xf>
    <xf numFmtId="38" fontId="0" fillId="0" borderId="23" xfId="0" applyNumberFormat="1" applyBorder="1" applyAlignment="1">
      <alignment/>
    </xf>
    <xf numFmtId="164" fontId="0" fillId="0" borderId="0" xfId="0" applyAlignment="1">
      <alignment horizontal="right"/>
    </xf>
    <xf numFmtId="17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rk\Local%20Settings\Temporary%20Internet%20Files\OLK5\Embedded%20Cost%209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of Capital Summary"/>
      <sheetName val="Emb Cost LTD (detail)"/>
      <sheetName val="Emb Cost LTD"/>
      <sheetName val="Cost of Money"/>
      <sheetName val="Cost of Money Bond Table calc"/>
      <sheetName val="Cost of Money Bond Table ca (2)"/>
      <sheetName val="Chart LT maturities"/>
      <sheetName val="4.11% debt"/>
      <sheetName val="5.62% 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="85" zoomScaleNormal="85" zoomScalePageLayoutView="0" workbookViewId="0" topLeftCell="A1">
      <selection activeCell="H48" sqref="H48"/>
    </sheetView>
  </sheetViews>
  <sheetFormatPr defaultColWidth="9.00390625" defaultRowHeight="12.75"/>
  <cols>
    <col min="1" max="1" width="4.125" style="122" bestFit="1" customWidth="1"/>
    <col min="2" max="2" width="32.75390625" style="6" bestFit="1" customWidth="1"/>
    <col min="3" max="3" width="1.625" style="6" customWidth="1"/>
    <col min="4" max="4" width="10.50390625" style="6" bestFit="1" customWidth="1"/>
    <col min="5" max="5" width="2.625" style="121" customWidth="1"/>
    <col min="6" max="6" width="16.625" style="6" bestFit="1" customWidth="1"/>
    <col min="7" max="7" width="2.625" style="6" customWidth="1"/>
    <col min="8" max="8" width="13.375" style="6" bestFit="1" customWidth="1"/>
    <col min="9" max="9" width="9.00390625" style="6" customWidth="1"/>
    <col min="10" max="10" width="11.00390625" style="6" bestFit="1" customWidth="1"/>
    <col min="11" max="11" width="11.75390625" style="6" bestFit="1" customWidth="1"/>
    <col min="12" max="16384" width="9.00390625" style="6" customWidth="1"/>
  </cols>
  <sheetData>
    <row r="1" spans="1:8" ht="12.75">
      <c r="A1" s="105" t="s">
        <v>0</v>
      </c>
      <c r="B1" s="106"/>
      <c r="C1" s="22"/>
      <c r="D1" s="22"/>
      <c r="E1" s="107"/>
      <c r="F1" s="22"/>
      <c r="G1" s="22"/>
      <c r="H1" s="22"/>
    </row>
    <row r="2" spans="1:8" ht="12.75">
      <c r="A2" s="105" t="s">
        <v>1</v>
      </c>
      <c r="B2" s="106"/>
      <c r="C2" s="22"/>
      <c r="D2" s="22"/>
      <c r="E2" s="107"/>
      <c r="F2" s="22"/>
      <c r="G2" s="22"/>
      <c r="H2" s="22"/>
    </row>
    <row r="3" spans="1:8" ht="12.75">
      <c r="A3" s="108" t="s">
        <v>2</v>
      </c>
      <c r="B3" s="106"/>
      <c r="C3" s="22"/>
      <c r="D3" s="22"/>
      <c r="E3" s="107"/>
      <c r="F3" s="22"/>
      <c r="G3" s="22"/>
      <c r="H3" s="22"/>
    </row>
    <row r="4" spans="1:8" ht="12.75">
      <c r="A4" s="109"/>
      <c r="B4" s="110"/>
      <c r="C4" s="110"/>
      <c r="D4" s="110"/>
      <c r="E4" s="111"/>
      <c r="F4" s="110"/>
      <c r="G4" s="110"/>
      <c r="H4" s="110"/>
    </row>
    <row r="5" spans="1:8" ht="12.75">
      <c r="A5" s="20"/>
      <c r="B5" s="28"/>
      <c r="C5" s="28"/>
      <c r="D5" s="10" t="s">
        <v>3</v>
      </c>
      <c r="E5" s="112"/>
      <c r="F5" s="28"/>
      <c r="G5" s="28"/>
      <c r="H5" s="28"/>
    </row>
    <row r="6" spans="1:8" ht="12.75">
      <c r="A6" s="113" t="s">
        <v>4</v>
      </c>
      <c r="B6" s="28"/>
      <c r="C6" s="28"/>
      <c r="D6" s="10" t="s">
        <v>5</v>
      </c>
      <c r="E6" s="112"/>
      <c r="F6" s="10" t="s">
        <v>6</v>
      </c>
      <c r="G6" s="28"/>
      <c r="H6" s="10" t="s">
        <v>7</v>
      </c>
    </row>
    <row r="7" spans="1:8" ht="12.75">
      <c r="A7" s="114" t="s">
        <v>8</v>
      </c>
      <c r="B7" s="115" t="s">
        <v>9</v>
      </c>
      <c r="C7" s="115"/>
      <c r="D7" s="116" t="s">
        <v>10</v>
      </c>
      <c r="E7" s="117"/>
      <c r="F7" s="116" t="s">
        <v>11</v>
      </c>
      <c r="G7" s="115"/>
      <c r="H7" s="116" t="s">
        <v>12</v>
      </c>
    </row>
    <row r="8" spans="1:8" ht="12.75">
      <c r="A8" s="118"/>
      <c r="B8" s="119" t="s">
        <v>13</v>
      </c>
      <c r="C8" s="105"/>
      <c r="D8" s="120"/>
      <c r="G8" s="75"/>
      <c r="H8" s="75"/>
    </row>
    <row r="9" spans="2:8" ht="12.75">
      <c r="B9" s="123" t="s">
        <v>14</v>
      </c>
      <c r="F9" s="124"/>
      <c r="H9" s="124"/>
    </row>
    <row r="10" spans="2:8" ht="12.75">
      <c r="B10" s="123"/>
      <c r="F10" s="124"/>
      <c r="H10" s="124"/>
    </row>
    <row r="11" spans="1:8" ht="12.75">
      <c r="A11" s="125"/>
      <c r="B11" s="1"/>
      <c r="C11" s="2"/>
      <c r="D11" s="7"/>
      <c r="E11" s="3"/>
      <c r="F11" s="4"/>
      <c r="G11" s="4"/>
      <c r="H11" s="5"/>
    </row>
    <row r="12" spans="1:8" ht="12.75">
      <c r="A12" s="125">
        <v>1</v>
      </c>
      <c r="B12" s="1" t="s">
        <v>15</v>
      </c>
      <c r="C12" s="2"/>
      <c r="D12" s="7">
        <f>+'CAM-3'!AR14</f>
        <v>0.06601</v>
      </c>
      <c r="E12" s="3"/>
      <c r="F12" s="4">
        <f>'CAM-3'!K14</f>
        <v>5000000</v>
      </c>
      <c r="G12" s="4"/>
      <c r="H12" s="5">
        <f>+D12*F12</f>
        <v>330050</v>
      </c>
    </row>
    <row r="13" spans="1:8" ht="12.75">
      <c r="A13" s="125">
        <f aca="true" t="shared" si="0" ref="A13:A36">A12+1</f>
        <v>2</v>
      </c>
      <c r="B13" s="1" t="s">
        <v>16</v>
      </c>
      <c r="C13" s="2"/>
      <c r="D13" s="7">
        <f>'CAM-3'!AR52</f>
        <v>0.04513585</v>
      </c>
      <c r="E13" s="3"/>
      <c r="F13" s="4">
        <f>'CAM-3'!K52</f>
        <v>10000000</v>
      </c>
      <c r="G13" s="4"/>
      <c r="H13" s="5">
        <f>'CAM-3'!AU52</f>
        <v>451359</v>
      </c>
    </row>
    <row r="14" spans="1:8" ht="12.75">
      <c r="A14" s="125">
        <f t="shared" si="0"/>
        <v>3</v>
      </c>
      <c r="B14" s="1" t="s">
        <v>17</v>
      </c>
      <c r="C14" s="2"/>
      <c r="D14" s="7">
        <f>'CAM-3'!AR42</f>
        <v>0.07674</v>
      </c>
      <c r="E14" s="3"/>
      <c r="F14" s="4">
        <f>'CAM-3'!K42</f>
        <v>25000000</v>
      </c>
      <c r="G14" s="4"/>
      <c r="H14" s="5">
        <f>+D14*F14</f>
        <v>1918500</v>
      </c>
    </row>
    <row r="15" spans="1:8" ht="12.75">
      <c r="A15" s="125">
        <f t="shared" si="0"/>
        <v>4</v>
      </c>
      <c r="B15" s="1" t="s">
        <v>18</v>
      </c>
      <c r="C15" s="2"/>
      <c r="D15" s="7">
        <f>'CAM-3'!AR44</f>
        <v>0.0676896</v>
      </c>
      <c r="E15" s="3"/>
      <c r="F15" s="4">
        <f>'CAM-3'!K44</f>
        <v>10000000</v>
      </c>
      <c r="G15" s="4"/>
      <c r="H15" s="5">
        <f>'CAM-3'!AU44</f>
        <v>676896</v>
      </c>
    </row>
    <row r="16" spans="1:8" ht="12.75">
      <c r="A16" s="125">
        <f t="shared" si="0"/>
        <v>5</v>
      </c>
      <c r="B16" s="1" t="s">
        <v>19</v>
      </c>
      <c r="C16" s="2"/>
      <c r="D16" s="7">
        <f>'CAM-3'!AR46</f>
        <v>0.072554</v>
      </c>
      <c r="E16" s="3"/>
      <c r="F16" s="4">
        <f>'CAM-3'!K46</f>
        <v>40000000</v>
      </c>
      <c r="G16" s="4"/>
      <c r="H16" s="5">
        <f>'CAM-3'!AU46</f>
        <v>2902160</v>
      </c>
    </row>
    <row r="17" spans="1:8" ht="12.75">
      <c r="A17" s="125">
        <f t="shared" si="0"/>
        <v>6</v>
      </c>
      <c r="B17" s="1" t="s">
        <v>20</v>
      </c>
      <c r="C17" s="2"/>
      <c r="D17" s="7">
        <f>+'CAM-3'!AR18</f>
        <v>0.0926</v>
      </c>
      <c r="E17" s="3"/>
      <c r="F17" s="4">
        <f>'CAM-3'!K18</f>
        <v>10000000</v>
      </c>
      <c r="G17" s="4"/>
      <c r="H17" s="5">
        <f aca="true" t="shared" si="1" ref="H17:H24">+D17*F17</f>
        <v>926000</v>
      </c>
    </row>
    <row r="18" spans="1:8" ht="12.75">
      <c r="A18" s="125">
        <f t="shared" si="0"/>
        <v>7</v>
      </c>
      <c r="B18" s="1" t="s">
        <v>21</v>
      </c>
      <c r="C18" s="2"/>
      <c r="D18" s="7">
        <f>+'CAM-3'!AR56</f>
        <v>0.04809</v>
      </c>
      <c r="E18" s="3"/>
      <c r="F18" s="4">
        <f>'CAM-3'!K56</f>
        <v>40000000</v>
      </c>
      <c r="G18" s="4"/>
      <c r="H18" s="5">
        <f t="shared" si="1"/>
        <v>1923600</v>
      </c>
    </row>
    <row r="19" spans="1:8" ht="12.75">
      <c r="A19" s="125">
        <f t="shared" si="0"/>
        <v>8</v>
      </c>
      <c r="B19" s="1" t="s">
        <v>22</v>
      </c>
      <c r="C19" s="2"/>
      <c r="D19" s="7">
        <f>+'CAM-3'!AR60</f>
        <v>0.05294486671155279</v>
      </c>
      <c r="E19" s="3"/>
      <c r="F19" s="4">
        <f>'CAM-3'!K60</f>
        <v>25000000</v>
      </c>
      <c r="G19" s="4"/>
      <c r="H19" s="5">
        <f t="shared" si="1"/>
        <v>1323621.6677888196</v>
      </c>
    </row>
    <row r="20" spans="1:8" ht="12.75">
      <c r="A20" s="125">
        <f t="shared" si="0"/>
        <v>9</v>
      </c>
      <c r="B20" s="1" t="s">
        <v>23</v>
      </c>
      <c r="C20" s="2"/>
      <c r="D20" s="7">
        <f>+'CAM-3'!AR24</f>
        <v>0.07089</v>
      </c>
      <c r="E20" s="3"/>
      <c r="F20" s="4">
        <f>'CAM-3'!K24</f>
        <v>40000000</v>
      </c>
      <c r="G20" s="4"/>
      <c r="H20" s="5">
        <f t="shared" si="1"/>
        <v>2835600</v>
      </c>
    </row>
    <row r="21" spans="1:8" ht="12.75">
      <c r="A21" s="125">
        <f t="shared" si="0"/>
        <v>10</v>
      </c>
      <c r="B21" s="1" t="s">
        <v>24</v>
      </c>
      <c r="C21" s="2"/>
      <c r="D21" s="7">
        <f>+'CAM-3'!AR32</f>
        <v>0.07181</v>
      </c>
      <c r="E21" s="3"/>
      <c r="F21" s="4">
        <f>'CAM-3'!K32</f>
        <v>22000000</v>
      </c>
      <c r="G21" s="4"/>
      <c r="H21" s="5">
        <f t="shared" si="1"/>
        <v>1579820</v>
      </c>
    </row>
    <row r="22" spans="1:8" ht="12.75">
      <c r="A22" s="125">
        <f t="shared" si="0"/>
        <v>11</v>
      </c>
      <c r="B22" s="1" t="s">
        <v>25</v>
      </c>
      <c r="C22" s="2"/>
      <c r="D22" s="7">
        <f>+'CAM-3'!AR16</f>
        <v>0.09479</v>
      </c>
      <c r="E22" s="3"/>
      <c r="F22" s="4">
        <f>'CAM-3'!K16</f>
        <v>10000000</v>
      </c>
      <c r="G22" s="4"/>
      <c r="H22" s="5">
        <f t="shared" si="1"/>
        <v>947900</v>
      </c>
    </row>
    <row r="23" spans="1:8" ht="12.75">
      <c r="A23" s="125">
        <f t="shared" si="0"/>
        <v>12</v>
      </c>
      <c r="B23" s="1" t="s">
        <v>26</v>
      </c>
      <c r="C23" s="2"/>
      <c r="D23" s="7">
        <f>'CAM-3'!AR34</f>
        <v>0.07727</v>
      </c>
      <c r="E23" s="3"/>
      <c r="F23" s="4">
        <f>'CAM-3'!N34</f>
        <v>20000000</v>
      </c>
      <c r="G23" s="4"/>
      <c r="H23" s="5">
        <f t="shared" si="1"/>
        <v>1545400</v>
      </c>
    </row>
    <row r="24" spans="1:8" ht="12.75">
      <c r="A24" s="125">
        <f t="shared" si="0"/>
        <v>13</v>
      </c>
      <c r="B24" s="2" t="s">
        <v>27</v>
      </c>
      <c r="C24" s="2"/>
      <c r="D24" s="7">
        <f>+'CAM-3'!AR12</f>
        <v>0.09163</v>
      </c>
      <c r="E24" s="3"/>
      <c r="F24" s="4">
        <f>'CAM-3'!N12</f>
        <v>10000000</v>
      </c>
      <c r="G24" s="4"/>
      <c r="H24" s="5">
        <f t="shared" si="1"/>
        <v>916300</v>
      </c>
    </row>
    <row r="25" spans="1:8" ht="12.75">
      <c r="A25" s="125">
        <f t="shared" si="0"/>
        <v>14</v>
      </c>
      <c r="B25" s="1" t="s">
        <v>28</v>
      </c>
      <c r="C25" s="2"/>
      <c r="D25" s="7">
        <f>'CAM-3'!AR54</f>
        <v>0.06360475</v>
      </c>
      <c r="E25" s="3"/>
      <c r="F25" s="4">
        <f>'CAM-3'!K54</f>
        <v>40000000</v>
      </c>
      <c r="G25" s="4"/>
      <c r="H25" s="5">
        <f>'CAM-3'!AU54</f>
        <v>2544190</v>
      </c>
    </row>
    <row r="26" spans="1:8" ht="12.75">
      <c r="A26" s="125">
        <f t="shared" si="0"/>
        <v>15</v>
      </c>
      <c r="B26" s="1" t="s">
        <v>29</v>
      </c>
      <c r="C26" s="2"/>
      <c r="D26" s="7">
        <f>'CAM-3'!AR38</f>
        <v>0.08336</v>
      </c>
      <c r="E26" s="3"/>
      <c r="F26" s="4">
        <f>'CAM-3'!K38</f>
        <v>20000000</v>
      </c>
      <c r="G26" s="4"/>
      <c r="H26" s="5">
        <f aca="true" t="shared" si="2" ref="H26:H36">+D26*F26</f>
        <v>1667200</v>
      </c>
    </row>
    <row r="27" spans="1:8" ht="12.75">
      <c r="A27" s="125">
        <f t="shared" si="0"/>
        <v>16</v>
      </c>
      <c r="B27" s="2" t="s">
        <v>30</v>
      </c>
      <c r="C27" s="2"/>
      <c r="D27" s="7">
        <f>+'CAM-3'!AR20</f>
        <v>0.06589</v>
      </c>
      <c r="E27" s="3"/>
      <c r="F27" s="4">
        <f>'CAM-3'!K20</f>
        <v>10000000</v>
      </c>
      <c r="G27" s="4"/>
      <c r="H27" s="5">
        <f t="shared" si="2"/>
        <v>658900</v>
      </c>
    </row>
    <row r="28" spans="1:8" ht="12.75">
      <c r="A28" s="125">
        <f t="shared" si="0"/>
        <v>17</v>
      </c>
      <c r="B28" s="1" t="s">
        <v>31</v>
      </c>
      <c r="C28" s="2"/>
      <c r="D28" s="7">
        <f>+'CAM-3'!AR22</f>
        <v>0.07121</v>
      </c>
      <c r="E28" s="3"/>
      <c r="F28" s="4">
        <f>'CAM-3'!K22</f>
        <v>20000000</v>
      </c>
      <c r="G28" s="4"/>
      <c r="H28" s="5">
        <f t="shared" si="2"/>
        <v>1424200</v>
      </c>
    </row>
    <row r="29" spans="1:8" ht="12.75">
      <c r="A29" s="125">
        <f t="shared" si="0"/>
        <v>18</v>
      </c>
      <c r="B29" s="1" t="s">
        <v>32</v>
      </c>
      <c r="C29" s="2"/>
      <c r="D29" s="7">
        <f>+'CAM-3'!AR26</f>
        <v>0.07062</v>
      </c>
      <c r="E29" s="3"/>
      <c r="F29" s="4">
        <f>'CAM-3'!K26</f>
        <v>20000000</v>
      </c>
      <c r="G29" s="4"/>
      <c r="H29" s="5">
        <f t="shared" si="2"/>
        <v>1412400</v>
      </c>
    </row>
    <row r="30" spans="1:8" ht="12.75">
      <c r="A30" s="125">
        <f t="shared" si="0"/>
        <v>19</v>
      </c>
      <c r="B30" s="1" t="s">
        <v>33</v>
      </c>
      <c r="C30" s="2"/>
      <c r="D30" s="7">
        <f>+'CAM-3'!AR28</f>
        <v>0.06713</v>
      </c>
      <c r="E30" s="3"/>
      <c r="F30" s="4">
        <f>'CAM-3'!K28</f>
        <v>20000000</v>
      </c>
      <c r="G30" s="4"/>
      <c r="H30" s="5">
        <f t="shared" si="2"/>
        <v>1342600</v>
      </c>
    </row>
    <row r="31" spans="1:8" ht="12.75">
      <c r="A31" s="125">
        <f t="shared" si="0"/>
        <v>20</v>
      </c>
      <c r="B31" s="1" t="s">
        <v>34</v>
      </c>
      <c r="C31" s="2"/>
      <c r="D31" s="7">
        <f>'CAM-3'!AR30</f>
        <v>0.06727</v>
      </c>
      <c r="E31" s="3"/>
      <c r="F31" s="4">
        <f>'CAM-3'!K30</f>
        <v>10000000</v>
      </c>
      <c r="G31" s="4"/>
      <c r="H31" s="5">
        <f t="shared" si="2"/>
        <v>672700</v>
      </c>
    </row>
    <row r="32" spans="1:8" ht="12.75">
      <c r="A32" s="125">
        <f t="shared" si="0"/>
        <v>21</v>
      </c>
      <c r="B32" s="1" t="s">
        <v>35</v>
      </c>
      <c r="C32" s="2"/>
      <c r="D32" s="7">
        <f>'CAM-3'!AR36</f>
        <v>0.0843268808739</v>
      </c>
      <c r="E32" s="3"/>
      <c r="F32" s="4">
        <f>'CAM-3'!K36</f>
        <v>20000000</v>
      </c>
      <c r="G32" s="4"/>
      <c r="H32" s="5">
        <f t="shared" si="2"/>
        <v>1686537.617478</v>
      </c>
    </row>
    <row r="33" spans="1:8" ht="12.75">
      <c r="A33" s="125">
        <f t="shared" si="0"/>
        <v>22</v>
      </c>
      <c r="B33" s="1" t="s">
        <v>36</v>
      </c>
      <c r="C33" s="2"/>
      <c r="D33" s="7">
        <f>'CAM-3'!AR40</f>
        <v>0.08551</v>
      </c>
      <c r="E33" s="3"/>
      <c r="F33" s="4">
        <f>'CAM-3'!K40</f>
        <v>10000000</v>
      </c>
      <c r="G33" s="4"/>
      <c r="H33" s="5">
        <f t="shared" si="2"/>
        <v>855100</v>
      </c>
    </row>
    <row r="34" spans="1:8" ht="12.75">
      <c r="A34" s="125">
        <f t="shared" si="0"/>
        <v>23</v>
      </c>
      <c r="B34" s="1" t="s">
        <v>37</v>
      </c>
      <c r="C34" s="2"/>
      <c r="D34" s="7">
        <f>'CAM-3'!AR48</f>
        <v>0.05913144</v>
      </c>
      <c r="E34" s="3"/>
      <c r="F34" s="4">
        <f>'CAM-3'!K48</f>
        <v>30000000</v>
      </c>
      <c r="G34" s="4"/>
      <c r="H34" s="5">
        <f t="shared" si="2"/>
        <v>1773943.2</v>
      </c>
    </row>
    <row r="35" spans="1:8" ht="12.75">
      <c r="A35" s="125">
        <f t="shared" si="0"/>
        <v>24</v>
      </c>
      <c r="B35" s="1" t="s">
        <v>38</v>
      </c>
      <c r="C35" s="2"/>
      <c r="D35" s="7">
        <f>'CAM-3'!AR50</f>
        <v>0.0572</v>
      </c>
      <c r="E35" s="3"/>
      <c r="F35" s="4">
        <f>'CAM-3'!K50</f>
        <v>40000000</v>
      </c>
      <c r="G35" s="4"/>
      <c r="H35" s="5">
        <f t="shared" si="2"/>
        <v>2288000</v>
      </c>
    </row>
    <row r="36" spans="1:8" ht="12.75">
      <c r="A36" s="125">
        <f t="shared" si="0"/>
        <v>25</v>
      </c>
      <c r="B36" s="1" t="s">
        <v>39</v>
      </c>
      <c r="C36" s="2"/>
      <c r="D36" s="7">
        <f>+'CAM-3'!AR58</f>
        <v>0.05316</v>
      </c>
      <c r="E36" s="3"/>
      <c r="F36" s="4">
        <f>'CAM-3'!K58</f>
        <v>10000000</v>
      </c>
      <c r="G36" s="4"/>
      <c r="H36" s="5">
        <f t="shared" si="2"/>
        <v>531600</v>
      </c>
    </row>
    <row r="37" spans="2:8" ht="12.75">
      <c r="B37" s="2" t="s">
        <v>40</v>
      </c>
      <c r="C37" s="2"/>
      <c r="D37" s="75"/>
      <c r="E37" s="3"/>
      <c r="F37" s="126">
        <f>SUM(F11:F36)</f>
        <v>517000000</v>
      </c>
      <c r="G37" s="127"/>
      <c r="H37" s="128">
        <f>SUM(H11:H36)</f>
        <v>35134577.48526682</v>
      </c>
    </row>
    <row r="38" spans="2:8" ht="13.5" thickBot="1">
      <c r="B38" s="2" t="s">
        <v>41</v>
      </c>
      <c r="C38" s="2"/>
      <c r="D38" s="75"/>
      <c r="E38" s="3"/>
      <c r="F38" s="4"/>
      <c r="G38" s="75"/>
      <c r="H38" s="129">
        <f>+H37/F37</f>
        <v>0.06795856380128978</v>
      </c>
    </row>
    <row r="39" ht="13.5" thickTop="1">
      <c r="F39" s="124"/>
    </row>
    <row r="40" spans="2:6" ht="12.75">
      <c r="B40" s="105" t="s">
        <v>42</v>
      </c>
      <c r="F40" s="124"/>
    </row>
    <row r="41" spans="1:8" ht="12.75">
      <c r="A41" s="125">
        <f>A36+1</f>
        <v>26</v>
      </c>
      <c r="B41" s="2" t="s">
        <v>43</v>
      </c>
      <c r="C41" s="2"/>
      <c r="D41" s="130">
        <v>0.0528</v>
      </c>
      <c r="E41" s="3"/>
      <c r="F41" s="131">
        <v>54257840</v>
      </c>
      <c r="H41" s="132">
        <f>+D41*F41</f>
        <v>2864813.952</v>
      </c>
    </row>
    <row r="42" spans="1:8" ht="12.75">
      <c r="A42" s="125"/>
      <c r="B42" s="2" t="s">
        <v>40</v>
      </c>
      <c r="C42" s="2"/>
      <c r="D42" s="75"/>
      <c r="E42" s="3"/>
      <c r="F42" s="132">
        <f>SUM(F41)</f>
        <v>54257840</v>
      </c>
      <c r="H42" s="133">
        <f>SUM(H41)</f>
        <v>2864813.952</v>
      </c>
    </row>
    <row r="43" spans="2:8" ht="13.5" thickBot="1">
      <c r="B43" s="2" t="s">
        <v>41</v>
      </c>
      <c r="C43" s="2"/>
      <c r="D43" s="75"/>
      <c r="E43" s="3"/>
      <c r="F43" s="4"/>
      <c r="G43" s="75"/>
      <c r="H43" s="129">
        <f>+H42/F42</f>
        <v>0.0528</v>
      </c>
    </row>
    <row r="44" spans="2:7" ht="13.5" thickTop="1">
      <c r="B44" s="2"/>
      <c r="C44" s="2"/>
      <c r="D44" s="75"/>
      <c r="E44" s="3"/>
      <c r="F44" s="134"/>
      <c r="G44" s="75"/>
    </row>
    <row r="45" spans="1:7" ht="12.75">
      <c r="A45" s="118" t="s">
        <v>44</v>
      </c>
      <c r="B45" s="105" t="s">
        <v>45</v>
      </c>
      <c r="D45" s="75"/>
      <c r="E45" s="3"/>
      <c r="F45" s="4"/>
      <c r="G45" s="75"/>
    </row>
    <row r="46" spans="1:11" ht="12.75">
      <c r="A46" s="125">
        <f>A41+1</f>
        <v>27</v>
      </c>
      <c r="B46" s="2" t="s">
        <v>46</v>
      </c>
      <c r="C46" s="2"/>
      <c r="D46" s="75"/>
      <c r="E46" s="3"/>
      <c r="F46" s="131">
        <v>584956205.31</v>
      </c>
      <c r="G46" s="135"/>
      <c r="H46" s="101"/>
      <c r="K46" s="136"/>
    </row>
    <row r="47" spans="1:8" ht="13.5" thickBot="1">
      <c r="A47" s="125"/>
      <c r="B47" s="2" t="s">
        <v>41</v>
      </c>
      <c r="C47" s="2"/>
      <c r="D47" s="75"/>
      <c r="E47" s="3"/>
      <c r="F47" s="4"/>
      <c r="G47" s="4"/>
      <c r="H47" s="137">
        <v>0.1065</v>
      </c>
    </row>
    <row r="48" spans="2:7" ht="14.25" thickBot="1" thickTop="1">
      <c r="B48" s="118" t="s">
        <v>47</v>
      </c>
      <c r="C48" s="118"/>
      <c r="D48" s="75"/>
      <c r="E48" s="3"/>
      <c r="F48" s="138">
        <f>+F42+F37+F46</f>
        <v>1156214045.31</v>
      </c>
      <c r="G48" s="135"/>
    </row>
    <row r="49" spans="1:6" ht="13.5" thickTop="1">
      <c r="A49" s="125"/>
      <c r="F49" s="124"/>
    </row>
    <row r="50" ht="12.75">
      <c r="F50" s="124"/>
    </row>
    <row r="51" ht="12.75">
      <c r="F51" s="124"/>
    </row>
    <row r="52" ht="12.75">
      <c r="F52" s="124"/>
    </row>
    <row r="53" ht="12.75">
      <c r="F53" s="124"/>
    </row>
    <row r="54" ht="12.75">
      <c r="F54" s="124"/>
    </row>
    <row r="56" ht="12.75">
      <c r="B56" s="101"/>
    </row>
    <row r="58" ht="12.75">
      <c r="B58" s="101"/>
    </row>
  </sheetData>
  <sheetProtection/>
  <printOptions/>
  <pageMargins left="0.75" right="0.75" top="0.25" bottom="0.5" header="0.25" footer="0.5"/>
  <pageSetup fitToHeight="1" fitToWidth="1" horizontalDpi="300" verticalDpi="300" orientation="portrait" scale="97" r:id="rId1"/>
  <headerFooter alignWithMargins="0">
    <oddFooter>&amp;L&amp;7&amp;F&amp;D&amp;T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O174"/>
  <sheetViews>
    <sheetView showGridLines="0" zoomScale="85" zoomScaleNormal="85" zoomScalePageLayoutView="0" workbookViewId="0" topLeftCell="A4">
      <pane xSplit="6" ySplit="7" topLeftCell="G11" activePane="bottomRight" state="frozen"/>
      <selection pane="topLeft" activeCell="F54" sqref="F54"/>
      <selection pane="topRight" activeCell="F54" sqref="F54"/>
      <selection pane="bottomLeft" activeCell="F54" sqref="F54"/>
      <selection pane="bottomRight" activeCell="G43" sqref="G43:G46"/>
    </sheetView>
  </sheetViews>
  <sheetFormatPr defaultColWidth="12.75390625" defaultRowHeight="12.75"/>
  <cols>
    <col min="1" max="1" width="3.125" style="26" customWidth="1"/>
    <col min="2" max="2" width="1.75390625" style="26" hidden="1" customWidth="1"/>
    <col min="3" max="3" width="6.75390625" style="26" customWidth="1"/>
    <col min="4" max="4" width="1.75390625" style="26" customWidth="1"/>
    <col min="5" max="5" width="4.125" style="26" customWidth="1"/>
    <col min="6" max="6" width="4.625" style="104" customWidth="1"/>
    <col min="7" max="7" width="7.50390625" style="26" bestFit="1" customWidth="1"/>
    <col min="8" max="8" width="6.125" style="104" customWidth="1"/>
    <col min="9" max="9" width="2.25390625" style="26" customWidth="1"/>
    <col min="10" max="10" width="1.75390625" style="26" hidden="1" customWidth="1"/>
    <col min="11" max="11" width="11.25390625" style="26" customWidth="1"/>
    <col min="12" max="12" width="6.75390625" style="26" hidden="1" customWidth="1"/>
    <col min="13" max="13" width="0.875" style="26" customWidth="1"/>
    <col min="14" max="14" width="12.00390625" style="26" customWidth="1"/>
    <col min="15" max="15" width="8.75390625" style="26" hidden="1" customWidth="1"/>
    <col min="16" max="16" width="0.875" style="26" customWidth="1"/>
    <col min="17" max="17" width="9.375" style="26" customWidth="1"/>
    <col min="18" max="18" width="1.75390625" style="26" hidden="1" customWidth="1"/>
    <col min="19" max="19" width="0.875" style="26" customWidth="1"/>
    <col min="20" max="20" width="6.875" style="26" customWidth="1"/>
    <col min="21" max="21" width="1.75390625" style="26" hidden="1" customWidth="1"/>
    <col min="22" max="22" width="0.875" style="26" customWidth="1"/>
    <col min="23" max="23" width="10.25390625" style="26" customWidth="1"/>
    <col min="24" max="24" width="1.75390625" style="26" hidden="1" customWidth="1"/>
    <col min="25" max="25" width="0.875" style="26" customWidth="1"/>
    <col min="26" max="26" width="4.75390625" style="26" customWidth="1"/>
    <col min="27" max="27" width="1.75390625" style="26" hidden="1" customWidth="1"/>
    <col min="28" max="28" width="0.875" style="26" customWidth="1"/>
    <col min="29" max="29" width="10.75390625" style="26" customWidth="1"/>
    <col min="30" max="30" width="1.75390625" style="26" hidden="1" customWidth="1"/>
    <col min="31" max="31" width="0.875" style="26" customWidth="1"/>
    <col min="32" max="32" width="5.75390625" style="26" customWidth="1"/>
    <col min="33" max="33" width="1.75390625" style="26" hidden="1" customWidth="1"/>
    <col min="34" max="34" width="0.875" style="26" customWidth="1"/>
    <col min="35" max="35" width="12.50390625" style="26" customWidth="1"/>
    <col min="36" max="36" width="1.75390625" style="26" hidden="1" customWidth="1"/>
    <col min="37" max="37" width="0.875" style="26" customWidth="1"/>
    <col min="38" max="38" width="6.75390625" style="26" customWidth="1"/>
    <col min="39" max="39" width="1.00390625" style="26" hidden="1" customWidth="1"/>
    <col min="40" max="40" width="0.875" style="26" customWidth="1"/>
    <col min="41" max="41" width="5.375" style="26" customWidth="1"/>
    <col min="42" max="42" width="1.75390625" style="26" hidden="1" customWidth="1"/>
    <col min="43" max="43" width="0.875" style="26" customWidth="1"/>
    <col min="44" max="44" width="6.375" style="26" customWidth="1"/>
    <col min="45" max="45" width="1.75390625" style="26" hidden="1" customWidth="1"/>
    <col min="46" max="46" width="0.875" style="26" customWidth="1"/>
    <col min="47" max="47" width="11.25390625" style="26" customWidth="1"/>
    <col min="48" max="48" width="12.75390625" style="26" customWidth="1"/>
    <col min="49" max="49" width="1.75390625" style="26" customWidth="1"/>
    <col min="50" max="50" width="5.75390625" style="26" customWidth="1"/>
    <col min="51" max="51" width="1.75390625" style="26" customWidth="1"/>
    <col min="52" max="52" width="8.75390625" style="26" customWidth="1"/>
    <col min="53" max="53" width="1.75390625" style="26" customWidth="1"/>
    <col min="54" max="54" width="11.75390625" style="26" customWidth="1"/>
    <col min="55" max="55" width="12.75390625" style="26" customWidth="1"/>
    <col min="56" max="56" width="12.875" style="26" customWidth="1"/>
    <col min="57" max="57" width="1.75390625" style="26" customWidth="1"/>
    <col min="58" max="58" width="6.75390625" style="26" customWidth="1"/>
    <col min="59" max="59" width="20.75390625" style="26" customWidth="1"/>
    <col min="60" max="60" width="2.75390625" style="26" customWidth="1"/>
    <col min="61" max="61" width="14.75390625" style="26" customWidth="1"/>
    <col min="62" max="62" width="1.75390625" style="26" customWidth="1"/>
    <col min="63" max="63" width="12.75390625" style="26" customWidth="1"/>
    <col min="64" max="64" width="5.75390625" style="26" customWidth="1"/>
    <col min="65" max="66" width="12.75390625" style="26" customWidth="1"/>
    <col min="67" max="67" width="14.75390625" style="26" customWidth="1"/>
    <col min="68" max="68" width="1.75390625" style="26" customWidth="1"/>
    <col min="69" max="69" width="9.75390625" style="26" customWidth="1"/>
    <col min="70" max="70" width="1.75390625" style="26" customWidth="1"/>
    <col min="71" max="71" width="9.75390625" style="26" customWidth="1"/>
    <col min="72" max="72" width="1.75390625" style="26" customWidth="1"/>
    <col min="73" max="73" width="14.75390625" style="26" customWidth="1"/>
    <col min="74" max="74" width="1.75390625" style="26" customWidth="1"/>
    <col min="75" max="75" width="14.75390625" style="26" customWidth="1"/>
    <col min="76" max="76" width="1.75390625" style="26" customWidth="1"/>
    <col min="77" max="77" width="14.75390625" style="26" customWidth="1"/>
    <col min="78" max="78" width="1.75390625" style="26" customWidth="1"/>
    <col min="79" max="79" width="10.75390625" style="26" customWidth="1"/>
    <col min="80" max="80" width="1.75390625" style="26" customWidth="1"/>
    <col min="81" max="81" width="14.75390625" style="26" customWidth="1"/>
    <col min="82" max="84" width="12.75390625" style="26" customWidth="1"/>
    <col min="85" max="86" width="15.75390625" style="26" customWidth="1"/>
    <col min="87" max="16384" width="12.75390625" style="26" customWidth="1"/>
  </cols>
  <sheetData>
    <row r="1" spans="1:99" s="25" customFormat="1" ht="13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4"/>
      <c r="AW1" s="24"/>
      <c r="BF1" s="26"/>
      <c r="BG1" s="26"/>
      <c r="BH1" s="26"/>
      <c r="BI1" s="26"/>
      <c r="BJ1" s="26"/>
      <c r="BK1" s="26"/>
      <c r="BL1" s="26"/>
      <c r="BM1" s="26"/>
      <c r="BN1" s="6"/>
      <c r="CM1" s="27"/>
      <c r="CN1" s="27"/>
      <c r="CO1" s="27"/>
      <c r="CP1" s="27"/>
      <c r="CQ1" s="27"/>
      <c r="CR1" s="27"/>
      <c r="CS1" s="27"/>
      <c r="CT1" s="27"/>
      <c r="CU1" s="27"/>
    </row>
    <row r="2" spans="1:99" s="30" customFormat="1" ht="13.5">
      <c r="A2" s="28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BE2" s="31"/>
      <c r="BN2" s="14"/>
      <c r="CM2" s="32"/>
      <c r="CN2" s="32"/>
      <c r="CO2" s="32"/>
      <c r="CP2" s="32"/>
      <c r="CQ2" s="32"/>
      <c r="CR2" s="32"/>
      <c r="CS2" s="32"/>
      <c r="CT2" s="32"/>
      <c r="CU2" s="32"/>
    </row>
    <row r="3" spans="1:99" ht="13.5">
      <c r="A3" s="33" t="str">
        <f>'CAM-2'!A3</f>
        <v>PERIOD ENDED September 30, 2007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BE3" s="25"/>
      <c r="BN3" s="6"/>
      <c r="CM3" s="27"/>
      <c r="CN3" s="27"/>
      <c r="CO3" s="27"/>
      <c r="CP3" s="27"/>
      <c r="CQ3" s="27"/>
      <c r="CR3" s="27"/>
      <c r="CS3" s="27"/>
      <c r="CT3" s="27"/>
      <c r="CU3" s="27"/>
    </row>
    <row r="4" spans="1:99" s="25" customFormat="1" ht="13.5">
      <c r="A4" s="34"/>
      <c r="B4" s="35"/>
      <c r="C4" s="35"/>
      <c r="D4" s="35"/>
      <c r="E4" s="35"/>
      <c r="F4" s="36"/>
      <c r="G4" s="35"/>
      <c r="H4" s="36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7" t="s">
        <v>49</v>
      </c>
      <c r="X4" s="35"/>
      <c r="Y4" s="35"/>
      <c r="Z4" s="35"/>
      <c r="AA4" s="35"/>
      <c r="AB4" s="35"/>
      <c r="AC4" s="37" t="s">
        <v>50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8"/>
      <c r="AV4" s="24"/>
      <c r="AW4" s="24"/>
      <c r="BF4" s="26"/>
      <c r="BG4" s="26"/>
      <c r="BH4" s="26"/>
      <c r="BI4" s="26"/>
      <c r="BJ4" s="26"/>
      <c r="BK4" s="26"/>
      <c r="BL4" s="26"/>
      <c r="BM4" s="26"/>
      <c r="BN4" s="6"/>
      <c r="CM4" s="27"/>
      <c r="CN4" s="27"/>
      <c r="CO4" s="27"/>
      <c r="CP4" s="27"/>
      <c r="CQ4" s="27"/>
      <c r="CR4" s="27"/>
      <c r="CS4" s="27"/>
      <c r="CT4" s="27"/>
      <c r="CU4" s="27"/>
    </row>
    <row r="5" spans="1:66" s="27" customFormat="1" ht="13.5">
      <c r="A5" s="39" t="s">
        <v>44</v>
      </c>
      <c r="B5" s="40"/>
      <c r="C5" s="40"/>
      <c r="D5" s="40"/>
      <c r="E5" s="40"/>
      <c r="F5" s="41"/>
      <c r="G5" s="40"/>
      <c r="H5" s="41"/>
      <c r="I5" s="40"/>
      <c r="J5" s="40"/>
      <c r="K5" s="40"/>
      <c r="L5" s="40"/>
      <c r="M5" s="40"/>
      <c r="N5" s="40"/>
      <c r="O5" s="40"/>
      <c r="P5" s="40"/>
      <c r="Q5" s="42" t="s">
        <v>51</v>
      </c>
      <c r="R5" s="43"/>
      <c r="S5" s="43"/>
      <c r="T5" s="43"/>
      <c r="U5" s="40"/>
      <c r="V5" s="40"/>
      <c r="W5" s="42" t="s">
        <v>52</v>
      </c>
      <c r="X5" s="43"/>
      <c r="Y5" s="43"/>
      <c r="Z5" s="43"/>
      <c r="AA5" s="40"/>
      <c r="AB5" s="40"/>
      <c r="AC5" s="42" t="s">
        <v>53</v>
      </c>
      <c r="AD5" s="43"/>
      <c r="AE5" s="43"/>
      <c r="AF5" s="43"/>
      <c r="AG5" s="40"/>
      <c r="AH5" s="40"/>
      <c r="AI5" s="42" t="s">
        <v>54</v>
      </c>
      <c r="AJ5" s="43"/>
      <c r="AK5" s="43"/>
      <c r="AL5" s="43"/>
      <c r="AM5" s="40"/>
      <c r="AN5" s="40"/>
      <c r="AO5" s="41" t="s">
        <v>55</v>
      </c>
      <c r="AP5" s="40"/>
      <c r="AQ5" s="40"/>
      <c r="AR5" s="44" t="s">
        <v>56</v>
      </c>
      <c r="AS5" s="40"/>
      <c r="AT5" s="40"/>
      <c r="AU5" s="45" t="s">
        <v>57</v>
      </c>
      <c r="BE5" s="25"/>
      <c r="BF5" s="26"/>
      <c r="BG5" s="26"/>
      <c r="BH5" s="26"/>
      <c r="BI5" s="26"/>
      <c r="BJ5" s="26"/>
      <c r="BK5" s="26"/>
      <c r="BL5" s="26"/>
      <c r="BM5" s="26"/>
      <c r="BN5" s="6"/>
    </row>
    <row r="6" spans="1:66" s="27" customFormat="1" ht="13.5">
      <c r="A6" s="39"/>
      <c r="B6" s="40"/>
      <c r="C6" s="40" t="s">
        <v>58</v>
      </c>
      <c r="D6" s="40"/>
      <c r="E6" s="40"/>
      <c r="F6" s="41"/>
      <c r="G6" s="40"/>
      <c r="H6" s="41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6" t="s">
        <v>59</v>
      </c>
      <c r="U6" s="40"/>
      <c r="V6" s="40"/>
      <c r="W6" s="40"/>
      <c r="X6" s="40"/>
      <c r="Y6" s="40"/>
      <c r="Z6" s="41" t="s">
        <v>59</v>
      </c>
      <c r="AA6" s="40"/>
      <c r="AB6" s="40"/>
      <c r="AC6" s="40"/>
      <c r="AD6" s="40"/>
      <c r="AE6" s="40"/>
      <c r="AF6" s="41" t="s">
        <v>59</v>
      </c>
      <c r="AG6" s="40"/>
      <c r="AH6" s="40"/>
      <c r="AI6" s="40"/>
      <c r="AJ6" s="40"/>
      <c r="AK6" s="40"/>
      <c r="AL6" s="44" t="s">
        <v>60</v>
      </c>
      <c r="AM6" s="40"/>
      <c r="AN6" s="40"/>
      <c r="AO6" s="41" t="s">
        <v>61</v>
      </c>
      <c r="AP6" s="40"/>
      <c r="AQ6" s="40"/>
      <c r="AR6" s="44" t="s">
        <v>62</v>
      </c>
      <c r="AS6" s="40"/>
      <c r="AT6" s="40"/>
      <c r="AU6" s="45" t="s">
        <v>63</v>
      </c>
      <c r="BE6" s="25"/>
      <c r="BF6" s="26"/>
      <c r="BG6" s="26"/>
      <c r="BH6" s="26"/>
      <c r="BI6" s="26"/>
      <c r="BJ6" s="26"/>
      <c r="BK6" s="26"/>
      <c r="BL6" s="26"/>
      <c r="BM6" s="26"/>
      <c r="BN6" s="6"/>
    </row>
    <row r="7" spans="1:66" s="27" customFormat="1" ht="13.5">
      <c r="A7" s="39" t="s">
        <v>64</v>
      </c>
      <c r="B7" s="40"/>
      <c r="C7" s="46" t="s">
        <v>65</v>
      </c>
      <c r="D7" s="40"/>
      <c r="E7" s="40"/>
      <c r="F7" s="46" t="s">
        <v>66</v>
      </c>
      <c r="G7" s="40"/>
      <c r="H7" s="46" t="s">
        <v>67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6" t="s">
        <v>68</v>
      </c>
      <c r="U7" s="40"/>
      <c r="V7" s="40"/>
      <c r="W7" s="40"/>
      <c r="X7" s="40"/>
      <c r="Y7" s="40"/>
      <c r="Z7" s="41" t="s">
        <v>68</v>
      </c>
      <c r="AA7" s="40"/>
      <c r="AB7" s="40"/>
      <c r="AC7" s="40"/>
      <c r="AD7" s="40"/>
      <c r="AE7" s="40"/>
      <c r="AF7" s="41" t="s">
        <v>68</v>
      </c>
      <c r="AG7" s="40"/>
      <c r="AH7" s="40"/>
      <c r="AI7" s="44"/>
      <c r="AJ7" s="40"/>
      <c r="AK7" s="40"/>
      <c r="AL7" s="44" t="s">
        <v>68</v>
      </c>
      <c r="AM7" s="40"/>
      <c r="AN7" s="40"/>
      <c r="AO7" s="41" t="s">
        <v>69</v>
      </c>
      <c r="AP7" s="40"/>
      <c r="AQ7" s="40"/>
      <c r="AR7" s="44" t="s">
        <v>70</v>
      </c>
      <c r="AS7" s="40"/>
      <c r="AT7" s="40"/>
      <c r="AU7" s="45" t="s">
        <v>71</v>
      </c>
      <c r="BE7" s="25"/>
      <c r="BF7" s="26"/>
      <c r="BG7" s="26"/>
      <c r="BH7" s="26"/>
      <c r="BI7" s="26"/>
      <c r="BJ7" s="26"/>
      <c r="BK7" s="26"/>
      <c r="BL7" s="26"/>
      <c r="BM7" s="26"/>
      <c r="BN7" s="6"/>
    </row>
    <row r="8" spans="1:66" s="27" customFormat="1" ht="13.5">
      <c r="A8" s="47" t="s">
        <v>72</v>
      </c>
      <c r="B8" s="43"/>
      <c r="C8" s="48" t="s">
        <v>73</v>
      </c>
      <c r="D8" s="43"/>
      <c r="E8" s="40"/>
      <c r="F8" s="48" t="s">
        <v>74</v>
      </c>
      <c r="G8" s="40"/>
      <c r="H8" s="48" t="s">
        <v>66</v>
      </c>
      <c r="I8" s="40"/>
      <c r="J8" s="43"/>
      <c r="K8" s="48" t="s">
        <v>75</v>
      </c>
      <c r="L8" s="43"/>
      <c r="M8" s="40"/>
      <c r="N8" s="48" t="s">
        <v>76</v>
      </c>
      <c r="O8" s="43"/>
      <c r="P8" s="40"/>
      <c r="Q8" s="48" t="s">
        <v>77</v>
      </c>
      <c r="R8" s="43"/>
      <c r="S8" s="43"/>
      <c r="T8" s="49" t="s">
        <v>77</v>
      </c>
      <c r="U8" s="43"/>
      <c r="V8" s="40"/>
      <c r="W8" s="49" t="s">
        <v>77</v>
      </c>
      <c r="X8" s="43"/>
      <c r="Y8" s="43"/>
      <c r="Z8" s="49" t="s">
        <v>77</v>
      </c>
      <c r="AA8" s="43"/>
      <c r="AB8" s="40"/>
      <c r="AC8" s="49" t="s">
        <v>77</v>
      </c>
      <c r="AD8" s="43"/>
      <c r="AE8" s="43"/>
      <c r="AF8" s="49" t="s">
        <v>77</v>
      </c>
      <c r="AG8" s="43"/>
      <c r="AH8" s="40"/>
      <c r="AI8" s="49" t="s">
        <v>77</v>
      </c>
      <c r="AJ8" s="43"/>
      <c r="AK8" s="43"/>
      <c r="AL8" s="50" t="s">
        <v>77</v>
      </c>
      <c r="AM8" s="43"/>
      <c r="AN8" s="40"/>
      <c r="AO8" s="49" t="s">
        <v>78</v>
      </c>
      <c r="AP8" s="43"/>
      <c r="AQ8" s="40"/>
      <c r="AR8" s="51" t="s">
        <v>79</v>
      </c>
      <c r="AS8" s="43"/>
      <c r="AT8" s="40"/>
      <c r="AU8" s="52" t="s">
        <v>80</v>
      </c>
      <c r="BE8" s="25"/>
      <c r="BF8" s="26"/>
      <c r="BG8" s="26"/>
      <c r="BH8" s="26"/>
      <c r="BI8" s="26"/>
      <c r="BJ8" s="26"/>
      <c r="BK8" s="26"/>
      <c r="BL8" s="26"/>
      <c r="BM8" s="26"/>
      <c r="BN8" s="6"/>
    </row>
    <row r="9" spans="1:99" s="25" customFormat="1" ht="13.5">
      <c r="A9" s="53"/>
      <c r="B9" s="9"/>
      <c r="C9" s="10" t="s">
        <v>81</v>
      </c>
      <c r="D9" s="9"/>
      <c r="E9" s="9"/>
      <c r="F9" s="10" t="s">
        <v>82</v>
      </c>
      <c r="G9" s="9"/>
      <c r="H9" s="10" t="s">
        <v>83</v>
      </c>
      <c r="I9" s="14"/>
      <c r="J9" s="9"/>
      <c r="K9" s="10" t="s">
        <v>84</v>
      </c>
      <c r="L9" s="9"/>
      <c r="M9" s="9"/>
      <c r="N9" s="10" t="s">
        <v>85</v>
      </c>
      <c r="O9" s="9"/>
      <c r="P9" s="9"/>
      <c r="Q9" s="10" t="s">
        <v>86</v>
      </c>
      <c r="R9" s="9"/>
      <c r="S9" s="9"/>
      <c r="T9" s="10" t="s">
        <v>87</v>
      </c>
      <c r="U9" s="9"/>
      <c r="V9" s="9"/>
      <c r="W9" s="10" t="s">
        <v>88</v>
      </c>
      <c r="X9" s="9"/>
      <c r="Y9" s="9"/>
      <c r="Z9" s="10" t="s">
        <v>89</v>
      </c>
      <c r="AA9" s="9"/>
      <c r="AB9" s="9"/>
      <c r="AC9" s="10" t="s">
        <v>90</v>
      </c>
      <c r="AD9" s="9"/>
      <c r="AE9" s="9"/>
      <c r="AF9" s="10" t="s">
        <v>91</v>
      </c>
      <c r="AG9" s="9"/>
      <c r="AH9" s="9"/>
      <c r="AI9" s="10" t="s">
        <v>92</v>
      </c>
      <c r="AJ9" s="9"/>
      <c r="AK9" s="9"/>
      <c r="AL9" s="10" t="s">
        <v>93</v>
      </c>
      <c r="AM9" s="9"/>
      <c r="AN9" s="9"/>
      <c r="AO9" s="10" t="s">
        <v>94</v>
      </c>
      <c r="AP9" s="9"/>
      <c r="AQ9" s="9"/>
      <c r="AR9" s="10" t="s">
        <v>95</v>
      </c>
      <c r="AS9" s="9"/>
      <c r="AT9" s="9"/>
      <c r="AU9" s="54" t="s">
        <v>96</v>
      </c>
      <c r="AV9" s="24"/>
      <c r="AW9" s="24"/>
      <c r="BF9" s="26"/>
      <c r="BG9" s="26"/>
      <c r="BH9" s="26"/>
      <c r="BI9" s="26"/>
      <c r="BJ9" s="26"/>
      <c r="BK9" s="26"/>
      <c r="BL9" s="26"/>
      <c r="BM9" s="26"/>
      <c r="BN9" s="6"/>
      <c r="CM9" s="27"/>
      <c r="CN9" s="27"/>
      <c r="CO9" s="27"/>
      <c r="CP9" s="27"/>
      <c r="CQ9" s="27"/>
      <c r="CR9" s="27"/>
      <c r="CS9" s="27"/>
      <c r="CT9" s="27"/>
      <c r="CU9" s="27"/>
    </row>
    <row r="10" spans="1:66" s="27" customFormat="1" ht="13.5">
      <c r="A10" s="55"/>
      <c r="B10" s="11"/>
      <c r="C10" s="8" t="s">
        <v>97</v>
      </c>
      <c r="D10" s="9"/>
      <c r="E10" s="9"/>
      <c r="F10" s="10"/>
      <c r="G10" s="11"/>
      <c r="H10" s="56"/>
      <c r="I10" s="11"/>
      <c r="J10" s="11"/>
      <c r="K10" s="11"/>
      <c r="L10" s="11"/>
      <c r="M10" s="11"/>
      <c r="N10" s="5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58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59"/>
      <c r="AV10" s="60"/>
      <c r="AW10" s="60"/>
      <c r="BF10" s="26"/>
      <c r="BG10" s="26"/>
      <c r="BH10" s="26"/>
      <c r="BI10" s="26"/>
      <c r="BJ10" s="26"/>
      <c r="BK10" s="26"/>
      <c r="BL10" s="26"/>
      <c r="BM10" s="26"/>
      <c r="BN10" s="6"/>
    </row>
    <row r="11" spans="1:66" s="27" customFormat="1" ht="13.5">
      <c r="A11" s="61"/>
      <c r="B11" s="11"/>
      <c r="C11" s="62" t="s">
        <v>98</v>
      </c>
      <c r="D11" s="11"/>
      <c r="E11" s="11"/>
      <c r="F11" s="56"/>
      <c r="G11" s="11"/>
      <c r="H11" s="56"/>
      <c r="I11" s="11"/>
      <c r="J11" s="11"/>
      <c r="K11" s="11"/>
      <c r="L11" s="11"/>
      <c r="M11" s="11"/>
      <c r="N11" s="5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58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63"/>
      <c r="AV11" s="60"/>
      <c r="AW11" s="60"/>
      <c r="BF11" s="26"/>
      <c r="BG11" s="26"/>
      <c r="BH11" s="26"/>
      <c r="BI11" s="26"/>
      <c r="BJ11" s="26"/>
      <c r="BK11" s="26"/>
      <c r="BL11" s="26"/>
      <c r="BM11" s="26"/>
      <c r="BN11" s="6"/>
    </row>
    <row r="12" spans="1:94" s="27" customFormat="1" ht="13.5">
      <c r="A12" s="64">
        <v>1</v>
      </c>
      <c r="B12" s="11"/>
      <c r="C12" s="65" t="s">
        <v>99</v>
      </c>
      <c r="D12" s="11"/>
      <c r="E12" s="11"/>
      <c r="F12" s="56" t="s">
        <v>100</v>
      </c>
      <c r="G12" s="11"/>
      <c r="H12" s="66" t="s">
        <v>101</v>
      </c>
      <c r="I12" s="11"/>
      <c r="J12" s="11"/>
      <c r="K12" s="67">
        <v>10000000</v>
      </c>
      <c r="L12" s="11"/>
      <c r="M12" s="11"/>
      <c r="N12" s="57">
        <f>K12</f>
        <v>10000000</v>
      </c>
      <c r="O12" s="11"/>
      <c r="P12" s="11"/>
      <c r="Q12" s="67">
        <v>0</v>
      </c>
      <c r="R12" s="11"/>
      <c r="S12" s="11"/>
      <c r="T12" s="15">
        <f>-Q12/N12*100</f>
        <v>0</v>
      </c>
      <c r="U12" s="11"/>
      <c r="V12" s="11"/>
      <c r="W12" s="67">
        <v>75000</v>
      </c>
      <c r="X12" s="11"/>
      <c r="Y12" s="11"/>
      <c r="Z12" s="15">
        <f>W12/N12*100</f>
        <v>0.75</v>
      </c>
      <c r="AA12" s="11"/>
      <c r="AB12" s="11"/>
      <c r="AC12" s="68">
        <v>40333</v>
      </c>
      <c r="AD12" s="11"/>
      <c r="AE12" s="11"/>
      <c r="AF12" s="15">
        <f>AC12/N12*100</f>
        <v>0.40333</v>
      </c>
      <c r="AG12" s="11"/>
      <c r="AH12" s="11"/>
      <c r="AI12" s="57">
        <f>N12+Q12-W12-AC12</f>
        <v>9884667</v>
      </c>
      <c r="AJ12" s="11"/>
      <c r="AK12" s="11"/>
      <c r="AL12" s="69">
        <f>ROUND((AI12/N12*100),3)</f>
        <v>98.847</v>
      </c>
      <c r="AM12" s="11"/>
      <c r="AN12" s="11"/>
      <c r="AO12" s="70" t="s">
        <v>102</v>
      </c>
      <c r="AP12" s="11"/>
      <c r="AQ12" s="11"/>
      <c r="AR12" s="12">
        <v>0.09163</v>
      </c>
      <c r="AS12" s="11"/>
      <c r="AT12" s="11"/>
      <c r="AU12" s="59">
        <f>ROUND((+AR12*K12),0)</f>
        <v>916300</v>
      </c>
      <c r="BF12" s="26"/>
      <c r="BG12" s="26"/>
      <c r="BH12" s="26"/>
      <c r="BI12" s="26"/>
      <c r="BJ12" s="26"/>
      <c r="BK12" s="26"/>
      <c r="BL12" s="26"/>
      <c r="BM12" s="26"/>
      <c r="BN12" s="2" t="s">
        <v>50</v>
      </c>
      <c r="CP12" s="26"/>
    </row>
    <row r="13" spans="1:94" s="27" customFormat="1" ht="13.5">
      <c r="A13" s="64"/>
      <c r="B13" s="11"/>
      <c r="C13" s="65"/>
      <c r="D13" s="11"/>
      <c r="E13" s="11"/>
      <c r="F13" s="56"/>
      <c r="G13" s="11"/>
      <c r="H13" s="66"/>
      <c r="I13" s="11"/>
      <c r="J13" s="11"/>
      <c r="K13" s="67"/>
      <c r="L13" s="11"/>
      <c r="M13" s="11"/>
      <c r="N13" s="57"/>
      <c r="O13" s="11"/>
      <c r="P13" s="11"/>
      <c r="Q13" s="71"/>
      <c r="R13" s="11"/>
      <c r="S13" s="11"/>
      <c r="T13" s="15"/>
      <c r="U13" s="11"/>
      <c r="V13" s="11"/>
      <c r="W13" s="67"/>
      <c r="X13" s="11"/>
      <c r="Y13" s="11"/>
      <c r="Z13" s="15"/>
      <c r="AA13" s="11"/>
      <c r="AB13" s="11"/>
      <c r="AC13" s="72" t="s">
        <v>103</v>
      </c>
      <c r="AD13" s="11"/>
      <c r="AE13" s="11"/>
      <c r="AF13" s="15"/>
      <c r="AG13" s="11"/>
      <c r="AH13" s="11"/>
      <c r="AI13" s="57"/>
      <c r="AJ13" s="11"/>
      <c r="AK13" s="11"/>
      <c r="AL13" s="69"/>
      <c r="AM13" s="11"/>
      <c r="AN13" s="11"/>
      <c r="AO13" s="73"/>
      <c r="AP13" s="11"/>
      <c r="AQ13" s="11"/>
      <c r="AR13" s="12"/>
      <c r="AS13" s="11"/>
      <c r="AT13" s="11"/>
      <c r="AU13" s="59"/>
      <c r="AV13" s="60"/>
      <c r="AW13" s="60"/>
      <c r="BF13" s="26"/>
      <c r="BG13" s="26"/>
      <c r="BH13" s="26"/>
      <c r="BI13" s="26"/>
      <c r="BJ13" s="26"/>
      <c r="BK13" s="26"/>
      <c r="BL13" s="26"/>
      <c r="BM13" s="26"/>
      <c r="BN13" s="6"/>
      <c r="CP13" s="26"/>
    </row>
    <row r="14" spans="1:94" s="27" customFormat="1" ht="13.5">
      <c r="A14" s="64">
        <f>A12+1</f>
        <v>2</v>
      </c>
      <c r="B14" s="11"/>
      <c r="C14" s="65" t="s">
        <v>104</v>
      </c>
      <c r="D14" s="11"/>
      <c r="E14" s="11"/>
      <c r="F14" s="56" t="s">
        <v>105</v>
      </c>
      <c r="G14" s="74" t="s">
        <v>44</v>
      </c>
      <c r="H14" s="66" t="s">
        <v>106</v>
      </c>
      <c r="I14" s="11"/>
      <c r="J14" s="11"/>
      <c r="K14" s="67">
        <v>5000000</v>
      </c>
      <c r="L14" s="11"/>
      <c r="M14" s="11"/>
      <c r="N14" s="57">
        <f>K14</f>
        <v>5000000</v>
      </c>
      <c r="O14" s="11"/>
      <c r="P14" s="11"/>
      <c r="Q14" s="71">
        <v>0</v>
      </c>
      <c r="R14" s="11"/>
      <c r="S14" s="11"/>
      <c r="T14" s="15">
        <f>-Q14/N14*100</f>
        <v>0</v>
      </c>
      <c r="U14" s="11"/>
      <c r="V14" s="11"/>
      <c r="W14" s="67">
        <v>33750</v>
      </c>
      <c r="X14" s="11"/>
      <c r="Y14" s="11"/>
      <c r="Z14" s="15">
        <f>W14/N14*100</f>
        <v>0.675</v>
      </c>
      <c r="AA14" s="11"/>
      <c r="AB14" s="11"/>
      <c r="AC14" s="68">
        <f>9333+4490</f>
        <v>13823</v>
      </c>
      <c r="AD14" s="11"/>
      <c r="AE14" s="11"/>
      <c r="AF14" s="15">
        <f>AC14/N14*100</f>
        <v>0.27646</v>
      </c>
      <c r="AG14" s="11"/>
      <c r="AH14" s="11"/>
      <c r="AI14" s="57">
        <f>N14+Q14-W14-AC14</f>
        <v>4952427</v>
      </c>
      <c r="AJ14" s="11"/>
      <c r="AK14" s="11"/>
      <c r="AL14" s="69">
        <f>ROUND((AI14/N14*100),3)</f>
        <v>99.049</v>
      </c>
      <c r="AM14" s="11"/>
      <c r="AN14" s="11"/>
      <c r="AO14" s="73" t="s">
        <v>107</v>
      </c>
      <c r="AP14" s="11"/>
      <c r="AQ14" s="11"/>
      <c r="AR14" s="12">
        <v>0.06601</v>
      </c>
      <c r="AS14" s="11"/>
      <c r="AT14" s="11"/>
      <c r="AU14" s="59">
        <f>ROUND((+AR14*K14),0)</f>
        <v>330050</v>
      </c>
      <c r="AV14" s="60"/>
      <c r="AW14" s="60"/>
      <c r="BF14" s="26"/>
      <c r="BG14" s="26"/>
      <c r="BH14" s="26"/>
      <c r="BI14" s="26"/>
      <c r="BJ14" s="26"/>
      <c r="BK14" s="26"/>
      <c r="BL14" s="26"/>
      <c r="BM14" s="26"/>
      <c r="BN14" s="75"/>
      <c r="CP14" s="26"/>
    </row>
    <row r="15" spans="1:94" s="27" customFormat="1" ht="13.5">
      <c r="A15" s="64"/>
      <c r="B15" s="11"/>
      <c r="C15" s="65"/>
      <c r="D15" s="11"/>
      <c r="E15" s="11"/>
      <c r="F15" s="56"/>
      <c r="G15" s="11"/>
      <c r="H15" s="66"/>
      <c r="I15" s="11"/>
      <c r="J15" s="11"/>
      <c r="K15" s="67"/>
      <c r="L15" s="57"/>
      <c r="M15" s="57"/>
      <c r="N15" s="57"/>
      <c r="O15" s="11"/>
      <c r="P15" s="11"/>
      <c r="Q15" s="71"/>
      <c r="R15" s="11"/>
      <c r="S15" s="11"/>
      <c r="T15" s="15"/>
      <c r="U15" s="11"/>
      <c r="V15" s="11"/>
      <c r="W15" s="67"/>
      <c r="X15" s="11"/>
      <c r="Y15" s="11"/>
      <c r="Z15" s="15"/>
      <c r="AA15" s="11"/>
      <c r="AB15" s="11"/>
      <c r="AC15" s="72" t="s">
        <v>103</v>
      </c>
      <c r="AD15" s="11"/>
      <c r="AE15" s="11"/>
      <c r="AF15" s="15"/>
      <c r="AG15" s="11"/>
      <c r="AH15" s="11"/>
      <c r="AI15" s="57"/>
      <c r="AJ15" s="11"/>
      <c r="AK15" s="11"/>
      <c r="AL15" s="69"/>
      <c r="AM15" s="11"/>
      <c r="AN15" s="11"/>
      <c r="AO15" s="73"/>
      <c r="AP15" s="11"/>
      <c r="AQ15" s="11"/>
      <c r="AR15" s="12"/>
      <c r="AS15" s="11"/>
      <c r="AT15" s="11"/>
      <c r="AU15" s="59"/>
      <c r="AV15" s="60"/>
      <c r="AW15" s="60"/>
      <c r="BF15" s="26"/>
      <c r="BG15" s="26"/>
      <c r="BH15" s="26"/>
      <c r="BI15" s="26"/>
      <c r="BJ15" s="26"/>
      <c r="BK15" s="26"/>
      <c r="BL15" s="26"/>
      <c r="BM15" s="26"/>
      <c r="BN15" s="6"/>
      <c r="CP15" s="26"/>
    </row>
    <row r="16" spans="1:94" s="27" customFormat="1" ht="13.5">
      <c r="A16" s="64">
        <f>1+A14</f>
        <v>3</v>
      </c>
      <c r="B16" s="11"/>
      <c r="C16" s="65" t="s">
        <v>108</v>
      </c>
      <c r="D16" s="11"/>
      <c r="E16" s="11"/>
      <c r="F16" s="66" t="s">
        <v>109</v>
      </c>
      <c r="G16" s="11"/>
      <c r="H16" s="66" t="s">
        <v>110</v>
      </c>
      <c r="I16" s="11"/>
      <c r="J16" s="11"/>
      <c r="K16" s="67">
        <v>10000000</v>
      </c>
      <c r="L16" s="11"/>
      <c r="M16" s="11"/>
      <c r="N16" s="57">
        <f>K16</f>
        <v>10000000</v>
      </c>
      <c r="O16" s="11"/>
      <c r="P16" s="11"/>
      <c r="Q16" s="67">
        <v>0</v>
      </c>
      <c r="R16" s="11"/>
      <c r="S16" s="11"/>
      <c r="T16" s="15">
        <f>-Q16/N16*100</f>
        <v>0</v>
      </c>
      <c r="U16" s="11"/>
      <c r="V16" s="11"/>
      <c r="W16" s="67">
        <v>40000</v>
      </c>
      <c r="X16" s="11"/>
      <c r="Y16" s="11"/>
      <c r="Z16" s="15">
        <f>W16/N16*100</f>
        <v>0.4</v>
      </c>
      <c r="AA16" s="11"/>
      <c r="AB16" s="11"/>
      <c r="AC16" s="76">
        <f>1062778+8979</f>
        <v>1071757</v>
      </c>
      <c r="AD16" s="11"/>
      <c r="AE16" s="11"/>
      <c r="AF16" s="15">
        <f>AC16/N16*100</f>
        <v>10.71757</v>
      </c>
      <c r="AG16" s="11"/>
      <c r="AH16" s="11"/>
      <c r="AI16" s="57">
        <f>N16+Q16-W16-AC16</f>
        <v>8888243</v>
      </c>
      <c r="AJ16" s="11"/>
      <c r="AK16" s="11"/>
      <c r="AL16" s="69">
        <f>ROUND((AI16/N16*100),3)</f>
        <v>88.882</v>
      </c>
      <c r="AM16" s="11"/>
      <c r="AN16" s="11"/>
      <c r="AO16" s="70">
        <v>25</v>
      </c>
      <c r="AP16" s="11"/>
      <c r="AQ16" s="11"/>
      <c r="AR16" s="12">
        <v>0.09479</v>
      </c>
      <c r="AS16" s="11"/>
      <c r="AT16" s="11"/>
      <c r="AU16" s="59">
        <f>ROUND((+AR16*K16),0)</f>
        <v>947900</v>
      </c>
      <c r="BF16" s="26"/>
      <c r="BG16" s="26"/>
      <c r="BH16" s="26"/>
      <c r="BI16" s="26"/>
      <c r="BJ16" s="26"/>
      <c r="BK16" s="26"/>
      <c r="BL16" s="26"/>
      <c r="BM16" s="26"/>
      <c r="BN16" s="6"/>
      <c r="CP16" s="26"/>
    </row>
    <row r="17" spans="1:94" s="27" customFormat="1" ht="13.5">
      <c r="A17" s="64"/>
      <c r="B17" s="11"/>
      <c r="C17" s="65"/>
      <c r="D17" s="11"/>
      <c r="E17" s="11"/>
      <c r="F17" s="66"/>
      <c r="G17" s="11"/>
      <c r="H17" s="66"/>
      <c r="I17" s="11"/>
      <c r="J17" s="11"/>
      <c r="K17" s="67"/>
      <c r="L17" s="11"/>
      <c r="M17" s="11"/>
      <c r="N17" s="57"/>
      <c r="O17" s="11"/>
      <c r="P17" s="11"/>
      <c r="Q17" s="67"/>
      <c r="R17" s="11"/>
      <c r="S17" s="11"/>
      <c r="T17" s="15"/>
      <c r="U17" s="11"/>
      <c r="V17" s="11"/>
      <c r="W17" s="67"/>
      <c r="X17" s="11"/>
      <c r="Y17" s="11"/>
      <c r="Z17" s="15"/>
      <c r="AA17" s="11"/>
      <c r="AB17" s="11"/>
      <c r="AC17" s="77" t="s">
        <v>111</v>
      </c>
      <c r="AD17" s="11"/>
      <c r="AE17" s="11"/>
      <c r="AF17" s="15"/>
      <c r="AG17" s="11"/>
      <c r="AH17" s="11"/>
      <c r="AI17" s="57"/>
      <c r="AJ17" s="11"/>
      <c r="AK17" s="11"/>
      <c r="AL17" s="69"/>
      <c r="AM17" s="11"/>
      <c r="AN17" s="11"/>
      <c r="AO17" s="70"/>
      <c r="AP17" s="11"/>
      <c r="AQ17" s="11"/>
      <c r="AR17" s="12"/>
      <c r="AS17" s="11"/>
      <c r="AT17" s="11"/>
      <c r="AU17" s="59"/>
      <c r="BF17" s="26"/>
      <c r="BG17" s="26"/>
      <c r="BH17" s="26"/>
      <c r="BI17" s="26"/>
      <c r="BJ17" s="26"/>
      <c r="BK17" s="26"/>
      <c r="BL17" s="26"/>
      <c r="BM17" s="26"/>
      <c r="BN17" s="6"/>
      <c r="CP17" s="26"/>
    </row>
    <row r="18" spans="1:94" s="27" customFormat="1" ht="13.5">
      <c r="A18" s="64">
        <f>A16+1</f>
        <v>4</v>
      </c>
      <c r="B18" s="11"/>
      <c r="C18" s="65" t="s">
        <v>112</v>
      </c>
      <c r="D18" s="11"/>
      <c r="E18" s="11"/>
      <c r="F18" s="66" t="s">
        <v>109</v>
      </c>
      <c r="G18" s="11"/>
      <c r="H18" s="66" t="s">
        <v>113</v>
      </c>
      <c r="I18" s="11"/>
      <c r="J18" s="11"/>
      <c r="K18" s="67">
        <v>10000000</v>
      </c>
      <c r="L18" s="11"/>
      <c r="M18" s="11"/>
      <c r="N18" s="57">
        <f>K18</f>
        <v>10000000</v>
      </c>
      <c r="O18" s="11"/>
      <c r="P18" s="11"/>
      <c r="Q18" s="67">
        <v>0</v>
      </c>
      <c r="R18" s="11"/>
      <c r="S18" s="11"/>
      <c r="T18" s="15">
        <f>-Q18/N18*100</f>
        <v>0</v>
      </c>
      <c r="U18" s="11"/>
      <c r="V18" s="11"/>
      <c r="W18" s="67">
        <v>40000</v>
      </c>
      <c r="X18" s="11"/>
      <c r="Y18" s="11"/>
      <c r="Z18" s="15">
        <f>W18/N18*100</f>
        <v>0.4</v>
      </c>
      <c r="AA18" s="11"/>
      <c r="AB18" s="11"/>
      <c r="AC18" s="68">
        <f>854390+8979</f>
        <v>863369</v>
      </c>
      <c r="AD18" s="11"/>
      <c r="AE18" s="11"/>
      <c r="AF18" s="15">
        <f>AC18/N18*100</f>
        <v>8.63369</v>
      </c>
      <c r="AG18" s="11"/>
      <c r="AH18" s="11"/>
      <c r="AI18" s="57">
        <f>N18+Q18-W18-AC18</f>
        <v>9096631</v>
      </c>
      <c r="AJ18" s="11"/>
      <c r="AK18" s="11"/>
      <c r="AL18" s="69">
        <f>ROUND((AI18/N18*100),3)</f>
        <v>90.966</v>
      </c>
      <c r="AM18" s="11"/>
      <c r="AN18" s="11"/>
      <c r="AO18" s="70">
        <v>20</v>
      </c>
      <c r="AP18" s="11"/>
      <c r="AQ18" s="11"/>
      <c r="AR18" s="12">
        <v>0.0926</v>
      </c>
      <c r="AS18" s="11"/>
      <c r="AT18" s="11"/>
      <c r="AU18" s="59">
        <f>ROUND((+AR18*K18),0)</f>
        <v>926000</v>
      </c>
      <c r="BF18" s="26"/>
      <c r="BG18" s="26"/>
      <c r="BH18" s="26"/>
      <c r="BI18" s="26"/>
      <c r="BJ18" s="26"/>
      <c r="BK18" s="26"/>
      <c r="BL18" s="26"/>
      <c r="BM18" s="26"/>
      <c r="BN18" s="75"/>
      <c r="CP18" s="26"/>
    </row>
    <row r="19" spans="1:94" s="27" customFormat="1" ht="13.5">
      <c r="A19" s="64"/>
      <c r="B19" s="11"/>
      <c r="C19" s="65"/>
      <c r="D19" s="11"/>
      <c r="E19" s="11"/>
      <c r="F19" s="66"/>
      <c r="G19" s="11"/>
      <c r="H19" s="66"/>
      <c r="I19" s="11"/>
      <c r="J19" s="11"/>
      <c r="K19" s="67"/>
      <c r="L19" s="11"/>
      <c r="M19" s="11"/>
      <c r="N19" s="57"/>
      <c r="O19" s="11"/>
      <c r="P19" s="11"/>
      <c r="Q19" s="67"/>
      <c r="R19" s="11"/>
      <c r="S19" s="11"/>
      <c r="T19" s="15"/>
      <c r="U19" s="11"/>
      <c r="V19" s="11"/>
      <c r="W19" s="67"/>
      <c r="X19" s="11"/>
      <c r="Y19" s="11"/>
      <c r="Z19" s="15"/>
      <c r="AA19" s="11"/>
      <c r="AB19" s="11"/>
      <c r="AC19" s="77" t="s">
        <v>111</v>
      </c>
      <c r="AD19" s="11"/>
      <c r="AE19" s="11"/>
      <c r="AF19" s="15"/>
      <c r="AG19" s="11"/>
      <c r="AH19" s="11"/>
      <c r="AI19" s="57"/>
      <c r="AJ19" s="11"/>
      <c r="AK19" s="11"/>
      <c r="AL19" s="69"/>
      <c r="AM19" s="11"/>
      <c r="AN19" s="11"/>
      <c r="AO19" s="70"/>
      <c r="AP19" s="11"/>
      <c r="AQ19" s="11"/>
      <c r="AR19" s="12"/>
      <c r="AS19" s="11"/>
      <c r="AT19" s="11"/>
      <c r="AU19" s="59"/>
      <c r="BF19" s="26"/>
      <c r="BG19" s="26"/>
      <c r="BH19" s="26"/>
      <c r="BI19" s="26"/>
      <c r="BJ19" s="26"/>
      <c r="BK19" s="26"/>
      <c r="BL19" s="26"/>
      <c r="BM19" s="26"/>
      <c r="BN19" s="75"/>
      <c r="CP19" s="26"/>
    </row>
    <row r="20" spans="1:94" s="27" customFormat="1" ht="13.5">
      <c r="A20" s="64">
        <f>A18+1</f>
        <v>5</v>
      </c>
      <c r="B20" s="11"/>
      <c r="C20" s="65" t="s">
        <v>114</v>
      </c>
      <c r="D20" s="11"/>
      <c r="E20" s="11"/>
      <c r="F20" s="66" t="s">
        <v>115</v>
      </c>
      <c r="G20" s="11"/>
      <c r="H20" s="66" t="s">
        <v>116</v>
      </c>
      <c r="I20" s="11"/>
      <c r="J20" s="11"/>
      <c r="K20" s="67">
        <v>10000000</v>
      </c>
      <c r="L20" s="11"/>
      <c r="M20" s="11"/>
      <c r="N20" s="57">
        <f>K20</f>
        <v>10000000</v>
      </c>
      <c r="O20" s="11"/>
      <c r="P20" s="11"/>
      <c r="Q20" s="67">
        <v>0</v>
      </c>
      <c r="R20" s="11"/>
      <c r="S20" s="11"/>
      <c r="T20" s="15">
        <f>-Q20/N20*100</f>
        <v>0</v>
      </c>
      <c r="U20" s="11"/>
      <c r="V20" s="11"/>
      <c r="W20" s="67">
        <v>62500</v>
      </c>
      <c r="X20" s="11"/>
      <c r="Y20" s="11"/>
      <c r="Z20" s="15">
        <f>W20/N20*100</f>
        <v>0.625</v>
      </c>
      <c r="AA20" s="11"/>
      <c r="AB20" s="11"/>
      <c r="AC20" s="68">
        <v>27646</v>
      </c>
      <c r="AD20" s="11"/>
      <c r="AE20" s="11"/>
      <c r="AF20" s="15">
        <f>AC20/N20*100</f>
        <v>0.27646</v>
      </c>
      <c r="AG20" s="11"/>
      <c r="AH20" s="11"/>
      <c r="AI20" s="57">
        <f>N20+Q20-W20-AC20</f>
        <v>9909854</v>
      </c>
      <c r="AJ20" s="11"/>
      <c r="AK20" s="11"/>
      <c r="AL20" s="69">
        <f>ROUND((AI20/N20*100),3)</f>
        <v>99.099</v>
      </c>
      <c r="AM20" s="11"/>
      <c r="AN20" s="11"/>
      <c r="AO20" s="70">
        <v>30</v>
      </c>
      <c r="AP20" s="11"/>
      <c r="AQ20" s="11"/>
      <c r="AR20" s="12">
        <v>0.06589</v>
      </c>
      <c r="AS20" s="11"/>
      <c r="AT20" s="11"/>
      <c r="AU20" s="59">
        <f>ROUND((+AR20*K20),0)</f>
        <v>658900</v>
      </c>
      <c r="AV20" s="26"/>
      <c r="BF20" s="26"/>
      <c r="BG20" s="26"/>
      <c r="BH20" s="26"/>
      <c r="BI20" s="26"/>
      <c r="BJ20" s="26"/>
      <c r="BK20" s="26"/>
      <c r="BL20" s="26"/>
      <c r="BM20" s="26"/>
      <c r="BN20" s="6"/>
      <c r="CP20" s="26"/>
    </row>
    <row r="21" spans="1:94" s="27" customFormat="1" ht="6" customHeight="1">
      <c r="A21" s="64"/>
      <c r="B21" s="11"/>
      <c r="C21" s="65"/>
      <c r="D21" s="11"/>
      <c r="E21" s="11"/>
      <c r="F21" s="66"/>
      <c r="G21" s="11"/>
      <c r="H21" s="66"/>
      <c r="I21" s="11"/>
      <c r="J21" s="11"/>
      <c r="K21" s="67"/>
      <c r="L21" s="11"/>
      <c r="M21" s="11"/>
      <c r="N21" s="57"/>
      <c r="O21" s="11"/>
      <c r="P21" s="11"/>
      <c r="Q21" s="67"/>
      <c r="R21" s="11"/>
      <c r="S21" s="11"/>
      <c r="T21" s="15"/>
      <c r="U21" s="11"/>
      <c r="V21" s="11"/>
      <c r="W21" s="67"/>
      <c r="X21" s="11"/>
      <c r="Y21" s="11"/>
      <c r="Z21" s="15"/>
      <c r="AA21" s="11"/>
      <c r="AB21" s="11"/>
      <c r="AC21" s="68"/>
      <c r="AD21" s="11"/>
      <c r="AE21" s="11"/>
      <c r="AF21" s="15"/>
      <c r="AG21" s="11"/>
      <c r="AH21" s="11"/>
      <c r="AI21" s="57"/>
      <c r="AJ21" s="11"/>
      <c r="AK21" s="11"/>
      <c r="AL21" s="69"/>
      <c r="AM21" s="11"/>
      <c r="AN21" s="11"/>
      <c r="AO21" s="70"/>
      <c r="AP21" s="11"/>
      <c r="AQ21" s="11"/>
      <c r="AR21" s="12"/>
      <c r="AS21" s="11"/>
      <c r="AT21" s="11"/>
      <c r="AU21" s="59"/>
      <c r="AV21" s="26"/>
      <c r="BF21" s="26"/>
      <c r="BG21" s="26"/>
      <c r="BH21" s="26"/>
      <c r="BI21" s="26"/>
      <c r="BJ21" s="26"/>
      <c r="BK21" s="26"/>
      <c r="BL21" s="26"/>
      <c r="BM21" s="26"/>
      <c r="BN21" s="6"/>
      <c r="CP21" s="26"/>
    </row>
    <row r="22" spans="1:94" s="27" customFormat="1" ht="13.5">
      <c r="A22" s="64">
        <f>A20+1</f>
        <v>6</v>
      </c>
      <c r="B22" s="11"/>
      <c r="C22" s="65" t="s">
        <v>117</v>
      </c>
      <c r="D22" s="11"/>
      <c r="E22" s="11"/>
      <c r="F22" s="78" t="s">
        <v>118</v>
      </c>
      <c r="G22" s="11"/>
      <c r="H22" s="66" t="s">
        <v>119</v>
      </c>
      <c r="I22" s="11"/>
      <c r="J22" s="11"/>
      <c r="K22" s="67">
        <v>20000000</v>
      </c>
      <c r="L22" s="11"/>
      <c r="M22" s="11"/>
      <c r="N22" s="57">
        <f>K22</f>
        <v>20000000</v>
      </c>
      <c r="O22" s="11"/>
      <c r="P22" s="11"/>
      <c r="Q22" s="67">
        <v>0</v>
      </c>
      <c r="R22" s="11"/>
      <c r="S22" s="11"/>
      <c r="T22" s="15">
        <f>-Q22/N22*100</f>
        <v>0</v>
      </c>
      <c r="U22" s="11"/>
      <c r="V22" s="11"/>
      <c r="W22" s="67">
        <f>20000000*0.00625</f>
        <v>125000</v>
      </c>
      <c r="X22" s="11"/>
      <c r="Y22" s="11"/>
      <c r="Z22" s="15">
        <f>W22/N22*100</f>
        <v>0.625</v>
      </c>
      <c r="AA22" s="11"/>
      <c r="AB22" s="11"/>
      <c r="AC22" s="68">
        <v>50940</v>
      </c>
      <c r="AD22" s="11"/>
      <c r="AE22" s="11"/>
      <c r="AF22" s="15">
        <f>AC22/N22*100</f>
        <v>0.2547</v>
      </c>
      <c r="AG22" s="11"/>
      <c r="AH22" s="11"/>
      <c r="AI22" s="57">
        <f>N22+Q22-W22-AC22</f>
        <v>19824060</v>
      </c>
      <c r="AJ22" s="11"/>
      <c r="AK22" s="11"/>
      <c r="AL22" s="69">
        <f>ROUND((AI22/N22*100),3)</f>
        <v>99.12</v>
      </c>
      <c r="AM22" s="11"/>
      <c r="AN22" s="11"/>
      <c r="AO22" s="70">
        <v>30</v>
      </c>
      <c r="AP22" s="11"/>
      <c r="AQ22" s="11"/>
      <c r="AR22" s="12">
        <v>0.07121</v>
      </c>
      <c r="AS22" s="11"/>
      <c r="AT22" s="11"/>
      <c r="AU22" s="59">
        <f>ROUND((+AR22*K22),0)</f>
        <v>1424200</v>
      </c>
      <c r="AV22" s="26"/>
      <c r="BF22" s="26"/>
      <c r="BG22" s="26"/>
      <c r="BH22" s="26"/>
      <c r="BI22" s="26"/>
      <c r="BJ22" s="26"/>
      <c r="BK22" s="26"/>
      <c r="BL22" s="26"/>
      <c r="BM22" s="26"/>
      <c r="BN22" s="75"/>
      <c r="CP22" s="26"/>
    </row>
    <row r="23" spans="1:94" s="27" customFormat="1" ht="6" customHeight="1">
      <c r="A23" s="64"/>
      <c r="B23" s="11"/>
      <c r="C23" s="65"/>
      <c r="D23" s="11"/>
      <c r="E23" s="11"/>
      <c r="F23" s="78"/>
      <c r="G23" s="11"/>
      <c r="H23" s="66"/>
      <c r="I23" s="11"/>
      <c r="J23" s="11"/>
      <c r="K23" s="67"/>
      <c r="L23" s="11"/>
      <c r="M23" s="11"/>
      <c r="N23" s="57"/>
      <c r="O23" s="11"/>
      <c r="P23" s="11"/>
      <c r="Q23" s="67"/>
      <c r="R23" s="11"/>
      <c r="S23" s="11"/>
      <c r="T23" s="15"/>
      <c r="U23" s="11"/>
      <c r="V23" s="11"/>
      <c r="W23" s="67"/>
      <c r="X23" s="11"/>
      <c r="Y23" s="11"/>
      <c r="Z23" s="15"/>
      <c r="AA23" s="11"/>
      <c r="AB23" s="11"/>
      <c r="AC23" s="68"/>
      <c r="AD23" s="11"/>
      <c r="AE23" s="11"/>
      <c r="AF23" s="15"/>
      <c r="AG23" s="11"/>
      <c r="AH23" s="11"/>
      <c r="AI23" s="57"/>
      <c r="AJ23" s="11"/>
      <c r="AK23" s="11"/>
      <c r="AL23" s="69"/>
      <c r="AM23" s="11"/>
      <c r="AN23" s="11"/>
      <c r="AO23" s="70"/>
      <c r="AP23" s="11"/>
      <c r="AQ23" s="11"/>
      <c r="AR23" s="12"/>
      <c r="AS23" s="11"/>
      <c r="AT23" s="11"/>
      <c r="AU23" s="59"/>
      <c r="AV23" s="26"/>
      <c r="BF23" s="26"/>
      <c r="BG23" s="26"/>
      <c r="BH23" s="26"/>
      <c r="BI23" s="26"/>
      <c r="BJ23" s="26"/>
      <c r="BK23" s="26"/>
      <c r="BL23" s="26"/>
      <c r="BM23" s="26"/>
      <c r="BN23" s="75"/>
      <c r="CP23" s="26"/>
    </row>
    <row r="24" spans="1:94" s="27" customFormat="1" ht="13.5">
      <c r="A24" s="64">
        <f>A22+1</f>
        <v>7</v>
      </c>
      <c r="B24" s="11"/>
      <c r="C24" s="65" t="s">
        <v>120</v>
      </c>
      <c r="D24" s="11"/>
      <c r="E24" s="11"/>
      <c r="F24" s="78" t="s">
        <v>121</v>
      </c>
      <c r="G24" s="11"/>
      <c r="H24" s="66" t="s">
        <v>122</v>
      </c>
      <c r="I24" s="11"/>
      <c r="J24" s="11"/>
      <c r="K24" s="67">
        <v>40000000</v>
      </c>
      <c r="L24" s="11"/>
      <c r="M24" s="11"/>
      <c r="N24" s="57">
        <f>K24</f>
        <v>40000000</v>
      </c>
      <c r="O24" s="11"/>
      <c r="P24" s="11"/>
      <c r="Q24" s="67">
        <v>0</v>
      </c>
      <c r="R24" s="11"/>
      <c r="S24" s="11"/>
      <c r="T24" s="15">
        <f>-Q24/N24*100</f>
        <v>0</v>
      </c>
      <c r="U24" s="11"/>
      <c r="V24" s="11"/>
      <c r="W24" s="67">
        <v>300000</v>
      </c>
      <c r="X24" s="11"/>
      <c r="Y24" s="11"/>
      <c r="Z24" s="15">
        <f>W24/N24*100</f>
        <v>0.75</v>
      </c>
      <c r="AA24" s="11"/>
      <c r="AB24" s="11"/>
      <c r="AC24" s="68">
        <v>75600</v>
      </c>
      <c r="AD24" s="11"/>
      <c r="AE24" s="11"/>
      <c r="AF24" s="15">
        <f>AC24/N24*100</f>
        <v>0.189</v>
      </c>
      <c r="AG24" s="11"/>
      <c r="AH24" s="11"/>
      <c r="AI24" s="57">
        <f>N24+Q24-W24-AC24</f>
        <v>39624400</v>
      </c>
      <c r="AJ24" s="11"/>
      <c r="AK24" s="11"/>
      <c r="AL24" s="69">
        <f>ROUND((AI24/N24*100),3)</f>
        <v>99.061</v>
      </c>
      <c r="AM24" s="11"/>
      <c r="AN24" s="11"/>
      <c r="AO24" s="70">
        <v>20</v>
      </c>
      <c r="AP24" s="11"/>
      <c r="AQ24" s="11"/>
      <c r="AR24" s="12">
        <v>0.07089</v>
      </c>
      <c r="AS24" s="11"/>
      <c r="AT24" s="11"/>
      <c r="AU24" s="59">
        <f>ROUND((+AR24*K24),0)</f>
        <v>2835600</v>
      </c>
      <c r="BF24" s="26"/>
      <c r="BG24" s="26"/>
      <c r="BH24" s="26"/>
      <c r="BI24" s="26"/>
      <c r="BJ24" s="26"/>
      <c r="BK24" s="26"/>
      <c r="BL24" s="26"/>
      <c r="BM24" s="26"/>
      <c r="BN24" s="75"/>
      <c r="CP24" s="26"/>
    </row>
    <row r="25" spans="1:94" s="27" customFormat="1" ht="6" customHeight="1">
      <c r="A25" s="64"/>
      <c r="B25" s="11"/>
      <c r="C25" s="65"/>
      <c r="D25" s="11"/>
      <c r="E25" s="11"/>
      <c r="F25" s="78"/>
      <c r="G25" s="11"/>
      <c r="H25" s="66"/>
      <c r="I25" s="11"/>
      <c r="J25" s="11"/>
      <c r="K25" s="67"/>
      <c r="L25" s="11"/>
      <c r="M25" s="11"/>
      <c r="N25" s="57"/>
      <c r="O25" s="11"/>
      <c r="P25" s="11"/>
      <c r="Q25" s="67"/>
      <c r="R25" s="11"/>
      <c r="S25" s="11"/>
      <c r="T25" s="15"/>
      <c r="U25" s="11"/>
      <c r="V25" s="11"/>
      <c r="W25" s="67"/>
      <c r="X25" s="11"/>
      <c r="Y25" s="11"/>
      <c r="Z25" s="15"/>
      <c r="AA25" s="11"/>
      <c r="AB25" s="11"/>
      <c r="AC25" s="68"/>
      <c r="AD25" s="11"/>
      <c r="AE25" s="11"/>
      <c r="AF25" s="15"/>
      <c r="AG25" s="11"/>
      <c r="AH25" s="11"/>
      <c r="AI25" s="57"/>
      <c r="AJ25" s="11"/>
      <c r="AK25" s="11"/>
      <c r="AL25" s="69"/>
      <c r="AM25" s="11"/>
      <c r="AN25" s="11"/>
      <c r="AO25" s="70"/>
      <c r="AP25" s="11"/>
      <c r="AQ25" s="11"/>
      <c r="AR25" s="12"/>
      <c r="AS25" s="11"/>
      <c r="AT25" s="11"/>
      <c r="AU25" s="59"/>
      <c r="BF25" s="26"/>
      <c r="BG25" s="26"/>
      <c r="BH25" s="26"/>
      <c r="BI25" s="26"/>
      <c r="BJ25" s="26"/>
      <c r="BK25" s="26"/>
      <c r="BL25" s="26"/>
      <c r="BM25" s="26"/>
      <c r="BN25" s="75"/>
      <c r="CP25" s="26"/>
    </row>
    <row r="26" spans="1:94" s="27" customFormat="1" ht="13.5">
      <c r="A26" s="64">
        <f>A24+1</f>
        <v>8</v>
      </c>
      <c r="B26" s="11"/>
      <c r="C26" s="65" t="s">
        <v>120</v>
      </c>
      <c r="D26" s="11"/>
      <c r="E26" s="11"/>
      <c r="F26" s="78" t="s">
        <v>123</v>
      </c>
      <c r="G26" s="11"/>
      <c r="H26" s="66" t="s">
        <v>124</v>
      </c>
      <c r="I26" s="11"/>
      <c r="J26" s="11"/>
      <c r="K26" s="67">
        <v>20000000</v>
      </c>
      <c r="L26" s="11"/>
      <c r="M26" s="11"/>
      <c r="N26" s="57">
        <f>K26</f>
        <v>20000000</v>
      </c>
      <c r="O26" s="11"/>
      <c r="P26" s="11"/>
      <c r="Q26" s="67">
        <v>0</v>
      </c>
      <c r="R26" s="11"/>
      <c r="S26" s="11"/>
      <c r="T26" s="15">
        <f>-Q26/N26*100</f>
        <v>0</v>
      </c>
      <c r="U26" s="11"/>
      <c r="V26" s="11"/>
      <c r="W26" s="67">
        <v>125000</v>
      </c>
      <c r="X26" s="11"/>
      <c r="Y26" s="11"/>
      <c r="Z26" s="15">
        <f>W26/N26*100</f>
        <v>0.625</v>
      </c>
      <c r="AA26" s="11"/>
      <c r="AB26" s="11"/>
      <c r="AC26" s="68">
        <v>28905.89</v>
      </c>
      <c r="AD26" s="11"/>
      <c r="AE26" s="11"/>
      <c r="AF26" s="15">
        <f>AC26/N26*100</f>
        <v>0.14452945</v>
      </c>
      <c r="AG26" s="11"/>
      <c r="AH26" s="11"/>
      <c r="AI26" s="57">
        <f>N26+Q26-W26-AC26</f>
        <v>19846094.11</v>
      </c>
      <c r="AJ26" s="11"/>
      <c r="AK26" s="11"/>
      <c r="AL26" s="69">
        <f>ROUND((AI26/N26*100),3)</f>
        <v>99.23</v>
      </c>
      <c r="AM26" s="11"/>
      <c r="AN26" s="11"/>
      <c r="AO26" s="70">
        <v>30</v>
      </c>
      <c r="AP26" s="11"/>
      <c r="AQ26" s="11"/>
      <c r="AR26" s="12">
        <v>0.07062</v>
      </c>
      <c r="AS26" s="11"/>
      <c r="AT26" s="11"/>
      <c r="AU26" s="59">
        <f>ROUND((+AR26*K26),0)</f>
        <v>1412400</v>
      </c>
      <c r="AV26" s="26"/>
      <c r="BF26" s="26"/>
      <c r="BG26" s="26"/>
      <c r="BH26" s="26"/>
      <c r="BI26" s="26"/>
      <c r="BJ26" s="26"/>
      <c r="BK26" s="26"/>
      <c r="BL26" s="26"/>
      <c r="BM26" s="26"/>
      <c r="BN26" s="6"/>
      <c r="CP26" s="26"/>
    </row>
    <row r="27" spans="1:94" s="27" customFormat="1" ht="6" customHeight="1">
      <c r="A27" s="64"/>
      <c r="B27" s="11"/>
      <c r="C27" s="65"/>
      <c r="D27" s="11"/>
      <c r="E27" s="11"/>
      <c r="F27" s="78"/>
      <c r="G27" s="11"/>
      <c r="H27" s="66"/>
      <c r="I27" s="11"/>
      <c r="J27" s="11"/>
      <c r="K27" s="67"/>
      <c r="L27" s="11"/>
      <c r="M27" s="11"/>
      <c r="N27" s="57"/>
      <c r="O27" s="11"/>
      <c r="P27" s="11"/>
      <c r="Q27" s="67"/>
      <c r="R27" s="11"/>
      <c r="S27" s="11"/>
      <c r="T27" s="15"/>
      <c r="U27" s="11"/>
      <c r="V27" s="11"/>
      <c r="W27" s="67"/>
      <c r="X27" s="11"/>
      <c r="Y27" s="11"/>
      <c r="Z27" s="15"/>
      <c r="AA27" s="11"/>
      <c r="AB27" s="11"/>
      <c r="AC27" s="68"/>
      <c r="AD27" s="11"/>
      <c r="AE27" s="11"/>
      <c r="AF27" s="15"/>
      <c r="AG27" s="11"/>
      <c r="AH27" s="11"/>
      <c r="AI27" s="57"/>
      <c r="AJ27" s="11"/>
      <c r="AK27" s="11"/>
      <c r="AL27" s="69"/>
      <c r="AM27" s="11"/>
      <c r="AN27" s="11"/>
      <c r="AO27" s="70"/>
      <c r="AP27" s="11"/>
      <c r="AQ27" s="11"/>
      <c r="AR27" s="12"/>
      <c r="AS27" s="11"/>
      <c r="AT27" s="11"/>
      <c r="AU27" s="59"/>
      <c r="BF27" s="26"/>
      <c r="BG27" s="26"/>
      <c r="BH27" s="26"/>
      <c r="BI27" s="26"/>
      <c r="BJ27" s="26"/>
      <c r="BK27" s="26"/>
      <c r="BL27" s="26"/>
      <c r="BM27" s="26"/>
      <c r="BN27" s="75"/>
      <c r="CP27" s="26"/>
    </row>
    <row r="28" spans="1:94" s="27" customFormat="1" ht="13.5">
      <c r="A28" s="64">
        <f>A26+1</f>
        <v>9</v>
      </c>
      <c r="B28" s="11"/>
      <c r="C28" s="65" t="s">
        <v>125</v>
      </c>
      <c r="D28" s="14"/>
      <c r="E28" s="14"/>
      <c r="F28" s="79" t="s">
        <v>126</v>
      </c>
      <c r="G28" s="14"/>
      <c r="H28" s="79" t="s">
        <v>127</v>
      </c>
      <c r="I28" s="14"/>
      <c r="J28" s="14"/>
      <c r="K28" s="13">
        <v>20000000</v>
      </c>
      <c r="L28" s="14"/>
      <c r="M28" s="14"/>
      <c r="N28" s="57">
        <f>K28</f>
        <v>20000000</v>
      </c>
      <c r="O28" s="14"/>
      <c r="P28" s="14"/>
      <c r="Q28" s="80">
        <v>0</v>
      </c>
      <c r="R28" s="14"/>
      <c r="S28" s="14"/>
      <c r="T28" s="15">
        <f>-Q28/N28*100</f>
        <v>0</v>
      </c>
      <c r="U28" s="14"/>
      <c r="V28" s="14"/>
      <c r="W28" s="13">
        <v>125000</v>
      </c>
      <c r="X28" s="14"/>
      <c r="Y28" s="14"/>
      <c r="Z28" s="15">
        <f>W28/N28*100</f>
        <v>0.625</v>
      </c>
      <c r="AA28" s="14"/>
      <c r="AB28" s="14"/>
      <c r="AC28" s="13">
        <v>37800</v>
      </c>
      <c r="AD28" s="14"/>
      <c r="AE28" s="14"/>
      <c r="AF28" s="15">
        <f>AC28/N28*100</f>
        <v>0.189</v>
      </c>
      <c r="AG28" s="14"/>
      <c r="AH28" s="14"/>
      <c r="AI28" s="57">
        <f>N28+Q28-W28-AC28</f>
        <v>19837200</v>
      </c>
      <c r="AJ28" s="14"/>
      <c r="AK28" s="14"/>
      <c r="AL28" s="69">
        <f>ROUND((AI28/N28*100),3)</f>
        <v>99.186</v>
      </c>
      <c r="AM28" s="14"/>
      <c r="AN28" s="14"/>
      <c r="AO28" s="81">
        <v>30</v>
      </c>
      <c r="AP28" s="14"/>
      <c r="AQ28" s="14"/>
      <c r="AR28" s="12">
        <v>0.06713</v>
      </c>
      <c r="AS28" s="14"/>
      <c r="AT28" s="14"/>
      <c r="AU28" s="59">
        <f>ROUND((+AR28*K28),0)</f>
        <v>1342600</v>
      </c>
      <c r="BF28" s="26"/>
      <c r="BG28" s="26"/>
      <c r="BH28" s="26"/>
      <c r="BI28" s="26"/>
      <c r="BJ28" s="26"/>
      <c r="BK28" s="26"/>
      <c r="BL28" s="26"/>
      <c r="BM28" s="26"/>
      <c r="BN28" s="75"/>
      <c r="CP28" s="26"/>
    </row>
    <row r="29" spans="1:94" s="27" customFormat="1" ht="6" customHeight="1">
      <c r="A29" s="64"/>
      <c r="B29" s="11"/>
      <c r="C29" s="65"/>
      <c r="D29" s="14"/>
      <c r="E29" s="14"/>
      <c r="F29" s="79"/>
      <c r="G29" s="14"/>
      <c r="H29" s="79"/>
      <c r="I29" s="14"/>
      <c r="J29" s="14"/>
      <c r="K29" s="13"/>
      <c r="L29" s="14"/>
      <c r="M29" s="14"/>
      <c r="N29" s="57"/>
      <c r="O29" s="14"/>
      <c r="P29" s="14"/>
      <c r="Q29" s="80"/>
      <c r="R29" s="14"/>
      <c r="S29" s="14"/>
      <c r="T29" s="15"/>
      <c r="U29" s="14"/>
      <c r="V29" s="14"/>
      <c r="W29" s="13"/>
      <c r="X29" s="14"/>
      <c r="Y29" s="14"/>
      <c r="Z29" s="15"/>
      <c r="AA29" s="14"/>
      <c r="AB29" s="14"/>
      <c r="AC29" s="13"/>
      <c r="AD29" s="14"/>
      <c r="AE29" s="14"/>
      <c r="AF29" s="15"/>
      <c r="AG29" s="14"/>
      <c r="AH29" s="14"/>
      <c r="AI29" s="57"/>
      <c r="AJ29" s="14"/>
      <c r="AK29" s="14"/>
      <c r="AL29" s="69"/>
      <c r="AM29" s="14"/>
      <c r="AN29" s="14"/>
      <c r="AO29" s="81"/>
      <c r="AP29" s="14"/>
      <c r="AQ29" s="14"/>
      <c r="AR29" s="12"/>
      <c r="AS29" s="14"/>
      <c r="AT29" s="14"/>
      <c r="AU29" s="59"/>
      <c r="BF29" s="26"/>
      <c r="BG29" s="26"/>
      <c r="BH29" s="26"/>
      <c r="BI29" s="26"/>
      <c r="BJ29" s="26"/>
      <c r="BK29" s="26"/>
      <c r="BL29" s="26"/>
      <c r="BM29" s="26"/>
      <c r="BN29" s="75"/>
      <c r="CP29" s="26"/>
    </row>
    <row r="30" spans="1:94" s="27" customFormat="1" ht="13.5">
      <c r="A30" s="64">
        <f>A28+1</f>
        <v>10</v>
      </c>
      <c r="B30" s="14"/>
      <c r="C30" s="65" t="s">
        <v>125</v>
      </c>
      <c r="D30" s="14"/>
      <c r="E30" s="14"/>
      <c r="F30" s="79" t="s">
        <v>128</v>
      </c>
      <c r="G30" s="14"/>
      <c r="H30" s="79" t="s">
        <v>129</v>
      </c>
      <c r="I30" s="14"/>
      <c r="J30" s="14"/>
      <c r="K30" s="13">
        <v>10000000</v>
      </c>
      <c r="L30" s="14"/>
      <c r="M30" s="14"/>
      <c r="N30" s="57">
        <f>K30</f>
        <v>10000000</v>
      </c>
      <c r="O30" s="14"/>
      <c r="P30" s="14"/>
      <c r="Q30" s="80">
        <v>0</v>
      </c>
      <c r="R30" s="14"/>
      <c r="S30" s="14"/>
      <c r="T30" s="15">
        <f>-Q30/N30*100</f>
        <v>0</v>
      </c>
      <c r="U30" s="14"/>
      <c r="V30" s="14"/>
      <c r="W30" s="13">
        <v>75000</v>
      </c>
      <c r="X30" s="14"/>
      <c r="Y30" s="14"/>
      <c r="Z30" s="15">
        <f>W30/N30*100</f>
        <v>0.75</v>
      </c>
      <c r="AA30" s="14"/>
      <c r="AB30" s="14"/>
      <c r="AC30" s="13">
        <v>23300</v>
      </c>
      <c r="AD30" s="14"/>
      <c r="AE30" s="14"/>
      <c r="AF30" s="15">
        <f>AC30/N30*100</f>
        <v>0.233</v>
      </c>
      <c r="AG30" s="14"/>
      <c r="AH30" s="14"/>
      <c r="AI30" s="57">
        <f>N30+Q30-W30-AC30</f>
        <v>9901700</v>
      </c>
      <c r="AJ30" s="14"/>
      <c r="AK30" s="14"/>
      <c r="AL30" s="69">
        <f>ROUND((AI30/N30*100),3)</f>
        <v>99.017</v>
      </c>
      <c r="AM30" s="14"/>
      <c r="AN30" s="14"/>
      <c r="AO30" s="81">
        <v>30</v>
      </c>
      <c r="AP30" s="14"/>
      <c r="AQ30" s="14"/>
      <c r="AR30" s="12">
        <v>0.06727</v>
      </c>
      <c r="AS30" s="14"/>
      <c r="AT30" s="14"/>
      <c r="AU30" s="59">
        <f>ROUND((+AR30*K30),0)</f>
        <v>672700</v>
      </c>
      <c r="BF30" s="26"/>
      <c r="BG30" s="26"/>
      <c r="BH30" s="26"/>
      <c r="BI30" s="26"/>
      <c r="BJ30" s="26"/>
      <c r="BK30" s="26"/>
      <c r="BL30" s="26"/>
      <c r="BM30" s="26"/>
      <c r="BN30" s="6"/>
      <c r="CP30" s="26"/>
    </row>
    <row r="31" spans="1:94" s="27" customFormat="1" ht="6" customHeight="1">
      <c r="A31" s="64"/>
      <c r="B31" s="14"/>
      <c r="C31" s="65"/>
      <c r="D31" s="14"/>
      <c r="E31" s="14"/>
      <c r="F31" s="79"/>
      <c r="G31" s="14"/>
      <c r="H31" s="79"/>
      <c r="I31" s="14"/>
      <c r="J31" s="14"/>
      <c r="K31" s="13"/>
      <c r="L31" s="14"/>
      <c r="M31" s="14"/>
      <c r="N31" s="57"/>
      <c r="O31" s="14"/>
      <c r="P31" s="14"/>
      <c r="Q31" s="80"/>
      <c r="R31" s="14"/>
      <c r="S31" s="14"/>
      <c r="T31" s="15"/>
      <c r="U31" s="14"/>
      <c r="V31" s="14"/>
      <c r="W31" s="13"/>
      <c r="X31" s="14"/>
      <c r="Y31" s="14"/>
      <c r="Z31" s="15"/>
      <c r="AA31" s="14"/>
      <c r="AB31" s="14"/>
      <c r="AC31" s="82"/>
      <c r="AD31" s="14"/>
      <c r="AE31" s="14"/>
      <c r="AF31" s="15"/>
      <c r="AG31" s="14"/>
      <c r="AH31" s="14"/>
      <c r="AI31" s="57"/>
      <c r="AJ31" s="14"/>
      <c r="AK31" s="14"/>
      <c r="AL31" s="69"/>
      <c r="AM31" s="14"/>
      <c r="AN31" s="14"/>
      <c r="AO31" s="81"/>
      <c r="AP31" s="14"/>
      <c r="AQ31" s="14"/>
      <c r="AR31" s="12"/>
      <c r="AS31" s="14"/>
      <c r="AT31" s="14"/>
      <c r="AU31" s="59"/>
      <c r="BF31" s="26"/>
      <c r="BG31" s="26"/>
      <c r="BH31" s="26"/>
      <c r="BI31" s="26"/>
      <c r="BJ31" s="26"/>
      <c r="BK31" s="26"/>
      <c r="BL31" s="26"/>
      <c r="BM31" s="26"/>
      <c r="BN31" s="6"/>
      <c r="CP31" s="26"/>
    </row>
    <row r="32" spans="1:94" s="27" customFormat="1" ht="13.5">
      <c r="A32" s="64">
        <f>A30+1</f>
        <v>11</v>
      </c>
      <c r="B32" s="11"/>
      <c r="C32" s="65" t="s">
        <v>130</v>
      </c>
      <c r="D32" s="14"/>
      <c r="E32" s="14"/>
      <c r="F32" s="79" t="s">
        <v>131</v>
      </c>
      <c r="G32" s="14"/>
      <c r="H32" s="79" t="s">
        <v>132</v>
      </c>
      <c r="I32" s="14"/>
      <c r="J32" s="14"/>
      <c r="K32" s="13">
        <v>22000000</v>
      </c>
      <c r="L32" s="14"/>
      <c r="M32" s="14"/>
      <c r="N32" s="57">
        <f>K32</f>
        <v>22000000</v>
      </c>
      <c r="O32" s="14"/>
      <c r="P32" s="14"/>
      <c r="Q32" s="80">
        <v>0</v>
      </c>
      <c r="R32" s="14"/>
      <c r="S32" s="14"/>
      <c r="T32" s="15">
        <f>-Q32/N32*100</f>
        <v>0</v>
      </c>
      <c r="U32" s="14"/>
      <c r="V32" s="14"/>
      <c r="W32" s="13">
        <v>165000</v>
      </c>
      <c r="X32" s="14"/>
      <c r="Y32" s="14"/>
      <c r="Z32" s="15">
        <f>W32/N32*100</f>
        <v>0.75</v>
      </c>
      <c r="AA32" s="14"/>
      <c r="AB32" s="14"/>
      <c r="AC32" s="13">
        <f>46420+222664+910800</f>
        <v>1179884</v>
      </c>
      <c r="AD32" s="14"/>
      <c r="AE32" s="14"/>
      <c r="AF32" s="15">
        <f>AC32/N32*100</f>
        <v>5.363109090909091</v>
      </c>
      <c r="AG32" s="14"/>
      <c r="AH32" s="14"/>
      <c r="AI32" s="57">
        <f>N32+Q32-W32-AC32</f>
        <v>20655116</v>
      </c>
      <c r="AJ32" s="14"/>
      <c r="AK32" s="14"/>
      <c r="AL32" s="69">
        <f>ROUND((AI32/N32*100),3)</f>
        <v>93.887</v>
      </c>
      <c r="AM32" s="14"/>
      <c r="AN32" s="14"/>
      <c r="AO32" s="81">
        <v>20</v>
      </c>
      <c r="AP32" s="14"/>
      <c r="AQ32" s="14"/>
      <c r="AR32" s="12">
        <v>0.07181</v>
      </c>
      <c r="AS32" s="14"/>
      <c r="AT32" s="14"/>
      <c r="AU32" s="59">
        <f>ROUND((+AR32*K32),0)</f>
        <v>1579820</v>
      </c>
      <c r="BF32" s="26"/>
      <c r="BG32" s="26"/>
      <c r="BH32" s="26"/>
      <c r="BI32" s="26"/>
      <c r="BJ32" s="26"/>
      <c r="BK32" s="26"/>
      <c r="BL32" s="26"/>
      <c r="BM32" s="26"/>
      <c r="BN32" s="75"/>
      <c r="CP32" s="26"/>
    </row>
    <row r="33" spans="1:107" s="27" customFormat="1" ht="13.5">
      <c r="A33" s="64"/>
      <c r="B33" s="14"/>
      <c r="C33" s="65"/>
      <c r="D33" s="14"/>
      <c r="E33" s="14"/>
      <c r="F33" s="79"/>
      <c r="G33" s="14"/>
      <c r="H33" s="79"/>
      <c r="I33" s="14"/>
      <c r="J33" s="14"/>
      <c r="K33" s="13"/>
      <c r="L33" s="14"/>
      <c r="M33" s="14"/>
      <c r="N33" s="57"/>
      <c r="O33" s="14"/>
      <c r="P33" s="14"/>
      <c r="Q33" s="80"/>
      <c r="R33" s="14"/>
      <c r="S33" s="14"/>
      <c r="T33" s="15"/>
      <c r="U33" s="14"/>
      <c r="V33" s="14"/>
      <c r="W33" s="13"/>
      <c r="X33" s="14"/>
      <c r="Y33" s="14"/>
      <c r="Z33" s="15"/>
      <c r="AA33" s="14"/>
      <c r="AB33" s="14"/>
      <c r="AC33" s="83" t="s">
        <v>133</v>
      </c>
      <c r="AD33" s="14"/>
      <c r="AE33" s="14"/>
      <c r="AF33" s="15"/>
      <c r="AG33" s="14"/>
      <c r="AH33" s="14"/>
      <c r="AI33" s="57"/>
      <c r="AJ33" s="14"/>
      <c r="AK33" s="14"/>
      <c r="AL33" s="69"/>
      <c r="AM33" s="14"/>
      <c r="AN33" s="14"/>
      <c r="AO33" s="81"/>
      <c r="AP33" s="14"/>
      <c r="AQ33" s="14"/>
      <c r="AR33" s="12"/>
      <c r="AS33" s="14"/>
      <c r="AT33" s="14"/>
      <c r="AU33" s="59"/>
      <c r="BF33" s="26"/>
      <c r="BG33" s="26"/>
      <c r="BH33" s="26"/>
      <c r="BI33" s="26"/>
      <c r="BJ33" s="26"/>
      <c r="BK33" s="26"/>
      <c r="BL33" s="26"/>
      <c r="BM33" s="26"/>
      <c r="BN33" s="75"/>
      <c r="CP33" s="26"/>
      <c r="CV33" s="25"/>
      <c r="CW33" s="25"/>
      <c r="CX33" s="25"/>
      <c r="CY33" s="25"/>
      <c r="CZ33" s="25"/>
      <c r="DA33" s="25"/>
      <c r="DB33" s="25"/>
      <c r="DC33" s="25"/>
    </row>
    <row r="34" spans="1:119" s="27" customFormat="1" ht="13.5">
      <c r="A34" s="64">
        <f>1+A32</f>
        <v>12</v>
      </c>
      <c r="B34" s="14"/>
      <c r="C34" s="65" t="s">
        <v>134</v>
      </c>
      <c r="D34" s="14"/>
      <c r="E34" s="14"/>
      <c r="F34" s="79" t="s">
        <v>135</v>
      </c>
      <c r="G34" s="14"/>
      <c r="H34" s="79" t="s">
        <v>136</v>
      </c>
      <c r="I34" s="14"/>
      <c r="J34" s="14"/>
      <c r="K34" s="13">
        <v>20000000</v>
      </c>
      <c r="L34" s="14"/>
      <c r="M34" s="14"/>
      <c r="N34" s="57">
        <f>K34</f>
        <v>20000000</v>
      </c>
      <c r="O34" s="14"/>
      <c r="P34" s="14"/>
      <c r="Q34" s="80">
        <v>0</v>
      </c>
      <c r="R34" s="14"/>
      <c r="S34" s="14"/>
      <c r="T34" s="15">
        <f>-Q34/N34*100</f>
        <v>0</v>
      </c>
      <c r="U34" s="14"/>
      <c r="V34" s="14"/>
      <c r="W34" s="13">
        <v>150000</v>
      </c>
      <c r="X34" s="14"/>
      <c r="Y34" s="14"/>
      <c r="Z34" s="15">
        <f>W34/N34*100</f>
        <v>0.75</v>
      </c>
      <c r="AA34" s="14"/>
      <c r="AB34" s="14"/>
      <c r="AC34" s="13">
        <f>18726+26690+5</f>
        <v>45421</v>
      </c>
      <c r="AD34" s="14"/>
      <c r="AE34" s="14"/>
      <c r="AF34" s="15">
        <f>AC34/N34*100</f>
        <v>0.227105</v>
      </c>
      <c r="AG34" s="14"/>
      <c r="AH34" s="14"/>
      <c r="AI34" s="57">
        <f>N34+Q34-W34-AC34</f>
        <v>19804579</v>
      </c>
      <c r="AJ34" s="14"/>
      <c r="AK34" s="14"/>
      <c r="AL34" s="69">
        <f>ROUND((AI34/N34*100),3)</f>
        <v>99.023</v>
      </c>
      <c r="AM34" s="14"/>
      <c r="AN34" s="14"/>
      <c r="AO34" s="81">
        <v>11</v>
      </c>
      <c r="AP34" s="14"/>
      <c r="AQ34" s="14"/>
      <c r="AR34" s="12">
        <v>0.07727</v>
      </c>
      <c r="AS34" s="14"/>
      <c r="AT34" s="14"/>
      <c r="AU34" s="59">
        <f>ROUND((+AR34*K34),0)</f>
        <v>1545400</v>
      </c>
      <c r="BF34" s="26"/>
      <c r="BG34" s="26"/>
      <c r="BH34" s="26"/>
      <c r="BI34" s="26"/>
      <c r="BJ34" s="26"/>
      <c r="BK34" s="26"/>
      <c r="BL34" s="26"/>
      <c r="BM34" s="26"/>
      <c r="BN34" s="75"/>
      <c r="CP34" s="26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</row>
    <row r="35" spans="1:119" s="27" customFormat="1" ht="6" customHeight="1">
      <c r="A35" s="64"/>
      <c r="B35" s="14"/>
      <c r="C35" s="65"/>
      <c r="D35" s="14"/>
      <c r="E35" s="14"/>
      <c r="F35" s="79"/>
      <c r="G35" s="14"/>
      <c r="H35" s="79"/>
      <c r="I35" s="14"/>
      <c r="J35" s="14"/>
      <c r="K35" s="13"/>
      <c r="L35" s="14"/>
      <c r="M35" s="14"/>
      <c r="N35" s="57"/>
      <c r="O35" s="14"/>
      <c r="P35" s="14"/>
      <c r="Q35" s="80"/>
      <c r="R35" s="14"/>
      <c r="S35" s="14"/>
      <c r="T35" s="15"/>
      <c r="U35" s="14"/>
      <c r="V35" s="14"/>
      <c r="W35" s="13"/>
      <c r="X35" s="14"/>
      <c r="Y35" s="14"/>
      <c r="Z35" s="15"/>
      <c r="AA35" s="14"/>
      <c r="AB35" s="14"/>
      <c r="AC35" s="82"/>
      <c r="AD35" s="14"/>
      <c r="AE35" s="14"/>
      <c r="AF35" s="15"/>
      <c r="AG35" s="14"/>
      <c r="AH35" s="14"/>
      <c r="AI35" s="57"/>
      <c r="AJ35" s="14"/>
      <c r="AK35" s="14"/>
      <c r="AL35" s="69"/>
      <c r="AM35" s="14"/>
      <c r="AN35" s="14"/>
      <c r="AO35" s="81"/>
      <c r="AP35" s="14"/>
      <c r="AQ35" s="14"/>
      <c r="AR35" s="12"/>
      <c r="AS35" s="14"/>
      <c r="AT35" s="14"/>
      <c r="AU35" s="59"/>
      <c r="BF35" s="26"/>
      <c r="BG35" s="26"/>
      <c r="BH35" s="26"/>
      <c r="BI35" s="26"/>
      <c r="BJ35" s="26"/>
      <c r="BK35" s="26"/>
      <c r="BL35" s="26"/>
      <c r="BM35" s="26"/>
      <c r="BN35" s="75"/>
      <c r="CP35" s="26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</row>
    <row r="36" spans="1:119" s="27" customFormat="1" ht="13.5">
      <c r="A36" s="64">
        <f>A34+1</f>
        <v>13</v>
      </c>
      <c r="B36" s="14"/>
      <c r="C36" s="65" t="s">
        <v>137</v>
      </c>
      <c r="D36" s="14"/>
      <c r="E36" s="40"/>
      <c r="F36" s="79" t="s">
        <v>138</v>
      </c>
      <c r="G36" s="40"/>
      <c r="H36" s="79" t="s">
        <v>139</v>
      </c>
      <c r="I36" s="14"/>
      <c r="J36" s="14"/>
      <c r="K36" s="13">
        <v>20000000</v>
      </c>
      <c r="L36" s="14"/>
      <c r="M36" s="14"/>
      <c r="N36" s="57">
        <f>K36</f>
        <v>20000000</v>
      </c>
      <c r="O36" s="14"/>
      <c r="P36" s="14"/>
      <c r="Q36" s="80">
        <v>0</v>
      </c>
      <c r="R36" s="14"/>
      <c r="S36" s="14"/>
      <c r="T36" s="15">
        <f>-Q36/N36*100</f>
        <v>0</v>
      </c>
      <c r="U36" s="14"/>
      <c r="V36" s="14"/>
      <c r="W36" s="13">
        <v>150000</v>
      </c>
      <c r="X36" s="14"/>
      <c r="Y36" s="14"/>
      <c r="Z36" s="15">
        <f>W36/N36*100</f>
        <v>0.75</v>
      </c>
      <c r="AA36" s="14"/>
      <c r="AB36" s="14"/>
      <c r="AC36" s="13">
        <f>35200+1319714</f>
        <v>1354914</v>
      </c>
      <c r="AD36" s="14"/>
      <c r="AE36" s="14"/>
      <c r="AF36" s="15">
        <f>AC36/N36*100</f>
        <v>6.774570000000001</v>
      </c>
      <c r="AG36" s="14"/>
      <c r="AH36" s="14"/>
      <c r="AI36" s="57">
        <f>N36+Q36-W36-AC36</f>
        <v>18495086</v>
      </c>
      <c r="AJ36" s="14"/>
      <c r="AK36" s="14"/>
      <c r="AL36" s="69">
        <f>ROUND((AI36/N36*100),3)</f>
        <v>92.475</v>
      </c>
      <c r="AM36" s="14"/>
      <c r="AN36" s="14"/>
      <c r="AO36" s="81">
        <v>30</v>
      </c>
      <c r="AP36" s="14"/>
      <c r="AQ36" s="14"/>
      <c r="AR36" s="12">
        <v>0.0843268808739</v>
      </c>
      <c r="AS36" s="14"/>
      <c r="AT36" s="14"/>
      <c r="AU36" s="59">
        <f>ROUND((+AR36*K36),0)</f>
        <v>1686538</v>
      </c>
      <c r="BF36" s="26"/>
      <c r="BG36" s="26"/>
      <c r="BH36" s="26"/>
      <c r="BI36" s="26"/>
      <c r="BJ36" s="26"/>
      <c r="BK36" s="26"/>
      <c r="BL36" s="26"/>
      <c r="BM36" s="26"/>
      <c r="BN36" s="75"/>
      <c r="CP36" s="26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</row>
    <row r="37" spans="1:119" s="27" customFormat="1" ht="13.5">
      <c r="A37" s="64"/>
      <c r="B37" s="14"/>
      <c r="C37" s="65"/>
      <c r="D37" s="14"/>
      <c r="E37" s="14"/>
      <c r="F37" s="79"/>
      <c r="G37" s="14"/>
      <c r="H37" s="79"/>
      <c r="I37" s="14"/>
      <c r="J37" s="14"/>
      <c r="K37" s="13"/>
      <c r="L37" s="14"/>
      <c r="M37" s="14"/>
      <c r="N37" s="57"/>
      <c r="O37" s="14"/>
      <c r="P37" s="14"/>
      <c r="Q37" s="80"/>
      <c r="R37" s="14"/>
      <c r="S37" s="14"/>
      <c r="T37" s="15"/>
      <c r="U37" s="14"/>
      <c r="V37" s="14"/>
      <c r="W37" s="13"/>
      <c r="X37" s="14"/>
      <c r="Y37" s="14"/>
      <c r="Z37" s="15"/>
      <c r="AA37" s="14"/>
      <c r="AB37" s="14"/>
      <c r="AC37" s="83" t="s">
        <v>140</v>
      </c>
      <c r="AD37" s="14"/>
      <c r="AE37" s="14"/>
      <c r="AF37" s="15"/>
      <c r="AG37" s="14"/>
      <c r="AH37" s="14"/>
      <c r="AI37" s="57"/>
      <c r="AJ37" s="14"/>
      <c r="AK37" s="14"/>
      <c r="AL37" s="69"/>
      <c r="AM37" s="14"/>
      <c r="AN37" s="14"/>
      <c r="AO37" s="81"/>
      <c r="AP37" s="14"/>
      <c r="AQ37" s="14"/>
      <c r="AR37" s="12"/>
      <c r="AS37" s="14"/>
      <c r="AT37" s="14"/>
      <c r="AU37" s="59"/>
      <c r="BF37" s="26"/>
      <c r="BG37" s="26"/>
      <c r="BH37" s="26"/>
      <c r="BI37" s="26"/>
      <c r="BJ37" s="26"/>
      <c r="BK37" s="26"/>
      <c r="BL37" s="26"/>
      <c r="BM37" s="26"/>
      <c r="BN37" s="75"/>
      <c r="CP37" s="26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</row>
    <row r="38" spans="1:94" s="27" customFormat="1" ht="13.5">
      <c r="A38" s="64">
        <f>A36+1</f>
        <v>14</v>
      </c>
      <c r="B38" s="11"/>
      <c r="C38" s="65" t="s">
        <v>141</v>
      </c>
      <c r="D38" s="11"/>
      <c r="E38" s="11"/>
      <c r="F38" s="66" t="s">
        <v>142</v>
      </c>
      <c r="G38" s="74" t="s">
        <v>44</v>
      </c>
      <c r="H38" s="66" t="s">
        <v>143</v>
      </c>
      <c r="I38" s="11"/>
      <c r="J38" s="11"/>
      <c r="K38" s="67">
        <v>20000000</v>
      </c>
      <c r="L38" s="11"/>
      <c r="M38" s="11"/>
      <c r="N38" s="57">
        <f>K38</f>
        <v>20000000</v>
      </c>
      <c r="O38" s="11"/>
      <c r="P38" s="11"/>
      <c r="Q38" s="71">
        <v>0</v>
      </c>
      <c r="R38" s="11"/>
      <c r="S38" s="11"/>
      <c r="T38" s="15">
        <f>-Q38/N38*100</f>
        <v>0</v>
      </c>
      <c r="U38" s="11"/>
      <c r="V38" s="11"/>
      <c r="W38" s="67">
        <v>150000</v>
      </c>
      <c r="X38" s="11"/>
      <c r="Y38" s="11"/>
      <c r="Z38" s="15">
        <f>W38/N38*100</f>
        <v>0.75</v>
      </c>
      <c r="AA38" s="11"/>
      <c r="AB38" s="11"/>
      <c r="AC38" s="68">
        <f>1099761+36500</f>
        <v>1136261</v>
      </c>
      <c r="AD38" s="11"/>
      <c r="AE38" s="11"/>
      <c r="AF38" s="15">
        <f>AC38/N38*100</f>
        <v>5.681305</v>
      </c>
      <c r="AG38" s="11"/>
      <c r="AH38" s="11"/>
      <c r="AI38" s="57">
        <f>N38+Q38-W38-AC38</f>
        <v>18713739</v>
      </c>
      <c r="AJ38" s="11"/>
      <c r="AK38" s="11"/>
      <c r="AL38" s="69">
        <f>ROUND((AI38/N38*100),3)</f>
        <v>93.569</v>
      </c>
      <c r="AM38" s="11"/>
      <c r="AN38" s="11"/>
      <c r="AO38" s="73">
        <v>25</v>
      </c>
      <c r="AP38" s="11"/>
      <c r="AQ38" s="11"/>
      <c r="AR38" s="12">
        <v>0.08336</v>
      </c>
      <c r="AS38" s="11"/>
      <c r="AT38" s="11"/>
      <c r="AU38" s="59">
        <f>ROUND((+AR38*K38),0)</f>
        <v>1667200</v>
      </c>
      <c r="BF38" s="26"/>
      <c r="BG38" s="26"/>
      <c r="BH38" s="26"/>
      <c r="BI38" s="26"/>
      <c r="BJ38" s="26"/>
      <c r="BK38" s="26"/>
      <c r="BL38" s="26"/>
      <c r="BM38" s="26"/>
      <c r="BN38" s="75"/>
      <c r="CP38" s="26"/>
    </row>
    <row r="39" spans="1:94" s="27" customFormat="1" ht="13.5">
      <c r="A39" s="64"/>
      <c r="B39" s="11"/>
      <c r="C39" s="65"/>
      <c r="D39" s="11"/>
      <c r="E39" s="11"/>
      <c r="F39" s="66"/>
      <c r="G39" s="74"/>
      <c r="H39" s="66"/>
      <c r="I39" s="11"/>
      <c r="J39" s="11"/>
      <c r="K39" s="67"/>
      <c r="L39" s="11"/>
      <c r="M39" s="11"/>
      <c r="N39" s="57"/>
      <c r="O39" s="11"/>
      <c r="P39" s="11"/>
      <c r="Q39" s="71"/>
      <c r="R39" s="11"/>
      <c r="S39" s="11"/>
      <c r="T39" s="15"/>
      <c r="U39" s="11"/>
      <c r="V39" s="11"/>
      <c r="W39" s="67"/>
      <c r="X39" s="11"/>
      <c r="Y39" s="11"/>
      <c r="Z39" s="15"/>
      <c r="AA39" s="11"/>
      <c r="AB39" s="11"/>
      <c r="AC39" s="77" t="s">
        <v>144</v>
      </c>
      <c r="AD39" s="11"/>
      <c r="AE39" s="11"/>
      <c r="AF39" s="15"/>
      <c r="AG39" s="11"/>
      <c r="AH39" s="11"/>
      <c r="AI39" s="57"/>
      <c r="AJ39" s="11"/>
      <c r="AK39" s="11"/>
      <c r="AL39" s="69"/>
      <c r="AM39" s="11"/>
      <c r="AN39" s="11"/>
      <c r="AO39" s="73"/>
      <c r="AP39" s="11"/>
      <c r="AQ39" s="11"/>
      <c r="AR39" s="12"/>
      <c r="AS39" s="11"/>
      <c r="AT39" s="11"/>
      <c r="AU39" s="59"/>
      <c r="BF39" s="26"/>
      <c r="BG39" s="26"/>
      <c r="BH39" s="26"/>
      <c r="BI39" s="26"/>
      <c r="BJ39" s="26"/>
      <c r="BK39" s="26"/>
      <c r="BL39" s="26"/>
      <c r="BM39" s="26"/>
      <c r="BN39" s="75"/>
      <c r="CP39" s="26"/>
    </row>
    <row r="40" spans="1:119" s="27" customFormat="1" ht="13.5">
      <c r="A40" s="64">
        <f>A38+1</f>
        <v>15</v>
      </c>
      <c r="B40" s="14"/>
      <c r="C40" s="65" t="s">
        <v>145</v>
      </c>
      <c r="D40" s="14"/>
      <c r="E40" s="14"/>
      <c r="F40" s="79" t="s">
        <v>142</v>
      </c>
      <c r="G40" s="14"/>
      <c r="H40" s="79" t="s">
        <v>146</v>
      </c>
      <c r="I40" s="14"/>
      <c r="J40" s="14"/>
      <c r="K40" s="13">
        <v>10000000</v>
      </c>
      <c r="L40" s="14"/>
      <c r="M40" s="14"/>
      <c r="N40" s="57">
        <f>K40</f>
        <v>10000000</v>
      </c>
      <c r="O40" s="14"/>
      <c r="P40" s="14"/>
      <c r="Q40" s="80">
        <v>0</v>
      </c>
      <c r="R40" s="14"/>
      <c r="S40" s="14"/>
      <c r="T40" s="15">
        <f>-Q40/N40*100</f>
        <v>0</v>
      </c>
      <c r="U40" s="14"/>
      <c r="V40" s="14"/>
      <c r="W40" s="13">
        <v>75000</v>
      </c>
      <c r="X40" s="14"/>
      <c r="Y40" s="14"/>
      <c r="Z40" s="15">
        <f>W40/N40*100</f>
        <v>0.75</v>
      </c>
      <c r="AA40" s="14"/>
      <c r="AB40" s="14"/>
      <c r="AC40" s="13">
        <f>659857+18250</f>
        <v>678107</v>
      </c>
      <c r="AD40" s="14"/>
      <c r="AE40" s="14"/>
      <c r="AF40" s="15">
        <f>AC40/N40*100</f>
        <v>6.78107</v>
      </c>
      <c r="AG40" s="14"/>
      <c r="AH40" s="14"/>
      <c r="AI40" s="57">
        <f>N40+Q40-W40-AC40</f>
        <v>9246893</v>
      </c>
      <c r="AJ40" s="14"/>
      <c r="AK40" s="14"/>
      <c r="AL40" s="69">
        <f>ROUND((AI40/N40*100),3)</f>
        <v>92.469</v>
      </c>
      <c r="AM40" s="14"/>
      <c r="AN40" s="14"/>
      <c r="AO40" s="81">
        <v>30</v>
      </c>
      <c r="AP40" s="14"/>
      <c r="AQ40" s="14"/>
      <c r="AR40" s="12">
        <v>0.08551</v>
      </c>
      <c r="AS40" s="14"/>
      <c r="AT40" s="14"/>
      <c r="AU40" s="59">
        <f>ROUND((+AR40*K40),0)</f>
        <v>855100</v>
      </c>
      <c r="BF40" s="26"/>
      <c r="BG40" s="26"/>
      <c r="BH40" s="26"/>
      <c r="BI40" s="26"/>
      <c r="BJ40" s="26"/>
      <c r="BK40" s="26"/>
      <c r="BL40" s="26"/>
      <c r="BM40" s="26"/>
      <c r="BN40" s="75"/>
      <c r="CP40" s="26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</row>
    <row r="41" spans="1:119" s="27" customFormat="1" ht="13.5">
      <c r="A41" s="64"/>
      <c r="B41" s="14"/>
      <c r="C41" s="65"/>
      <c r="D41" s="14"/>
      <c r="E41" s="14"/>
      <c r="F41" s="79"/>
      <c r="G41" s="14"/>
      <c r="H41" s="79"/>
      <c r="I41" s="14"/>
      <c r="J41" s="14"/>
      <c r="K41" s="13"/>
      <c r="L41" s="14"/>
      <c r="M41" s="14"/>
      <c r="N41" s="57"/>
      <c r="O41" s="14"/>
      <c r="P41" s="14"/>
      <c r="Q41" s="80"/>
      <c r="R41" s="14"/>
      <c r="S41" s="14"/>
      <c r="T41" s="15"/>
      <c r="U41" s="14"/>
      <c r="V41" s="14"/>
      <c r="W41" s="13"/>
      <c r="X41" s="14"/>
      <c r="Y41" s="14"/>
      <c r="Z41" s="15"/>
      <c r="AA41" s="14"/>
      <c r="AB41" s="14"/>
      <c r="AC41" s="77" t="s">
        <v>147</v>
      </c>
      <c r="AD41" s="14"/>
      <c r="AE41" s="14"/>
      <c r="AF41" s="15"/>
      <c r="AG41" s="14"/>
      <c r="AH41" s="14"/>
      <c r="AI41" s="57"/>
      <c r="AJ41" s="14"/>
      <c r="AK41" s="14"/>
      <c r="AL41" s="69"/>
      <c r="AM41" s="14"/>
      <c r="AN41" s="14"/>
      <c r="AO41" s="81"/>
      <c r="AP41" s="14"/>
      <c r="AQ41" s="14"/>
      <c r="AR41" s="12"/>
      <c r="AS41" s="14"/>
      <c r="AT41" s="14"/>
      <c r="AU41" s="59"/>
      <c r="BF41" s="26"/>
      <c r="BG41" s="26"/>
      <c r="BH41" s="26"/>
      <c r="BI41" s="26"/>
      <c r="BJ41" s="26"/>
      <c r="BK41" s="26"/>
      <c r="BL41" s="26"/>
      <c r="BM41" s="26"/>
      <c r="BN41" s="75"/>
      <c r="CP41" s="26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</row>
    <row r="42" spans="1:119" s="27" customFormat="1" ht="13.5">
      <c r="A42" s="64">
        <f>A40+1</f>
        <v>16</v>
      </c>
      <c r="B42" s="14"/>
      <c r="C42" s="65" t="s">
        <v>148</v>
      </c>
      <c r="D42" s="14"/>
      <c r="E42" s="14"/>
      <c r="F42" s="79" t="s">
        <v>149</v>
      </c>
      <c r="G42" s="14"/>
      <c r="H42" s="79" t="s">
        <v>150</v>
      </c>
      <c r="I42" s="14"/>
      <c r="J42" s="14"/>
      <c r="K42" s="13">
        <v>25000000</v>
      </c>
      <c r="L42" s="14"/>
      <c r="M42" s="14"/>
      <c r="N42" s="57">
        <f>K42</f>
        <v>25000000</v>
      </c>
      <c r="O42" s="14"/>
      <c r="P42" s="14"/>
      <c r="Q42" s="80">
        <v>0</v>
      </c>
      <c r="R42" s="14"/>
      <c r="S42" s="14"/>
      <c r="T42" s="15">
        <f>-Q42/N42*100</f>
        <v>0</v>
      </c>
      <c r="U42" s="14"/>
      <c r="V42" s="14"/>
      <c r="W42" s="13">
        <v>156250</v>
      </c>
      <c r="X42" s="14"/>
      <c r="Y42" s="14"/>
      <c r="Z42" s="15">
        <f>W42/N42*100</f>
        <v>0.625</v>
      </c>
      <c r="AA42" s="14"/>
      <c r="AB42" s="14"/>
      <c r="AC42" s="13">
        <f>210000+19142</f>
        <v>229142</v>
      </c>
      <c r="AD42" s="14"/>
      <c r="AE42" s="14"/>
      <c r="AF42" s="15">
        <f>AC42/N42*100</f>
        <v>0.916568</v>
      </c>
      <c r="AG42" s="14"/>
      <c r="AH42" s="14"/>
      <c r="AI42" s="57">
        <f>N42+Q42-W42-AC42</f>
        <v>24614608</v>
      </c>
      <c r="AJ42" s="14"/>
      <c r="AK42" s="14"/>
      <c r="AL42" s="69">
        <f>ROUND((AI42/N42*100),3)</f>
        <v>98.458</v>
      </c>
      <c r="AM42" s="14"/>
      <c r="AN42" s="14"/>
      <c r="AO42" s="81">
        <v>10</v>
      </c>
      <c r="AP42" s="14"/>
      <c r="AQ42" s="14"/>
      <c r="AR42" s="12">
        <v>0.07674</v>
      </c>
      <c r="AS42" s="14"/>
      <c r="AT42" s="14"/>
      <c r="AU42" s="59">
        <f>ROUND((+AR42*K42),0)</f>
        <v>1918500</v>
      </c>
      <c r="BF42" s="26"/>
      <c r="BG42" s="26"/>
      <c r="BH42" s="26"/>
      <c r="BI42" s="26"/>
      <c r="BJ42" s="26"/>
      <c r="BK42" s="26"/>
      <c r="BL42" s="26"/>
      <c r="BM42" s="26"/>
      <c r="BN42" s="75"/>
      <c r="CP42" s="26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</row>
    <row r="43" spans="1:119" s="27" customFormat="1" ht="6" customHeight="1">
      <c r="A43" s="64"/>
      <c r="B43" s="14"/>
      <c r="C43" s="65"/>
      <c r="D43" s="14"/>
      <c r="E43" s="14"/>
      <c r="F43" s="79"/>
      <c r="G43" s="14"/>
      <c r="H43" s="79"/>
      <c r="I43" s="14"/>
      <c r="J43" s="14"/>
      <c r="K43" s="13"/>
      <c r="L43" s="14"/>
      <c r="M43" s="14"/>
      <c r="N43" s="57"/>
      <c r="O43" s="14"/>
      <c r="P43" s="14"/>
      <c r="Q43" s="80"/>
      <c r="R43" s="14"/>
      <c r="S43" s="14"/>
      <c r="T43" s="15"/>
      <c r="U43" s="14"/>
      <c r="V43" s="14"/>
      <c r="W43" s="13"/>
      <c r="X43" s="14"/>
      <c r="Y43" s="14"/>
      <c r="Z43" s="15"/>
      <c r="AA43" s="14"/>
      <c r="AB43" s="14"/>
      <c r="AC43" s="13"/>
      <c r="AD43" s="14"/>
      <c r="AE43" s="14"/>
      <c r="AF43" s="15"/>
      <c r="AG43" s="14"/>
      <c r="AH43" s="14"/>
      <c r="AI43" s="57"/>
      <c r="AJ43" s="14"/>
      <c r="AK43" s="14"/>
      <c r="AL43" s="69"/>
      <c r="AM43" s="14"/>
      <c r="AN43" s="14"/>
      <c r="AO43" s="81"/>
      <c r="AP43" s="14"/>
      <c r="AQ43" s="14"/>
      <c r="AR43" s="12"/>
      <c r="AS43" s="14"/>
      <c r="AT43" s="14"/>
      <c r="AU43" s="59"/>
      <c r="BF43" s="26"/>
      <c r="BG43" s="26"/>
      <c r="BH43" s="26"/>
      <c r="BI43" s="26"/>
      <c r="BJ43" s="26"/>
      <c r="BK43" s="26"/>
      <c r="BL43" s="26"/>
      <c r="BM43" s="26"/>
      <c r="BN43" s="75"/>
      <c r="CP43" s="26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</row>
    <row r="44" spans="1:119" s="27" customFormat="1" ht="13.5">
      <c r="A44" s="64">
        <f>A42+1</f>
        <v>17</v>
      </c>
      <c r="B44" s="14"/>
      <c r="C44" s="65" t="s">
        <v>151</v>
      </c>
      <c r="D44" s="14"/>
      <c r="E44" s="14"/>
      <c r="F44" s="79" t="s">
        <v>152</v>
      </c>
      <c r="G44" s="14"/>
      <c r="H44" s="79" t="s">
        <v>153</v>
      </c>
      <c r="I44" s="14"/>
      <c r="J44" s="14"/>
      <c r="K44" s="13">
        <v>10000000</v>
      </c>
      <c r="L44" s="14"/>
      <c r="M44" s="14"/>
      <c r="N44" s="57">
        <f>K44</f>
        <v>10000000</v>
      </c>
      <c r="O44" s="14"/>
      <c r="P44" s="14"/>
      <c r="Q44" s="80">
        <v>0</v>
      </c>
      <c r="R44" s="14"/>
      <c r="S44" s="14"/>
      <c r="T44" s="15">
        <f>-Q44/N44*100</f>
        <v>0</v>
      </c>
      <c r="U44" s="14"/>
      <c r="V44" s="14"/>
      <c r="W44" s="13">
        <v>62500</v>
      </c>
      <c r="X44" s="14"/>
      <c r="Y44" s="14"/>
      <c r="Z44" s="15">
        <f>W44/N44*100</f>
        <v>0.625</v>
      </c>
      <c r="AA44" s="14"/>
      <c r="AB44" s="14"/>
      <c r="AC44" s="13">
        <v>12200</v>
      </c>
      <c r="AD44" s="14"/>
      <c r="AE44" s="14"/>
      <c r="AF44" s="15">
        <f>AC44/N44*100</f>
        <v>0.122</v>
      </c>
      <c r="AG44" s="14"/>
      <c r="AH44" s="14"/>
      <c r="AI44" s="57">
        <f>N44+Q44-W44-AC44</f>
        <v>9925300</v>
      </c>
      <c r="AJ44" s="14"/>
      <c r="AK44" s="14"/>
      <c r="AL44" s="69">
        <f>ROUND((AI44/N44*100),3)</f>
        <v>99.253</v>
      </c>
      <c r="AM44" s="14"/>
      <c r="AN44" s="14"/>
      <c r="AO44" s="81">
        <v>10</v>
      </c>
      <c r="AP44" s="14"/>
      <c r="AQ44" s="14"/>
      <c r="AR44" s="12">
        <v>0.0676896</v>
      </c>
      <c r="AS44" s="14"/>
      <c r="AT44" s="14"/>
      <c r="AU44" s="59">
        <f>ROUND((+AR44*K44),0)</f>
        <v>676896</v>
      </c>
      <c r="BF44" s="26"/>
      <c r="BG44" s="26"/>
      <c r="BH44" s="26"/>
      <c r="BI44" s="26"/>
      <c r="BJ44" s="26"/>
      <c r="BK44" s="26"/>
      <c r="BL44" s="26"/>
      <c r="BM44" s="26"/>
      <c r="BN44" s="75"/>
      <c r="CP44" s="26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</row>
    <row r="45" spans="1:119" s="27" customFormat="1" ht="6" customHeight="1">
      <c r="A45" s="64"/>
      <c r="B45" s="14"/>
      <c r="C45" s="65"/>
      <c r="D45" s="14"/>
      <c r="E45" s="14"/>
      <c r="F45" s="79"/>
      <c r="G45" s="14"/>
      <c r="H45" s="79"/>
      <c r="I45" s="14"/>
      <c r="J45" s="14"/>
      <c r="K45" s="13"/>
      <c r="L45" s="14"/>
      <c r="M45" s="14"/>
      <c r="N45" s="57"/>
      <c r="O45" s="14"/>
      <c r="P45" s="14"/>
      <c r="Q45" s="80"/>
      <c r="R45" s="14"/>
      <c r="S45" s="14"/>
      <c r="T45" s="15"/>
      <c r="U45" s="14"/>
      <c r="V45" s="14"/>
      <c r="W45" s="13"/>
      <c r="X45" s="14"/>
      <c r="Y45" s="14"/>
      <c r="Z45" s="15"/>
      <c r="AA45" s="14"/>
      <c r="AB45" s="14"/>
      <c r="AC45" s="13"/>
      <c r="AD45" s="14"/>
      <c r="AE45" s="14"/>
      <c r="AF45" s="15"/>
      <c r="AG45" s="14"/>
      <c r="AH45" s="14"/>
      <c r="AI45" s="57"/>
      <c r="AJ45" s="14"/>
      <c r="AK45" s="14"/>
      <c r="AL45" s="69"/>
      <c r="AM45" s="14"/>
      <c r="AN45" s="14"/>
      <c r="AO45" s="81"/>
      <c r="AP45" s="14"/>
      <c r="AQ45" s="14"/>
      <c r="AR45" s="12"/>
      <c r="AS45" s="14"/>
      <c r="AT45" s="14"/>
      <c r="AU45" s="59"/>
      <c r="BF45" s="26"/>
      <c r="BG45" s="26"/>
      <c r="BH45" s="26"/>
      <c r="BI45" s="26"/>
      <c r="BJ45" s="26"/>
      <c r="BK45" s="26"/>
      <c r="BL45" s="26"/>
      <c r="BM45" s="26"/>
      <c r="BN45" s="75"/>
      <c r="CP45" s="26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</row>
    <row r="46" spans="1:119" s="27" customFormat="1" ht="13.5">
      <c r="A46" s="64">
        <f>A44+1</f>
        <v>18</v>
      </c>
      <c r="B46" s="14"/>
      <c r="C46" s="65" t="s">
        <v>154</v>
      </c>
      <c r="D46" s="14"/>
      <c r="E46" s="14"/>
      <c r="F46" s="79" t="s">
        <v>155</v>
      </c>
      <c r="G46" s="14"/>
      <c r="H46" s="79" t="s">
        <v>156</v>
      </c>
      <c r="I46" s="14"/>
      <c r="J46" s="14"/>
      <c r="K46" s="13">
        <v>40000000</v>
      </c>
      <c r="L46" s="14"/>
      <c r="M46" s="14"/>
      <c r="N46" s="57">
        <f>K46</f>
        <v>40000000</v>
      </c>
      <c r="O46" s="14"/>
      <c r="P46" s="14"/>
      <c r="Q46" s="80">
        <v>0</v>
      </c>
      <c r="R46" s="14"/>
      <c r="S46" s="14"/>
      <c r="T46" s="15">
        <f>-Q46/N46*100</f>
        <v>0</v>
      </c>
      <c r="U46" s="14"/>
      <c r="V46" s="14"/>
      <c r="W46" s="13">
        <v>250000</v>
      </c>
      <c r="X46" s="14"/>
      <c r="Y46" s="14"/>
      <c r="Z46" s="15">
        <f>W46/N46*100</f>
        <v>0.625</v>
      </c>
      <c r="AA46" s="14"/>
      <c r="AB46" s="14"/>
      <c r="AC46" s="13">
        <v>102400</v>
      </c>
      <c r="AD46" s="14"/>
      <c r="AE46" s="14"/>
      <c r="AF46" s="15">
        <f>AC46/N46*100</f>
        <v>0.256</v>
      </c>
      <c r="AG46" s="14"/>
      <c r="AH46" s="14"/>
      <c r="AI46" s="57">
        <f>N46+Q46-W46-AC46</f>
        <v>39647600</v>
      </c>
      <c r="AJ46" s="14"/>
      <c r="AK46" s="14"/>
      <c r="AL46" s="69">
        <f>ROUND((AI46/N46*100),3)</f>
        <v>99.119</v>
      </c>
      <c r="AM46" s="14"/>
      <c r="AN46" s="14"/>
      <c r="AO46" s="81">
        <v>10</v>
      </c>
      <c r="AP46" s="14"/>
      <c r="AQ46" s="14"/>
      <c r="AR46" s="12">
        <v>0.072554</v>
      </c>
      <c r="AS46" s="14"/>
      <c r="AT46" s="14"/>
      <c r="AU46" s="59">
        <f>ROUND((+AR46*K46),0)</f>
        <v>2902160</v>
      </c>
      <c r="BF46" s="26"/>
      <c r="BG46" s="26"/>
      <c r="BH46" s="26"/>
      <c r="BI46" s="26"/>
      <c r="BJ46" s="26"/>
      <c r="BK46" s="26"/>
      <c r="BL46" s="26"/>
      <c r="BM46" s="26"/>
      <c r="BN46" s="75"/>
      <c r="CP46" s="26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</row>
    <row r="47" spans="1:119" s="27" customFormat="1" ht="6" customHeight="1">
      <c r="A47" s="64"/>
      <c r="B47" s="14"/>
      <c r="C47" s="65"/>
      <c r="D47" s="14"/>
      <c r="E47" s="14"/>
      <c r="F47" s="79"/>
      <c r="G47" s="14"/>
      <c r="H47" s="79"/>
      <c r="I47" s="14"/>
      <c r="J47" s="14"/>
      <c r="K47" s="13"/>
      <c r="L47" s="14"/>
      <c r="M47" s="14"/>
      <c r="N47" s="57"/>
      <c r="O47" s="14"/>
      <c r="P47" s="14"/>
      <c r="Q47" s="80"/>
      <c r="R47" s="14"/>
      <c r="S47" s="14"/>
      <c r="T47" s="15"/>
      <c r="U47" s="14"/>
      <c r="V47" s="14"/>
      <c r="W47" s="13"/>
      <c r="X47" s="14"/>
      <c r="Y47" s="14"/>
      <c r="Z47" s="15"/>
      <c r="AA47" s="14"/>
      <c r="AB47" s="14"/>
      <c r="AC47" s="13"/>
      <c r="AD47" s="14"/>
      <c r="AE47" s="14"/>
      <c r="AF47" s="15"/>
      <c r="AG47" s="14"/>
      <c r="AH47" s="14"/>
      <c r="AI47" s="57"/>
      <c r="AJ47" s="14"/>
      <c r="AK47" s="14"/>
      <c r="AL47" s="69"/>
      <c r="AM47" s="14"/>
      <c r="AN47" s="14"/>
      <c r="AO47" s="81"/>
      <c r="AP47" s="14"/>
      <c r="AQ47" s="14"/>
      <c r="AR47" s="12"/>
      <c r="AS47" s="14"/>
      <c r="AT47" s="14"/>
      <c r="AU47" s="59"/>
      <c r="BF47" s="26"/>
      <c r="BG47" s="26"/>
      <c r="BH47" s="26"/>
      <c r="BI47" s="26"/>
      <c r="BJ47" s="26"/>
      <c r="BK47" s="26"/>
      <c r="BL47" s="26"/>
      <c r="BM47" s="26"/>
      <c r="BN47" s="75"/>
      <c r="CP47" s="26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</row>
    <row r="48" spans="1:119" s="27" customFormat="1" ht="13.5">
      <c r="A48" s="64">
        <f>A46+1</f>
        <v>19</v>
      </c>
      <c r="B48" s="14"/>
      <c r="C48" s="65" t="s">
        <v>157</v>
      </c>
      <c r="D48" s="14"/>
      <c r="E48" s="14"/>
      <c r="F48" s="79" t="s">
        <v>158</v>
      </c>
      <c r="G48" s="14"/>
      <c r="H48" s="79" t="s">
        <v>159</v>
      </c>
      <c r="I48" s="14"/>
      <c r="J48" s="14"/>
      <c r="K48" s="13">
        <v>30000000</v>
      </c>
      <c r="L48" s="14"/>
      <c r="M48" s="14"/>
      <c r="N48" s="57">
        <f>K48</f>
        <v>30000000</v>
      </c>
      <c r="O48" s="14"/>
      <c r="P48" s="14"/>
      <c r="Q48" s="80">
        <v>0</v>
      </c>
      <c r="R48" s="14"/>
      <c r="S48" s="14"/>
      <c r="T48" s="15">
        <f>-Q48/N48*100</f>
        <v>0</v>
      </c>
      <c r="U48" s="14"/>
      <c r="V48" s="14"/>
      <c r="W48" s="13">
        <v>225000</v>
      </c>
      <c r="X48" s="14"/>
      <c r="Y48" s="14"/>
      <c r="Z48" s="15">
        <f>W48/N48*100</f>
        <v>0.75</v>
      </c>
      <c r="AA48" s="14"/>
      <c r="AB48" s="14"/>
      <c r="AC48" s="13">
        <f>106292.7+59088.95</f>
        <v>165381.65</v>
      </c>
      <c r="AD48" s="14"/>
      <c r="AE48" s="14"/>
      <c r="AF48" s="15">
        <f>AC48/N48*100</f>
        <v>0.5512721666666667</v>
      </c>
      <c r="AG48" s="14"/>
      <c r="AH48" s="14"/>
      <c r="AI48" s="57">
        <f>N48+Q48-W48-AC48</f>
        <v>29609618.35</v>
      </c>
      <c r="AJ48" s="14"/>
      <c r="AK48" s="14"/>
      <c r="AL48" s="69">
        <f>ROUND((AI48/N48*100),3)</f>
        <v>98.699</v>
      </c>
      <c r="AM48" s="14"/>
      <c r="AN48" s="14"/>
      <c r="AO48" s="81">
        <v>30</v>
      </c>
      <c r="AP48" s="14"/>
      <c r="AQ48" s="14">
        <v>0.05892</v>
      </c>
      <c r="AR48" s="12">
        <v>0.05913144</v>
      </c>
      <c r="AS48" s="14"/>
      <c r="AT48" s="14"/>
      <c r="AU48" s="59">
        <f>ROUND((+AR48*K48),0)</f>
        <v>1773943</v>
      </c>
      <c r="BF48" s="26"/>
      <c r="BG48" s="26"/>
      <c r="BH48" s="26"/>
      <c r="BI48" s="26"/>
      <c r="BJ48" s="26"/>
      <c r="BK48" s="26"/>
      <c r="BL48" s="26"/>
      <c r="BM48" s="26"/>
      <c r="BN48" s="75"/>
      <c r="CP48" s="26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</row>
    <row r="49" spans="1:119" s="27" customFormat="1" ht="6" customHeight="1">
      <c r="A49" s="64"/>
      <c r="B49" s="14"/>
      <c r="C49" s="65"/>
      <c r="D49" s="14"/>
      <c r="E49" s="14"/>
      <c r="F49" s="79"/>
      <c r="G49" s="14"/>
      <c r="H49" s="79"/>
      <c r="I49" s="14"/>
      <c r="J49" s="14"/>
      <c r="K49" s="13"/>
      <c r="L49" s="14"/>
      <c r="M49" s="14"/>
      <c r="N49" s="57"/>
      <c r="O49" s="14"/>
      <c r="P49" s="14"/>
      <c r="Q49" s="80"/>
      <c r="R49" s="14"/>
      <c r="S49" s="14"/>
      <c r="T49" s="15"/>
      <c r="U49" s="14"/>
      <c r="V49" s="14"/>
      <c r="W49" s="13"/>
      <c r="X49" s="14"/>
      <c r="Y49" s="14"/>
      <c r="Z49" s="15"/>
      <c r="AA49" s="14"/>
      <c r="AB49" s="14"/>
      <c r="AC49" s="13"/>
      <c r="AD49" s="14"/>
      <c r="AE49" s="14"/>
      <c r="AF49" s="15"/>
      <c r="AG49" s="14"/>
      <c r="AH49" s="14"/>
      <c r="AI49" s="57"/>
      <c r="AJ49" s="14"/>
      <c r="AK49" s="14"/>
      <c r="AL49" s="69"/>
      <c r="AM49" s="14"/>
      <c r="AN49" s="14"/>
      <c r="AO49" s="81"/>
      <c r="AP49" s="14"/>
      <c r="AQ49" s="14"/>
      <c r="AR49" s="12"/>
      <c r="AS49" s="14"/>
      <c r="AT49" s="14"/>
      <c r="AU49" s="59"/>
      <c r="BF49" s="26"/>
      <c r="BG49" s="26"/>
      <c r="BH49" s="26"/>
      <c r="BI49" s="26"/>
      <c r="BJ49" s="26"/>
      <c r="BK49" s="26"/>
      <c r="BL49" s="26"/>
      <c r="BM49" s="26"/>
      <c r="BN49" s="75"/>
      <c r="CP49" s="26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</row>
    <row r="50" spans="1:119" s="27" customFormat="1" ht="13.5">
      <c r="A50" s="64">
        <f>A48+1</f>
        <v>20</v>
      </c>
      <c r="B50" s="14"/>
      <c r="C50" s="65" t="s">
        <v>160</v>
      </c>
      <c r="D50" s="14"/>
      <c r="E50" s="14"/>
      <c r="F50" s="79" t="s">
        <v>161</v>
      </c>
      <c r="G50" s="14"/>
      <c r="H50" s="79" t="s">
        <v>162</v>
      </c>
      <c r="I50" s="14"/>
      <c r="J50" s="14"/>
      <c r="K50" s="13">
        <v>40000000</v>
      </c>
      <c r="L50" s="14"/>
      <c r="M50" s="14"/>
      <c r="N50" s="57">
        <f>K50</f>
        <v>40000000</v>
      </c>
      <c r="O50" s="14"/>
      <c r="P50" s="14"/>
      <c r="Q50" s="80">
        <v>0</v>
      </c>
      <c r="R50" s="14"/>
      <c r="S50" s="14"/>
      <c r="T50" s="15">
        <f>-Q50/N50*100</f>
        <v>0</v>
      </c>
      <c r="U50" s="14"/>
      <c r="V50" s="14"/>
      <c r="W50" s="13">
        <v>300000</v>
      </c>
      <c r="X50" s="14"/>
      <c r="Y50" s="14"/>
      <c r="Z50" s="15">
        <f>W50/N50*100</f>
        <v>0.75</v>
      </c>
      <c r="AA50" s="14"/>
      <c r="AB50" s="14"/>
      <c r="AC50" s="13">
        <v>56663</v>
      </c>
      <c r="AD50" s="14"/>
      <c r="AE50" s="14"/>
      <c r="AF50" s="15">
        <f>AC50/N50*100</f>
        <v>0.1416575</v>
      </c>
      <c r="AG50" s="14"/>
      <c r="AH50" s="14"/>
      <c r="AI50" s="57">
        <f>N50+Q50-W50-AC50</f>
        <v>39643337</v>
      </c>
      <c r="AJ50" s="14"/>
      <c r="AK50" s="14"/>
      <c r="AL50" s="69">
        <f>ROUND((AI50/N50*100),3)</f>
        <v>99.108</v>
      </c>
      <c r="AM50" s="14"/>
      <c r="AN50" s="14"/>
      <c r="AO50" s="81">
        <v>30</v>
      </c>
      <c r="AP50" s="14"/>
      <c r="AQ50" s="14">
        <v>0.05892</v>
      </c>
      <c r="AR50" s="12">
        <v>0.0572</v>
      </c>
      <c r="AS50" s="14"/>
      <c r="AT50" s="14"/>
      <c r="AU50" s="59">
        <f>ROUND((+AR50*K50),0)</f>
        <v>2288000</v>
      </c>
      <c r="BF50" s="26"/>
      <c r="BG50" s="26"/>
      <c r="BH50" s="26"/>
      <c r="BI50" s="26"/>
      <c r="BJ50" s="26"/>
      <c r="BK50" s="26"/>
      <c r="BL50" s="26"/>
      <c r="BM50" s="26"/>
      <c r="BN50" s="75"/>
      <c r="CP50" s="26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</row>
    <row r="51" spans="1:119" s="27" customFormat="1" ht="6" customHeight="1">
      <c r="A51" s="64"/>
      <c r="B51" s="14"/>
      <c r="C51" s="65"/>
      <c r="D51" s="14"/>
      <c r="E51" s="14"/>
      <c r="F51" s="79"/>
      <c r="G51" s="14"/>
      <c r="H51" s="79"/>
      <c r="I51" s="14"/>
      <c r="J51" s="14"/>
      <c r="K51" s="13"/>
      <c r="L51" s="14"/>
      <c r="M51" s="14"/>
      <c r="N51" s="57"/>
      <c r="O51" s="14"/>
      <c r="P51" s="14"/>
      <c r="Q51" s="80"/>
      <c r="R51" s="14"/>
      <c r="S51" s="14"/>
      <c r="T51" s="15"/>
      <c r="U51" s="14"/>
      <c r="V51" s="14"/>
      <c r="W51" s="13"/>
      <c r="X51" s="14"/>
      <c r="Y51" s="14"/>
      <c r="Z51" s="15"/>
      <c r="AA51" s="14"/>
      <c r="AB51" s="14"/>
      <c r="AC51" s="13"/>
      <c r="AD51" s="14"/>
      <c r="AE51" s="14"/>
      <c r="AF51" s="15"/>
      <c r="AG51" s="14"/>
      <c r="AH51" s="14"/>
      <c r="AI51" s="57"/>
      <c r="AJ51" s="14"/>
      <c r="AK51" s="14"/>
      <c r="AL51" s="69"/>
      <c r="AM51" s="14"/>
      <c r="AN51" s="14"/>
      <c r="AO51" s="81"/>
      <c r="AP51" s="14"/>
      <c r="AQ51" s="14"/>
      <c r="AR51" s="12"/>
      <c r="AS51" s="14"/>
      <c r="AT51" s="14"/>
      <c r="AU51" s="59"/>
      <c r="BF51" s="26"/>
      <c r="BG51" s="26"/>
      <c r="BH51" s="26"/>
      <c r="BI51" s="26"/>
      <c r="BJ51" s="26"/>
      <c r="BK51" s="26"/>
      <c r="BL51" s="26"/>
      <c r="BM51" s="26"/>
      <c r="BN51" s="75"/>
      <c r="CP51" s="26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</row>
    <row r="52" spans="1:119" s="27" customFormat="1" ht="13.5">
      <c r="A52" s="64">
        <f>A50+1</f>
        <v>21</v>
      </c>
      <c r="B52" s="14"/>
      <c r="C52" s="65" t="s">
        <v>163</v>
      </c>
      <c r="D52" s="14"/>
      <c r="E52" s="14"/>
      <c r="F52" s="79" t="s">
        <v>164</v>
      </c>
      <c r="G52" s="14"/>
      <c r="H52" s="79" t="s">
        <v>165</v>
      </c>
      <c r="I52" s="14"/>
      <c r="J52" s="14"/>
      <c r="K52" s="13">
        <v>10000000</v>
      </c>
      <c r="L52" s="14"/>
      <c r="M52" s="14"/>
      <c r="N52" s="57">
        <f>K52</f>
        <v>10000000</v>
      </c>
      <c r="O52" s="14"/>
      <c r="P52" s="14"/>
      <c r="Q52" s="80">
        <v>0</v>
      </c>
      <c r="R52" s="14"/>
      <c r="S52" s="14"/>
      <c r="T52" s="15">
        <f>-Q52/N52*100</f>
        <v>0</v>
      </c>
      <c r="U52" s="14"/>
      <c r="V52" s="14"/>
      <c r="W52" s="13">
        <f>60000+18147</f>
        <v>78147</v>
      </c>
      <c r="X52" s="14"/>
      <c r="Y52" s="14"/>
      <c r="Z52" s="15">
        <f>W52/N52*100</f>
        <v>0.7814700000000001</v>
      </c>
      <c r="AA52" s="14"/>
      <c r="AB52" s="14"/>
      <c r="AC52" s="13">
        <f>178125</f>
        <v>178125</v>
      </c>
      <c r="AD52" s="14"/>
      <c r="AE52" s="14"/>
      <c r="AF52" s="15">
        <f>AC52/N52*100</f>
        <v>1.7812499999999998</v>
      </c>
      <c r="AG52" s="14"/>
      <c r="AH52" s="14"/>
      <c r="AI52" s="57">
        <f>N52+Q52-W52-AC52</f>
        <v>9743728</v>
      </c>
      <c r="AJ52" s="14"/>
      <c r="AK52" s="14"/>
      <c r="AL52" s="69">
        <f>ROUND((AI52/N52*100),3)</f>
        <v>97.437</v>
      </c>
      <c r="AM52" s="14"/>
      <c r="AN52" s="14"/>
      <c r="AO52" s="81">
        <v>7</v>
      </c>
      <c r="AP52" s="14"/>
      <c r="AQ52" s="14">
        <v>0.05892</v>
      </c>
      <c r="AR52" s="12">
        <v>0.04513585</v>
      </c>
      <c r="AS52" s="14"/>
      <c r="AT52" s="14"/>
      <c r="AU52" s="59">
        <f>ROUND((+AR52*K52),0)</f>
        <v>451359</v>
      </c>
      <c r="BF52" s="26"/>
      <c r="BG52" s="26"/>
      <c r="BH52" s="26"/>
      <c r="BI52" s="26"/>
      <c r="BJ52" s="26"/>
      <c r="BK52" s="26"/>
      <c r="BL52" s="26"/>
      <c r="BM52" s="26"/>
      <c r="BN52" s="75"/>
      <c r="CP52" s="26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</row>
    <row r="53" spans="1:119" s="27" customFormat="1" ht="13.5">
      <c r="A53" s="64"/>
      <c r="B53" s="14"/>
      <c r="C53" s="65"/>
      <c r="D53" s="14"/>
      <c r="E53" s="14"/>
      <c r="F53" s="79"/>
      <c r="G53" s="14"/>
      <c r="H53" s="79"/>
      <c r="I53" s="14"/>
      <c r="J53" s="14"/>
      <c r="K53" s="13"/>
      <c r="L53" s="14"/>
      <c r="M53" s="14"/>
      <c r="N53" s="57"/>
      <c r="O53" s="14"/>
      <c r="P53" s="14"/>
      <c r="Q53" s="80"/>
      <c r="R53" s="14"/>
      <c r="S53" s="14"/>
      <c r="T53" s="15"/>
      <c r="U53" s="14"/>
      <c r="V53" s="14"/>
      <c r="W53" s="13"/>
      <c r="X53" s="14"/>
      <c r="Y53" s="14"/>
      <c r="Z53" s="15"/>
      <c r="AA53" s="14"/>
      <c r="AB53" s="14"/>
      <c r="AC53" s="77" t="s">
        <v>184</v>
      </c>
      <c r="AD53" s="14"/>
      <c r="AE53" s="14"/>
      <c r="AF53" s="15"/>
      <c r="AG53" s="14"/>
      <c r="AH53" s="14"/>
      <c r="AI53" s="57"/>
      <c r="AJ53" s="14"/>
      <c r="AK53" s="14"/>
      <c r="AL53" s="69"/>
      <c r="AM53" s="14"/>
      <c r="AN53" s="14"/>
      <c r="AO53" s="81"/>
      <c r="AP53" s="14"/>
      <c r="AQ53" s="14"/>
      <c r="AR53" s="12"/>
      <c r="AS53" s="14"/>
      <c r="AT53" s="14"/>
      <c r="AU53" s="59"/>
      <c r="BF53" s="26"/>
      <c r="BG53" s="26"/>
      <c r="BH53" s="26"/>
      <c r="BI53" s="26"/>
      <c r="BJ53" s="26"/>
      <c r="BK53" s="26"/>
      <c r="BL53" s="26"/>
      <c r="BM53" s="26"/>
      <c r="BN53" s="75"/>
      <c r="CP53" s="26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</row>
    <row r="54" spans="1:119" s="27" customFormat="1" ht="13.5">
      <c r="A54" s="64">
        <f>A52+1</f>
        <v>22</v>
      </c>
      <c r="B54" s="14"/>
      <c r="C54" s="65" t="s">
        <v>166</v>
      </c>
      <c r="D54" s="14"/>
      <c r="E54" s="14"/>
      <c r="F54" s="79" t="s">
        <v>164</v>
      </c>
      <c r="G54" s="14"/>
      <c r="H54" s="79" t="s">
        <v>167</v>
      </c>
      <c r="I54" s="14"/>
      <c r="J54" s="14"/>
      <c r="K54" s="13">
        <v>40000000</v>
      </c>
      <c r="L54" s="14"/>
      <c r="M54" s="14"/>
      <c r="N54" s="57">
        <f>K54</f>
        <v>40000000</v>
      </c>
      <c r="O54" s="14"/>
      <c r="P54" s="14"/>
      <c r="Q54" s="80">
        <v>0</v>
      </c>
      <c r="R54" s="14"/>
      <c r="S54" s="14"/>
      <c r="T54" s="15">
        <f>-Q54/N54*100</f>
        <v>0</v>
      </c>
      <c r="U54" s="14"/>
      <c r="V54" s="14"/>
      <c r="W54" s="13">
        <f>300000+72588</f>
        <v>372588</v>
      </c>
      <c r="X54" s="14"/>
      <c r="Y54" s="14"/>
      <c r="Z54" s="15">
        <f>W54/N54*100</f>
        <v>0.93147</v>
      </c>
      <c r="AA54" s="14"/>
      <c r="AB54" s="14"/>
      <c r="AC54" s="13">
        <v>2952850</v>
      </c>
      <c r="AD54" s="14"/>
      <c r="AE54" s="14"/>
      <c r="AF54" s="15">
        <f>AC54/N54*100</f>
        <v>7.382125</v>
      </c>
      <c r="AG54" s="14"/>
      <c r="AH54" s="14"/>
      <c r="AI54" s="57">
        <f>N54+Q54-W54-AC54</f>
        <v>36674562</v>
      </c>
      <c r="AJ54" s="14"/>
      <c r="AK54" s="14"/>
      <c r="AL54" s="69">
        <f>ROUND((AI54/N54*100),3)</f>
        <v>91.686</v>
      </c>
      <c r="AM54" s="14"/>
      <c r="AN54" s="14"/>
      <c r="AO54" s="81">
        <v>20</v>
      </c>
      <c r="AP54" s="14"/>
      <c r="AQ54" s="14">
        <v>0.05892</v>
      </c>
      <c r="AR54" s="12">
        <v>0.06360475</v>
      </c>
      <c r="AS54" s="14"/>
      <c r="AT54" s="14"/>
      <c r="AU54" s="59">
        <f>ROUND((+AR54*K54),0)</f>
        <v>2544190</v>
      </c>
      <c r="BF54" s="26"/>
      <c r="BG54" s="26"/>
      <c r="BH54" s="26"/>
      <c r="BI54" s="26"/>
      <c r="BJ54" s="26"/>
      <c r="BK54" s="26"/>
      <c r="BL54" s="26"/>
      <c r="BM54" s="26"/>
      <c r="BN54" s="75"/>
      <c r="CP54" s="26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</row>
    <row r="55" spans="1:119" s="27" customFormat="1" ht="13.5">
      <c r="A55" s="64"/>
      <c r="B55" s="14"/>
      <c r="C55" s="65"/>
      <c r="D55" s="14"/>
      <c r="E55" s="14"/>
      <c r="F55" s="79"/>
      <c r="G55" s="14"/>
      <c r="H55" s="79"/>
      <c r="I55" s="14"/>
      <c r="J55" s="14"/>
      <c r="K55" s="13"/>
      <c r="L55" s="14"/>
      <c r="M55" s="14"/>
      <c r="N55" s="57"/>
      <c r="O55" s="14"/>
      <c r="P55" s="14"/>
      <c r="Q55" s="80"/>
      <c r="R55" s="14"/>
      <c r="S55" s="14"/>
      <c r="T55" s="15"/>
      <c r="U55" s="14"/>
      <c r="V55" s="14"/>
      <c r="W55" s="13"/>
      <c r="X55" s="14"/>
      <c r="Y55" s="14"/>
      <c r="Z55" s="15"/>
      <c r="AA55" s="14"/>
      <c r="AB55" s="14"/>
      <c r="AC55" s="77" t="s">
        <v>185</v>
      </c>
      <c r="AD55" s="14"/>
      <c r="AE55" s="14"/>
      <c r="AF55" s="15"/>
      <c r="AG55" s="14"/>
      <c r="AH55" s="14"/>
      <c r="AI55" s="57"/>
      <c r="AJ55" s="14"/>
      <c r="AK55" s="14"/>
      <c r="AL55" s="69"/>
      <c r="AM55" s="14"/>
      <c r="AN55" s="14"/>
      <c r="AO55" s="81"/>
      <c r="AP55" s="14"/>
      <c r="AQ55" s="14"/>
      <c r="AR55" s="12"/>
      <c r="AS55" s="14"/>
      <c r="AT55" s="14"/>
      <c r="AU55" s="59"/>
      <c r="BF55" s="26"/>
      <c r="BG55" s="26"/>
      <c r="BH55" s="26"/>
      <c r="BI55" s="26"/>
      <c r="BJ55" s="26"/>
      <c r="BK55" s="26"/>
      <c r="BL55" s="26"/>
      <c r="BM55" s="26"/>
      <c r="BN55" s="75"/>
      <c r="CP55" s="26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</row>
    <row r="56" spans="1:119" s="27" customFormat="1" ht="13.5">
      <c r="A56" s="64">
        <f>A54+1</f>
        <v>23</v>
      </c>
      <c r="B56" s="14"/>
      <c r="C56" s="65" t="s">
        <v>168</v>
      </c>
      <c r="D56" s="14"/>
      <c r="E56" s="14"/>
      <c r="F56" s="79" t="s">
        <v>169</v>
      </c>
      <c r="G56" s="14"/>
      <c r="H56" s="79" t="s">
        <v>170</v>
      </c>
      <c r="I56" s="14"/>
      <c r="J56" s="14"/>
      <c r="K56" s="13">
        <v>40000000</v>
      </c>
      <c r="L56" s="14"/>
      <c r="M56" s="14"/>
      <c r="N56" s="57">
        <f>K56</f>
        <v>40000000</v>
      </c>
      <c r="O56" s="14"/>
      <c r="P56" s="14"/>
      <c r="Q56" s="80">
        <v>0</v>
      </c>
      <c r="R56" s="14"/>
      <c r="S56" s="14"/>
      <c r="T56" s="15">
        <f>-Q56/N56*100</f>
        <v>0</v>
      </c>
      <c r="U56" s="14"/>
      <c r="V56" s="14"/>
      <c r="W56" s="13">
        <v>250000</v>
      </c>
      <c r="X56" s="14"/>
      <c r="Y56" s="14"/>
      <c r="Z56" s="15">
        <f>W56/N56*100</f>
        <v>0.625</v>
      </c>
      <c r="AA56" s="14"/>
      <c r="AB56" s="14"/>
      <c r="AC56" s="13">
        <v>91898</v>
      </c>
      <c r="AD56" s="14"/>
      <c r="AE56" s="14"/>
      <c r="AF56" s="15">
        <f>AC56/N56*100</f>
        <v>0.229745</v>
      </c>
      <c r="AG56" s="14"/>
      <c r="AH56" s="14"/>
      <c r="AI56" s="57">
        <f>N56+Q56-W56-AC56</f>
        <v>39658102</v>
      </c>
      <c r="AJ56" s="14"/>
      <c r="AK56" s="14"/>
      <c r="AL56" s="69">
        <f>ROUND((AI56/N56*100),3)</f>
        <v>99.145</v>
      </c>
      <c r="AM56" s="14"/>
      <c r="AN56" s="14"/>
      <c r="AO56" s="81">
        <v>10</v>
      </c>
      <c r="AP56" s="14"/>
      <c r="AQ56" s="14">
        <v>0.05892</v>
      </c>
      <c r="AR56" s="12">
        <v>0.04809</v>
      </c>
      <c r="AS56" s="14"/>
      <c r="AT56" s="14"/>
      <c r="AU56" s="59">
        <f>ROUND((+AR56*K56),0)</f>
        <v>1923600</v>
      </c>
      <c r="BF56" s="26"/>
      <c r="BG56" s="26"/>
      <c r="BH56" s="26"/>
      <c r="BI56" s="26"/>
      <c r="BJ56" s="26"/>
      <c r="BK56" s="26"/>
      <c r="BL56" s="26"/>
      <c r="BM56" s="26"/>
      <c r="BN56" s="75"/>
      <c r="CP56" s="26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</row>
    <row r="57" spans="1:119" s="27" customFormat="1" ht="6" customHeight="1">
      <c r="A57" s="64"/>
      <c r="B57" s="14"/>
      <c r="C57" s="65"/>
      <c r="D57" s="14"/>
      <c r="E57" s="14"/>
      <c r="F57" s="79"/>
      <c r="G57" s="14"/>
      <c r="H57" s="79"/>
      <c r="I57" s="14"/>
      <c r="J57" s="14"/>
      <c r="K57" s="13"/>
      <c r="L57" s="14"/>
      <c r="M57" s="14"/>
      <c r="N57" s="57"/>
      <c r="O57" s="14"/>
      <c r="P57" s="14"/>
      <c r="Q57" s="80"/>
      <c r="R57" s="14"/>
      <c r="S57" s="14"/>
      <c r="T57" s="15"/>
      <c r="U57" s="14"/>
      <c r="V57" s="14"/>
      <c r="W57" s="13"/>
      <c r="X57" s="14"/>
      <c r="Y57" s="14"/>
      <c r="Z57" s="15"/>
      <c r="AA57" s="14"/>
      <c r="AB57" s="14"/>
      <c r="AC57" s="13"/>
      <c r="AD57" s="14"/>
      <c r="AE57" s="14"/>
      <c r="AF57" s="15"/>
      <c r="AG57" s="14"/>
      <c r="AH57" s="14"/>
      <c r="AI57" s="57"/>
      <c r="AJ57" s="14"/>
      <c r="AK57" s="14"/>
      <c r="AL57" s="69"/>
      <c r="AM57" s="14"/>
      <c r="AN57" s="14"/>
      <c r="AO57" s="81"/>
      <c r="AP57" s="14"/>
      <c r="AQ57" s="14"/>
      <c r="AR57" s="12"/>
      <c r="AS57" s="14"/>
      <c r="AT57" s="14"/>
      <c r="AU57" s="59"/>
      <c r="BF57" s="26"/>
      <c r="BG57" s="26"/>
      <c r="BH57" s="26"/>
      <c r="BI57" s="26"/>
      <c r="BJ57" s="26"/>
      <c r="BK57" s="26"/>
      <c r="BL57" s="26"/>
      <c r="BM57" s="26"/>
      <c r="BN57" s="75"/>
      <c r="CP57" s="26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</row>
    <row r="58" spans="1:119" s="27" customFormat="1" ht="13.5">
      <c r="A58" s="64">
        <f>A56+1</f>
        <v>24</v>
      </c>
      <c r="B58" s="14"/>
      <c r="C58" s="65" t="s">
        <v>171</v>
      </c>
      <c r="D58" s="14"/>
      <c r="E58" s="14"/>
      <c r="F58" s="79" t="s">
        <v>169</v>
      </c>
      <c r="G58" s="14"/>
      <c r="H58" s="79" t="s">
        <v>172</v>
      </c>
      <c r="I58" s="14"/>
      <c r="J58" s="14"/>
      <c r="K58" s="13">
        <v>10000000</v>
      </c>
      <c r="L58" s="14"/>
      <c r="M58" s="14"/>
      <c r="N58" s="57">
        <f>K58</f>
        <v>10000000</v>
      </c>
      <c r="O58" s="14"/>
      <c r="P58" s="14"/>
      <c r="Q58" s="80">
        <v>0</v>
      </c>
      <c r="R58" s="14"/>
      <c r="S58" s="14"/>
      <c r="T58" s="15">
        <f>-Q58/N58*100</f>
        <v>0</v>
      </c>
      <c r="U58" s="14"/>
      <c r="V58" s="14"/>
      <c r="W58" s="13">
        <v>75000</v>
      </c>
      <c r="X58" s="14"/>
      <c r="Y58" s="14"/>
      <c r="Z58" s="15">
        <f>W58/N58*100</f>
        <v>0.75</v>
      </c>
      <c r="AA58" s="14"/>
      <c r="AB58" s="14"/>
      <c r="AC58" s="13">
        <v>22974</v>
      </c>
      <c r="AD58" s="14"/>
      <c r="AE58" s="14"/>
      <c r="AF58" s="15">
        <f>AC58/N58*100</f>
        <v>0.22973999999999997</v>
      </c>
      <c r="AG58" s="14"/>
      <c r="AH58" s="14"/>
      <c r="AI58" s="57">
        <f>N58+Q58-W58-AC58</f>
        <v>9902026</v>
      </c>
      <c r="AJ58" s="14"/>
      <c r="AK58" s="14"/>
      <c r="AL58" s="69">
        <f>ROUND((AI58/N58*100),3)</f>
        <v>99.02</v>
      </c>
      <c r="AM58" s="14"/>
      <c r="AN58" s="14"/>
      <c r="AO58" s="81">
        <v>30</v>
      </c>
      <c r="AP58" s="14"/>
      <c r="AQ58" s="14">
        <v>0.05892</v>
      </c>
      <c r="AR58" s="12">
        <v>0.05316</v>
      </c>
      <c r="AS58" s="14"/>
      <c r="AT58" s="14"/>
      <c r="AU58" s="59">
        <f>ROUND((+AR58*K58),0)</f>
        <v>531600</v>
      </c>
      <c r="BF58" s="26"/>
      <c r="BG58" s="26"/>
      <c r="BH58" s="26"/>
      <c r="BI58" s="26"/>
      <c r="BJ58" s="26"/>
      <c r="BK58" s="26"/>
      <c r="BL58" s="26"/>
      <c r="BM58" s="26"/>
      <c r="BN58" s="75"/>
      <c r="CP58" s="26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</row>
    <row r="59" spans="1:119" s="27" customFormat="1" ht="6.75" customHeight="1">
      <c r="A59" s="64"/>
      <c r="B59" s="14"/>
      <c r="C59" s="65"/>
      <c r="D59" s="14"/>
      <c r="E59" s="14"/>
      <c r="F59" s="79"/>
      <c r="G59" s="14"/>
      <c r="H59" s="79"/>
      <c r="I59" s="14"/>
      <c r="J59" s="14"/>
      <c r="K59" s="13"/>
      <c r="L59" s="14"/>
      <c r="M59" s="14"/>
      <c r="N59" s="57"/>
      <c r="O59" s="14"/>
      <c r="P59" s="14"/>
      <c r="Q59" s="80"/>
      <c r="R59" s="14"/>
      <c r="S59" s="14"/>
      <c r="T59" s="15"/>
      <c r="U59" s="14"/>
      <c r="V59" s="14"/>
      <c r="W59" s="13"/>
      <c r="X59" s="14"/>
      <c r="Y59" s="14"/>
      <c r="Z59" s="15"/>
      <c r="AA59" s="14"/>
      <c r="AB59" s="14"/>
      <c r="AC59" s="13"/>
      <c r="AD59" s="14"/>
      <c r="AE59" s="14"/>
      <c r="AF59" s="15"/>
      <c r="AG59" s="14"/>
      <c r="AH59" s="14"/>
      <c r="AI59" s="57"/>
      <c r="AJ59" s="14"/>
      <c r="AK59" s="14"/>
      <c r="AL59" s="69"/>
      <c r="AM59" s="14"/>
      <c r="AN59" s="14"/>
      <c r="AO59" s="81"/>
      <c r="AP59" s="14"/>
      <c r="AQ59" s="14"/>
      <c r="AR59" s="12"/>
      <c r="AS59" s="14"/>
      <c r="AT59" s="14"/>
      <c r="AU59" s="59"/>
      <c r="BF59" s="26"/>
      <c r="BG59" s="26"/>
      <c r="BH59" s="26"/>
      <c r="BI59" s="26"/>
      <c r="BJ59" s="26"/>
      <c r="BK59" s="26"/>
      <c r="BL59" s="26"/>
      <c r="BM59" s="26"/>
      <c r="BN59" s="75"/>
      <c r="CP59" s="26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</row>
    <row r="60" spans="1:119" s="27" customFormat="1" ht="13.5">
      <c r="A60" s="64">
        <f>A58+1</f>
        <v>25</v>
      </c>
      <c r="B60" s="14"/>
      <c r="C60" s="65" t="s">
        <v>173</v>
      </c>
      <c r="D60" s="14"/>
      <c r="E60" s="14"/>
      <c r="F60" s="79" t="s">
        <v>174</v>
      </c>
      <c r="G60" s="14"/>
      <c r="H60" s="79" t="s">
        <v>175</v>
      </c>
      <c r="I60" s="14"/>
      <c r="J60" s="14"/>
      <c r="K60" s="13">
        <v>25000000</v>
      </c>
      <c r="L60" s="14"/>
      <c r="M60" s="14"/>
      <c r="N60" s="57">
        <f>K60</f>
        <v>25000000</v>
      </c>
      <c r="O60" s="14"/>
      <c r="P60" s="14"/>
      <c r="Q60" s="80">
        <v>0</v>
      </c>
      <c r="R60" s="14"/>
      <c r="S60" s="14"/>
      <c r="T60" s="15">
        <f>-Q60/N60*100</f>
        <v>0</v>
      </c>
      <c r="U60" s="14"/>
      <c r="V60" s="14"/>
      <c r="W60" s="13">
        <v>156250</v>
      </c>
      <c r="X60" s="14"/>
      <c r="Y60" s="14"/>
      <c r="Z60" s="15">
        <f>W60/N60*100</f>
        <v>0.625</v>
      </c>
      <c r="AA60" s="14"/>
      <c r="AB60" s="14"/>
      <c r="AC60" s="13">
        <v>121426.47</v>
      </c>
      <c r="AD60" s="14"/>
      <c r="AE60" s="14"/>
      <c r="AF60" s="15">
        <f>AC60/N60*100</f>
        <v>0.48570588000000003</v>
      </c>
      <c r="AG60" s="14"/>
      <c r="AH60" s="14"/>
      <c r="AI60" s="57">
        <f>N60+Q60-W60-AC60</f>
        <v>24722323.53</v>
      </c>
      <c r="AJ60" s="14"/>
      <c r="AK60" s="14"/>
      <c r="AL60" s="69">
        <f>ROUND((AI60/N60*100),3)</f>
        <v>98.889</v>
      </c>
      <c r="AM60" s="14"/>
      <c r="AN60" s="14"/>
      <c r="AO60" s="81">
        <v>10</v>
      </c>
      <c r="AP60" s="14"/>
      <c r="AQ60" s="14"/>
      <c r="AR60" s="12">
        <v>0.05294486671155279</v>
      </c>
      <c r="AS60" s="14"/>
      <c r="AT60" s="14"/>
      <c r="AU60" s="59">
        <f>ROUND((+AR60*K60),0)</f>
        <v>1323622</v>
      </c>
      <c r="BF60" s="26"/>
      <c r="BG60" s="26"/>
      <c r="BH60" s="26"/>
      <c r="BI60" s="26"/>
      <c r="BJ60" s="26"/>
      <c r="BK60" s="26"/>
      <c r="BL60" s="26"/>
      <c r="BM60" s="26"/>
      <c r="BN60" s="75"/>
      <c r="CP60" s="26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</row>
    <row r="61" spans="1:119" s="27" customFormat="1" ht="6" customHeight="1">
      <c r="A61" s="64"/>
      <c r="B61" s="14"/>
      <c r="C61" s="65"/>
      <c r="D61" s="14"/>
      <c r="E61" s="14"/>
      <c r="F61" s="79"/>
      <c r="G61" s="14"/>
      <c r="H61" s="79"/>
      <c r="I61" s="14"/>
      <c r="J61" s="14"/>
      <c r="K61" s="13"/>
      <c r="L61" s="14"/>
      <c r="M61" s="14"/>
      <c r="N61" s="57"/>
      <c r="O61" s="14"/>
      <c r="P61" s="14"/>
      <c r="Q61" s="80"/>
      <c r="R61" s="14"/>
      <c r="S61" s="14"/>
      <c r="T61" s="15"/>
      <c r="U61" s="14"/>
      <c r="V61" s="14"/>
      <c r="W61" s="13"/>
      <c r="X61" s="14"/>
      <c r="Y61" s="14"/>
      <c r="Z61" s="15"/>
      <c r="AA61" s="14"/>
      <c r="AB61" s="14"/>
      <c r="AC61" s="13"/>
      <c r="AD61" s="14"/>
      <c r="AE61" s="14"/>
      <c r="AF61" s="15"/>
      <c r="AG61" s="14"/>
      <c r="AH61" s="14"/>
      <c r="AI61" s="57"/>
      <c r="AJ61" s="14"/>
      <c r="AK61" s="14"/>
      <c r="AL61" s="69"/>
      <c r="AM61" s="14"/>
      <c r="AN61" s="14"/>
      <c r="AO61" s="81"/>
      <c r="AP61" s="14"/>
      <c r="AQ61" s="14"/>
      <c r="AR61" s="12"/>
      <c r="AS61" s="14"/>
      <c r="AT61" s="14"/>
      <c r="AU61" s="59"/>
      <c r="BF61" s="26"/>
      <c r="BG61" s="26"/>
      <c r="BH61" s="26"/>
      <c r="BI61" s="26"/>
      <c r="BJ61" s="26"/>
      <c r="BK61" s="26"/>
      <c r="BL61" s="26"/>
      <c r="BM61" s="26"/>
      <c r="BN61" s="75"/>
      <c r="CP61" s="26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</row>
    <row r="62" spans="1:99" s="25" customFormat="1" ht="14.25" thickBot="1">
      <c r="A62" s="84"/>
      <c r="B62" s="11"/>
      <c r="C62" s="9"/>
      <c r="D62" s="9"/>
      <c r="E62" s="9"/>
      <c r="F62" s="10"/>
      <c r="G62" s="9"/>
      <c r="H62" s="10"/>
      <c r="I62" s="9"/>
      <c r="J62" s="9"/>
      <c r="K62" s="16">
        <f>SUM(K1:K61)</f>
        <v>517000000</v>
      </c>
      <c r="L62" s="17" t="s">
        <v>44</v>
      </c>
      <c r="M62" s="14"/>
      <c r="N62" s="18">
        <f>SUM(N10:N61)</f>
        <v>517000000</v>
      </c>
      <c r="O62" s="17" t="s">
        <v>44</v>
      </c>
      <c r="P62" s="14"/>
      <c r="Q62" s="18">
        <f>SUM(Q10:Q61)</f>
        <v>0</v>
      </c>
      <c r="R62" s="9"/>
      <c r="S62" s="9"/>
      <c r="T62" s="19"/>
      <c r="U62" s="9"/>
      <c r="V62" s="9"/>
      <c r="W62" s="18">
        <f>SUM(W10:W61)</f>
        <v>3616985</v>
      </c>
      <c r="X62" s="9"/>
      <c r="Y62" s="9"/>
      <c r="Z62" s="19"/>
      <c r="AA62" s="9"/>
      <c r="AB62" s="9"/>
      <c r="AC62" s="18">
        <f>SUM(AC10:AC61)</f>
        <v>10561121.010000002</v>
      </c>
      <c r="AD62" s="9"/>
      <c r="AE62" s="9"/>
      <c r="AF62" s="19"/>
      <c r="AG62" s="9"/>
      <c r="AH62" s="9"/>
      <c r="AI62" s="18">
        <f>SUM(AI10:AI61)</f>
        <v>502821893.99</v>
      </c>
      <c r="AJ62" s="9"/>
      <c r="AK62" s="9"/>
      <c r="AL62" s="19"/>
      <c r="AM62" s="9"/>
      <c r="AN62" s="9"/>
      <c r="AO62" s="20" t="s">
        <v>111</v>
      </c>
      <c r="AP62" s="9"/>
      <c r="AQ62" s="9"/>
      <c r="AR62" s="21">
        <f>AU62/K62</f>
        <v>0.06795856479690522</v>
      </c>
      <c r="AS62" s="9"/>
      <c r="AT62" s="14"/>
      <c r="AU62" s="18">
        <f>SUM(AU10:AU61)</f>
        <v>35134578</v>
      </c>
      <c r="AV62" s="27"/>
      <c r="BE62" s="27"/>
      <c r="BF62" s="26"/>
      <c r="BG62" s="26"/>
      <c r="BH62" s="26"/>
      <c r="BI62" s="26"/>
      <c r="BJ62" s="26"/>
      <c r="BK62" s="26"/>
      <c r="BL62" s="26"/>
      <c r="BM62" s="26"/>
      <c r="BN62" s="6"/>
      <c r="CM62" s="27"/>
      <c r="CN62" s="27"/>
      <c r="CO62" s="27"/>
      <c r="CP62" s="26"/>
      <c r="CQ62" s="27"/>
      <c r="CR62" s="27"/>
      <c r="CS62" s="27"/>
      <c r="CT62" s="27"/>
      <c r="CU62" s="27"/>
    </row>
    <row r="63" spans="1:99" s="25" customFormat="1" ht="14.25" thickTop="1">
      <c r="A63" s="85"/>
      <c r="B63" s="86"/>
      <c r="C63" s="87"/>
      <c r="D63" s="87"/>
      <c r="E63" s="87"/>
      <c r="F63" s="88"/>
      <c r="G63" s="87"/>
      <c r="H63" s="88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9"/>
      <c r="AV63" s="27"/>
      <c r="BE63" s="27"/>
      <c r="BF63" s="26"/>
      <c r="BG63" s="26"/>
      <c r="BH63" s="26"/>
      <c r="BI63" s="26"/>
      <c r="BJ63" s="26"/>
      <c r="BK63" s="26"/>
      <c r="BL63" s="26"/>
      <c r="BM63" s="26"/>
      <c r="BN63" s="6"/>
      <c r="CM63" s="27"/>
      <c r="CN63" s="27"/>
      <c r="CO63" s="27"/>
      <c r="CP63" s="26"/>
      <c r="CQ63" s="27"/>
      <c r="CR63" s="27"/>
      <c r="CS63" s="27"/>
      <c r="CT63" s="27"/>
      <c r="CU63" s="27"/>
    </row>
    <row r="64" spans="1:103" s="25" customFormat="1" ht="14.25" thickBot="1">
      <c r="A64" s="90" t="s">
        <v>176</v>
      </c>
      <c r="B64" s="91"/>
      <c r="C64" s="92"/>
      <c r="D64" s="93"/>
      <c r="E64" s="93"/>
      <c r="F64" s="94"/>
      <c r="G64" s="93"/>
      <c r="H64" s="94"/>
      <c r="I64" s="93"/>
      <c r="J64" s="93"/>
      <c r="K64" s="95">
        <f>SUM(AU62)</f>
        <v>35134578</v>
      </c>
      <c r="L64" s="93"/>
      <c r="M64" s="96" t="s">
        <v>177</v>
      </c>
      <c r="N64" s="95">
        <f>K62</f>
        <v>517000000</v>
      </c>
      <c r="O64" s="93"/>
      <c r="P64" s="93"/>
      <c r="Q64" s="97" t="s">
        <v>178</v>
      </c>
      <c r="R64" s="93"/>
      <c r="S64" s="93"/>
      <c r="T64" s="98">
        <f>AR62</f>
        <v>0.06795856479690522</v>
      </c>
      <c r="U64" s="93"/>
      <c r="V64" s="93"/>
      <c r="W64" s="99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100"/>
      <c r="AV64" s="27"/>
      <c r="BE64" s="27"/>
      <c r="BF64" s="26"/>
      <c r="BG64" s="26"/>
      <c r="BH64" s="26"/>
      <c r="BI64" s="26"/>
      <c r="BJ64" s="26"/>
      <c r="BK64" s="26"/>
      <c r="BL64" s="26"/>
      <c r="BM64" s="26"/>
      <c r="BN64" s="6"/>
      <c r="CM64" s="27"/>
      <c r="CN64" s="27"/>
      <c r="CO64" s="27"/>
      <c r="CP64" s="26"/>
      <c r="CQ64" s="27"/>
      <c r="CR64" s="27"/>
      <c r="CS64" s="27"/>
      <c r="CT64" s="27"/>
      <c r="CU64" s="27"/>
      <c r="CV64" s="27"/>
      <c r="CW64" s="27"/>
      <c r="CX64" s="27"/>
      <c r="CY64" s="27"/>
    </row>
    <row r="65" spans="1:104" s="143" customFormat="1" ht="13.5">
      <c r="A65" s="139" t="s">
        <v>179</v>
      </c>
      <c r="B65" s="140"/>
      <c r="C65" s="140"/>
      <c r="D65" s="140"/>
      <c r="E65" s="140"/>
      <c r="F65" s="141"/>
      <c r="G65" s="140"/>
      <c r="H65" s="141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2"/>
      <c r="BE65" s="144"/>
      <c r="BF65" s="145"/>
      <c r="BG65" s="145"/>
      <c r="BH65" s="145"/>
      <c r="BI65" s="145"/>
      <c r="BJ65" s="145"/>
      <c r="BK65" s="145"/>
      <c r="BL65" s="145"/>
      <c r="BM65" s="145"/>
      <c r="BN65" s="146"/>
      <c r="CM65" s="144"/>
      <c r="CN65" s="144"/>
      <c r="CO65" s="144"/>
      <c r="CP65" s="145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</row>
    <row r="66" spans="1:107" s="143" customFormat="1" ht="13.5">
      <c r="A66" s="147" t="s">
        <v>180</v>
      </c>
      <c r="B66" s="140"/>
      <c r="C66" s="140"/>
      <c r="D66" s="140"/>
      <c r="E66" s="140"/>
      <c r="F66" s="141"/>
      <c r="G66" s="140"/>
      <c r="H66" s="141"/>
      <c r="I66" s="140"/>
      <c r="J66" s="140"/>
      <c r="K66" s="140"/>
      <c r="L66" s="140"/>
      <c r="M66" s="148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9"/>
      <c r="BE66" s="144"/>
      <c r="BF66" s="145"/>
      <c r="BG66" s="145"/>
      <c r="BH66" s="145"/>
      <c r="BI66" s="145"/>
      <c r="BJ66" s="145"/>
      <c r="BK66" s="145"/>
      <c r="BL66" s="145"/>
      <c r="BM66" s="145"/>
      <c r="BN66" s="146"/>
      <c r="CM66" s="144"/>
      <c r="CN66" s="144"/>
      <c r="CO66" s="144"/>
      <c r="CP66" s="145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</row>
    <row r="67" spans="1:114" s="143" customFormat="1" ht="13.5">
      <c r="A67" s="147" t="s">
        <v>181</v>
      </c>
      <c r="B67" s="140"/>
      <c r="C67" s="140"/>
      <c r="D67" s="140"/>
      <c r="E67" s="140"/>
      <c r="F67" s="141"/>
      <c r="G67" s="140"/>
      <c r="H67" s="141"/>
      <c r="I67" s="140"/>
      <c r="J67" s="140"/>
      <c r="K67" s="140"/>
      <c r="L67" s="140"/>
      <c r="M67" s="148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9"/>
      <c r="BE67" s="144"/>
      <c r="BF67" s="145"/>
      <c r="BG67" s="145"/>
      <c r="BH67" s="145"/>
      <c r="BI67" s="145"/>
      <c r="BJ67" s="145"/>
      <c r="BK67" s="145"/>
      <c r="BL67" s="145"/>
      <c r="BM67" s="145"/>
      <c r="BN67" s="146"/>
      <c r="CD67" s="145"/>
      <c r="CE67" s="145"/>
      <c r="CF67" s="145"/>
      <c r="CG67" s="145"/>
      <c r="CH67" s="144"/>
      <c r="CI67" s="144"/>
      <c r="CJ67" s="150"/>
      <c r="CK67" s="144"/>
      <c r="CL67" s="144"/>
      <c r="CM67" s="144"/>
      <c r="CN67" s="144"/>
      <c r="CO67" s="144"/>
      <c r="CP67" s="145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</row>
    <row r="68" spans="1:104" s="144" customFormat="1" ht="13.5">
      <c r="A68" s="139" t="s">
        <v>182</v>
      </c>
      <c r="B68" s="140"/>
      <c r="C68" s="151"/>
      <c r="D68" s="151"/>
      <c r="E68" s="151"/>
      <c r="F68" s="152"/>
      <c r="G68" s="151"/>
      <c r="H68" s="152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49"/>
      <c r="AV68" s="143"/>
      <c r="AW68" s="143"/>
      <c r="AX68" s="143"/>
      <c r="AY68" s="143"/>
      <c r="AZ68" s="143"/>
      <c r="BA68" s="143"/>
      <c r="BB68" s="143"/>
      <c r="BC68" s="143"/>
      <c r="BD68" s="143"/>
      <c r="BF68" s="145"/>
      <c r="BG68" s="145"/>
      <c r="BH68" s="145"/>
      <c r="BI68" s="145"/>
      <c r="BJ68" s="145"/>
      <c r="BK68" s="145"/>
      <c r="BL68" s="145"/>
      <c r="BM68" s="145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</row>
    <row r="69" spans="1:107" s="144" customFormat="1" ht="13.5">
      <c r="A69" s="139" t="s">
        <v>186</v>
      </c>
      <c r="B69" s="140"/>
      <c r="C69" s="151"/>
      <c r="D69" s="151"/>
      <c r="E69" s="151"/>
      <c r="F69" s="152"/>
      <c r="G69" s="151"/>
      <c r="H69" s="152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3"/>
      <c r="AV69" s="143"/>
      <c r="AW69" s="143"/>
      <c r="AX69" s="143"/>
      <c r="AY69" s="143"/>
      <c r="AZ69" s="143"/>
      <c r="BA69" s="143"/>
      <c r="BB69" s="143"/>
      <c r="BC69" s="143"/>
      <c r="BD69" s="143"/>
      <c r="BF69" s="145"/>
      <c r="BG69" s="145"/>
      <c r="BH69" s="145"/>
      <c r="BI69" s="145"/>
      <c r="BJ69" s="145"/>
      <c r="BK69" s="145"/>
      <c r="BL69" s="145"/>
      <c r="BM69" s="145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</row>
    <row r="70" spans="1:107" s="144" customFormat="1" ht="13.5">
      <c r="A70" s="139"/>
      <c r="B70" s="140"/>
      <c r="C70" s="154" t="s">
        <v>187</v>
      </c>
      <c r="D70" s="151"/>
      <c r="E70" s="151"/>
      <c r="F70" s="152"/>
      <c r="G70" s="151"/>
      <c r="H70" s="152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3"/>
      <c r="AV70" s="143"/>
      <c r="AW70" s="143"/>
      <c r="AX70" s="143"/>
      <c r="AY70" s="143"/>
      <c r="AZ70" s="143"/>
      <c r="BA70" s="143"/>
      <c r="BB70" s="143"/>
      <c r="BC70" s="143"/>
      <c r="BD70" s="143"/>
      <c r="BF70" s="145"/>
      <c r="BG70" s="145"/>
      <c r="BH70" s="145"/>
      <c r="BI70" s="145"/>
      <c r="BJ70" s="145"/>
      <c r="BK70" s="145"/>
      <c r="BL70" s="145"/>
      <c r="BM70" s="145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</row>
    <row r="71" spans="1:114" s="144" customFormat="1" ht="13.5">
      <c r="A71" s="139" t="s">
        <v>188</v>
      </c>
      <c r="B71" s="140"/>
      <c r="C71" s="151"/>
      <c r="D71" s="151"/>
      <c r="E71" s="151"/>
      <c r="F71" s="152"/>
      <c r="G71" s="151"/>
      <c r="H71" s="152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3"/>
      <c r="AV71" s="143"/>
      <c r="AW71" s="143"/>
      <c r="AX71" s="143"/>
      <c r="AY71" s="143"/>
      <c r="AZ71" s="143"/>
      <c r="BA71" s="143"/>
      <c r="BB71" s="143"/>
      <c r="BC71" s="143"/>
      <c r="BD71" s="143"/>
      <c r="BF71" s="145"/>
      <c r="BG71" s="145"/>
      <c r="BH71" s="145"/>
      <c r="BI71" s="145"/>
      <c r="BJ71" s="145"/>
      <c r="BK71" s="145"/>
      <c r="BL71" s="145"/>
      <c r="BM71" s="145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</row>
    <row r="72" spans="1:114" s="144" customFormat="1" ht="13.5">
      <c r="A72" s="139"/>
      <c r="B72" s="140"/>
      <c r="C72" s="154" t="s">
        <v>189</v>
      </c>
      <c r="D72" s="151"/>
      <c r="E72" s="151"/>
      <c r="F72" s="152"/>
      <c r="G72" s="151"/>
      <c r="H72" s="152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3"/>
      <c r="AV72" s="143"/>
      <c r="AW72" s="143"/>
      <c r="AX72" s="143"/>
      <c r="AY72" s="143"/>
      <c r="AZ72" s="143"/>
      <c r="BA72" s="143"/>
      <c r="BB72" s="143"/>
      <c r="BC72" s="143"/>
      <c r="BD72" s="143"/>
      <c r="BF72" s="145"/>
      <c r="BG72" s="145"/>
      <c r="BH72" s="145"/>
      <c r="BI72" s="145"/>
      <c r="BJ72" s="145"/>
      <c r="BK72" s="145"/>
      <c r="BL72" s="145"/>
      <c r="BM72" s="145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</row>
    <row r="73" spans="1:119" s="144" customFormat="1" ht="13.5">
      <c r="A73" s="139" t="s">
        <v>190</v>
      </c>
      <c r="B73" s="140"/>
      <c r="C73" s="151"/>
      <c r="D73" s="151"/>
      <c r="E73" s="151"/>
      <c r="F73" s="152"/>
      <c r="G73" s="151"/>
      <c r="H73" s="152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3"/>
      <c r="AV73" s="143"/>
      <c r="AW73" s="143"/>
      <c r="AX73" s="143"/>
      <c r="AY73" s="143"/>
      <c r="AZ73" s="143"/>
      <c r="BA73" s="143"/>
      <c r="BB73" s="143"/>
      <c r="BC73" s="143"/>
      <c r="BD73" s="143"/>
      <c r="BF73" s="145"/>
      <c r="BG73" s="145"/>
      <c r="BH73" s="145"/>
      <c r="BI73" s="145"/>
      <c r="BJ73" s="145"/>
      <c r="BK73" s="145"/>
      <c r="BL73" s="145"/>
      <c r="BM73" s="145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</row>
    <row r="74" spans="1:119" s="144" customFormat="1" ht="13.5">
      <c r="A74" s="139"/>
      <c r="B74" s="140"/>
      <c r="C74" s="154" t="s">
        <v>191</v>
      </c>
      <c r="D74" s="151"/>
      <c r="E74" s="151"/>
      <c r="F74" s="152"/>
      <c r="G74" s="151"/>
      <c r="H74" s="152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3"/>
      <c r="AV74" s="143"/>
      <c r="AW74" s="143"/>
      <c r="AX74" s="143"/>
      <c r="AY74" s="143"/>
      <c r="AZ74" s="143"/>
      <c r="BA74" s="143"/>
      <c r="BB74" s="143"/>
      <c r="BC74" s="143"/>
      <c r="BD74" s="143"/>
      <c r="BF74" s="145"/>
      <c r="BG74" s="145"/>
      <c r="BH74" s="145"/>
      <c r="BI74" s="145"/>
      <c r="BJ74" s="145"/>
      <c r="BK74" s="145"/>
      <c r="BL74" s="145"/>
      <c r="BM74" s="145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</row>
    <row r="75" spans="1:81" s="145" customFormat="1" ht="13.5">
      <c r="A75" s="155" t="s">
        <v>183</v>
      </c>
      <c r="B75" s="156"/>
      <c r="C75" s="156"/>
      <c r="D75" s="156"/>
      <c r="E75" s="156"/>
      <c r="F75" s="157"/>
      <c r="G75" s="156"/>
      <c r="H75" s="157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8"/>
      <c r="AV75" s="143"/>
      <c r="AW75" s="143"/>
      <c r="AX75" s="143"/>
      <c r="AY75" s="143"/>
      <c r="AZ75" s="143"/>
      <c r="BA75" s="143"/>
      <c r="BB75" s="143"/>
      <c r="BC75" s="143"/>
      <c r="BD75" s="143"/>
      <c r="BE75" s="144"/>
      <c r="BN75" s="144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</row>
    <row r="76" spans="1:87" s="144" customFormat="1" ht="13.5">
      <c r="A76" s="155" t="s">
        <v>192</v>
      </c>
      <c r="B76" s="159"/>
      <c r="C76" s="159"/>
      <c r="D76" s="159"/>
      <c r="E76" s="159"/>
      <c r="F76" s="160"/>
      <c r="G76" s="159"/>
      <c r="H76" s="160"/>
      <c r="I76" s="159"/>
      <c r="J76" s="159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59"/>
      <c r="AT76" s="159"/>
      <c r="AU76" s="162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</row>
    <row r="77" spans="1:87" s="144" customFormat="1" ht="13.5">
      <c r="A77" s="163" t="s">
        <v>193</v>
      </c>
      <c r="B77" s="164"/>
      <c r="C77" s="164"/>
      <c r="D77" s="164"/>
      <c r="E77" s="164"/>
      <c r="F77" s="165"/>
      <c r="G77" s="164"/>
      <c r="H77" s="165"/>
      <c r="I77" s="164"/>
      <c r="J77" s="164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4"/>
      <c r="AT77" s="164"/>
      <c r="AU77" s="167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</row>
    <row r="78" spans="6:87" s="27" customFormat="1" ht="13.5">
      <c r="F78" s="103"/>
      <c r="H78" s="103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</row>
    <row r="79" spans="6:87" s="27" customFormat="1" ht="13.5">
      <c r="F79" s="103"/>
      <c r="H79" s="103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</row>
    <row r="80" spans="6:87" s="27" customFormat="1" ht="13.5">
      <c r="F80" s="103"/>
      <c r="H80" s="103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</row>
    <row r="81" spans="6:87" s="27" customFormat="1" ht="13.5">
      <c r="F81" s="103"/>
      <c r="H81" s="103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</row>
    <row r="82" spans="6:87" s="27" customFormat="1" ht="13.5">
      <c r="F82" s="103"/>
      <c r="H82" s="103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</row>
    <row r="83" spans="6:87" s="27" customFormat="1" ht="13.5">
      <c r="F83" s="103"/>
      <c r="H83" s="103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</row>
    <row r="84" spans="6:87" s="27" customFormat="1" ht="13.5">
      <c r="F84" s="103"/>
      <c r="H84" s="103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</row>
    <row r="85" spans="6:87" s="27" customFormat="1" ht="13.5">
      <c r="F85" s="103"/>
      <c r="H85" s="103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</row>
    <row r="86" spans="6:87" s="27" customFormat="1" ht="13.5">
      <c r="F86" s="103"/>
      <c r="H86" s="103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</row>
    <row r="87" spans="6:87" s="27" customFormat="1" ht="13.5">
      <c r="F87" s="103"/>
      <c r="H87" s="103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</row>
    <row r="88" spans="6:87" s="27" customFormat="1" ht="13.5">
      <c r="F88" s="103"/>
      <c r="H88" s="103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</row>
    <row r="89" spans="6:87" s="27" customFormat="1" ht="13.5">
      <c r="F89" s="103"/>
      <c r="H89" s="103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</row>
    <row r="90" spans="6:87" s="27" customFormat="1" ht="13.5">
      <c r="F90" s="103"/>
      <c r="H90" s="103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</row>
    <row r="91" spans="6:81" s="27" customFormat="1" ht="13.5">
      <c r="F91" s="103"/>
      <c r="H91" s="103"/>
      <c r="BY91" s="26"/>
      <c r="BZ91" s="26"/>
      <c r="CA91" s="26"/>
      <c r="CB91" s="26"/>
      <c r="CC91" s="26"/>
    </row>
    <row r="92" spans="6:81" s="27" customFormat="1" ht="13.5">
      <c r="F92" s="103"/>
      <c r="H92" s="103"/>
      <c r="BY92" s="26"/>
      <c r="BZ92" s="26"/>
      <c r="CA92" s="26"/>
      <c r="CB92" s="26"/>
      <c r="CC92" s="26"/>
    </row>
    <row r="93" spans="6:81" s="27" customFormat="1" ht="13.5">
      <c r="F93" s="103"/>
      <c r="H93" s="103"/>
      <c r="BY93" s="26"/>
      <c r="BZ93" s="26"/>
      <c r="CA93" s="26"/>
      <c r="CB93" s="26"/>
      <c r="CC93" s="26"/>
    </row>
    <row r="94" spans="6:8" s="27" customFormat="1" ht="13.5">
      <c r="F94" s="103"/>
      <c r="H94" s="103"/>
    </row>
    <row r="95" spans="6:8" s="27" customFormat="1" ht="13.5">
      <c r="F95" s="103"/>
      <c r="H95" s="103"/>
    </row>
    <row r="96" spans="6:8" s="27" customFormat="1" ht="13.5">
      <c r="F96" s="103"/>
      <c r="H96" s="103"/>
    </row>
    <row r="97" spans="6:8" s="27" customFormat="1" ht="13.5">
      <c r="F97" s="103"/>
      <c r="H97" s="103"/>
    </row>
    <row r="98" spans="6:8" s="27" customFormat="1" ht="13.5">
      <c r="F98" s="103"/>
      <c r="H98" s="103"/>
    </row>
    <row r="99" spans="6:8" s="27" customFormat="1" ht="13.5">
      <c r="F99" s="103"/>
      <c r="H99" s="103"/>
    </row>
    <row r="100" spans="6:8" s="27" customFormat="1" ht="13.5">
      <c r="F100" s="103"/>
      <c r="H100" s="103"/>
    </row>
    <row r="101" spans="6:8" s="27" customFormat="1" ht="13.5">
      <c r="F101" s="103"/>
      <c r="H101" s="103"/>
    </row>
    <row r="102" spans="6:8" s="27" customFormat="1" ht="13.5">
      <c r="F102" s="103"/>
      <c r="H102" s="103"/>
    </row>
    <row r="103" spans="6:8" s="27" customFormat="1" ht="13.5">
      <c r="F103" s="103"/>
      <c r="H103" s="103"/>
    </row>
    <row r="104" spans="6:8" s="27" customFormat="1" ht="13.5">
      <c r="F104" s="103"/>
      <c r="H104" s="103"/>
    </row>
    <row r="105" spans="6:8" s="27" customFormat="1" ht="13.5">
      <c r="F105" s="103"/>
      <c r="H105" s="103"/>
    </row>
    <row r="106" spans="6:8" s="27" customFormat="1" ht="13.5">
      <c r="F106" s="103"/>
      <c r="H106" s="103"/>
    </row>
    <row r="107" spans="6:8" s="27" customFormat="1" ht="13.5">
      <c r="F107" s="103"/>
      <c r="H107" s="103"/>
    </row>
    <row r="108" spans="6:8" s="27" customFormat="1" ht="13.5">
      <c r="F108" s="103"/>
      <c r="H108" s="103"/>
    </row>
    <row r="109" spans="6:8" s="27" customFormat="1" ht="13.5">
      <c r="F109" s="103"/>
      <c r="H109" s="103"/>
    </row>
    <row r="110" spans="6:8" s="27" customFormat="1" ht="13.5">
      <c r="F110" s="103"/>
      <c r="H110" s="103"/>
    </row>
    <row r="111" spans="6:8" s="27" customFormat="1" ht="13.5">
      <c r="F111" s="103"/>
      <c r="H111" s="103"/>
    </row>
    <row r="112" spans="6:8" s="27" customFormat="1" ht="13.5">
      <c r="F112" s="103"/>
      <c r="H112" s="103"/>
    </row>
    <row r="113" spans="6:8" s="27" customFormat="1" ht="13.5">
      <c r="F113" s="103"/>
      <c r="H113" s="103"/>
    </row>
    <row r="114" spans="6:8" s="27" customFormat="1" ht="13.5">
      <c r="F114" s="103"/>
      <c r="H114" s="103"/>
    </row>
    <row r="115" spans="6:8" s="27" customFormat="1" ht="13.5">
      <c r="F115" s="103"/>
      <c r="H115" s="103"/>
    </row>
    <row r="116" spans="6:8" s="27" customFormat="1" ht="13.5">
      <c r="F116" s="103"/>
      <c r="H116" s="103"/>
    </row>
    <row r="117" spans="6:8" s="27" customFormat="1" ht="13.5">
      <c r="F117" s="103"/>
      <c r="H117" s="103"/>
    </row>
    <row r="118" spans="6:8" s="27" customFormat="1" ht="13.5">
      <c r="F118" s="103"/>
      <c r="H118" s="103"/>
    </row>
    <row r="119" spans="6:8" s="27" customFormat="1" ht="13.5">
      <c r="F119" s="103"/>
      <c r="H119" s="103"/>
    </row>
    <row r="120" spans="6:8" s="27" customFormat="1" ht="13.5">
      <c r="F120" s="103"/>
      <c r="H120" s="103"/>
    </row>
    <row r="121" spans="6:8" s="27" customFormat="1" ht="13.5">
      <c r="F121" s="103"/>
      <c r="H121" s="103"/>
    </row>
    <row r="122" spans="6:8" s="27" customFormat="1" ht="13.5">
      <c r="F122" s="103"/>
      <c r="H122" s="103"/>
    </row>
    <row r="123" spans="6:8" s="27" customFormat="1" ht="13.5">
      <c r="F123" s="103"/>
      <c r="H123" s="103"/>
    </row>
    <row r="124" spans="6:8" s="27" customFormat="1" ht="13.5">
      <c r="F124" s="103"/>
      <c r="H124" s="103"/>
    </row>
    <row r="125" spans="6:8" s="27" customFormat="1" ht="13.5">
      <c r="F125" s="103"/>
      <c r="H125" s="103"/>
    </row>
    <row r="126" spans="6:8" s="27" customFormat="1" ht="13.5">
      <c r="F126" s="103"/>
      <c r="H126" s="103"/>
    </row>
    <row r="127" spans="6:8" s="27" customFormat="1" ht="13.5">
      <c r="F127" s="103"/>
      <c r="H127" s="103"/>
    </row>
    <row r="128" spans="6:8" s="27" customFormat="1" ht="13.5">
      <c r="F128" s="103"/>
      <c r="H128" s="103"/>
    </row>
    <row r="129" spans="6:8" s="27" customFormat="1" ht="13.5">
      <c r="F129" s="103"/>
      <c r="H129" s="103"/>
    </row>
    <row r="130" spans="6:8" s="27" customFormat="1" ht="13.5">
      <c r="F130" s="103"/>
      <c r="H130" s="103"/>
    </row>
    <row r="131" spans="6:8" s="27" customFormat="1" ht="13.5">
      <c r="F131" s="103"/>
      <c r="H131" s="103"/>
    </row>
    <row r="132" spans="6:8" s="27" customFormat="1" ht="13.5">
      <c r="F132" s="103"/>
      <c r="H132" s="103"/>
    </row>
    <row r="133" spans="6:8" s="27" customFormat="1" ht="13.5">
      <c r="F133" s="103"/>
      <c r="H133" s="103"/>
    </row>
    <row r="134" spans="6:8" s="27" customFormat="1" ht="13.5">
      <c r="F134" s="103"/>
      <c r="H134" s="103"/>
    </row>
    <row r="135" spans="6:8" s="27" customFormat="1" ht="13.5">
      <c r="F135" s="103"/>
      <c r="H135" s="103"/>
    </row>
    <row r="136" spans="6:8" s="27" customFormat="1" ht="13.5">
      <c r="F136" s="103"/>
      <c r="H136" s="103"/>
    </row>
    <row r="137" spans="6:8" s="27" customFormat="1" ht="13.5">
      <c r="F137" s="103"/>
      <c r="H137" s="103"/>
    </row>
    <row r="138" spans="6:8" s="27" customFormat="1" ht="13.5">
      <c r="F138" s="103"/>
      <c r="H138" s="103"/>
    </row>
    <row r="139" spans="6:8" s="27" customFormat="1" ht="13.5">
      <c r="F139" s="103"/>
      <c r="H139" s="103"/>
    </row>
    <row r="140" spans="6:8" s="27" customFormat="1" ht="13.5">
      <c r="F140" s="103"/>
      <c r="H140" s="103"/>
    </row>
    <row r="141" spans="6:8" s="27" customFormat="1" ht="13.5">
      <c r="F141" s="103"/>
      <c r="H141" s="103"/>
    </row>
    <row r="142" spans="6:8" s="27" customFormat="1" ht="13.5">
      <c r="F142" s="103"/>
      <c r="H142" s="103"/>
    </row>
    <row r="143" spans="6:8" s="27" customFormat="1" ht="13.5">
      <c r="F143" s="103"/>
      <c r="H143" s="103"/>
    </row>
    <row r="144" spans="6:8" s="27" customFormat="1" ht="13.5">
      <c r="F144" s="103"/>
      <c r="H144" s="103"/>
    </row>
    <row r="145" spans="6:8" s="27" customFormat="1" ht="13.5">
      <c r="F145" s="103"/>
      <c r="H145" s="103"/>
    </row>
    <row r="146" spans="6:8" s="27" customFormat="1" ht="13.5">
      <c r="F146" s="103"/>
      <c r="H146" s="103"/>
    </row>
    <row r="147" spans="6:8" s="27" customFormat="1" ht="13.5">
      <c r="F147" s="103"/>
      <c r="H147" s="103"/>
    </row>
    <row r="148" spans="6:8" s="27" customFormat="1" ht="13.5">
      <c r="F148" s="103"/>
      <c r="H148" s="103"/>
    </row>
    <row r="149" spans="6:8" s="27" customFormat="1" ht="13.5">
      <c r="F149" s="103"/>
      <c r="H149" s="103"/>
    </row>
    <row r="150" spans="6:8" s="27" customFormat="1" ht="13.5">
      <c r="F150" s="103"/>
      <c r="H150" s="103"/>
    </row>
    <row r="151" spans="6:8" s="27" customFormat="1" ht="13.5">
      <c r="F151" s="103"/>
      <c r="H151" s="103"/>
    </row>
    <row r="152" spans="6:8" s="27" customFormat="1" ht="13.5">
      <c r="F152" s="103"/>
      <c r="H152" s="103"/>
    </row>
    <row r="153" spans="6:8" s="27" customFormat="1" ht="13.5">
      <c r="F153" s="103"/>
      <c r="H153" s="103"/>
    </row>
    <row r="154" spans="6:8" s="27" customFormat="1" ht="13.5">
      <c r="F154" s="103"/>
      <c r="H154" s="103"/>
    </row>
    <row r="155" spans="6:8" s="27" customFormat="1" ht="13.5">
      <c r="F155" s="103"/>
      <c r="H155" s="103"/>
    </row>
    <row r="156" spans="6:8" s="27" customFormat="1" ht="13.5">
      <c r="F156" s="103"/>
      <c r="H156" s="103"/>
    </row>
    <row r="157" spans="6:8" s="27" customFormat="1" ht="13.5">
      <c r="F157" s="103"/>
      <c r="H157" s="103"/>
    </row>
    <row r="158" spans="6:8" s="27" customFormat="1" ht="13.5">
      <c r="F158" s="103"/>
      <c r="H158" s="103"/>
    </row>
    <row r="159" spans="6:8" s="27" customFormat="1" ht="13.5">
      <c r="F159" s="103"/>
      <c r="H159" s="103"/>
    </row>
    <row r="160" spans="6:8" s="27" customFormat="1" ht="13.5">
      <c r="F160" s="103"/>
      <c r="H160" s="103"/>
    </row>
    <row r="161" spans="6:8" s="27" customFormat="1" ht="13.5">
      <c r="F161" s="103"/>
      <c r="H161" s="103"/>
    </row>
    <row r="162" spans="6:8" s="27" customFormat="1" ht="13.5">
      <c r="F162" s="103"/>
      <c r="H162" s="103"/>
    </row>
    <row r="163" spans="6:8" s="27" customFormat="1" ht="13.5">
      <c r="F163" s="103"/>
      <c r="H163" s="103"/>
    </row>
    <row r="164" spans="6:8" s="27" customFormat="1" ht="13.5">
      <c r="F164" s="103"/>
      <c r="H164" s="103"/>
    </row>
    <row r="165" spans="6:8" s="27" customFormat="1" ht="13.5">
      <c r="F165" s="103"/>
      <c r="H165" s="103"/>
    </row>
    <row r="166" spans="6:8" s="27" customFormat="1" ht="13.5">
      <c r="F166" s="103"/>
      <c r="H166" s="103"/>
    </row>
    <row r="167" spans="6:8" s="27" customFormat="1" ht="13.5">
      <c r="F167" s="103"/>
      <c r="H167" s="103"/>
    </row>
    <row r="168" spans="6:8" s="27" customFormat="1" ht="13.5">
      <c r="F168" s="103"/>
      <c r="H168" s="103"/>
    </row>
    <row r="169" spans="6:8" s="27" customFormat="1" ht="13.5">
      <c r="F169" s="103"/>
      <c r="H169" s="103"/>
    </row>
    <row r="170" spans="6:8" s="27" customFormat="1" ht="13.5">
      <c r="F170" s="103"/>
      <c r="H170" s="103"/>
    </row>
    <row r="171" spans="6:8" s="27" customFormat="1" ht="13.5">
      <c r="F171" s="103"/>
      <c r="H171" s="103"/>
    </row>
    <row r="172" spans="6:8" s="27" customFormat="1" ht="13.5">
      <c r="F172" s="103"/>
      <c r="H172" s="103"/>
    </row>
    <row r="173" spans="6:8" s="27" customFormat="1" ht="13.5">
      <c r="F173" s="103"/>
      <c r="H173" s="103"/>
    </row>
    <row r="174" spans="6:8" s="27" customFormat="1" ht="13.5">
      <c r="F174" s="103"/>
      <c r="H174" s="103"/>
    </row>
  </sheetData>
  <sheetProtection/>
  <printOptions/>
  <pageMargins left="0.47" right="0.1" top="0.26" bottom="0.1" header="0.26" footer="0.25"/>
  <pageSetup firstPageNumber="1" useFirstPageNumber="1" fitToHeight="1" fitToWidth="1"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8.50390625" style="0" bestFit="1" customWidth="1"/>
    <col min="2" max="2" width="7.375" style="0" bestFit="1" customWidth="1"/>
    <col min="3" max="3" width="13.375" style="0" bestFit="1" customWidth="1"/>
    <col min="4" max="4" width="11.875" style="0" customWidth="1"/>
    <col min="5" max="5" width="8.25390625" style="0" customWidth="1"/>
    <col min="6" max="6" width="8.50390625" style="0" bestFit="1" customWidth="1"/>
  </cols>
  <sheetData>
    <row r="1" spans="1:6" ht="12.75">
      <c r="A1" s="190" t="s">
        <v>0</v>
      </c>
      <c r="B1" s="190"/>
      <c r="C1" s="190"/>
      <c r="D1" s="190"/>
      <c r="E1" s="190"/>
      <c r="F1" s="190"/>
    </row>
    <row r="2" spans="1:6" ht="12.75">
      <c r="A2" s="190" t="s">
        <v>194</v>
      </c>
      <c r="B2" s="190"/>
      <c r="C2" s="190"/>
      <c r="D2" s="190"/>
      <c r="E2" s="190"/>
      <c r="F2" s="190"/>
    </row>
    <row r="3" spans="1:6" ht="12.75">
      <c r="A3" s="190"/>
      <c r="B3" s="190"/>
      <c r="C3" s="190"/>
      <c r="D3" s="190"/>
      <c r="E3" s="190"/>
      <c r="F3" s="190"/>
    </row>
    <row r="4" spans="1:6" ht="12.75">
      <c r="A4" s="191" t="s">
        <v>195</v>
      </c>
      <c r="B4" s="191"/>
      <c r="C4" s="191"/>
      <c r="D4" s="191"/>
      <c r="E4" s="191"/>
      <c r="F4" s="191"/>
    </row>
    <row r="5" spans="1:6" ht="12.75">
      <c r="A5" s="188">
        <v>39326</v>
      </c>
      <c r="B5" s="189"/>
      <c r="C5" s="189"/>
      <c r="D5" s="189"/>
      <c r="E5" s="189"/>
      <c r="F5" s="189"/>
    </row>
    <row r="7" spans="3:6" ht="12.75">
      <c r="C7" s="169" t="s">
        <v>196</v>
      </c>
      <c r="E7" s="169" t="s">
        <v>197</v>
      </c>
      <c r="F7" s="170"/>
    </row>
    <row r="8" spans="1:6" ht="12.75">
      <c r="A8" s="168" t="s">
        <v>198</v>
      </c>
      <c r="B8" s="168" t="s">
        <v>199</v>
      </c>
      <c r="C8" s="168" t="s">
        <v>200</v>
      </c>
      <c r="D8" s="168" t="s">
        <v>201</v>
      </c>
      <c r="E8" s="169" t="s">
        <v>202</v>
      </c>
      <c r="F8" s="168" t="s">
        <v>203</v>
      </c>
    </row>
    <row r="9" spans="1:6" ht="12.75">
      <c r="A9" s="171"/>
      <c r="B9" s="172"/>
      <c r="C9" s="173"/>
      <c r="D9" s="174"/>
      <c r="E9" s="175"/>
      <c r="F9" s="176"/>
    </row>
    <row r="10" spans="1:6" ht="12.75">
      <c r="A10" s="171"/>
      <c r="B10" s="172"/>
      <c r="C10" s="173"/>
      <c r="D10" s="174"/>
      <c r="E10" s="175"/>
      <c r="F10" s="176"/>
    </row>
    <row r="11" spans="1:6" ht="12.75">
      <c r="A11" s="171"/>
      <c r="B11" s="172"/>
      <c r="C11" s="173"/>
      <c r="D11" s="174"/>
      <c r="E11" s="175"/>
      <c r="F11" s="176"/>
    </row>
    <row r="12" spans="1:6" ht="12.75">
      <c r="A12" s="171" t="s">
        <v>204</v>
      </c>
      <c r="B12" s="172">
        <v>15</v>
      </c>
      <c r="C12" s="173">
        <v>85700</v>
      </c>
      <c r="D12" s="174">
        <f>+B12*C12</f>
        <v>1285500</v>
      </c>
      <c r="E12" s="175">
        <v>0.0532</v>
      </c>
      <c r="F12" s="176">
        <f>+D12*E12</f>
        <v>68388.59999999999</v>
      </c>
    </row>
    <row r="13" spans="1:6" ht="12.75">
      <c r="A13" s="171"/>
      <c r="B13" s="172"/>
      <c r="C13" s="173"/>
      <c r="D13" s="174"/>
      <c r="E13" s="175"/>
      <c r="F13" s="176"/>
    </row>
    <row r="14" spans="1:6" ht="12.75">
      <c r="A14" s="171" t="s">
        <v>205</v>
      </c>
      <c r="B14" s="172">
        <v>31</v>
      </c>
      <c r="C14" s="173">
        <v>101655</v>
      </c>
      <c r="D14" s="174">
        <f>+B14*C14</f>
        <v>3151305</v>
      </c>
      <c r="E14" s="175">
        <v>0.0538</v>
      </c>
      <c r="F14" s="176">
        <f>+D14*E14</f>
        <v>169540.209</v>
      </c>
    </row>
    <row r="15" spans="1:6" ht="12.75">
      <c r="A15" s="171"/>
      <c r="B15" s="172"/>
      <c r="C15" s="173"/>
      <c r="D15" s="174"/>
      <c r="E15" s="175"/>
      <c r="F15" s="176"/>
    </row>
    <row r="16" spans="1:6" ht="12.75">
      <c r="A16" s="171" t="s">
        <v>206</v>
      </c>
      <c r="B16" s="172">
        <v>30</v>
      </c>
      <c r="C16" s="173">
        <v>116400</v>
      </c>
      <c r="D16" s="174">
        <f>+B16*C16</f>
        <v>3492000</v>
      </c>
      <c r="E16" s="175">
        <v>0.0528</v>
      </c>
      <c r="F16" s="176">
        <f>+D16*E16</f>
        <v>184377.6</v>
      </c>
    </row>
    <row r="17" spans="1:6" ht="12.75">
      <c r="A17" s="171"/>
      <c r="B17" s="172"/>
      <c r="C17" s="173"/>
      <c r="D17" s="174"/>
      <c r="E17" s="175"/>
      <c r="F17" s="176"/>
    </row>
    <row r="18" spans="1:6" ht="12.75">
      <c r="A18" s="171" t="s">
        <v>207</v>
      </c>
      <c r="B18" s="172">
        <v>31</v>
      </c>
      <c r="C18" s="173">
        <v>112606</v>
      </c>
      <c r="D18" s="174">
        <f>+B18*C18</f>
        <v>3490786</v>
      </c>
      <c r="E18" s="175">
        <v>0.0528</v>
      </c>
      <c r="F18" s="176">
        <f>+D18*E18</f>
        <v>184313.5008</v>
      </c>
    </row>
    <row r="19" spans="1:6" ht="12.75">
      <c r="A19" s="171"/>
      <c r="B19" s="172"/>
      <c r="C19" s="173"/>
      <c r="D19" s="174"/>
      <c r="E19" s="175"/>
      <c r="F19" s="176"/>
    </row>
    <row r="20" spans="1:6" ht="12.75">
      <c r="A20" s="171" t="s">
        <v>208</v>
      </c>
      <c r="B20" s="172">
        <v>31</v>
      </c>
      <c r="C20" s="173">
        <v>78365</v>
      </c>
      <c r="D20" s="174">
        <f>+B20*C20</f>
        <v>2429315</v>
      </c>
      <c r="E20" s="175">
        <v>0.0526</v>
      </c>
      <c r="F20" s="176">
        <f>+D20*E20</f>
        <v>127781.969</v>
      </c>
    </row>
    <row r="21" spans="1:6" ht="12.75">
      <c r="A21" s="171"/>
      <c r="B21" s="172"/>
      <c r="C21" s="173"/>
      <c r="D21" s="174"/>
      <c r="E21" s="175"/>
      <c r="F21" s="176"/>
    </row>
    <row r="22" spans="1:6" ht="12.75">
      <c r="A22" s="171" t="s">
        <v>209</v>
      </c>
      <c r="B22" s="172">
        <v>28</v>
      </c>
      <c r="C22" s="173">
        <v>14000</v>
      </c>
      <c r="D22" s="174">
        <f>+B22*C22</f>
        <v>392000</v>
      </c>
      <c r="E22" s="175">
        <v>0.0526</v>
      </c>
      <c r="F22" s="176">
        <f>+D22*E22</f>
        <v>20619.2</v>
      </c>
    </row>
    <row r="23" spans="1:6" ht="12.75">
      <c r="A23" s="171"/>
      <c r="B23" s="172"/>
      <c r="C23" s="173"/>
      <c r="D23" s="174"/>
      <c r="E23" s="175"/>
      <c r="F23" s="176"/>
    </row>
    <row r="24" spans="1:6" ht="12.75">
      <c r="A24" s="171" t="s">
        <v>210</v>
      </c>
      <c r="B24" s="172">
        <v>31</v>
      </c>
      <c r="C24" s="173">
        <v>4326</v>
      </c>
      <c r="D24" s="174">
        <f>+B24*C24</f>
        <v>134106</v>
      </c>
      <c r="E24" s="175">
        <v>0.0529</v>
      </c>
      <c r="F24" s="176">
        <f>+D24*E24</f>
        <v>7094.2074</v>
      </c>
    </row>
    <row r="25" spans="1:6" ht="12.75">
      <c r="A25" s="171"/>
      <c r="B25" s="172"/>
      <c r="C25" s="173"/>
      <c r="D25" s="174"/>
      <c r="E25" s="175"/>
      <c r="F25" s="176"/>
    </row>
    <row r="26" spans="1:6" ht="12.75">
      <c r="A26" s="171" t="s">
        <v>211</v>
      </c>
      <c r="B26" s="172">
        <v>30</v>
      </c>
      <c r="C26" s="173">
        <v>1387</v>
      </c>
      <c r="D26" s="174">
        <f>+B26*C26</f>
        <v>41610</v>
      </c>
      <c r="E26" s="175">
        <v>0.0529</v>
      </c>
      <c r="F26" s="176">
        <f>+D26*E26</f>
        <v>2201.1690000000003</v>
      </c>
    </row>
    <row r="27" spans="1:6" ht="12.75">
      <c r="A27" s="171"/>
      <c r="B27" s="172"/>
      <c r="C27" s="173"/>
      <c r="D27" s="174"/>
      <c r="E27" s="175"/>
      <c r="F27" s="176"/>
    </row>
    <row r="28" spans="1:6" ht="12.75">
      <c r="A28" s="171" t="s">
        <v>212</v>
      </c>
      <c r="B28" s="172">
        <v>31</v>
      </c>
      <c r="C28" s="173">
        <v>2213</v>
      </c>
      <c r="D28" s="174">
        <f>+B28*C28</f>
        <v>68603</v>
      </c>
      <c r="E28" s="175">
        <v>0.0527</v>
      </c>
      <c r="F28" s="176">
        <f>+D28*E28</f>
        <v>3615.3781</v>
      </c>
    </row>
    <row r="29" spans="1:6" ht="12.75">
      <c r="A29" s="171"/>
      <c r="B29" s="172"/>
      <c r="C29" s="173"/>
      <c r="D29" s="174"/>
      <c r="E29" s="175"/>
      <c r="F29" s="176"/>
    </row>
    <row r="30" spans="1:6" ht="12.75">
      <c r="A30" s="171" t="s">
        <v>213</v>
      </c>
      <c r="B30" s="172">
        <v>30</v>
      </c>
      <c r="C30" s="173">
        <v>24300</v>
      </c>
      <c r="D30" s="174">
        <f>+B30*C30</f>
        <v>729000</v>
      </c>
      <c r="E30" s="175">
        <v>0.0529</v>
      </c>
      <c r="F30" s="176">
        <f>+D30*E30</f>
        <v>38564.1</v>
      </c>
    </row>
    <row r="31" spans="1:6" ht="12.75">
      <c r="A31" s="171"/>
      <c r="B31" s="172"/>
      <c r="C31" s="173"/>
      <c r="D31" s="174"/>
      <c r="E31" s="175"/>
      <c r="F31" s="176"/>
    </row>
    <row r="32" spans="1:6" ht="12.75">
      <c r="A32" s="171" t="s">
        <v>214</v>
      </c>
      <c r="B32" s="172">
        <v>31</v>
      </c>
      <c r="C32" s="173">
        <v>41519</v>
      </c>
      <c r="D32" s="174">
        <f>+B32*C32</f>
        <v>1287089</v>
      </c>
      <c r="E32" s="175">
        <v>0.0528</v>
      </c>
      <c r="F32" s="174">
        <f>+D32*E32</f>
        <v>67958.2992</v>
      </c>
    </row>
    <row r="33" spans="1:6" ht="12.75">
      <c r="A33" s="171"/>
      <c r="B33" s="172"/>
      <c r="C33" s="173"/>
      <c r="D33" s="174"/>
      <c r="E33" s="175"/>
      <c r="F33" s="174"/>
    </row>
    <row r="34" spans="1:6" ht="12.75">
      <c r="A34" s="171" t="s">
        <v>215</v>
      </c>
      <c r="B34" s="172">
        <v>31</v>
      </c>
      <c r="C34" s="173">
        <v>62616</v>
      </c>
      <c r="D34" s="174">
        <f>+B34*C34</f>
        <v>1941096</v>
      </c>
      <c r="E34" s="175">
        <v>0.053</v>
      </c>
      <c r="F34" s="174">
        <f>+D34*E34</f>
        <v>102878.088</v>
      </c>
    </row>
    <row r="35" spans="1:6" ht="12.75">
      <c r="A35" s="171"/>
      <c r="B35" s="172"/>
      <c r="C35" s="173"/>
      <c r="D35" s="174"/>
      <c r="E35" s="175"/>
      <c r="F35" s="174"/>
    </row>
    <row r="36" spans="1:6" ht="12.75">
      <c r="A36" s="171" t="s">
        <v>204</v>
      </c>
      <c r="B36" s="172">
        <v>15</v>
      </c>
      <c r="C36" s="173">
        <v>90780</v>
      </c>
      <c r="D36" s="174">
        <f>+B36*C36</f>
        <v>1361700</v>
      </c>
      <c r="E36" s="175">
        <v>0.0501</v>
      </c>
      <c r="F36" s="174">
        <f>+D36*E36</f>
        <v>68221.17</v>
      </c>
    </row>
    <row r="37" spans="1:6" ht="12.75">
      <c r="A37" s="171"/>
      <c r="B37" s="172"/>
      <c r="C37" s="173"/>
      <c r="D37" s="174"/>
      <c r="E37" s="175"/>
      <c r="F37" s="176"/>
    </row>
    <row r="38" spans="1:6" ht="12.75">
      <c r="A38" s="171"/>
      <c r="B38" s="172"/>
      <c r="C38" s="177"/>
      <c r="D38" s="174"/>
      <c r="E38" s="178"/>
      <c r="F38" s="177"/>
    </row>
    <row r="39" spans="1:6" ht="13.5" thickBot="1">
      <c r="A39" s="179" t="s">
        <v>216</v>
      </c>
      <c r="B39" s="180">
        <f>SUM(B9:B36)</f>
        <v>365</v>
      </c>
      <c r="C39" s="180"/>
      <c r="D39" s="180">
        <f>SUM(D9:D36)</f>
        <v>19804110</v>
      </c>
      <c r="E39" s="180"/>
      <c r="F39" s="180">
        <f>SUM(F9:F36)</f>
        <v>1045553.4905</v>
      </c>
    </row>
    <row r="40" spans="1:6" ht="13.5" thickTop="1">
      <c r="A40" s="171"/>
      <c r="B40" s="172"/>
      <c r="C40" s="172"/>
      <c r="D40" s="181"/>
      <c r="E40" s="181"/>
      <c r="F40" s="172"/>
    </row>
    <row r="41" spans="1:6" ht="12.75">
      <c r="A41" s="171" t="s">
        <v>217</v>
      </c>
      <c r="B41" s="172"/>
      <c r="C41" s="172"/>
      <c r="D41" s="182">
        <f>D39/+B39</f>
        <v>54257.83561643836</v>
      </c>
      <c r="E41" s="181"/>
      <c r="F41" s="183">
        <f>F39/D39</f>
        <v>0.05279477292844768</v>
      </c>
    </row>
    <row r="42" spans="1:6" ht="12.75">
      <c r="A42" s="184">
        <v>39355</v>
      </c>
      <c r="B42" s="172"/>
      <c r="C42" s="172"/>
      <c r="D42" s="181"/>
      <c r="E42" s="181"/>
      <c r="F42" s="172"/>
    </row>
    <row r="43" spans="1:6" ht="13.5" thickBot="1">
      <c r="A43" s="179"/>
      <c r="B43" s="185"/>
      <c r="C43" s="185"/>
      <c r="D43" s="186"/>
      <c r="E43" s="186"/>
      <c r="F43" s="185"/>
    </row>
    <row r="44" spans="1:6" ht="13.5" thickTop="1">
      <c r="A44" s="187" t="s">
        <v>218</v>
      </c>
      <c r="B44" s="172"/>
      <c r="C44" s="172"/>
      <c r="D44" s="181"/>
      <c r="E44" s="181"/>
      <c r="F44" s="172"/>
    </row>
    <row r="45" spans="1:6" ht="12.75">
      <c r="A45" s="187" t="s">
        <v>219</v>
      </c>
      <c r="B45" s="172"/>
      <c r="C45" s="172"/>
      <c r="D45" s="181"/>
      <c r="E45" s="181"/>
      <c r="F45" s="172"/>
    </row>
    <row r="46" ht="12">
      <c r="A46" s="187" t="s">
        <v>220</v>
      </c>
    </row>
    <row r="47" ht="12">
      <c r="A47" s="187" t="s">
        <v>221</v>
      </c>
    </row>
    <row r="48" ht="12">
      <c r="A48" s="187" t="s">
        <v>222</v>
      </c>
    </row>
    <row r="49" ht="12">
      <c r="A49" s="187" t="s">
        <v>223</v>
      </c>
    </row>
    <row r="50" ht="12">
      <c r="A50" s="187" t="s">
        <v>224</v>
      </c>
    </row>
    <row r="51" ht="12">
      <c r="A51" s="187" t="s">
        <v>225</v>
      </c>
    </row>
  </sheetData>
  <sheetProtection/>
  <mergeCells count="5">
    <mergeCell ref="A5:F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SBell</dc:creator>
  <cp:keywords/>
  <dc:description/>
  <cp:lastModifiedBy>jocarlson</cp:lastModifiedBy>
  <cp:lastPrinted>2008-03-21T18:18:43Z</cp:lastPrinted>
  <dcterms:created xsi:type="dcterms:W3CDTF">2008-03-17T20:26:21Z</dcterms:created>
  <dcterms:modified xsi:type="dcterms:W3CDTF">2008-03-28T18:38:37Z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2008-03-28T00:00:00Z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