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890" yWindow="45" windowWidth="18360" windowHeight="11955" firstSheet="6" activeTab="7"/>
  </bookViews>
  <sheets>
    <sheet name="DPK-3 Results Sch1.1" sheetId="58" r:id="rId1"/>
    <sheet name="DPK-3 Restating Adj Sch 1.2 " sheetId="60" r:id="rId2"/>
    <sheet name="DPK-3 Pro Forma Adj Sch 1.3 " sheetId="62" r:id="rId3"/>
    <sheet name="DPK-3 Summary of Adj Sch 1.4" sheetId="71" r:id="rId4"/>
    <sheet name="DPK-3 Revenue Require Sch 2 " sheetId="66" r:id="rId5"/>
    <sheet name="DPK-3 Rev Conv Factor Sch 3 " sheetId="65" r:id="rId6"/>
    <sheet name="DPK-3 Captial Structure Sch 4" sheetId="67" r:id="rId7"/>
    <sheet name="DPK-5 Restated Debt Exh 5" sheetId="63" r:id="rId8"/>
    <sheet name="END" sheetId="72" r:id="rId9"/>
    <sheet name="Open" sheetId="26" r:id="rId10"/>
  </sheets>
  <externalReferences>
    <externalReference r:id="rId11"/>
    <externalReference r:id="rId12"/>
    <externalReference r:id="rId13"/>
  </externalReferences>
  <definedNames>
    <definedName name="debt">'DPK-3 Captial Structure Sch 4'!$G$16</definedName>
    <definedName name="ID_Elec" localSheetId="3">#REF!</definedName>
    <definedName name="ID_Elec">#REF!</definedName>
    <definedName name="ID_Gas" localSheetId="3">#REF!</definedName>
    <definedName name="ID_Gas">#REF!</definedName>
    <definedName name="inc_tax">#REF!</definedName>
    <definedName name="prime" localSheetId="3">'[1]R-13 PF Debt'!#REF!</definedName>
    <definedName name="prime">'DPK-5 Restated Debt Exh 5'!#REF!</definedName>
    <definedName name="_xlnm.Print_Area" localSheetId="6">'DPK-3 Captial Structure Sch 4'!$B$3:$J$47</definedName>
    <definedName name="_xlnm.Print_Area" localSheetId="2">'DPK-3 Pro Forma Adj Sch 1.3 '!$B$3:$Q$77</definedName>
    <definedName name="_xlnm.Print_Area" localSheetId="1">'DPK-3 Restating Adj Sch 1.2 '!$G$12:$AB$79</definedName>
    <definedName name="_xlnm.Print_Area" localSheetId="0">'DPK-3 Results Sch1.1'!$B$3:$M$79</definedName>
    <definedName name="_xlnm.Print_Area" localSheetId="5">'DPK-3 Rev Conv Factor Sch 3 '!$B$3:$I$41</definedName>
    <definedName name="_xlnm.Print_Area" localSheetId="4">'DPK-3 Revenue Require Sch 2 '!$B$3:$J$40</definedName>
    <definedName name="_xlnm.Print_Area" localSheetId="3">'DPK-3 Summary of Adj Sch 1.4'!$C$3:$S$67</definedName>
    <definedName name="_xlnm.Print_Area" localSheetId="7">'DPK-5 Restated Debt Exh 5'!$B$3:$J$42</definedName>
    <definedName name="Print_for_CBReport">#REF!</definedName>
    <definedName name="Print_for_Checking" localSheetId="3">[2]PFRstmtSheet!$A$1:'[2]PFRstmtSheet'!$J$107</definedName>
    <definedName name="Print_for_Checking">#REF!</definedName>
    <definedName name="_xlnm.Print_Titles" localSheetId="2">'DPK-3 Pro Forma Adj Sch 1.3 '!$B:$F,'DPK-3 Pro Forma Adj Sch 1.3 '!$3:$12</definedName>
    <definedName name="_xlnm.Print_Titles" localSheetId="1">'DPK-3 Restating Adj Sch 1.2 '!$B:$F,'DPK-3 Restating Adj Sch 1.2 '!$3:$12</definedName>
    <definedName name="_xlnm.Print_Titles" localSheetId="0">'DPK-3 Results Sch1.1'!$B:$F,'DPK-3 Results Sch1.1'!$3:$12</definedName>
    <definedName name="roe">'DPK-3 Captial Structure Sch 4'!$G$16</definedName>
    <definedName name="Summary">#REF!</definedName>
    <definedName name="Test_Yr">[3]cover!$B$12</definedName>
    <definedName name="TR">#REF!</definedName>
    <definedName name="WA_Elec" localSheetId="3">#REF!</definedName>
    <definedName name="WA_Elec">#REF!</definedName>
    <definedName name="WA_Gas" localSheetId="3">#REF!</definedName>
    <definedName name="WA_Gas">#REF!</definedName>
    <definedName name="Z_5BE913A1_B14F_11D2_B0DC_0000832CDFF0_.wvu.Cols" localSheetId="2" hidden="1">'DPK-3 Pro Forma Adj Sch 1.3 '!#REF!</definedName>
    <definedName name="Z_5BE913A1_B14F_11D2_B0DC_0000832CDFF0_.wvu.Cols" localSheetId="1" hidden="1">'DPK-3 Restating Adj Sch 1.2 '!#REF!</definedName>
    <definedName name="Z_5BE913A1_B14F_11D2_B0DC_0000832CDFF0_.wvu.Cols" localSheetId="0" hidden="1">'DPK-3 Results Sch1.1'!$J:$K</definedName>
    <definedName name="Z_5BE913A1_B14F_11D2_B0DC_0000832CDFF0_.wvu.PrintArea" localSheetId="2" hidden="1">'DPK-3 Pro Forma Adj Sch 1.3 '!$G$13:$G$77</definedName>
    <definedName name="Z_5BE913A1_B14F_11D2_B0DC_0000832CDFF0_.wvu.PrintArea" localSheetId="1" hidden="1">'DPK-3 Restating Adj Sch 1.2 '!$G$13:$Y$79</definedName>
    <definedName name="Z_5BE913A1_B14F_11D2_B0DC_0000832CDFF0_.wvu.PrintArea" localSheetId="0" hidden="1">'DPK-3 Results Sch1.1'!$G$13:$K$79</definedName>
    <definedName name="Z_5BE913A1_B14F_11D2_B0DC_0000832CDFF0_.wvu.PrintTitles" localSheetId="2" hidden="1">'DPK-3 Pro Forma Adj Sch 1.3 '!$B:$F,'DPK-3 Pro Forma Adj Sch 1.3 '!$3:$12</definedName>
    <definedName name="Z_5BE913A1_B14F_11D2_B0DC_0000832CDFF0_.wvu.PrintTitles" localSheetId="1" hidden="1">'DPK-3 Restating Adj Sch 1.2 '!$B:$F,'DPK-3 Restating Adj Sch 1.2 '!$3:$12</definedName>
    <definedName name="Z_5BE913A1_B14F_11D2_B0DC_0000832CDFF0_.wvu.PrintTitles" localSheetId="0" hidden="1">'DPK-3 Results Sch1.1'!$B:$F,'DPK-3 Results Sch1.1'!$3:$12</definedName>
    <definedName name="Z_A15D1964_B049_11D2_8670_0000832CEEE8_.wvu.Cols" localSheetId="2" hidden="1">'DPK-3 Pro Forma Adj Sch 1.3 '!#REF!</definedName>
    <definedName name="Z_A15D1964_B049_11D2_8670_0000832CEEE8_.wvu.Cols" localSheetId="1" hidden="1">'DPK-3 Restating Adj Sch 1.2 '!#REF!</definedName>
    <definedName name="Z_A15D1964_B049_11D2_8670_0000832CEEE8_.wvu.Cols" localSheetId="0" hidden="1">'DPK-3 Results Sch1.1'!$J:$K</definedName>
    <definedName name="Z_A15D1964_B049_11D2_8670_0000832CEEE8_.wvu.PrintArea" localSheetId="2" hidden="1">'DPK-3 Pro Forma Adj Sch 1.3 '!$G$13:$G$77</definedName>
    <definedName name="Z_A15D1964_B049_11D2_8670_0000832CEEE8_.wvu.PrintArea" localSheetId="1" hidden="1">'DPK-3 Restating Adj Sch 1.2 '!$G$13:$Y$79</definedName>
    <definedName name="Z_A15D1964_B049_11D2_8670_0000832CEEE8_.wvu.PrintArea" localSheetId="0" hidden="1">'DPK-3 Results Sch1.1'!$G$13:$K$79</definedName>
    <definedName name="Z_A15D1964_B049_11D2_8670_0000832CEEE8_.wvu.PrintTitles" localSheetId="2" hidden="1">'DPK-3 Pro Forma Adj Sch 1.3 '!$B:$F,'DPK-3 Pro Forma Adj Sch 1.3 '!$3:$12</definedName>
    <definedName name="Z_A15D1964_B049_11D2_8670_0000832CEEE8_.wvu.PrintTitles" localSheetId="1" hidden="1">'DPK-3 Restating Adj Sch 1.2 '!$B:$F,'DPK-3 Restating Adj Sch 1.2 '!$3:$12</definedName>
    <definedName name="Z_A15D1964_B049_11D2_8670_0000832CEEE8_.wvu.PrintTitles" localSheetId="0" hidden="1">'DPK-3 Results Sch1.1'!$B:$F,'DPK-3 Results Sch1.1'!$3:$12</definedName>
    <definedName name="Z_DBE9AC2E_288B_409B_9D2E_596C9640AC61_.wvu.Cols" localSheetId="3" hidden="1">'DPK-3 Summary of Adj Sch 1.4'!$I:$K,'DPK-3 Summary of Adj Sch 1.4'!$P:$Q</definedName>
    <definedName name="Z_DBE9AC2E_288B_409B_9D2E_596C9640AC61_.wvu.PrintArea" localSheetId="3" hidden="1">'DPK-3 Summary of Adj Sch 1.4'!$C$4:$S$63</definedName>
    <definedName name="Z_DBE9AC2E_288B_409B_9D2E_596C9640AC61_.wvu.Rows" localSheetId="3" hidden="1">'DPK-3 Summary of Adj Sch 1.4'!$38:$42,'DPK-3 Summary of Adj Sch 1.4'!$54:$54</definedName>
  </definedNames>
  <calcPr calcId="125725" iterate="1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AA78" i="60"/>
  <c r="AB78"/>
  <c r="R66" i="71"/>
  <c r="H66" s="1"/>
  <c r="J18" i="62" l="1"/>
  <c r="J27"/>
  <c r="J18" i="60"/>
  <c r="J27"/>
  <c r="J15" i="58"/>
  <c r="J21"/>
  <c r="P51" i="62"/>
  <c r="P53" s="1"/>
  <c r="P46"/>
  <c r="P49" s="1"/>
  <c r="P27"/>
  <c r="P25"/>
  <c r="P33"/>
  <c r="P39"/>
  <c r="P49" i="60"/>
  <c r="G47" l="1"/>
  <c r="R53" i="71" l="1"/>
  <c r="G38"/>
  <c r="H44" i="60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B44" i="62"/>
  <c r="B45" s="1"/>
  <c r="B46" s="1"/>
  <c r="B47" s="1"/>
  <c r="B48" s="1"/>
  <c r="B49" s="1"/>
  <c r="B50" s="1"/>
  <c r="M39"/>
  <c r="N39"/>
  <c r="O39"/>
  <c r="Q39"/>
  <c r="R39"/>
  <c r="M33"/>
  <c r="N33"/>
  <c r="O33"/>
  <c r="Q33"/>
  <c r="R33"/>
  <c r="M18"/>
  <c r="N18"/>
  <c r="O18"/>
  <c r="P18"/>
  <c r="Q18"/>
  <c r="R18"/>
  <c r="M27"/>
  <c r="N27"/>
  <c r="O27"/>
  <c r="Q27"/>
  <c r="R27"/>
  <c r="R51"/>
  <c r="R82" s="1"/>
  <c r="M51"/>
  <c r="M53" s="1"/>
  <c r="R71"/>
  <c r="Q71"/>
  <c r="P71"/>
  <c r="O71"/>
  <c r="N71"/>
  <c r="M71"/>
  <c r="R66"/>
  <c r="R76" s="1"/>
  <c r="Q66"/>
  <c r="Q76" s="1"/>
  <c r="P66"/>
  <c r="P76" s="1"/>
  <c r="O66"/>
  <c r="O76" s="1"/>
  <c r="N66"/>
  <c r="N76" s="1"/>
  <c r="M66"/>
  <c r="M76" s="1"/>
  <c r="M99"/>
  <c r="N99" s="1"/>
  <c r="O99" s="1"/>
  <c r="P99" s="1"/>
  <c r="Q99" s="1"/>
  <c r="R99" s="1"/>
  <c r="R96"/>
  <c r="Q96"/>
  <c r="P96"/>
  <c r="O96"/>
  <c r="N96"/>
  <c r="M96"/>
  <c r="R90"/>
  <c r="Q90"/>
  <c r="P90"/>
  <c r="O90"/>
  <c r="N90"/>
  <c r="M90"/>
  <c r="M82"/>
  <c r="R81"/>
  <c r="Q81"/>
  <c r="P81"/>
  <c r="O81"/>
  <c r="N81"/>
  <c r="M81"/>
  <c r="M98" s="1"/>
  <c r="M100" s="1"/>
  <c r="M102" s="1"/>
  <c r="M55" s="1"/>
  <c r="R49"/>
  <c r="Q49"/>
  <c r="Q51" s="1"/>
  <c r="P82"/>
  <c r="O49"/>
  <c r="O51" s="1"/>
  <c r="N49"/>
  <c r="N51" s="1"/>
  <c r="N82" s="1"/>
  <c r="M49"/>
  <c r="G95" i="60"/>
  <c r="AB100"/>
  <c r="AB97"/>
  <c r="AB91"/>
  <c r="AB72"/>
  <c r="AB67"/>
  <c r="O34" i="71" s="1"/>
  <c r="AB50" i="60"/>
  <c r="AB39"/>
  <c r="AB33"/>
  <c r="AB27"/>
  <c r="AB18"/>
  <c r="G41"/>
  <c r="G44" s="1"/>
  <c r="G75"/>
  <c r="L33" i="71"/>
  <c r="E74"/>
  <c r="B23" i="63"/>
  <c r="B24" s="1"/>
  <c r="B25" s="1"/>
  <c r="B26" s="1"/>
  <c r="B27" s="1"/>
  <c r="L17" i="65"/>
  <c r="L18" s="1"/>
  <c r="L19" s="1"/>
  <c r="G18" s="1"/>
  <c r="R64" i="71"/>
  <c r="H64" s="1"/>
  <c r="I18" i="67"/>
  <c r="N18" i="60"/>
  <c r="N82" s="1"/>
  <c r="Q18"/>
  <c r="R18"/>
  <c r="R82" s="1"/>
  <c r="S18"/>
  <c r="T18"/>
  <c r="T82" s="1"/>
  <c r="U18"/>
  <c r="V18"/>
  <c r="V82" s="1"/>
  <c r="W18"/>
  <c r="X18"/>
  <c r="X82" s="1"/>
  <c r="Y18"/>
  <c r="Z18"/>
  <c r="Z82" s="1"/>
  <c r="AA18"/>
  <c r="N27"/>
  <c r="O27"/>
  <c r="P27"/>
  <c r="Q27"/>
  <c r="R27"/>
  <c r="S27"/>
  <c r="T27"/>
  <c r="U27"/>
  <c r="V27"/>
  <c r="W27"/>
  <c r="X27"/>
  <c r="Y27"/>
  <c r="Z27"/>
  <c r="AA27"/>
  <c r="N33"/>
  <c r="O33"/>
  <c r="P33"/>
  <c r="Q33"/>
  <c r="R33"/>
  <c r="S33"/>
  <c r="T33"/>
  <c r="U33"/>
  <c r="V33"/>
  <c r="W33"/>
  <c r="X33"/>
  <c r="Y33"/>
  <c r="Z33"/>
  <c r="AA33"/>
  <c r="G36"/>
  <c r="H36" i="58" s="1"/>
  <c r="N39" i="60"/>
  <c r="O39"/>
  <c r="P39"/>
  <c r="Q39"/>
  <c r="R39"/>
  <c r="S39"/>
  <c r="T39"/>
  <c r="U39"/>
  <c r="V39"/>
  <c r="W39"/>
  <c r="X39"/>
  <c r="Y39"/>
  <c r="Z39"/>
  <c r="AA39"/>
  <c r="N50"/>
  <c r="O50"/>
  <c r="P50"/>
  <c r="Q50"/>
  <c r="R50"/>
  <c r="S50"/>
  <c r="T50"/>
  <c r="U50"/>
  <c r="V50"/>
  <c r="W50"/>
  <c r="X50"/>
  <c r="Y50"/>
  <c r="Z50"/>
  <c r="AA50"/>
  <c r="N67"/>
  <c r="O67"/>
  <c r="P67"/>
  <c r="Q67"/>
  <c r="R67"/>
  <c r="S67"/>
  <c r="T67"/>
  <c r="U67"/>
  <c r="V67"/>
  <c r="W67"/>
  <c r="X67"/>
  <c r="Y67"/>
  <c r="Z67"/>
  <c r="AA67"/>
  <c r="N72"/>
  <c r="O72"/>
  <c r="P72"/>
  <c r="Q72"/>
  <c r="R72"/>
  <c r="S72"/>
  <c r="T72"/>
  <c r="U72"/>
  <c r="V72"/>
  <c r="W72"/>
  <c r="X72"/>
  <c r="Y72"/>
  <c r="Z72"/>
  <c r="AA72"/>
  <c r="N78"/>
  <c r="O78"/>
  <c r="P78"/>
  <c r="Q78"/>
  <c r="R78"/>
  <c r="S78"/>
  <c r="H38" i="71" s="1"/>
  <c r="T78" i="60"/>
  <c r="U78"/>
  <c r="V78"/>
  <c r="W78"/>
  <c r="X78"/>
  <c r="Y78"/>
  <c r="Z78"/>
  <c r="O33" i="71"/>
  <c r="Q82" i="60"/>
  <c r="S82"/>
  <c r="U82"/>
  <c r="W82"/>
  <c r="Y82"/>
  <c r="AA82"/>
  <c r="U84"/>
  <c r="G84" s="1"/>
  <c r="N91"/>
  <c r="O91"/>
  <c r="P91"/>
  <c r="Q91"/>
  <c r="R91"/>
  <c r="S91"/>
  <c r="T91"/>
  <c r="U91"/>
  <c r="V91"/>
  <c r="W91"/>
  <c r="X91"/>
  <c r="Y91"/>
  <c r="Z91"/>
  <c r="AA91"/>
  <c r="N97"/>
  <c r="O97"/>
  <c r="P97"/>
  <c r="Q97"/>
  <c r="R97"/>
  <c r="S97"/>
  <c r="T97"/>
  <c r="U97"/>
  <c r="V97"/>
  <c r="W97"/>
  <c r="X97"/>
  <c r="Y97"/>
  <c r="Z97"/>
  <c r="AA97"/>
  <c r="N100"/>
  <c r="O100"/>
  <c r="P100"/>
  <c r="Q100"/>
  <c r="R100"/>
  <c r="S100"/>
  <c r="T100"/>
  <c r="U100"/>
  <c r="V100"/>
  <c r="W100"/>
  <c r="X100"/>
  <c r="Y100"/>
  <c r="Z100"/>
  <c r="AA100"/>
  <c r="H75" i="58"/>
  <c r="G76" i="60"/>
  <c r="H76" i="58" s="1"/>
  <c r="G74" i="60"/>
  <c r="H74" i="58" s="1"/>
  <c r="G73" i="60"/>
  <c r="H73" i="58" s="1"/>
  <c r="G71" i="60"/>
  <c r="H70" i="58" s="1"/>
  <c r="G70" i="60"/>
  <c r="H69" i="58" s="1"/>
  <c r="I69" s="1"/>
  <c r="G69" i="60"/>
  <c r="H68" i="58" s="1"/>
  <c r="G66" i="60"/>
  <c r="H65" i="58" s="1"/>
  <c r="G65" i="60"/>
  <c r="H64" i="58" s="1"/>
  <c r="G64" i="60"/>
  <c r="H63" i="58" s="1"/>
  <c r="G49" i="60"/>
  <c r="H48" i="58" s="1"/>
  <c r="G48" i="60"/>
  <c r="G46"/>
  <c r="G43"/>
  <c r="G37"/>
  <c r="H37" i="58" s="1"/>
  <c r="G32" i="60"/>
  <c r="H32" i="58" s="1"/>
  <c r="G31" i="60"/>
  <c r="H31" i="58" s="1"/>
  <c r="G30" i="60"/>
  <c r="H30" i="58" s="1"/>
  <c r="G26" i="60"/>
  <c r="G25"/>
  <c r="H25" i="58" s="1"/>
  <c r="G24" i="60"/>
  <c r="O32" i="71"/>
  <c r="O65"/>
  <c r="O66"/>
  <c r="G66" s="1"/>
  <c r="L66" s="1"/>
  <c r="R65"/>
  <c r="L16" i="58"/>
  <c r="L17"/>
  <c r="L18" i="62"/>
  <c r="L49"/>
  <c r="L81"/>
  <c r="G46"/>
  <c r="G47"/>
  <c r="J47" i="58" s="1"/>
  <c r="I67" i="60"/>
  <c r="I72"/>
  <c r="J67"/>
  <c r="J72"/>
  <c r="K67"/>
  <c r="K72"/>
  <c r="L67"/>
  <c r="L72"/>
  <c r="M27"/>
  <c r="M33"/>
  <c r="M39"/>
  <c r="M50"/>
  <c r="M18"/>
  <c r="M82" s="1"/>
  <c r="C13" i="7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L34"/>
  <c r="L35"/>
  <c r="R35"/>
  <c r="L36"/>
  <c r="R36"/>
  <c r="L37"/>
  <c r="R37"/>
  <c r="G54"/>
  <c r="H54"/>
  <c r="L65"/>
  <c r="L33" i="62"/>
  <c r="L39"/>
  <c r="H43" i="58"/>
  <c r="H46"/>
  <c r="H47"/>
  <c r="G37" i="62"/>
  <c r="J37" i="58" s="1"/>
  <c r="H24"/>
  <c r="H26"/>
  <c r="L33"/>
  <c r="I102"/>
  <c r="I96"/>
  <c r="I95"/>
  <c r="G91"/>
  <c r="B15" i="60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6" s="1"/>
  <c r="B77" s="1"/>
  <c r="B78" s="1"/>
  <c r="B79" s="1"/>
  <c r="H99" i="62"/>
  <c r="I99" s="1"/>
  <c r="J99" s="1"/>
  <c r="K99" s="1"/>
  <c r="L99" s="1"/>
  <c r="K101"/>
  <c r="G15"/>
  <c r="L27"/>
  <c r="L90"/>
  <c r="L96"/>
  <c r="K90"/>
  <c r="K96"/>
  <c r="J90"/>
  <c r="J96"/>
  <c r="I90"/>
  <c r="I96"/>
  <c r="H90"/>
  <c r="H96"/>
  <c r="G90"/>
  <c r="G96"/>
  <c r="B8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I110" i="58"/>
  <c r="K110" s="1"/>
  <c r="M110" s="1"/>
  <c r="B88"/>
  <c r="B89" s="1"/>
  <c r="B90" s="1"/>
  <c r="B91" s="1"/>
  <c r="B92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G103"/>
  <c r="I103" s="1"/>
  <c r="G97"/>
  <c r="I97" s="1"/>
  <c r="I91" i="60"/>
  <c r="J91"/>
  <c r="K91"/>
  <c r="L91"/>
  <c r="M91"/>
  <c r="H91"/>
  <c r="G87"/>
  <c r="G88"/>
  <c r="G89"/>
  <c r="M99" i="58"/>
  <c r="L99"/>
  <c r="K99"/>
  <c r="J99"/>
  <c r="H99"/>
  <c r="H108"/>
  <c r="I108" s="1"/>
  <c r="J108" s="1"/>
  <c r="K108" s="1"/>
  <c r="L108" s="1"/>
  <c r="M108" s="1"/>
  <c r="K105"/>
  <c r="L105"/>
  <c r="M105"/>
  <c r="J105"/>
  <c r="H105"/>
  <c r="I27" i="60"/>
  <c r="I33"/>
  <c r="I39"/>
  <c r="I50"/>
  <c r="J33"/>
  <c r="J39"/>
  <c r="J50"/>
  <c r="K27"/>
  <c r="K33"/>
  <c r="K39"/>
  <c r="K50"/>
  <c r="L27"/>
  <c r="L33"/>
  <c r="L39"/>
  <c r="L50"/>
  <c r="H27"/>
  <c r="H33"/>
  <c r="H39"/>
  <c r="H50"/>
  <c r="I18"/>
  <c r="I82" s="1"/>
  <c r="J82"/>
  <c r="K18"/>
  <c r="K82" s="1"/>
  <c r="L18"/>
  <c r="L82" s="1"/>
  <c r="H18"/>
  <c r="G94"/>
  <c r="B8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M97"/>
  <c r="L97"/>
  <c r="K97"/>
  <c r="J97"/>
  <c r="I97"/>
  <c r="H97"/>
  <c r="M100"/>
  <c r="L100"/>
  <c r="K100"/>
  <c r="J100"/>
  <c r="I100"/>
  <c r="H100"/>
  <c r="B15" i="62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15" i="58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6" i="65"/>
  <c r="B3"/>
  <c r="K71" i="62"/>
  <c r="L71"/>
  <c r="B11" i="65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12" i="67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T41"/>
  <c r="B15" i="63"/>
  <c r="B16" s="1"/>
  <c r="B17" s="1"/>
  <c r="B18" s="1"/>
  <c r="B19" s="1"/>
  <c r="B20" s="1"/>
  <c r="B21" s="1"/>
  <c r="B22" s="1"/>
  <c r="R45"/>
  <c r="B12" i="66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L66" i="58"/>
  <c r="L71"/>
  <c r="L27"/>
  <c r="L66" i="62"/>
  <c r="K66"/>
  <c r="I66"/>
  <c r="M67" i="60"/>
  <c r="M72"/>
  <c r="H67"/>
  <c r="H72"/>
  <c r="AB52" l="1"/>
  <c r="AB83" s="1"/>
  <c r="Q53" i="62"/>
  <c r="Q82"/>
  <c r="Q98" s="1"/>
  <c r="Q100" s="1"/>
  <c r="Q102" s="1"/>
  <c r="Q55" s="1"/>
  <c r="Q59" s="1"/>
  <c r="N52" i="71" s="1"/>
  <c r="B51" i="62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O53"/>
  <c r="O59" s="1"/>
  <c r="N50" i="71" s="1"/>
  <c r="O82" i="62"/>
  <c r="O98"/>
  <c r="O100" s="1"/>
  <c r="O102" s="1"/>
  <c r="O55" s="1"/>
  <c r="M59"/>
  <c r="N48" i="71" s="1"/>
  <c r="N53" i="62"/>
  <c r="R53"/>
  <c r="N98"/>
  <c r="N100" s="1"/>
  <c r="N102" s="1"/>
  <c r="N55" s="1"/>
  <c r="P98"/>
  <c r="P100" s="1"/>
  <c r="P102" s="1"/>
  <c r="P55" s="1"/>
  <c r="P59" s="1"/>
  <c r="N51" i="71" s="1"/>
  <c r="R98" i="62"/>
  <c r="R100" s="1"/>
  <c r="R102" s="1"/>
  <c r="R55" s="1"/>
  <c r="G44" i="58"/>
  <c r="AB54" i="60"/>
  <c r="AB82"/>
  <c r="B28" i="63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G30" i="62"/>
  <c r="J30" i="58" s="1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G20" i="65"/>
  <c r="G22" s="1"/>
  <c r="G23" s="1"/>
  <c r="G25" s="1"/>
  <c r="P107" i="60" s="1"/>
  <c r="G16"/>
  <c r="G36" i="62"/>
  <c r="J36" i="58" s="1"/>
  <c r="L76" i="62"/>
  <c r="O47" i="71" s="1"/>
  <c r="B3" i="66"/>
  <c r="G31" i="62"/>
  <c r="J31" i="58" s="1"/>
  <c r="G26" i="62"/>
  <c r="J26" i="58" s="1"/>
  <c r="S66" i="71"/>
  <c r="G21" i="62"/>
  <c r="J81"/>
  <c r="H71"/>
  <c r="H76" s="1"/>
  <c r="H66"/>
  <c r="H41" i="58"/>
  <c r="O52" i="60"/>
  <c r="O83" s="1"/>
  <c r="G72"/>
  <c r="I105" i="58"/>
  <c r="G17" i="62"/>
  <c r="J17" i="58" s="1"/>
  <c r="H18" i="62"/>
  <c r="H81" s="1"/>
  <c r="G27" i="60"/>
  <c r="O18"/>
  <c r="O82" s="1"/>
  <c r="G67"/>
  <c r="G78" s="1"/>
  <c r="L51" i="62"/>
  <c r="L53" s="1"/>
  <c r="G38"/>
  <c r="J38" i="58" s="1"/>
  <c r="G23" i="62"/>
  <c r="J24" i="58" s="1"/>
  <c r="G16" i="62"/>
  <c r="J16" i="58" s="1"/>
  <c r="J18" s="1"/>
  <c r="G21" i="60"/>
  <c r="H21" i="58" s="1"/>
  <c r="I21" s="1"/>
  <c r="K21" s="1"/>
  <c r="M21" s="1"/>
  <c r="V52" i="60"/>
  <c r="V54" s="1"/>
  <c r="T52"/>
  <c r="T83" s="1"/>
  <c r="T85" s="1"/>
  <c r="T99" s="1"/>
  <c r="T101" s="1"/>
  <c r="T103" s="1"/>
  <c r="R52"/>
  <c r="R83" s="1"/>
  <c r="R85" s="1"/>
  <c r="R99" s="1"/>
  <c r="R101" s="1"/>
  <c r="R103" s="1"/>
  <c r="R56" s="1"/>
  <c r="P52"/>
  <c r="G33"/>
  <c r="G50"/>
  <c r="G17"/>
  <c r="H17" i="58" s="1"/>
  <c r="T54" i="60"/>
  <c r="S65" i="71"/>
  <c r="J52" i="60"/>
  <c r="J54" s="1"/>
  <c r="H49" i="58"/>
  <c r="G58" i="60"/>
  <c r="H57" i="58" s="1"/>
  <c r="I57" s="1"/>
  <c r="P18" i="60"/>
  <c r="P82" s="1"/>
  <c r="S37" i="71"/>
  <c r="G57" i="62"/>
  <c r="J57" i="58" s="1"/>
  <c r="G42" i="62"/>
  <c r="J42" i="58" s="1"/>
  <c r="G42" i="60"/>
  <c r="H42" i="58" s="1"/>
  <c r="I42" s="1"/>
  <c r="AA52" i="60"/>
  <c r="AA54" s="1"/>
  <c r="S52"/>
  <c r="S83" s="1"/>
  <c r="S85" s="1"/>
  <c r="S99" s="1"/>
  <c r="S101" s="1"/>
  <c r="S103" s="1"/>
  <c r="S56" s="1"/>
  <c r="Q52"/>
  <c r="Q54" s="1"/>
  <c r="L52"/>
  <c r="L54" s="1"/>
  <c r="K76" i="62"/>
  <c r="O46" i="71" s="1"/>
  <c r="S35"/>
  <c r="G48" i="62"/>
  <c r="J48" i="58" s="1"/>
  <c r="G15" i="60"/>
  <c r="H15" i="58" s="1"/>
  <c r="I15" s="1"/>
  <c r="G102" i="60"/>
  <c r="G99" i="58"/>
  <c r="G105"/>
  <c r="Y52" i="60"/>
  <c r="Y83" s="1"/>
  <c r="Y85" s="1"/>
  <c r="Y99" s="1"/>
  <c r="Y101" s="1"/>
  <c r="Y103" s="1"/>
  <c r="Y56" s="1"/>
  <c r="U52"/>
  <c r="U83" s="1"/>
  <c r="U85" s="1"/>
  <c r="U99" s="1"/>
  <c r="U101" s="1"/>
  <c r="U103" s="1"/>
  <c r="U56" s="1"/>
  <c r="S36" i="71"/>
  <c r="L78" i="60"/>
  <c r="O18" i="71" s="1"/>
  <c r="Z52" i="60"/>
  <c r="Z54" s="1"/>
  <c r="X52"/>
  <c r="X54" s="1"/>
  <c r="I64" i="58"/>
  <c r="I74"/>
  <c r="I75"/>
  <c r="I73"/>
  <c r="I76"/>
  <c r="Y54" i="60"/>
  <c r="W52"/>
  <c r="W83" s="1"/>
  <c r="W85" s="1"/>
  <c r="W99" s="1"/>
  <c r="W101" s="1"/>
  <c r="W103" s="1"/>
  <c r="W56" s="1"/>
  <c r="U54"/>
  <c r="P83"/>
  <c r="H33" i="58"/>
  <c r="G27"/>
  <c r="I71" i="62"/>
  <c r="G57" i="60"/>
  <c r="H56" i="58" s="1"/>
  <c r="I56" s="1"/>
  <c r="I76" i="62"/>
  <c r="G25"/>
  <c r="J25" i="58" s="1"/>
  <c r="J46"/>
  <c r="I65"/>
  <c r="H82" i="60"/>
  <c r="G82" s="1"/>
  <c r="L83"/>
  <c r="L85" s="1"/>
  <c r="L99" s="1"/>
  <c r="L101" s="1"/>
  <c r="L103" s="1"/>
  <c r="H52"/>
  <c r="H83" s="1"/>
  <c r="I52"/>
  <c r="H27" i="58"/>
  <c r="G56" i="62"/>
  <c r="J56" i="58" s="1"/>
  <c r="I47"/>
  <c r="G18"/>
  <c r="I37"/>
  <c r="K37" s="1"/>
  <c r="M37" s="1"/>
  <c r="G39"/>
  <c r="G97" i="60"/>
  <c r="K52"/>
  <c r="G91"/>
  <c r="H49" i="62"/>
  <c r="J49"/>
  <c r="K33"/>
  <c r="G43"/>
  <c r="J43" i="58" s="1"/>
  <c r="G41" i="62"/>
  <c r="J41" i="58" s="1"/>
  <c r="G32" i="62"/>
  <c r="J32" i="58" s="1"/>
  <c r="I18" i="62"/>
  <c r="I81" s="1"/>
  <c r="H78" i="60"/>
  <c r="O14" i="71" s="1"/>
  <c r="L78" i="58"/>
  <c r="I99"/>
  <c r="I36"/>
  <c r="J78" i="60"/>
  <c r="O16" i="71" s="1"/>
  <c r="I78" i="60"/>
  <c r="O15" i="71" s="1"/>
  <c r="K39" i="62"/>
  <c r="K27"/>
  <c r="I27"/>
  <c r="I46" i="58"/>
  <c r="N52" i="60"/>
  <c r="N54" s="1"/>
  <c r="I43" i="58"/>
  <c r="I41"/>
  <c r="I26"/>
  <c r="K26" s="1"/>
  <c r="M26" s="1"/>
  <c r="I24"/>
  <c r="I32"/>
  <c r="I48"/>
  <c r="H16"/>
  <c r="I16" s="1"/>
  <c r="G73" i="62"/>
  <c r="J74" i="58" s="1"/>
  <c r="G69" i="62"/>
  <c r="J69" i="58" s="1"/>
  <c r="K69" s="1"/>
  <c r="M69" s="1"/>
  <c r="G65" i="62"/>
  <c r="J65" i="58" s="1"/>
  <c r="G63" i="62"/>
  <c r="I25" i="58"/>
  <c r="I30"/>
  <c r="K30" s="1"/>
  <c r="G74" i="62"/>
  <c r="J75" i="58" s="1"/>
  <c r="G70" i="62"/>
  <c r="J70" i="58" s="1"/>
  <c r="G68" i="62"/>
  <c r="G64"/>
  <c r="J64" i="58" s="1"/>
  <c r="K64" s="1"/>
  <c r="M64" s="1"/>
  <c r="I49" i="62"/>
  <c r="K18"/>
  <c r="I70" i="58"/>
  <c r="G71"/>
  <c r="G72" i="62"/>
  <c r="I31" i="58"/>
  <c r="G33"/>
  <c r="G38" i="60"/>
  <c r="C43" i="71"/>
  <c r="C44" s="1"/>
  <c r="C45" s="1"/>
  <c r="C46" s="1"/>
  <c r="C47" s="1"/>
  <c r="C48" s="1"/>
  <c r="C32"/>
  <c r="C33" s="1"/>
  <c r="C34" s="1"/>
  <c r="C35" s="1"/>
  <c r="C36" s="1"/>
  <c r="C37" s="1"/>
  <c r="C38" s="1"/>
  <c r="K81" i="62"/>
  <c r="M78" i="60"/>
  <c r="I63" i="58"/>
  <c r="H66"/>
  <c r="K78" i="60"/>
  <c r="O17" i="71" s="1"/>
  <c r="H39" i="62"/>
  <c r="H27"/>
  <c r="J33"/>
  <c r="J66"/>
  <c r="L82"/>
  <c r="L98" s="1"/>
  <c r="L100" s="1"/>
  <c r="I33"/>
  <c r="H71" i="58"/>
  <c r="I68"/>
  <c r="M52" i="60"/>
  <c r="M83" s="1"/>
  <c r="H33" i="62"/>
  <c r="J39"/>
  <c r="J71"/>
  <c r="K49"/>
  <c r="I39"/>
  <c r="J27" i="58" l="1"/>
  <c r="K25"/>
  <c r="M25" s="1"/>
  <c r="P85" i="60"/>
  <c r="P99" s="1"/>
  <c r="P101" s="1"/>
  <c r="P103" s="1"/>
  <c r="P56" s="1"/>
  <c r="AB85"/>
  <c r="AB99" s="1"/>
  <c r="AB101" s="1"/>
  <c r="AB103" s="1"/>
  <c r="G27" i="62"/>
  <c r="R59"/>
  <c r="N59"/>
  <c r="N49" i="71" s="1"/>
  <c r="K43" i="58"/>
  <c r="M43" s="1"/>
  <c r="O54" i="60"/>
  <c r="T60"/>
  <c r="K48" i="58"/>
  <c r="M48" s="1"/>
  <c r="J49"/>
  <c r="J44"/>
  <c r="K41"/>
  <c r="I44"/>
  <c r="K16"/>
  <c r="M16" s="1"/>
  <c r="H44"/>
  <c r="G25" i="66"/>
  <c r="T79" i="71"/>
  <c r="K83" s="1"/>
  <c r="J53" s="1"/>
  <c r="S53" s="1"/>
  <c r="K70" i="58"/>
  <c r="M70" s="1"/>
  <c r="J39"/>
  <c r="K36"/>
  <c r="M36" s="1"/>
  <c r="K46"/>
  <c r="G49"/>
  <c r="K75"/>
  <c r="M75" s="1"/>
  <c r="J83" i="60"/>
  <c r="J85" s="1"/>
  <c r="J99" s="1"/>
  <c r="J101" s="1"/>
  <c r="J103" s="1"/>
  <c r="G49" i="62"/>
  <c r="Z83" i="60"/>
  <c r="Z85" s="1"/>
  <c r="Z99" s="1"/>
  <c r="Z101" s="1"/>
  <c r="Z103" s="1"/>
  <c r="Q83"/>
  <c r="Q85" s="1"/>
  <c r="Q99" s="1"/>
  <c r="Q101" s="1"/>
  <c r="Q103" s="1"/>
  <c r="Q56" s="1"/>
  <c r="Q60" s="1"/>
  <c r="N23" i="71" s="1"/>
  <c r="K42" i="58"/>
  <c r="M42" s="1"/>
  <c r="K57"/>
  <c r="M57" s="1"/>
  <c r="K51" i="62"/>
  <c r="K82" s="1"/>
  <c r="K98" s="1"/>
  <c r="K100" s="1"/>
  <c r="K102" s="1"/>
  <c r="K55" s="1"/>
  <c r="O38" i="71"/>
  <c r="J76" i="58"/>
  <c r="K76" s="1"/>
  <c r="M76" s="1"/>
  <c r="K24"/>
  <c r="K27" s="1"/>
  <c r="G66"/>
  <c r="K31"/>
  <c r="M31" s="1"/>
  <c r="I27"/>
  <c r="G18" i="60"/>
  <c r="K15" i="58"/>
  <c r="P54" i="60"/>
  <c r="V83"/>
  <c r="V85" s="1"/>
  <c r="V99" s="1"/>
  <c r="V101" s="1"/>
  <c r="V103" s="1"/>
  <c r="V56" s="1"/>
  <c r="X83"/>
  <c r="X85" s="1"/>
  <c r="X99" s="1"/>
  <c r="X101" s="1"/>
  <c r="X103" s="1"/>
  <c r="X56" s="1"/>
  <c r="X60" s="1"/>
  <c r="R54"/>
  <c r="W54"/>
  <c r="W60" s="1"/>
  <c r="R60"/>
  <c r="N24" i="71" s="1"/>
  <c r="I71" i="58"/>
  <c r="U60" i="60"/>
  <c r="N27" i="71" s="1"/>
  <c r="S54" i="60"/>
  <c r="S60" s="1"/>
  <c r="N25" i="71" s="1"/>
  <c r="AA83" i="60"/>
  <c r="AA85" s="1"/>
  <c r="AA99" s="1"/>
  <c r="AA101" s="1"/>
  <c r="AA103" s="1"/>
  <c r="AA56" s="1"/>
  <c r="AA60" s="1"/>
  <c r="N33" i="71" s="1"/>
  <c r="Y60" i="60"/>
  <c r="O85"/>
  <c r="O99" s="1"/>
  <c r="O101" s="1"/>
  <c r="O103" s="1"/>
  <c r="O56" s="1"/>
  <c r="V60"/>
  <c r="K74" i="58"/>
  <c r="M74" s="1"/>
  <c r="H18"/>
  <c r="H89" s="1"/>
  <c r="G39" i="62"/>
  <c r="G18"/>
  <c r="G81" s="1"/>
  <c r="I17" i="58"/>
  <c r="K17" s="1"/>
  <c r="M17" s="1"/>
  <c r="G78"/>
  <c r="H12" i="71" s="1"/>
  <c r="K65" i="58"/>
  <c r="M65" s="1"/>
  <c r="I49"/>
  <c r="K47"/>
  <c r="M47" s="1"/>
  <c r="I66"/>
  <c r="I78" s="1"/>
  <c r="K56"/>
  <c r="M56" s="1"/>
  <c r="J51" i="62"/>
  <c r="J82" s="1"/>
  <c r="J98" s="1"/>
  <c r="J100" s="1"/>
  <c r="J102" s="1"/>
  <c r="J55" s="1"/>
  <c r="K83" i="60"/>
  <c r="K85" s="1"/>
  <c r="K99" s="1"/>
  <c r="K101" s="1"/>
  <c r="K103" s="1"/>
  <c r="K54"/>
  <c r="I83"/>
  <c r="I85" s="1"/>
  <c r="I99" s="1"/>
  <c r="I101" s="1"/>
  <c r="I103" s="1"/>
  <c r="I54"/>
  <c r="H85"/>
  <c r="H99" s="1"/>
  <c r="H101" s="1"/>
  <c r="H103" s="1"/>
  <c r="G33" i="62"/>
  <c r="I33" i="58"/>
  <c r="M85" i="60"/>
  <c r="M99" s="1"/>
  <c r="M101" s="1"/>
  <c r="M103" s="1"/>
  <c r="M56" s="1"/>
  <c r="H54"/>
  <c r="N83"/>
  <c r="J68" i="58"/>
  <c r="J71" s="1"/>
  <c r="G71" i="62"/>
  <c r="J63" i="58"/>
  <c r="J66" s="1"/>
  <c r="G66" i="62"/>
  <c r="G76" s="1"/>
  <c r="C39" i="71"/>
  <c r="C40" s="1"/>
  <c r="C41" s="1"/>
  <c r="C42"/>
  <c r="H38" i="58"/>
  <c r="G39" i="60"/>
  <c r="G52" s="1"/>
  <c r="G89" i="58"/>
  <c r="J73"/>
  <c r="K73" s="1"/>
  <c r="M73" s="1"/>
  <c r="M30"/>
  <c r="J89"/>
  <c r="I51" i="62"/>
  <c r="J76"/>
  <c r="O45" i="71" s="1"/>
  <c r="H51" i="62"/>
  <c r="M54" i="60"/>
  <c r="H78" i="58"/>
  <c r="L102" i="62"/>
  <c r="L55" s="1"/>
  <c r="L59" s="1"/>
  <c r="N47" i="71" s="1"/>
  <c r="C54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49"/>
  <c r="C50" s="1"/>
  <c r="C51" s="1"/>
  <c r="C52" s="1"/>
  <c r="C53" s="1"/>
  <c r="M24" i="58"/>
  <c r="M27" s="1"/>
  <c r="L60" i="60"/>
  <c r="J60"/>
  <c r="N31" i="71"/>
  <c r="P31" l="1"/>
  <c r="R31" s="1"/>
  <c r="P47"/>
  <c r="P17"/>
  <c r="P27"/>
  <c r="R27" s="1"/>
  <c r="P24"/>
  <c r="R24" s="1"/>
  <c r="J15"/>
  <c r="J17"/>
  <c r="J19"/>
  <c r="J21"/>
  <c r="J23"/>
  <c r="J25"/>
  <c r="L25" s="1"/>
  <c r="J27"/>
  <c r="J29"/>
  <c r="J31"/>
  <c r="J14"/>
  <c r="J16"/>
  <c r="J18"/>
  <c r="J20"/>
  <c r="J22"/>
  <c r="L22" s="1"/>
  <c r="J24"/>
  <c r="J26"/>
  <c r="J28"/>
  <c r="J30"/>
  <c r="L30" s="1"/>
  <c r="J32"/>
  <c r="G83" i="60"/>
  <c r="P60"/>
  <c r="N22" i="71" s="1"/>
  <c r="AB56" i="60"/>
  <c r="AB60" s="1"/>
  <c r="N34" i="71" s="1"/>
  <c r="P34" s="1"/>
  <c r="K53" i="62"/>
  <c r="L29" i="71"/>
  <c r="L23"/>
  <c r="L21"/>
  <c r="L19"/>
  <c r="J51"/>
  <c r="J49"/>
  <c r="J47"/>
  <c r="J45"/>
  <c r="J43"/>
  <c r="L26"/>
  <c r="J50"/>
  <c r="J48"/>
  <c r="J46"/>
  <c r="J44"/>
  <c r="J52"/>
  <c r="O12"/>
  <c r="H40"/>
  <c r="H56" s="1"/>
  <c r="O40"/>
  <c r="P49"/>
  <c r="P51"/>
  <c r="P50"/>
  <c r="P52"/>
  <c r="N28"/>
  <c r="P28" s="1"/>
  <c r="R28" s="1"/>
  <c r="G51" i="58"/>
  <c r="P23" i="71"/>
  <c r="R23" s="1"/>
  <c r="O60" i="60"/>
  <c r="P33" i="71"/>
  <c r="L31"/>
  <c r="L27"/>
  <c r="S27" s="1"/>
  <c r="T27" s="1"/>
  <c r="L28"/>
  <c r="P15"/>
  <c r="L24"/>
  <c r="L20"/>
  <c r="P18"/>
  <c r="P16"/>
  <c r="P14"/>
  <c r="G54" i="60"/>
  <c r="J53" i="62"/>
  <c r="K44" i="58"/>
  <c r="P48" i="71"/>
  <c r="P25"/>
  <c r="R25" s="1"/>
  <c r="P22"/>
  <c r="R22" s="1"/>
  <c r="G90" i="58"/>
  <c r="G92" s="1"/>
  <c r="K18"/>
  <c r="N29" i="71"/>
  <c r="P29" s="1"/>
  <c r="R29" s="1"/>
  <c r="G51" i="62"/>
  <c r="G53" s="1"/>
  <c r="N30" i="71"/>
  <c r="P30" s="1"/>
  <c r="R30" s="1"/>
  <c r="I18" i="58"/>
  <c r="I89" s="1"/>
  <c r="K63"/>
  <c r="K66" s="1"/>
  <c r="I60" i="60"/>
  <c r="G85"/>
  <c r="G99" s="1"/>
  <c r="G101" s="1"/>
  <c r="G103" s="1"/>
  <c r="K49" i="58"/>
  <c r="S23" i="71"/>
  <c r="K60" i="60"/>
  <c r="K59" i="62"/>
  <c r="N46" i="71" s="1"/>
  <c r="P46" s="1"/>
  <c r="J78" i="58"/>
  <c r="K68"/>
  <c r="K71" s="1"/>
  <c r="G82" i="62"/>
  <c r="G98" s="1"/>
  <c r="G100" s="1"/>
  <c r="G102" s="1"/>
  <c r="J33" i="58"/>
  <c r="J51" s="1"/>
  <c r="J90" s="1"/>
  <c r="J92" s="1"/>
  <c r="K32"/>
  <c r="M60" i="60"/>
  <c r="N19" i="71" s="1"/>
  <c r="P19" s="1"/>
  <c r="R19" s="1"/>
  <c r="S19" s="1"/>
  <c r="N85" i="60"/>
  <c r="N99" s="1"/>
  <c r="N101" s="1"/>
  <c r="N103" s="1"/>
  <c r="N56" s="1"/>
  <c r="N60" s="1"/>
  <c r="N20" i="71" s="1"/>
  <c r="P20" s="1"/>
  <c r="R20" s="1"/>
  <c r="H82" i="62"/>
  <c r="H98" s="1"/>
  <c r="H100" s="1"/>
  <c r="H102" s="1"/>
  <c r="H55" s="1"/>
  <c r="H53"/>
  <c r="I82"/>
  <c r="I98" s="1"/>
  <c r="I100" s="1"/>
  <c r="I53"/>
  <c r="S51" i="71"/>
  <c r="S49"/>
  <c r="G107" i="58"/>
  <c r="G109" s="1"/>
  <c r="G111" s="1"/>
  <c r="K89"/>
  <c r="H60" i="60"/>
  <c r="O54" i="71"/>
  <c r="S50"/>
  <c r="I38" i="58"/>
  <c r="H39"/>
  <c r="H51" s="1"/>
  <c r="N21" i="71"/>
  <c r="P21" s="1"/>
  <c r="R21" s="1"/>
  <c r="J59" i="62"/>
  <c r="N45" i="71" s="1"/>
  <c r="P45" s="1"/>
  <c r="S30" l="1"/>
  <c r="O56"/>
  <c r="S24"/>
  <c r="S31"/>
  <c r="S52"/>
  <c r="S21"/>
  <c r="S22"/>
  <c r="G53" i="58"/>
  <c r="G59" s="1"/>
  <c r="S29" i="71"/>
  <c r="S28"/>
  <c r="S25"/>
  <c r="T77"/>
  <c r="J54"/>
  <c r="M68" i="58"/>
  <c r="M71" s="1"/>
  <c r="M63"/>
  <c r="M66" s="1"/>
  <c r="S20" i="71"/>
  <c r="J53" i="58"/>
  <c r="K78"/>
  <c r="G17" i="63" s="1"/>
  <c r="H59" i="62"/>
  <c r="N43" i="71" s="1"/>
  <c r="P43" s="1"/>
  <c r="J107" i="58"/>
  <c r="J109" s="1"/>
  <c r="J111" s="1"/>
  <c r="M32"/>
  <c r="M33" s="1"/>
  <c r="K33"/>
  <c r="I39"/>
  <c r="I51" s="1"/>
  <c r="K38"/>
  <c r="K39" s="1"/>
  <c r="K51" s="1"/>
  <c r="I102" i="62"/>
  <c r="I55" s="1"/>
  <c r="G55" s="1"/>
  <c r="H90" i="58"/>
  <c r="H53"/>
  <c r="G79" l="1"/>
  <c r="G12" i="71"/>
  <c r="K82" i="58"/>
  <c r="G17" i="66"/>
  <c r="M78" i="58"/>
  <c r="N78" s="1"/>
  <c r="I59" i="62"/>
  <c r="N44" i="71" s="1"/>
  <c r="P44" s="1"/>
  <c r="P54" s="1"/>
  <c r="J55" i="58"/>
  <c r="G59" i="62"/>
  <c r="I90" i="58"/>
  <c r="I53"/>
  <c r="K90"/>
  <c r="K53"/>
  <c r="G40" i="71" l="1"/>
  <c r="N12"/>
  <c r="N54"/>
  <c r="K107" i="58"/>
  <c r="K109" s="1"/>
  <c r="K111" s="1"/>
  <c r="K92"/>
  <c r="J59"/>
  <c r="N26" i="71"/>
  <c r="P26" s="1"/>
  <c r="R26" l="1"/>
  <c r="S26" s="1"/>
  <c r="L32"/>
  <c r="J38"/>
  <c r="G56"/>
  <c r="F16" i="67" l="1"/>
  <c r="I16"/>
  <c r="K17"/>
  <c r="F19"/>
  <c r="I19"/>
  <c r="K19"/>
  <c r="M19"/>
  <c r="G56" i="60"/>
  <c r="Z56"/>
  <c r="G60"/>
  <c r="Z60"/>
  <c r="L12" i="58"/>
  <c r="O14"/>
  <c r="L15"/>
  <c r="M15"/>
  <c r="O16"/>
  <c r="L18"/>
  <c r="M18"/>
  <c r="L38"/>
  <c r="M38"/>
  <c r="L39"/>
  <c r="M39"/>
  <c r="L41"/>
  <c r="M41"/>
  <c r="L44"/>
  <c r="M44"/>
  <c r="L46"/>
  <c r="M46"/>
  <c r="L49"/>
  <c r="M49"/>
  <c r="L51"/>
  <c r="M51"/>
  <c r="L53"/>
  <c r="M53"/>
  <c r="H55"/>
  <c r="I55"/>
  <c r="K55"/>
  <c r="L55"/>
  <c r="M55"/>
  <c r="H59"/>
  <c r="I59"/>
  <c r="K59"/>
  <c r="L59"/>
  <c r="M59"/>
  <c r="O67"/>
  <c r="O68"/>
  <c r="O69"/>
  <c r="I79"/>
  <c r="K79"/>
  <c r="M79"/>
  <c r="L89"/>
  <c r="M89"/>
  <c r="L90"/>
  <c r="M90"/>
  <c r="H91"/>
  <c r="I91"/>
  <c r="H92"/>
  <c r="I92"/>
  <c r="L92"/>
  <c r="M92"/>
  <c r="H107"/>
  <c r="I107"/>
  <c r="L107"/>
  <c r="M107"/>
  <c r="H109"/>
  <c r="I109"/>
  <c r="L109"/>
  <c r="M109"/>
  <c r="H111"/>
  <c r="I111"/>
  <c r="L111"/>
  <c r="M111"/>
  <c r="K13" i="65"/>
  <c r="K15"/>
  <c r="K16"/>
  <c r="K17"/>
  <c r="K18"/>
  <c r="K20"/>
  <c r="K23"/>
  <c r="K25"/>
  <c r="G18" i="66"/>
  <c r="G19"/>
  <c r="G21"/>
  <c r="G23"/>
  <c r="K23"/>
  <c r="G27"/>
  <c r="G30"/>
  <c r="J12" i="71"/>
  <c r="L12"/>
  <c r="P12"/>
  <c r="R12"/>
  <c r="K14"/>
  <c r="L14"/>
  <c r="Q14"/>
  <c r="R14"/>
  <c r="S14"/>
  <c r="K15"/>
  <c r="L15"/>
  <c r="Q15"/>
  <c r="R15"/>
  <c r="S15"/>
  <c r="K16"/>
  <c r="L16"/>
  <c r="Q16"/>
  <c r="R16"/>
  <c r="S16"/>
  <c r="K17"/>
  <c r="L17"/>
  <c r="Q17"/>
  <c r="R17"/>
  <c r="S17"/>
  <c r="K18"/>
  <c r="L18"/>
  <c r="Q18"/>
  <c r="R18"/>
  <c r="S18"/>
  <c r="N32"/>
  <c r="P32"/>
  <c r="Q32"/>
  <c r="R32"/>
  <c r="S32"/>
  <c r="Q33"/>
  <c r="R33"/>
  <c r="S33"/>
  <c r="Q34"/>
  <c r="R34"/>
  <c r="S34"/>
  <c r="K38"/>
  <c r="L38"/>
  <c r="N38"/>
  <c r="P38"/>
  <c r="Q38"/>
  <c r="R38"/>
  <c r="S38"/>
  <c r="J40"/>
  <c r="K40"/>
  <c r="L40"/>
  <c r="N40"/>
  <c r="P40"/>
  <c r="Q40"/>
  <c r="R40"/>
  <c r="K43"/>
  <c r="L43"/>
  <c r="Q43"/>
  <c r="R43"/>
  <c r="S43"/>
  <c r="K44"/>
  <c r="L44"/>
  <c r="Q44"/>
  <c r="R44"/>
  <c r="S44"/>
  <c r="K45"/>
  <c r="L45"/>
  <c r="Q45"/>
  <c r="R45"/>
  <c r="S45"/>
  <c r="K46"/>
  <c r="L46"/>
  <c r="Q46"/>
  <c r="R46"/>
  <c r="S46"/>
  <c r="K47"/>
  <c r="L47"/>
  <c r="Q47"/>
  <c r="R47"/>
  <c r="S47"/>
  <c r="K48"/>
  <c r="L48"/>
  <c r="Q48"/>
  <c r="R48"/>
  <c r="S48"/>
  <c r="K49"/>
  <c r="L49"/>
  <c r="Q49"/>
  <c r="R49"/>
  <c r="K50"/>
  <c r="L50"/>
  <c r="Q50"/>
  <c r="R50"/>
  <c r="K51"/>
  <c r="L51"/>
  <c r="Q51"/>
  <c r="R51"/>
  <c r="K52"/>
  <c r="L52"/>
  <c r="Q52"/>
  <c r="R52"/>
  <c r="K53"/>
  <c r="L53"/>
  <c r="K54"/>
  <c r="L54"/>
  <c r="Q54"/>
  <c r="R54"/>
  <c r="S54"/>
  <c r="J56"/>
  <c r="K56"/>
  <c r="L56"/>
  <c r="N56"/>
  <c r="P56"/>
  <c r="Q56"/>
  <c r="R56"/>
  <c r="S56"/>
  <c r="R57"/>
  <c r="S57"/>
  <c r="R58"/>
  <c r="S58"/>
  <c r="G64"/>
  <c r="L64"/>
  <c r="O64"/>
  <c r="S64"/>
  <c r="G67"/>
  <c r="L67"/>
  <c r="O67"/>
  <c r="S67"/>
  <c r="T74"/>
  <c r="T75"/>
  <c r="T76"/>
  <c r="T78"/>
  <c r="T80"/>
  <c r="G19" i="63"/>
  <c r="G21"/>
  <c r="H21"/>
  <c r="H24"/>
  <c r="H29"/>
  <c r="H31"/>
</calcChain>
</file>

<file path=xl/comments1.xml><?xml version="1.0" encoding="utf-8"?>
<comments xmlns="http://schemas.openxmlformats.org/spreadsheetml/2006/main">
  <authors>
    <author>dkermode</author>
  </authors>
  <commentList>
    <comment ref="AA41" authorId="0">
      <text>
        <r>
          <rPr>
            <b/>
            <sz val="8"/>
            <color indexed="81"/>
            <rFont val="Tahoma"/>
            <charset val="1"/>
          </rPr>
          <t>dkermode: $5,681</t>
        </r>
        <r>
          <rPr>
            <sz val="8"/>
            <color indexed="81"/>
            <rFont val="Tahoma"/>
            <charset val="1"/>
          </rPr>
          <t xml:space="preserve">
errata
Org filed $3,487
</t>
        </r>
      </text>
    </comment>
    <comment ref="AB47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Rebuttal Andrews Page 31  line 14</t>
        </r>
      </text>
    </comment>
    <comment ref="AA75" authorId="0">
      <text>
        <r>
          <rPr>
            <b/>
            <sz val="8"/>
            <color indexed="81"/>
            <rFont val="Tahoma"/>
            <charset val="1"/>
          </rPr>
          <t>dkermode:</t>
        </r>
        <r>
          <rPr>
            <sz val="8"/>
            <color indexed="81"/>
            <rFont val="Tahoma"/>
            <charset val="1"/>
          </rPr>
          <t xml:space="preserve">
Errata increase filed by $523,000</t>
        </r>
      </text>
    </comment>
  </commentList>
</comments>
</file>

<file path=xl/comments2.xml><?xml version="1.0" encoding="utf-8"?>
<comments xmlns="http://schemas.openxmlformats.org/spreadsheetml/2006/main">
  <authors>
    <author>dkermode</author>
  </authors>
  <commentList>
    <comment ref="G15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change consistent with company revised EMA-7</t>
        </r>
      </text>
    </comment>
    <comment ref="G17" authorId="0">
      <text>
        <r>
          <rPr>
            <b/>
            <sz val="8"/>
            <color indexed="81"/>
            <rFont val="Tahoma"/>
            <family val="2"/>
          </rPr>
          <t>dkermode:</t>
        </r>
        <r>
          <rPr>
            <sz val="8"/>
            <color indexed="81"/>
            <rFont val="Tahoma"/>
            <family val="2"/>
          </rPr>
          <t xml:space="preserve">
change consistent with company revised EMA-7</t>
        </r>
      </text>
    </comment>
  </commentList>
</comments>
</file>

<file path=xl/sharedStrings.xml><?xml version="1.0" encoding="utf-8"?>
<sst xmlns="http://schemas.openxmlformats.org/spreadsheetml/2006/main" count="702" uniqueCount="406">
  <si>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</si>
  <si>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</si>
  <si>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</si>
  <si>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</si>
  <si>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</si>
  <si>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</si>
  <si>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</si>
  <si>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>FIT</t>
  </si>
  <si>
    <t>on Office</t>
  </si>
  <si>
    <t>Gas</t>
  </si>
  <si>
    <t>and DSM</t>
  </si>
  <si>
    <t xml:space="preserve">Customer </t>
  </si>
  <si>
    <t xml:space="preserve">B &amp; O </t>
  </si>
  <si>
    <t>Property</t>
  </si>
  <si>
    <t>Expense</t>
  </si>
  <si>
    <t xml:space="preserve">and </t>
  </si>
  <si>
    <t>Debt</t>
  </si>
  <si>
    <t>A/R</t>
  </si>
  <si>
    <t>Charges to</t>
  </si>
  <si>
    <t>Restated</t>
  </si>
  <si>
    <t>Pro Forma</t>
  </si>
  <si>
    <t>No.</t>
  </si>
  <si>
    <t>DESCRIPTION</t>
  </si>
  <si>
    <t>Rate Base</t>
  </si>
  <si>
    <t>Building</t>
  </si>
  <si>
    <t>Inventory</t>
  </si>
  <si>
    <t>Investment</t>
  </si>
  <si>
    <t>Advances</t>
  </si>
  <si>
    <t>Adjustment</t>
  </si>
  <si>
    <t>Taxes</t>
  </si>
  <si>
    <t>Tax</t>
  </si>
  <si>
    <t>Damages</t>
  </si>
  <si>
    <t>Interest</t>
  </si>
  <si>
    <t>Expenses</t>
  </si>
  <si>
    <t>Subs</t>
  </si>
  <si>
    <t>Total</t>
  </si>
  <si>
    <t>t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</si>
  <si>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</si>
  <si>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</si>
  <si>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</si>
  <si>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</si>
  <si>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</si>
  <si>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</si>
  <si>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</si>
  <si>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</si>
  <si>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</si>
  <si>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</si>
  <si>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</si>
  <si>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</si>
  <si>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</si>
  <si>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</si>
  <si>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</si>
  <si>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</si>
  <si>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</si>
  <si>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</si>
  <si>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</si>
  <si>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</si>
  <si>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</si>
  <si>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</si>
  <si>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</si>
  <si>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</si>
  <si>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</si>
  <si>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</si>
  <si>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</si>
  <si>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</si>
  <si>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</si>
  <si>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</si>
  <si>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</si>
  <si>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</si>
  <si>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</si>
  <si>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</si>
  <si>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</si>
  <si>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</si>
  <si>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</si>
  <si>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</si>
  <si>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</si>
  <si>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RATE OF RETURN</t>
  </si>
  <si>
    <t>Description</t>
  </si>
  <si>
    <t>RATE BASE</t>
  </si>
  <si>
    <t>PLANT IN SERVICE</t>
  </si>
  <si>
    <t>Deferred Gain</t>
  </si>
  <si>
    <t>Uncollectible</t>
  </si>
  <si>
    <t>Weatherization</t>
  </si>
  <si>
    <t>Normalization &amp;</t>
  </si>
  <si>
    <t>Gas Cost Adjust</t>
  </si>
  <si>
    <t>Percent</t>
  </si>
  <si>
    <t>Adjustments</t>
  </si>
  <si>
    <t>Amount</t>
  </si>
  <si>
    <t>PF 6</t>
  </si>
  <si>
    <t>Incentives</t>
  </si>
  <si>
    <t>Labor</t>
  </si>
  <si>
    <t>Non-Exec</t>
  </si>
  <si>
    <t>Exec</t>
  </si>
  <si>
    <t>Net</t>
  </si>
  <si>
    <t>Gains/losses</t>
  </si>
  <si>
    <t>Excise</t>
  </si>
  <si>
    <t>Weighted</t>
  </si>
  <si>
    <t>Cost</t>
  </si>
  <si>
    <t>Proposed</t>
  </si>
  <si>
    <t>Revenue Conversion Factor</t>
  </si>
  <si>
    <t>Revenues</t>
  </si>
  <si>
    <t>Revenue</t>
  </si>
  <si>
    <t>PF 1</t>
  </si>
  <si>
    <t>PF 2</t>
  </si>
  <si>
    <t>PF 3</t>
  </si>
  <si>
    <t>PF 4</t>
  </si>
  <si>
    <t>PF 5</t>
  </si>
  <si>
    <t xml:space="preserve">Restating </t>
  </si>
  <si>
    <t>Gas Results of Operations</t>
  </si>
  <si>
    <t>(a)</t>
  </si>
  <si>
    <t>Results</t>
  </si>
  <si>
    <t>(b)</t>
  </si>
  <si>
    <t>(c)</t>
  </si>
  <si>
    <t>(e)</t>
  </si>
  <si>
    <t>Source</t>
  </si>
  <si>
    <t>(000'S of Dollars)</t>
  </si>
  <si>
    <t xml:space="preserve">Total </t>
  </si>
  <si>
    <t>Restating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</si>
  <si>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</si>
  <si>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</si>
  <si>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</si>
  <si>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</si>
  <si>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</si>
  <si>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</si>
  <si>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</si>
  <si>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</si>
  <si>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</si>
  <si>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</si>
  <si>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</si>
  <si>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</si>
  <si>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</si>
  <si>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</si>
  <si>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</si>
  <si>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</si>
  <si>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</si>
  <si>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</si>
  <si>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Orginal Column Headings</t>
  </si>
  <si>
    <t>Schedule 1.2</t>
  </si>
  <si>
    <t>Rates</t>
  </si>
  <si>
    <t>(f)</t>
  </si>
  <si>
    <t>(g)</t>
  </si>
  <si>
    <t>(000's of Dollars)</t>
  </si>
  <si>
    <t>Unadjusted</t>
  </si>
  <si>
    <t>(h)</t>
  </si>
  <si>
    <t>(i)</t>
  </si>
  <si>
    <t>Staff</t>
  </si>
  <si>
    <t>at Staff</t>
  </si>
  <si>
    <t>(b) + (c)</t>
  </si>
  <si>
    <t>Schedule 1.3</t>
  </si>
  <si>
    <t>(e) + (f)</t>
  </si>
  <si>
    <t>(g) + (h)</t>
  </si>
  <si>
    <t>(Blue Text indicates Linked Cell)</t>
  </si>
  <si>
    <t>(A)</t>
  </si>
  <si>
    <t>(B)</t>
  </si>
  <si>
    <t>(C)</t>
  </si>
  <si>
    <t>(D)</t>
  </si>
  <si>
    <t>Weighted Cost of Debt</t>
  </si>
  <si>
    <t>Ln 6 * Ln 9</t>
  </si>
  <si>
    <t>Pro Forma Interest Expense</t>
  </si>
  <si>
    <t>Interest Expense Per Books</t>
  </si>
  <si>
    <t>Ln 10 - Ln 12</t>
  </si>
  <si>
    <t>Adjustment to Interest Expense</t>
  </si>
  <si>
    <t>WUTC Regulatory Fee</t>
  </si>
  <si>
    <t>Uncollectables</t>
  </si>
  <si>
    <t>Total Revenue Sensitive Items</t>
  </si>
  <si>
    <t>Total adjustments</t>
  </si>
  <si>
    <t>Revenue Requirement Computation</t>
  </si>
  <si>
    <t>Weighted Cost of Capital</t>
  </si>
  <si>
    <t>Operating Income Requirement</t>
  </si>
  <si>
    <t>ln 3 * ln 2</t>
  </si>
  <si>
    <t>Pro Forma Net Operating Income (Loss)</t>
  </si>
  <si>
    <t>Operating Income Deficiency</t>
  </si>
  <si>
    <t>Additional Revenue Requirement</t>
  </si>
  <si>
    <t>of Total</t>
  </si>
  <si>
    <t>Utility Revenue Tax</t>
  </si>
  <si>
    <t>At</t>
  </si>
  <si>
    <t>ln 12 / ln 14</t>
  </si>
  <si>
    <t>RESULT OF OPERATIONS</t>
  </si>
  <si>
    <t>Effective Income Tax Rate at 35%</t>
  </si>
  <si>
    <t>Net Operating Income before FIT</t>
  </si>
  <si>
    <t>Preferred Stock</t>
  </si>
  <si>
    <t>Common Stock</t>
  </si>
  <si>
    <t>Total Debt</t>
  </si>
  <si>
    <t>Natural Gas - Results of Operations</t>
  </si>
  <si>
    <t>Income Tax Effect</t>
  </si>
  <si>
    <t>-Ln 12 * 35%</t>
  </si>
  <si>
    <t>Avista Corporation</t>
  </si>
  <si>
    <t>Deferred Gain on Office Building</t>
  </si>
  <si>
    <t>Gas Inventory</t>
  </si>
  <si>
    <t xml:space="preserve">(000's of Dollars)   </t>
  </si>
  <si>
    <t>Federal Income Tax Calculation</t>
  </si>
  <si>
    <t xml:space="preserve">  Revenues</t>
  </si>
  <si>
    <t xml:space="preserve">  Expenses</t>
  </si>
  <si>
    <t xml:space="preserve">  Interest Expense</t>
  </si>
  <si>
    <t xml:space="preserve">  Tax Depreciation</t>
  </si>
  <si>
    <t xml:space="preserve">  Total Sch M Deductions</t>
  </si>
  <si>
    <t xml:space="preserve">   Tax Rate </t>
  </si>
  <si>
    <t>Federal Income Tax</t>
  </si>
  <si>
    <t>Deferred Tax</t>
  </si>
  <si>
    <t xml:space="preserve">  Miscellaneous</t>
  </si>
  <si>
    <t>SCHEDULE M ADDITIONS</t>
  </si>
  <si>
    <t>SCHEDULE M DEDUCTIONS</t>
  </si>
  <si>
    <t xml:space="preserve">   Total Sch M Additions</t>
  </si>
  <si>
    <r>
      <t>Taxable Income (</t>
    </r>
    <r>
      <rPr>
        <sz val="8"/>
        <rFont val="Times New Roman"/>
        <family val="1"/>
      </rPr>
      <t>Ln 1 thru Ln 3)+ Ln 10 - Ln 15</t>
    </r>
  </si>
  <si>
    <t>Total Regulatory Federal Income Tax</t>
  </si>
  <si>
    <t>INCOME TAX COMPUTATION</t>
  </si>
  <si>
    <t xml:space="preserve">Deferred Gas Credit and Refunds </t>
  </si>
  <si>
    <t>Book Depreciation</t>
  </si>
  <si>
    <t>Other</t>
  </si>
  <si>
    <r>
      <t>Taxable Income (</t>
    </r>
    <r>
      <rPr>
        <sz val="8"/>
        <rFont val="Times New Roman"/>
        <family val="1"/>
      </rPr>
      <t>Ln 3 thru Ln 5)+ Ln 10 - Ln 15</t>
    </r>
  </si>
  <si>
    <t>Book Income before Income Taxes</t>
  </si>
  <si>
    <t>Tax Depreciation</t>
  </si>
  <si>
    <t>Ln 6 thru Ln 8</t>
  </si>
  <si>
    <t>Ln 4 - Ln 9</t>
  </si>
  <si>
    <t>35% * Ln 11</t>
  </si>
  <si>
    <t>Ln 9 + Ln 13</t>
  </si>
  <si>
    <t>1-(Ln 14 / Ln 4)</t>
  </si>
  <si>
    <t>Amount filed</t>
  </si>
  <si>
    <t>Difference</t>
  </si>
  <si>
    <t>Revenue Requirement</t>
  </si>
  <si>
    <t>Revenue Requirement Impact</t>
  </si>
  <si>
    <t>NOI</t>
  </si>
  <si>
    <t>Net Rate Base</t>
  </si>
  <si>
    <t>Adj. No.</t>
  </si>
  <si>
    <t>Per Books</t>
  </si>
  <si>
    <t>Customer Advances</t>
  </si>
  <si>
    <t>Eliminate B &amp; O Taxes</t>
  </si>
  <si>
    <t>Property Tax</t>
  </si>
  <si>
    <t>Uncollect. Expense</t>
  </si>
  <si>
    <t>Regulatory Expense</t>
  </si>
  <si>
    <t>Injuries and  Damages</t>
  </si>
  <si>
    <t>Eliminate A/R Expenses</t>
  </si>
  <si>
    <t>R-19</t>
  </si>
  <si>
    <t>Restate Excise Taxes</t>
  </si>
  <si>
    <t>R-20</t>
  </si>
  <si>
    <t>R-21</t>
  </si>
  <si>
    <t>R-22</t>
  </si>
  <si>
    <t>R-23</t>
  </si>
  <si>
    <t>R-24</t>
  </si>
  <si>
    <t>Total Restating Adjustments</t>
  </si>
  <si>
    <t xml:space="preserve">Restated </t>
  </si>
  <si>
    <t>Pro Forma Adjustments</t>
  </si>
  <si>
    <t>PF-1</t>
  </si>
  <si>
    <t>PF-2</t>
  </si>
  <si>
    <t>PF-3</t>
  </si>
  <si>
    <t>PF-4</t>
  </si>
  <si>
    <t>PF-5</t>
  </si>
  <si>
    <t>PF-7</t>
  </si>
  <si>
    <t>PF-8</t>
  </si>
  <si>
    <t>PF-9</t>
  </si>
  <si>
    <t>PF-10</t>
  </si>
  <si>
    <t>Total Pro Forma Adjustments</t>
  </si>
  <si>
    <t>Pro Forma Results</t>
  </si>
  <si>
    <t>Rate of Return / Capital Structure Impact</t>
  </si>
  <si>
    <t>RCF</t>
  </si>
  <si>
    <t>AQ(AP-SP)</t>
  </si>
  <si>
    <t>Co. RB(Co.ROR-SROR)</t>
  </si>
  <si>
    <t>Price Variance</t>
  </si>
  <si>
    <t>SP(AQ-SQ)</t>
  </si>
  <si>
    <t>Staff ROR(CoRB-SRB)</t>
  </si>
  <si>
    <t>Vol Variance</t>
  </si>
  <si>
    <t>(d)</t>
  </si>
  <si>
    <t>Impact</t>
  </si>
  <si>
    <t>Impact *</t>
  </si>
  <si>
    <t>(g)-(d)</t>
  </si>
  <si>
    <t xml:space="preserve"> Impact of Change in Weighted Cost of Capital</t>
  </si>
  <si>
    <t>Adjusted Revenue Requirement</t>
  </si>
  <si>
    <t>* Revenue Requirement Impact of adjustments based on company filed Weighted Cost of Capital of 9.39%</t>
  </si>
  <si>
    <t>Staff Weighted Cost of Capital</t>
  </si>
  <si>
    <t>Avista Filed Weighted Cost of Capital</t>
  </si>
  <si>
    <t>Reduction in Weighted Cost of Capital</t>
  </si>
  <si>
    <t>Staff Adjusted Rate Base</t>
  </si>
  <si>
    <t>Conversion Factor</t>
  </si>
  <si>
    <t>Deferred FIT Rate Base</t>
  </si>
  <si>
    <t>Weatherization and DSM Investment</t>
  </si>
  <si>
    <t>Revenue Normalization &amp; Gas Cost Adj</t>
  </si>
  <si>
    <t>Net Gains/ Losses</t>
  </si>
  <si>
    <t>Office Space Charges to Subs</t>
  </si>
  <si>
    <t>PF 7</t>
  </si>
  <si>
    <t>Labor Executive</t>
  </si>
  <si>
    <t>Labor Non-Executive</t>
  </si>
  <si>
    <t>Hidden</t>
  </si>
  <si>
    <t>Total Pro Forma Rate Base</t>
  </si>
  <si>
    <t>R-1 (c)</t>
  </si>
  <si>
    <t>R-2 (d)</t>
  </si>
  <si>
    <t>R-3 (e)</t>
  </si>
  <si>
    <t>R-4 (f)</t>
  </si>
  <si>
    <t>R-5 (g)</t>
  </si>
  <si>
    <t>R-6 (h)</t>
  </si>
  <si>
    <t>R-7 (i)</t>
  </si>
  <si>
    <t>R-8 (j)</t>
  </si>
  <si>
    <t>R-9 (k)</t>
  </si>
  <si>
    <t>R-10 (l)</t>
  </si>
  <si>
    <t>R-11 (m)</t>
  </si>
  <si>
    <t>R-12 (n)</t>
  </si>
  <si>
    <t>R-13 (o)</t>
  </si>
  <si>
    <t>R-14 (p)</t>
  </si>
  <si>
    <t>R-15 (q)</t>
  </si>
  <si>
    <t>R-16 (r)</t>
  </si>
  <si>
    <t>R-17 (s)</t>
  </si>
  <si>
    <t>R-18 (t)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</si>
  <si>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</si>
  <si>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</si>
  <si>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</si>
  <si>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</si>
  <si>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</si>
  <si>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</si>
  <si>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</si>
  <si>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</si>
  <si>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</si>
  <si>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</si>
  <si>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</si>
  <si>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Restate Debt Interest **</t>
  </si>
  <si>
    <t>** Pro Forma Debt is computed using Staff proposed debt rates and Staff Pro Forma Rate Base</t>
  </si>
  <si>
    <t>Linked Data</t>
  </si>
  <si>
    <t>CUSTOMER DEPOSITS</t>
  </si>
  <si>
    <t>Linked data</t>
  </si>
  <si>
    <t>% Increase in Revenue</t>
  </si>
  <si>
    <t>$  Increase in Revenue</t>
  </si>
  <si>
    <t>Exhibit ___ (DPK-3)</t>
  </si>
  <si>
    <t>Linked</t>
  </si>
  <si>
    <t>Pro Forma Rate Base</t>
  </si>
  <si>
    <t>ln 9 - ln 11</t>
  </si>
  <si>
    <t>Schedule for the Computation of Revenue Conversion Factor</t>
  </si>
  <si>
    <t>Natural Gas Operations</t>
  </si>
  <si>
    <t>Pro Forma Capital Structure and Cost of Captial</t>
  </si>
  <si>
    <t>Sensitivity</t>
  </si>
  <si>
    <t>per 10 bp</t>
  </si>
  <si>
    <t>Pg 1, Ln 64 Col (f)</t>
  </si>
  <si>
    <t>Pg 9, Ln 9</t>
  </si>
  <si>
    <t>Pg 8, Ln 16</t>
  </si>
  <si>
    <t>ln 17 - ln 19</t>
  </si>
  <si>
    <t>Pg 1, Ln 45 Col (f)</t>
  </si>
  <si>
    <t>Pro Forma Interest Adjustment</t>
  </si>
  <si>
    <t>Exhibit ___ (DPK-3) Pg 1, Ln 64 Col (f)</t>
  </si>
  <si>
    <t>Exhibit ___ (DPK-3) Pg 9, Ln 17</t>
  </si>
  <si>
    <t xml:space="preserve">Depreciation </t>
  </si>
  <si>
    <t>True-up</t>
  </si>
  <si>
    <t>(u)</t>
  </si>
  <si>
    <t>JP Storage</t>
  </si>
  <si>
    <t>Captial Add</t>
  </si>
  <si>
    <t>Depreciation True-up</t>
  </si>
  <si>
    <t>R-19 (u)</t>
  </si>
  <si>
    <t>Public Utility Tax Rate</t>
  </si>
  <si>
    <t>Uncollectable</t>
  </si>
  <si>
    <t>Uncollectable effect</t>
  </si>
  <si>
    <t>Net PU Tax Rate</t>
  </si>
  <si>
    <t>Customer</t>
  </si>
  <si>
    <t>Deposit</t>
  </si>
  <si>
    <t>Staff Adjusted</t>
  </si>
  <si>
    <t xml:space="preserve">Capital Structure </t>
  </si>
  <si>
    <t xml:space="preserve">Cost of Capital  </t>
  </si>
  <si>
    <t>Avista Adjusted</t>
  </si>
  <si>
    <t>Capital Add 2008</t>
  </si>
  <si>
    <t>Gas Operations</t>
  </si>
  <si>
    <t>DR</t>
  </si>
  <si>
    <t>Restating Adjustment R-19</t>
  </si>
  <si>
    <t>Impact of Change in Weighted Cost of Capital</t>
  </si>
  <si>
    <t>PF-6</t>
  </si>
  <si>
    <t xml:space="preserve">Customer Deposits </t>
  </si>
  <si>
    <t>AFUDC deducted in filing but not in case</t>
  </si>
  <si>
    <t xml:space="preserve"> Rate Base</t>
  </si>
  <si>
    <t>EMA-3 (b)</t>
  </si>
  <si>
    <t>Misc Restating</t>
  </si>
  <si>
    <t>Services</t>
  </si>
  <si>
    <t xml:space="preserve">Information </t>
  </si>
  <si>
    <t>PF 8</t>
  </si>
  <si>
    <t>PF 9</t>
  </si>
  <si>
    <t>PF 10</t>
  </si>
  <si>
    <t>PF 11</t>
  </si>
  <si>
    <t>Insurance</t>
  </si>
  <si>
    <t>Employee</t>
  </si>
  <si>
    <t>Benefits</t>
  </si>
  <si>
    <t>Asset</t>
  </si>
  <si>
    <t>Management</t>
  </si>
  <si>
    <t>Asset Management</t>
  </si>
  <si>
    <t>Employee Benefits</t>
  </si>
  <si>
    <t>Misc Restating Adjustments</t>
  </si>
  <si>
    <t>Capital Add 2009</t>
  </si>
  <si>
    <t>Information Services</t>
  </si>
  <si>
    <t>Rev Requirement Impact</t>
  </si>
  <si>
    <t>Twelve Months Ended September 30, 2008</t>
  </si>
  <si>
    <t>Board of Dir</t>
  </si>
  <si>
    <t>Meeting Costs</t>
  </si>
  <si>
    <t>Board of Directors Meetings</t>
  </si>
  <si>
    <t>2008 / EOP</t>
  </si>
  <si>
    <t xml:space="preserve">Total Interest Deducted </t>
  </si>
  <si>
    <t>C</t>
  </si>
  <si>
    <r>
      <t>Andrews Workpapers Gas - Sch. U</t>
    </r>
    <r>
      <rPr>
        <sz val="8"/>
        <color theme="0"/>
        <rFont val="Times New Roman"/>
        <family val="1"/>
      </rPr>
      <t>2</t>
    </r>
  </si>
  <si>
    <t>Natural Gas - Results of Operations (Schedule 1.1)</t>
  </si>
  <si>
    <t>Washington Restating Adjustments (Schedule 1.2)</t>
  </si>
  <si>
    <t xml:space="preserve"> Pro Forma Adjustments (Schedule 1.3)</t>
  </si>
  <si>
    <t>Summary of Adjustments - Gas Operations (Schedule 1.4)</t>
  </si>
  <si>
    <t>Revenue Requirement Computation (Schedule 2)</t>
  </si>
  <si>
    <t>Revenue Conversion Factor (Schedule 3)</t>
  </si>
  <si>
    <t>Pro Forma Capital Structure and Cost of Captial (Schedule 4)</t>
  </si>
  <si>
    <t>Pro Forma Interest Adjustment (Schedule 5)</t>
  </si>
  <si>
    <t>Staff Proposed</t>
  </si>
  <si>
    <t>* Settlement</t>
  </si>
  <si>
    <t>Revised for Settlement and Accepted Rebuttal Corrections</t>
  </si>
  <si>
    <t>RESPONSE TO BENCH REQUEST #2 Supplemental</t>
  </si>
  <si>
    <t xml:space="preserve">Revised </t>
  </si>
  <si>
    <t>Revised</t>
  </si>
  <si>
    <t>Highlighted - Settlement</t>
  </si>
  <si>
    <t>Avista Settlement - Capital Structure</t>
  </si>
  <si>
    <t>Staff Settlement - Capital Structure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</si>
</sst>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#,##0\ ;\(#,##0\)"/>
    <numFmt numFmtId="165" formatCode="#,###_);\(#,###\)"/>
    <numFmt numFmtId="166" formatCode="_(&quot;$&quot;#,###_);_(&quot;$&quot;\ \(#,###\);_(* _);_(@_)"/>
    <numFmt numFmtId="167" formatCode="0.000000"/>
    <numFmt numFmtId="168" formatCode="0.000%"/>
    <numFmt numFmtId="169" formatCode="_(* #,##0_);_(* \(#,##0\);_(* &quot;-&quot;??_);_(@_)"/>
    <numFmt numFmtId="170" formatCode="0.00000"/>
    <numFmt numFmtId="171" formatCode="0.00%;\(0.00%\)"/>
    <numFmt numFmtId="172" formatCode="_(* #,##0.00_);_(* \(#,##0.00\);_(* &quot;-&quot;_);_(@_)"/>
    <numFmt numFmtId="173" formatCode="#,##0.000_);\(#,##0.000\)"/>
    <numFmt numFmtId="174" formatCode="0.0000%"/>
    <numFmt numFmtId="175" formatCode="#,###_);\(#,###\)\,\ "/>
    <numFmt numFmtId="176" formatCode="0.00000%"/>
    <numFmt numFmtId="177" formatCode="&quot;Increase of&quot;\ 0.00%"/>
    <numFmt numFmtId="178" formatCode="#,##0.000000_);\(#,##0.000000\)"/>
    <numFmt numFmtId="179" formatCode="#,###_);\(#,###\)\ "/>
  </numFmts>
  <fonts count="44">
    <font>
      <sz val="9"/>
      <name val="Times New Roman"/>
      <family val="1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Calisto MT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u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175" fontId="0" fillId="0" borderId="0"/>
    <xf numFmtId="41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4" fontId="16" fillId="0" borderId="0"/>
    <xf numFmtId="37" fontId="17" fillId="0" borderId="0"/>
    <xf numFmtId="0" fontId="18" fillId="0" borderId="0"/>
    <xf numFmtId="41" fontId="1" fillId="0" borderId="0"/>
    <xf numFmtId="0" fontId="2" fillId="0" borderId="0"/>
    <xf numFmtId="0" fontId="2" fillId="0" borderId="0"/>
    <xf numFmtId="41" fontId="16" fillId="0" borderId="0"/>
    <xf numFmtId="0" fontId="18" fillId="0" borderId="0"/>
    <xf numFmtId="37" fontId="17" fillId="0" borderId="0"/>
    <xf numFmtId="0" fontId="2" fillId="0" borderId="0"/>
    <xf numFmtId="175" fontId="2" fillId="0" borderId="0"/>
    <xf numFmtId="175" fontId="2" fillId="0" borderId="0"/>
    <xf numFmtId="9" fontId="1" fillId="0" borderId="0" applyFont="0" applyFill="0" applyBorder="0" applyAlignment="0" applyProtection="0"/>
    <xf numFmtId="10" fontId="16" fillId="0" borderId="0" applyFont="0" applyFill="0" applyBorder="0" applyAlignment="0" applyProtection="0"/>
    <xf numFmtId="14" fontId="6" fillId="0" borderId="0"/>
    <xf numFmtId="41" fontId="3" fillId="0" borderId="0"/>
    <xf numFmtId="14" fontId="6" fillId="0" borderId="0"/>
    <xf numFmtId="14" fontId="6" fillId="0" borderId="0"/>
    <xf numFmtId="0" fontId="31" fillId="0" borderId="0"/>
    <xf numFmtId="9" fontId="31" fillId="0" borderId="0" applyFont="0" applyFill="0" applyBorder="0" applyAlignment="0" applyProtection="0"/>
    <xf numFmtId="37" fontId="17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37" fontId="17" fillId="0" borderId="0"/>
    <xf numFmtId="14" fontId="6" fillId="0" borderId="0"/>
    <xf numFmtId="14" fontId="6" fillId="0" borderId="0"/>
    <xf numFmtId="14" fontId="6" fillId="0" borderId="0"/>
    <xf numFmtId="37" fontId="17" fillId="0" borderId="0"/>
    <xf numFmtId="14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2">
    <xf numFmtId="175" fontId="0" fillId="0" borderId="0" xfId="0"/>
    <xf numFmtId="0" fontId="3" fillId="0" borderId="0" xfId="13" applyNumberFormat="1" applyFont="1" applyAlignment="1">
      <alignment horizontal="left"/>
    </xf>
    <xf numFmtId="175" fontId="3" fillId="0" borderId="0" xfId="13" applyFont="1"/>
    <xf numFmtId="0" fontId="4" fillId="0" borderId="0" xfId="13" applyNumberFormat="1" applyFont="1" applyAlignment="1">
      <alignment horizontal="center"/>
    </xf>
    <xf numFmtId="175" fontId="4" fillId="0" borderId="0" xfId="13" applyFont="1" applyAlignment="1">
      <alignment horizontal="center"/>
    </xf>
    <xf numFmtId="175" fontId="4" fillId="0" borderId="0" xfId="13" applyFont="1" applyBorder="1" applyAlignment="1">
      <alignment horizontal="center"/>
    </xf>
    <xf numFmtId="175" fontId="4" fillId="0" borderId="1" xfId="13" applyFont="1" applyBorder="1" applyAlignment="1">
      <alignment horizontal="center"/>
    </xf>
    <xf numFmtId="175" fontId="3" fillId="0" borderId="0" xfId="13" applyFont="1" applyAlignment="1">
      <alignment horizontal="center"/>
    </xf>
    <xf numFmtId="0" fontId="3" fillId="0" borderId="0" xfId="13" applyNumberFormat="1" applyFont="1" applyAlignment="1">
      <alignment horizontal="center"/>
    </xf>
    <xf numFmtId="5" fontId="3" fillId="0" borderId="0" xfId="13" applyNumberFormat="1" applyFont="1"/>
    <xf numFmtId="37" fontId="3" fillId="0" borderId="0" xfId="13" applyNumberFormat="1" applyFont="1"/>
    <xf numFmtId="37" fontId="3" fillId="0" borderId="0" xfId="13" applyNumberFormat="1" applyFont="1" applyBorder="1"/>
    <xf numFmtId="175" fontId="3" fillId="0" borderId="0" xfId="13" applyFont="1" applyBorder="1"/>
    <xf numFmtId="5" fontId="3" fillId="0" borderId="0" xfId="8" applyNumberFormat="1" applyFont="1" applyFill="1"/>
    <xf numFmtId="10" fontId="3" fillId="0" borderId="0" xfId="15" applyNumberFormat="1" applyFont="1" applyFill="1"/>
    <xf numFmtId="165" fontId="3" fillId="0" borderId="1" xfId="8" applyNumberFormat="1" applyFont="1" applyFill="1" applyBorder="1"/>
    <xf numFmtId="166" fontId="3" fillId="0" borderId="0" xfId="8" applyNumberFormat="1" applyFont="1" applyFill="1"/>
    <xf numFmtId="175" fontId="2" fillId="0" borderId="0" xfId="13" applyFont="1"/>
    <xf numFmtId="175" fontId="9" fillId="0" borderId="0" xfId="0" applyFont="1"/>
    <xf numFmtId="3" fontId="3" fillId="0" borderId="0" xfId="13" applyNumberFormat="1" applyFont="1"/>
    <xf numFmtId="37" fontId="3" fillId="0" borderId="1" xfId="13" applyNumberFormat="1" applyFont="1" applyBorder="1"/>
    <xf numFmtId="5" fontId="3" fillId="0" borderId="2" xfId="13" applyNumberFormat="1" applyFont="1" applyBorder="1"/>
    <xf numFmtId="37" fontId="3" fillId="0" borderId="6" xfId="13" applyNumberFormat="1" applyFont="1" applyBorder="1"/>
    <xf numFmtId="166" fontId="3" fillId="0" borderId="0" xfId="13" applyNumberFormat="1" applyFont="1"/>
    <xf numFmtId="3" fontId="4" fillId="0" borderId="0" xfId="13" applyNumberFormat="1" applyFont="1"/>
    <xf numFmtId="3" fontId="3" fillId="0" borderId="0" xfId="13" applyNumberFormat="1" applyFont="1" applyFill="1" applyBorder="1"/>
    <xf numFmtId="37" fontId="3" fillId="0" borderId="14" xfId="13" applyNumberFormat="1" applyFont="1" applyBorder="1"/>
    <xf numFmtId="166" fontId="3" fillId="0" borderId="1" xfId="8" applyNumberFormat="1" applyFont="1" applyFill="1" applyBorder="1"/>
    <xf numFmtId="166" fontId="4" fillId="0" borderId="0" xfId="8" applyNumberFormat="1" applyFont="1" applyFill="1"/>
    <xf numFmtId="165" fontId="4" fillId="0" borderId="0" xfId="8" applyNumberFormat="1" applyFont="1" applyFill="1"/>
    <xf numFmtId="165" fontId="4" fillId="0" borderId="1" xfId="8" applyNumberFormat="1" applyFont="1" applyFill="1" applyBorder="1"/>
    <xf numFmtId="41" fontId="3" fillId="0" borderId="0" xfId="1" applyFont="1"/>
    <xf numFmtId="175" fontId="3" fillId="3" borderId="0" xfId="13" applyFont="1" applyFill="1"/>
    <xf numFmtId="0" fontId="3" fillId="3" borderId="0" xfId="13" applyNumberFormat="1" applyFont="1" applyFill="1" applyAlignment="1">
      <alignment horizontal="center"/>
    </xf>
    <xf numFmtId="3" fontId="3" fillId="3" borderId="0" xfId="13" applyNumberFormat="1" applyFont="1" applyFill="1"/>
    <xf numFmtId="3" fontId="4" fillId="3" borderId="0" xfId="13" applyNumberFormat="1" applyFont="1" applyFill="1"/>
    <xf numFmtId="175" fontId="2" fillId="3" borderId="0" xfId="13" applyFont="1" applyFill="1"/>
    <xf numFmtId="175" fontId="4" fillId="3" borderId="0" xfId="13" applyFont="1" applyFill="1" applyAlignment="1">
      <alignment horizontal="center"/>
    </xf>
    <xf numFmtId="175" fontId="3" fillId="3" borderId="0" xfId="13" applyFont="1" applyFill="1" applyAlignment="1">
      <alignment horizontal="center"/>
    </xf>
    <xf numFmtId="5" fontId="3" fillId="3" borderId="0" xfId="13" applyNumberFormat="1" applyFont="1" applyFill="1"/>
    <xf numFmtId="175" fontId="3" fillId="3" borderId="0" xfId="13" applyFont="1" applyFill="1" applyBorder="1"/>
    <xf numFmtId="0" fontId="3" fillId="0" borderId="10" xfId="13" applyNumberFormat="1" applyFont="1" applyBorder="1" applyAlignment="1">
      <alignment horizontal="center"/>
    </xf>
    <xf numFmtId="0" fontId="3" fillId="0" borderId="8" xfId="13" applyNumberFormat="1" applyFont="1" applyBorder="1" applyAlignment="1">
      <alignment horizontal="center"/>
    </xf>
    <xf numFmtId="41" fontId="3" fillId="0" borderId="0" xfId="1" applyFont="1" applyFill="1"/>
    <xf numFmtId="41" fontId="3" fillId="0" borderId="1" xfId="1" applyFont="1" applyFill="1" applyBorder="1"/>
    <xf numFmtId="41" fontId="3" fillId="0" borderId="1" xfId="1" applyFont="1" applyBorder="1"/>
    <xf numFmtId="41" fontId="3" fillId="0" borderId="2" xfId="1" applyFont="1" applyBorder="1"/>
    <xf numFmtId="41" fontId="3" fillId="0" borderId="6" xfId="1" applyFont="1" applyBorder="1"/>
    <xf numFmtId="41" fontId="3" fillId="0" borderId="0" xfId="1" applyFont="1" applyBorder="1"/>
    <xf numFmtId="0" fontId="4" fillId="0" borderId="0" xfId="13" applyNumberFormat="1" applyFont="1" applyBorder="1" applyAlignment="1">
      <alignment horizontal="center"/>
    </xf>
    <xf numFmtId="3" fontId="4" fillId="0" borderId="0" xfId="13" applyNumberFormat="1" applyFont="1" applyBorder="1" applyAlignment="1">
      <alignment horizontal="center"/>
    </xf>
    <xf numFmtId="0" fontId="4" fillId="0" borderId="1" xfId="13" applyNumberFormat="1" applyFont="1" applyBorder="1" applyAlignment="1">
      <alignment horizontal="center"/>
    </xf>
    <xf numFmtId="3" fontId="4" fillId="0" borderId="1" xfId="13" applyNumberFormat="1" applyFont="1" applyBorder="1" applyAlignment="1">
      <alignment horizontal="center"/>
    </xf>
    <xf numFmtId="3" fontId="3" fillId="0" borderId="10" xfId="13" applyNumberFormat="1" applyFont="1" applyBorder="1"/>
    <xf numFmtId="166" fontId="3" fillId="0" borderId="10" xfId="13" applyNumberFormat="1" applyFont="1" applyBorder="1"/>
    <xf numFmtId="37" fontId="3" fillId="0" borderId="10" xfId="13" applyNumberFormat="1" applyFont="1" applyBorder="1"/>
    <xf numFmtId="37" fontId="3" fillId="0" borderId="12" xfId="13" applyNumberFormat="1" applyFont="1" applyBorder="1"/>
    <xf numFmtId="5" fontId="3" fillId="0" borderId="17" xfId="13" applyNumberFormat="1" applyFont="1" applyBorder="1"/>
    <xf numFmtId="37" fontId="3" fillId="0" borderId="8" xfId="13" applyNumberFormat="1" applyFont="1" applyBorder="1"/>
    <xf numFmtId="41" fontId="4" fillId="0" borderId="0" xfId="9" applyFont="1" applyAlignment="1">
      <alignment horizontal="center"/>
    </xf>
    <xf numFmtId="3" fontId="4" fillId="0" borderId="1" xfId="13" applyNumberFormat="1" applyFont="1" applyFill="1" applyBorder="1" applyAlignment="1">
      <alignment horizontal="center"/>
    </xf>
    <xf numFmtId="3" fontId="3" fillId="0" borderId="1" xfId="13" applyNumberFormat="1" applyFont="1" applyBorder="1" applyAlignment="1">
      <alignment horizontal="center"/>
    </xf>
    <xf numFmtId="3" fontId="3" fillId="3" borderId="0" xfId="13" applyNumberFormat="1" applyFont="1" applyFill="1" applyAlignment="1">
      <alignment horizontal="right"/>
    </xf>
    <xf numFmtId="175" fontId="4" fillId="0" borderId="14" xfId="13" applyFont="1" applyBorder="1" applyAlignment="1">
      <alignment horizontal="center"/>
    </xf>
    <xf numFmtId="3" fontId="3" fillId="0" borderId="14" xfId="13" applyNumberFormat="1" applyFont="1" applyBorder="1" applyAlignment="1">
      <alignment horizontal="center"/>
    </xf>
    <xf numFmtId="3" fontId="3" fillId="0" borderId="14" xfId="13" applyNumberFormat="1" applyFont="1" applyFill="1" applyBorder="1" applyAlignment="1">
      <alignment horizontal="center"/>
    </xf>
    <xf numFmtId="175" fontId="3" fillId="0" borderId="14" xfId="13" applyFont="1" applyBorder="1" applyAlignment="1">
      <alignment horizontal="center"/>
    </xf>
    <xf numFmtId="5" fontId="3" fillId="0" borderId="0" xfId="1" applyNumberFormat="1" applyFont="1" applyFill="1"/>
    <xf numFmtId="3" fontId="3" fillId="3" borderId="0" xfId="13" applyNumberFormat="1" applyFont="1" applyFill="1" applyBorder="1"/>
    <xf numFmtId="3" fontId="14" fillId="0" borderId="13" xfId="13" applyNumberFormat="1" applyFont="1" applyBorder="1" applyAlignment="1">
      <alignment horizontal="center"/>
    </xf>
    <xf numFmtId="175" fontId="14" fillId="0" borderId="14" xfId="13" applyFont="1" applyBorder="1" applyAlignment="1">
      <alignment horizontal="right"/>
    </xf>
    <xf numFmtId="3" fontId="14" fillId="0" borderId="14" xfId="13" applyNumberFormat="1" applyFont="1" applyBorder="1" applyAlignment="1">
      <alignment horizontal="center"/>
    </xf>
    <xf numFmtId="3" fontId="5" fillId="0" borderId="15" xfId="13" applyNumberFormat="1" applyFont="1" applyBorder="1" applyAlignment="1">
      <alignment horizontal="center"/>
    </xf>
    <xf numFmtId="37" fontId="17" fillId="4" borderId="0" xfId="11" applyFill="1"/>
    <xf numFmtId="37" fontId="17" fillId="0" borderId="0" xfId="11"/>
    <xf numFmtId="41" fontId="19" fillId="4" borderId="0" xfId="9" applyFont="1" applyFill="1"/>
    <xf numFmtId="169" fontId="17" fillId="4" borderId="0" xfId="2" applyNumberFormat="1" applyFont="1" applyFill="1"/>
    <xf numFmtId="41" fontId="13" fillId="4" borderId="0" xfId="9" applyFont="1" applyFill="1"/>
    <xf numFmtId="169" fontId="17" fillId="0" borderId="0" xfId="2" applyNumberFormat="1" applyFont="1"/>
    <xf numFmtId="37" fontId="10" fillId="0" borderId="0" xfId="11" applyFont="1" applyAlignment="1"/>
    <xf numFmtId="41" fontId="15" fillId="0" borderId="0" xfId="9" applyFont="1" applyAlignment="1">
      <alignment horizontal="left"/>
    </xf>
    <xf numFmtId="37" fontId="15" fillId="0" borderId="0" xfId="11" applyFont="1"/>
    <xf numFmtId="37" fontId="20" fillId="0" borderId="0" xfId="11" applyFont="1"/>
    <xf numFmtId="41" fontId="16" fillId="0" borderId="0" xfId="9"/>
    <xf numFmtId="14" fontId="17" fillId="0" borderId="0" xfId="11" applyNumberFormat="1"/>
    <xf numFmtId="41" fontId="8" fillId="0" borderId="0" xfId="9" applyFont="1"/>
    <xf numFmtId="41" fontId="7" fillId="0" borderId="0" xfId="9" applyFont="1" applyAlignment="1">
      <alignment horizontal="center"/>
    </xf>
    <xf numFmtId="37" fontId="16" fillId="0" borderId="10" xfId="9" applyNumberFormat="1" applyBorder="1" applyAlignment="1">
      <alignment horizontal="center"/>
    </xf>
    <xf numFmtId="41" fontId="16" fillId="0" borderId="0" xfId="9" applyBorder="1" applyAlignment="1">
      <alignment horizontal="center"/>
    </xf>
    <xf numFmtId="41" fontId="21" fillId="0" borderId="0" xfId="6" applyFont="1" applyAlignment="1">
      <alignment horizontal="center"/>
    </xf>
    <xf numFmtId="41" fontId="18" fillId="0" borderId="0" xfId="9" applyFont="1"/>
    <xf numFmtId="37" fontId="6" fillId="0" borderId="0" xfId="11" applyFont="1"/>
    <xf numFmtId="37" fontId="17" fillId="4" borderId="0" xfId="11" applyFill="1" applyBorder="1" applyAlignment="1">
      <alignment horizontal="center"/>
    </xf>
    <xf numFmtId="37" fontId="17" fillId="0" borderId="0" xfId="11" applyFont="1" applyBorder="1"/>
    <xf numFmtId="41" fontId="22" fillId="0" borderId="0" xfId="9" applyFont="1" applyAlignment="1">
      <alignment horizontal="center"/>
    </xf>
    <xf numFmtId="37" fontId="22" fillId="0" borderId="0" xfId="11" applyFont="1" applyAlignment="1">
      <alignment horizontal="right"/>
    </xf>
    <xf numFmtId="37" fontId="6" fillId="0" borderId="0" xfId="11" applyFont="1" applyBorder="1"/>
    <xf numFmtId="37" fontId="17" fillId="0" borderId="0" xfId="11" applyAlignment="1">
      <alignment horizontal="right"/>
    </xf>
    <xf numFmtId="37" fontId="19" fillId="0" borderId="1" xfId="11" applyFont="1" applyFill="1" applyBorder="1"/>
    <xf numFmtId="37" fontId="17" fillId="0" borderId="0" xfId="11" applyFill="1"/>
    <xf numFmtId="37" fontId="22" fillId="0" borderId="0" xfId="11" applyFont="1" applyFill="1" applyAlignment="1">
      <alignment horizontal="right"/>
    </xf>
    <xf numFmtId="37" fontId="17" fillId="0" borderId="2" xfId="11" applyBorder="1"/>
    <xf numFmtId="37" fontId="23" fillId="0" borderId="0" xfId="11" applyFont="1" applyAlignment="1">
      <alignment horizontal="left"/>
    </xf>
    <xf numFmtId="41" fontId="22" fillId="0" borderId="0" xfId="9" applyFont="1" applyAlignment="1">
      <alignment horizontal="centerContinuous"/>
    </xf>
    <xf numFmtId="41" fontId="22" fillId="0" borderId="1" xfId="9" applyFont="1" applyBorder="1" applyAlignment="1">
      <alignment horizontal="center"/>
    </xf>
    <xf numFmtId="10" fontId="17" fillId="0" borderId="0" xfId="16" applyFont="1"/>
    <xf numFmtId="0" fontId="18" fillId="4" borderId="0" xfId="5" applyFill="1"/>
    <xf numFmtId="0" fontId="18" fillId="0" borderId="0" xfId="5"/>
    <xf numFmtId="41" fontId="7" fillId="0" borderId="0" xfId="9" applyFont="1"/>
    <xf numFmtId="0" fontId="18" fillId="0" borderId="0" xfId="10"/>
    <xf numFmtId="41" fontId="15" fillId="0" borderId="0" xfId="9" applyFont="1"/>
    <xf numFmtId="37" fontId="22" fillId="0" borderId="0" xfId="11" applyFont="1" applyAlignment="1">
      <alignment horizontal="left"/>
    </xf>
    <xf numFmtId="0" fontId="25" fillId="0" borderId="0" xfId="5" applyFont="1" applyBorder="1" applyAlignment="1">
      <alignment horizontal="left"/>
    </xf>
    <xf numFmtId="0" fontId="17" fillId="0" borderId="0" xfId="5" applyFont="1" applyBorder="1" applyAlignment="1"/>
    <xf numFmtId="41" fontId="16" fillId="0" borderId="10" xfId="9" applyBorder="1" applyAlignment="1">
      <alignment horizontal="center"/>
    </xf>
    <xf numFmtId="0" fontId="18" fillId="0" borderId="0" xfId="5" applyBorder="1"/>
    <xf numFmtId="0" fontId="22" fillId="0" borderId="0" xfId="5" applyFont="1" applyAlignment="1">
      <alignment horizontal="center"/>
    </xf>
    <xf numFmtId="0" fontId="17" fillId="0" borderId="0" xfId="10" applyFont="1" applyFill="1" applyBorder="1" applyAlignment="1"/>
    <xf numFmtId="0" fontId="26" fillId="0" borderId="0" xfId="10" applyFont="1" applyFill="1" applyBorder="1" applyAlignment="1">
      <alignment horizontal="left"/>
    </xf>
    <xf numFmtId="0" fontId="26" fillId="0" borderId="0" xfId="10" applyFont="1" applyFill="1" applyBorder="1" applyAlignment="1">
      <alignment horizontal="right"/>
    </xf>
    <xf numFmtId="170" fontId="17" fillId="0" borderId="0" xfId="10" applyNumberFormat="1" applyFont="1" applyFill="1" applyBorder="1" applyAlignment="1"/>
    <xf numFmtId="0" fontId="17" fillId="0" borderId="0" xfId="10" applyFont="1" applyFill="1" applyBorder="1" applyAlignment="1">
      <alignment horizontal="center"/>
    </xf>
    <xf numFmtId="0" fontId="27" fillId="0" borderId="0" xfId="10" applyFont="1" applyFill="1" applyBorder="1" applyAlignment="1">
      <alignment horizontal="left"/>
    </xf>
    <xf numFmtId="0" fontId="22" fillId="0" borderId="0" xfId="10" applyFont="1" applyFill="1" applyBorder="1" applyAlignment="1">
      <alignment horizontal="right"/>
    </xf>
    <xf numFmtId="0" fontId="25" fillId="0" borderId="0" xfId="10" applyFont="1" applyFill="1" applyBorder="1" applyAlignment="1">
      <alignment horizontal="left"/>
    </xf>
    <xf numFmtId="0" fontId="6" fillId="0" borderId="0" xfId="10" applyFont="1" applyFill="1" applyBorder="1" applyAlignment="1">
      <alignment horizontal="center"/>
    </xf>
    <xf numFmtId="0" fontId="6" fillId="0" borderId="0" xfId="10" quotePrefix="1" applyFont="1" applyFill="1" applyBorder="1" applyAlignment="1">
      <alignment horizontal="center"/>
    </xf>
    <xf numFmtId="170" fontId="18" fillId="0" borderId="0" xfId="10" applyNumberFormat="1"/>
    <xf numFmtId="0" fontId="22" fillId="0" borderId="0" xfId="5" applyFont="1" applyBorder="1"/>
    <xf numFmtId="0" fontId="22" fillId="0" borderId="0" xfId="10" applyFont="1" applyFill="1" applyBorder="1" applyAlignment="1">
      <alignment horizontal="center"/>
    </xf>
    <xf numFmtId="0" fontId="17" fillId="0" borderId="0" xfId="10" applyFont="1" applyFill="1" applyBorder="1" applyAlignment="1">
      <alignment horizontal="right"/>
    </xf>
    <xf numFmtId="169" fontId="17" fillId="0" borderId="14" xfId="2" applyNumberFormat="1" applyFont="1" applyBorder="1" applyAlignment="1"/>
    <xf numFmtId="5" fontId="19" fillId="0" borderId="0" xfId="9" applyNumberFormat="1" applyFont="1" applyBorder="1" applyAlignment="1">
      <alignment horizontal="center"/>
    </xf>
    <xf numFmtId="10" fontId="19" fillId="0" borderId="0" xfId="16" applyFont="1" applyBorder="1"/>
    <xf numFmtId="37" fontId="6" fillId="0" borderId="0" xfId="11" applyFont="1" applyAlignment="1">
      <alignment horizontal="right"/>
    </xf>
    <xf numFmtId="37" fontId="17" fillId="4" borderId="0" xfId="11" applyFill="1" applyAlignment="1">
      <alignment horizontal="right"/>
    </xf>
    <xf numFmtId="37" fontId="7" fillId="0" borderId="0" xfId="11" applyFont="1" applyAlignment="1">
      <alignment horizontal="center"/>
    </xf>
    <xf numFmtId="1" fontId="16" fillId="0" borderId="10" xfId="9" applyNumberFormat="1" applyBorder="1" applyAlignment="1">
      <alignment horizontal="center"/>
    </xf>
    <xf numFmtId="37" fontId="24" fillId="0" borderId="0" xfId="11" applyFont="1" applyAlignment="1">
      <alignment horizontal="center"/>
    </xf>
    <xf numFmtId="10" fontId="17" fillId="0" borderId="0" xfId="16" applyFont="1" applyFill="1" applyAlignment="1">
      <alignment horizontal="center"/>
    </xf>
    <xf numFmtId="10" fontId="17" fillId="0" borderId="0" xfId="16" applyFont="1" applyFill="1"/>
    <xf numFmtId="37" fontId="8" fillId="0" borderId="0" xfId="11" applyFont="1" applyAlignment="1">
      <alignment horizontal="center"/>
    </xf>
    <xf numFmtId="37" fontId="17" fillId="0" borderId="1" xfId="11" applyBorder="1" applyAlignment="1">
      <alignment horizontal="center"/>
    </xf>
    <xf numFmtId="10" fontId="17" fillId="0" borderId="0" xfId="16" applyNumberFormat="1" applyFont="1"/>
    <xf numFmtId="169" fontId="22" fillId="0" borderId="0" xfId="2" applyNumberFormat="1" applyFont="1" applyAlignment="1">
      <alignment horizontal="right"/>
    </xf>
    <xf numFmtId="10" fontId="17" fillId="0" borderId="14" xfId="16" applyFont="1" applyBorder="1"/>
    <xf numFmtId="37" fontId="7" fillId="0" borderId="0" xfId="11" applyFont="1" applyAlignment="1">
      <alignment horizontal="left"/>
    </xf>
    <xf numFmtId="37" fontId="17" fillId="2" borderId="3" xfId="11" applyFill="1" applyBorder="1" applyAlignment="1">
      <alignment horizontal="center"/>
    </xf>
    <xf numFmtId="37" fontId="17" fillId="0" borderId="4" xfId="11" applyBorder="1"/>
    <xf numFmtId="37" fontId="17" fillId="0" borderId="18" xfId="11" applyBorder="1"/>
    <xf numFmtId="37" fontId="17" fillId="0" borderId="19" xfId="11" applyBorder="1"/>
    <xf numFmtId="10" fontId="3" fillId="0" borderId="2" xfId="15" applyNumberFormat="1" applyFont="1" applyBorder="1"/>
    <xf numFmtId="3" fontId="3" fillId="0" borderId="2" xfId="13" applyNumberFormat="1" applyFont="1" applyBorder="1"/>
    <xf numFmtId="5" fontId="3" fillId="0" borderId="9" xfId="13" applyNumberFormat="1" applyFont="1" applyBorder="1"/>
    <xf numFmtId="165" fontId="3" fillId="0" borderId="14" xfId="8" applyNumberFormat="1" applyFont="1" applyFill="1" applyBorder="1"/>
    <xf numFmtId="167" fontId="17" fillId="0" borderId="0" xfId="10" applyNumberFormat="1" applyFont="1" applyFill="1" applyBorder="1" applyAlignment="1"/>
    <xf numFmtId="174" fontId="17" fillId="0" borderId="0" xfId="15" applyNumberFormat="1" applyFont="1" applyFill="1" applyBorder="1" applyAlignment="1"/>
    <xf numFmtId="174" fontId="17" fillId="0" borderId="14" xfId="15" applyNumberFormat="1" applyFont="1" applyFill="1" applyBorder="1" applyAlignment="1"/>
    <xf numFmtId="0" fontId="7" fillId="0" borderId="0" xfId="10" applyFont="1" applyFill="1" applyBorder="1" applyAlignment="1">
      <alignment horizontal="center"/>
    </xf>
    <xf numFmtId="0" fontId="18" fillId="0" borderId="0" xfId="5" applyAlignment="1">
      <alignment horizontal="center"/>
    </xf>
    <xf numFmtId="174" fontId="17" fillId="0" borderId="16" xfId="15" applyNumberFormat="1" applyFont="1" applyFill="1" applyBorder="1" applyAlignment="1"/>
    <xf numFmtId="37" fontId="6" fillId="0" borderId="0" xfId="11" applyFont="1" applyBorder="1" applyAlignment="1">
      <alignment horizontal="center"/>
    </xf>
    <xf numFmtId="169" fontId="22" fillId="0" borderId="0" xfId="2" applyNumberFormat="1" applyFont="1" applyFill="1" applyAlignment="1">
      <alignment horizontal="left"/>
    </xf>
    <xf numFmtId="10" fontId="17" fillId="0" borderId="0" xfId="15" applyNumberFormat="1" applyFont="1"/>
    <xf numFmtId="41" fontId="16" fillId="4" borderId="0" xfId="9" applyFill="1" applyBorder="1" applyAlignment="1">
      <alignment horizontal="center"/>
    </xf>
    <xf numFmtId="0" fontId="18" fillId="4" borderId="0" xfId="10" applyFill="1"/>
    <xf numFmtId="0" fontId="17" fillId="4" borderId="0" xfId="5" applyFont="1" applyFill="1" applyBorder="1" applyAlignment="1"/>
    <xf numFmtId="170" fontId="17" fillId="4" borderId="0" xfId="10" applyNumberFormat="1" applyFont="1" applyFill="1" applyBorder="1" applyAlignment="1"/>
    <xf numFmtId="0" fontId="18" fillId="4" borderId="0" xfId="5" applyFill="1" applyAlignment="1">
      <alignment horizontal="center"/>
    </xf>
    <xf numFmtId="0" fontId="12" fillId="0" borderId="0" xfId="13" applyNumberFormat="1" applyFont="1" applyAlignment="1">
      <alignment horizontal="left"/>
    </xf>
    <xf numFmtId="175" fontId="3" fillId="0" borderId="0" xfId="13" applyFont="1" applyAlignment="1">
      <alignment horizontal="right"/>
    </xf>
    <xf numFmtId="3" fontId="4" fillId="0" borderId="14" xfId="13" applyNumberFormat="1" applyFont="1" applyFill="1" applyBorder="1" applyAlignment="1">
      <alignment horizontal="center"/>
    </xf>
    <xf numFmtId="0" fontId="3" fillId="0" borderId="0" xfId="7" applyFont="1" applyAlignment="1">
      <alignment horizontal="left"/>
    </xf>
    <xf numFmtId="0" fontId="12" fillId="0" borderId="0" xfId="7" applyFont="1" applyAlignment="1">
      <alignment horizontal="left"/>
    </xf>
    <xf numFmtId="175" fontId="3" fillId="5" borderId="13" xfId="13" applyFont="1" applyFill="1" applyBorder="1"/>
    <xf numFmtId="175" fontId="3" fillId="5" borderId="14" xfId="13" applyFont="1" applyFill="1" applyBorder="1"/>
    <xf numFmtId="175" fontId="3" fillId="5" borderId="15" xfId="13" applyFont="1" applyFill="1" applyBorder="1"/>
    <xf numFmtId="0" fontId="3" fillId="0" borderId="0" xfId="13" applyNumberFormat="1" applyFont="1" applyFill="1" applyAlignment="1">
      <alignment horizontal="left"/>
    </xf>
    <xf numFmtId="175" fontId="3" fillId="0" borderId="0" xfId="13" applyFont="1" applyFill="1"/>
    <xf numFmtId="3" fontId="4" fillId="0" borderId="0" xfId="13" applyNumberFormat="1" applyFont="1" applyFill="1"/>
    <xf numFmtId="3" fontId="3" fillId="0" borderId="0" xfId="13" applyNumberFormat="1" applyFont="1" applyFill="1"/>
    <xf numFmtId="41" fontId="4" fillId="0" borderId="0" xfId="9" applyFont="1" applyFill="1" applyAlignment="1">
      <alignment horizontal="center"/>
    </xf>
    <xf numFmtId="0" fontId="4" fillId="0" borderId="0" xfId="13" applyNumberFormat="1" applyFont="1" applyFill="1" applyAlignment="1">
      <alignment horizontal="center"/>
    </xf>
    <xf numFmtId="175" fontId="4" fillId="0" borderId="0" xfId="13" applyFont="1" applyFill="1" applyAlignment="1">
      <alignment horizontal="center"/>
    </xf>
    <xf numFmtId="175" fontId="4" fillId="0" borderId="0" xfId="13" applyFont="1" applyFill="1" applyBorder="1" applyAlignment="1">
      <alignment horizontal="center"/>
    </xf>
    <xf numFmtId="0" fontId="3" fillId="0" borderId="8" xfId="13" applyNumberFormat="1" applyFont="1" applyFill="1" applyBorder="1" applyAlignment="1">
      <alignment horizontal="center"/>
    </xf>
    <xf numFmtId="175" fontId="3" fillId="0" borderId="14" xfId="13" applyFont="1" applyFill="1" applyBorder="1" applyAlignment="1">
      <alignment horizontal="center"/>
    </xf>
    <xf numFmtId="3" fontId="3" fillId="0" borderId="15" xfId="13" applyNumberFormat="1" applyFont="1" applyFill="1" applyBorder="1" applyAlignment="1">
      <alignment horizontal="center"/>
    </xf>
    <xf numFmtId="0" fontId="3" fillId="0" borderId="10" xfId="13" applyNumberFormat="1" applyFont="1" applyFill="1" applyBorder="1" applyAlignment="1">
      <alignment horizontal="center"/>
    </xf>
    <xf numFmtId="3" fontId="3" fillId="0" borderId="10" xfId="13" applyNumberFormat="1" applyFont="1" applyFill="1" applyBorder="1"/>
    <xf numFmtId="5" fontId="3" fillId="0" borderId="0" xfId="13" applyNumberFormat="1" applyFont="1" applyFill="1"/>
    <xf numFmtId="166" fontId="3" fillId="0" borderId="10" xfId="13" applyNumberFormat="1" applyFont="1" applyFill="1" applyBorder="1"/>
    <xf numFmtId="37" fontId="3" fillId="0" borderId="0" xfId="13" applyNumberFormat="1" applyFont="1" applyFill="1"/>
    <xf numFmtId="41" fontId="3" fillId="0" borderId="10" xfId="1" applyFont="1" applyFill="1" applyBorder="1"/>
    <xf numFmtId="37" fontId="3" fillId="0" borderId="12" xfId="13" applyNumberFormat="1" applyFont="1" applyFill="1" applyBorder="1"/>
    <xf numFmtId="37" fontId="3" fillId="0" borderId="10" xfId="13" applyNumberFormat="1" applyFont="1" applyFill="1" applyBorder="1"/>
    <xf numFmtId="37" fontId="3" fillId="0" borderId="1" xfId="13" applyNumberFormat="1" applyFont="1" applyFill="1" applyBorder="1"/>
    <xf numFmtId="5" fontId="3" fillId="0" borderId="17" xfId="13" applyNumberFormat="1" applyFont="1" applyFill="1" applyBorder="1"/>
    <xf numFmtId="5" fontId="3" fillId="0" borderId="2" xfId="13" applyNumberFormat="1" applyFont="1" applyFill="1" applyBorder="1"/>
    <xf numFmtId="37" fontId="3" fillId="0" borderId="8" xfId="13" applyNumberFormat="1" applyFont="1" applyFill="1" applyBorder="1"/>
    <xf numFmtId="37" fontId="3" fillId="0" borderId="6" xfId="13" applyNumberFormat="1" applyFont="1" applyFill="1" applyBorder="1"/>
    <xf numFmtId="37" fontId="3" fillId="0" borderId="0" xfId="13" applyNumberFormat="1" applyFont="1" applyFill="1" applyBorder="1"/>
    <xf numFmtId="5" fontId="3" fillId="0" borderId="9" xfId="13" applyNumberFormat="1" applyFont="1" applyFill="1" applyBorder="1"/>
    <xf numFmtId="175" fontId="3" fillId="0" borderId="9" xfId="13" applyFont="1" applyFill="1" applyBorder="1"/>
    <xf numFmtId="175" fontId="3" fillId="0" borderId="7" xfId="13" applyFont="1" applyFill="1" applyBorder="1"/>
    <xf numFmtId="169" fontId="6" fillId="0" borderId="0" xfId="2" applyNumberFormat="1" applyFont="1" applyBorder="1" applyAlignment="1">
      <alignment horizontal="center"/>
    </xf>
    <xf numFmtId="175" fontId="7" fillId="3" borderId="0" xfId="0" applyFont="1" applyFill="1" applyBorder="1" applyAlignment="1"/>
    <xf numFmtId="175" fontId="3" fillId="0" borderId="9" xfId="0" applyFont="1" applyBorder="1" applyAlignment="1">
      <alignment horizontal="left"/>
    </xf>
    <xf numFmtId="175" fontId="28" fillId="0" borderId="10" xfId="0" applyFont="1" applyBorder="1"/>
    <xf numFmtId="175" fontId="3" fillId="0" borderId="0" xfId="0" applyFont="1" applyBorder="1"/>
    <xf numFmtId="175" fontId="3" fillId="0" borderId="0" xfId="0" applyFont="1" applyBorder="1" applyAlignment="1">
      <alignment horizontal="right"/>
    </xf>
    <xf numFmtId="175" fontId="28" fillId="0" borderId="0" xfId="0" applyFont="1" applyBorder="1"/>
    <xf numFmtId="43" fontId="3" fillId="0" borderId="12" xfId="0" applyNumberFormat="1" applyFont="1" applyFill="1" applyBorder="1" applyAlignment="1">
      <alignment horizontal="right"/>
    </xf>
    <xf numFmtId="175" fontId="3" fillId="0" borderId="11" xfId="0" applyFont="1" applyBorder="1" applyAlignment="1">
      <alignment horizontal="left"/>
    </xf>
    <xf numFmtId="175" fontId="4" fillId="0" borderId="1" xfId="0" applyFont="1" applyBorder="1"/>
    <xf numFmtId="175" fontId="28" fillId="0" borderId="12" xfId="0" applyFont="1" applyBorder="1"/>
    <xf numFmtId="41" fontId="3" fillId="0" borderId="10" xfId="0" applyNumberFormat="1" applyFont="1" applyFill="1" applyBorder="1"/>
    <xf numFmtId="41" fontId="3" fillId="0" borderId="10" xfId="0" applyNumberFormat="1" applyFont="1" applyFill="1" applyBorder="1" applyAlignment="1">
      <alignment horizontal="right"/>
    </xf>
    <xf numFmtId="41" fontId="3" fillId="0" borderId="8" xfId="0" applyNumberFormat="1" applyFont="1" applyFill="1" applyBorder="1" applyAlignment="1">
      <alignment horizontal="right"/>
    </xf>
    <xf numFmtId="175" fontId="3" fillId="0" borderId="10" xfId="0" applyFont="1" applyFill="1" applyBorder="1" applyAlignment="1">
      <alignment horizontal="right"/>
    </xf>
    <xf numFmtId="175" fontId="3" fillId="0" borderId="0" xfId="0" applyFont="1" applyBorder="1" applyAlignment="1">
      <alignment horizontal="left"/>
    </xf>
    <xf numFmtId="5" fontId="3" fillId="0" borderId="10" xfId="13" applyNumberFormat="1" applyFont="1" applyBorder="1"/>
    <xf numFmtId="5" fontId="3" fillId="0" borderId="0" xfId="13" applyNumberFormat="1" applyFont="1" applyBorder="1"/>
    <xf numFmtId="175" fontId="3" fillId="0" borderId="10" xfId="0" applyFont="1" applyBorder="1" applyAlignment="1">
      <alignment horizontal="center"/>
    </xf>
    <xf numFmtId="0" fontId="3" fillId="3" borderId="0" xfId="13" applyNumberFormat="1" applyFont="1" applyFill="1" applyBorder="1" applyAlignment="1">
      <alignment horizontal="center"/>
    </xf>
    <xf numFmtId="175" fontId="3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/>
    <xf numFmtId="41" fontId="3" fillId="0" borderId="14" xfId="0" applyNumberFormat="1" applyFont="1" applyFill="1" applyBorder="1"/>
    <xf numFmtId="41" fontId="3" fillId="0" borderId="6" xfId="0" applyNumberFormat="1" applyFont="1" applyFill="1" applyBorder="1" applyAlignment="1">
      <alignment horizontal="right"/>
    </xf>
    <xf numFmtId="43" fontId="3" fillId="0" borderId="1" xfId="0" applyNumberFormat="1" applyFont="1" applyFill="1" applyBorder="1" applyAlignment="1">
      <alignment horizontal="right"/>
    </xf>
    <xf numFmtId="175" fontId="3" fillId="0" borderId="10" xfId="13" applyFont="1" applyBorder="1"/>
    <xf numFmtId="10" fontId="3" fillId="0" borderId="10" xfId="15" applyNumberFormat="1" applyFont="1" applyBorder="1"/>
    <xf numFmtId="175" fontId="3" fillId="0" borderId="0" xfId="0" applyNumberFormat="1" applyFont="1" applyFill="1" applyBorder="1"/>
    <xf numFmtId="175" fontId="3" fillId="0" borderId="0" xfId="0" applyNumberFormat="1" applyFont="1" applyFill="1" applyBorder="1" applyAlignment="1">
      <alignment horizontal="right"/>
    </xf>
    <xf numFmtId="165" fontId="3" fillId="0" borderId="0" xfId="13" applyNumberFormat="1" applyFont="1" applyBorder="1"/>
    <xf numFmtId="165" fontId="3" fillId="0" borderId="0" xfId="0" applyNumberFormat="1" applyFont="1" applyFill="1" applyBorder="1"/>
    <xf numFmtId="165" fontId="3" fillId="0" borderId="11" xfId="0" applyNumberFormat="1" applyFont="1" applyFill="1" applyBorder="1"/>
    <xf numFmtId="165" fontId="3" fillId="0" borderId="1" xfId="0" applyNumberFormat="1" applyFont="1" applyFill="1" applyBorder="1"/>
    <xf numFmtId="37" fontId="3" fillId="0" borderId="12" xfId="0" applyNumberFormat="1" applyFont="1" applyFill="1" applyBorder="1"/>
    <xf numFmtId="37" fontId="3" fillId="0" borderId="15" xfId="13" applyNumberFormat="1" applyFont="1" applyBorder="1"/>
    <xf numFmtId="37" fontId="3" fillId="0" borderId="15" xfId="0" applyNumberFormat="1" applyFont="1" applyFill="1" applyBorder="1"/>
    <xf numFmtId="37" fontId="3" fillId="0" borderId="14" xfId="0" applyNumberFormat="1" applyFont="1" applyFill="1" applyBorder="1"/>
    <xf numFmtId="37" fontId="3" fillId="0" borderId="1" xfId="0" applyNumberFormat="1" applyFont="1" applyFill="1" applyBorder="1"/>
    <xf numFmtId="175" fontId="4" fillId="0" borderId="0" xfId="0" applyFont="1" applyBorder="1"/>
    <xf numFmtId="175" fontId="3" fillId="0" borderId="0" xfId="13" applyFont="1" applyBorder="1" applyAlignment="1">
      <alignment horizontal="right"/>
    </xf>
    <xf numFmtId="175" fontId="5" fillId="0" borderId="14" xfId="13" applyFont="1" applyFill="1" applyBorder="1" applyAlignment="1">
      <alignment horizontal="right"/>
    </xf>
    <xf numFmtId="164" fontId="17" fillId="0" borderId="0" xfId="7" applyNumberFormat="1" applyFont="1" applyAlignment="1">
      <alignment horizontal="center"/>
    </xf>
    <xf numFmtId="41" fontId="22" fillId="0" borderId="0" xfId="9" applyFont="1" applyAlignment="1">
      <alignment horizontal="left"/>
    </xf>
    <xf numFmtId="37" fontId="17" fillId="0" borderId="4" xfId="11" applyFont="1" applyBorder="1"/>
    <xf numFmtId="41" fontId="17" fillId="0" borderId="0" xfId="9" applyFont="1"/>
    <xf numFmtId="41" fontId="17" fillId="0" borderId="1" xfId="9" applyFont="1" applyBorder="1"/>
    <xf numFmtId="37" fontId="17" fillId="0" borderId="10" xfId="9" applyNumberFormat="1" applyFont="1" applyBorder="1" applyAlignment="1">
      <alignment horizontal="center"/>
    </xf>
    <xf numFmtId="3" fontId="17" fillId="0" borderId="13" xfId="12" applyNumberFormat="1" applyFont="1" applyFill="1" applyBorder="1"/>
    <xf numFmtId="176" fontId="17" fillId="5" borderId="0" xfId="15" applyNumberFormat="1" applyFont="1" applyFill="1" applyBorder="1"/>
    <xf numFmtId="37" fontId="17" fillId="0" borderId="0" xfId="4" applyFont="1"/>
    <xf numFmtId="37" fontId="17" fillId="0" borderId="0" xfId="4" applyFont="1" applyFill="1" applyAlignment="1">
      <alignment horizontal="center"/>
    </xf>
    <xf numFmtId="37" fontId="17" fillId="0" borderId="0" xfId="11" applyFont="1" applyAlignment="1">
      <alignment horizontal="center"/>
    </xf>
    <xf numFmtId="37" fontId="17" fillId="0" borderId="0" xfId="11" applyFont="1" applyBorder="1" applyAlignment="1">
      <alignment horizontal="center"/>
    </xf>
    <xf numFmtId="37" fontId="17" fillId="0" borderId="0" xfId="4" applyFont="1" applyFill="1" applyBorder="1" applyAlignment="1">
      <alignment horizontal="center"/>
    </xf>
    <xf numFmtId="37" fontId="30" fillId="0" borderId="0" xfId="4" applyFont="1" applyFill="1" applyAlignment="1">
      <alignment horizontal="right"/>
    </xf>
    <xf numFmtId="37" fontId="17" fillId="0" borderId="3" xfId="4" applyFont="1" applyFill="1" applyBorder="1" applyAlignment="1">
      <alignment horizontal="center"/>
    </xf>
    <xf numFmtId="37" fontId="17" fillId="0" borderId="4" xfId="4" applyFont="1" applyFill="1" applyBorder="1" applyAlignment="1"/>
    <xf numFmtId="37" fontId="17" fillId="0" borderId="4" xfId="4" applyFont="1" applyFill="1" applyBorder="1" applyAlignment="1">
      <alignment horizontal="center"/>
    </xf>
    <xf numFmtId="37" fontId="17" fillId="0" borderId="1" xfId="4" applyFont="1" applyFill="1" applyBorder="1" applyAlignment="1">
      <alignment horizontal="center"/>
    </xf>
    <xf numFmtId="37" fontId="17" fillId="0" borderId="1" xfId="4" applyFont="1" applyBorder="1"/>
    <xf numFmtId="37" fontId="17" fillId="0" borderId="5" xfId="4" applyFont="1" applyBorder="1" applyAlignment="1">
      <alignment horizontal="center"/>
    </xf>
    <xf numFmtId="37" fontId="17" fillId="0" borderId="14" xfId="4" applyFont="1" applyBorder="1" applyAlignment="1">
      <alignment horizontal="right"/>
    </xf>
    <xf numFmtId="37" fontId="17" fillId="5" borderId="20" xfId="4" applyFont="1" applyFill="1" applyBorder="1" applyAlignment="1">
      <alignment horizontal="center"/>
    </xf>
    <xf numFmtId="37" fontId="17" fillId="0" borderId="20" xfId="4" applyFont="1" applyBorder="1" applyAlignment="1">
      <alignment horizontal="center"/>
    </xf>
    <xf numFmtId="37" fontId="17" fillId="4" borderId="0" xfId="4" applyFont="1" applyFill="1" applyBorder="1"/>
    <xf numFmtId="37" fontId="17" fillId="0" borderId="9" xfId="4" applyFont="1" applyFill="1" applyBorder="1"/>
    <xf numFmtId="37" fontId="17" fillId="0" borderId="0" xfId="4" applyFont="1" applyBorder="1"/>
    <xf numFmtId="37" fontId="17" fillId="0" borderId="0" xfId="4" applyFont="1" applyBorder="1" applyAlignment="1">
      <alignment horizontal="right"/>
    </xf>
    <xf numFmtId="10" fontId="17" fillId="0" borderId="0" xfId="15" applyNumberFormat="1" applyFont="1" applyBorder="1"/>
    <xf numFmtId="37" fontId="6" fillId="0" borderId="1" xfId="11" applyFont="1" applyBorder="1" applyAlignment="1">
      <alignment horizontal="center"/>
    </xf>
    <xf numFmtId="169" fontId="22" fillId="0" borderId="0" xfId="2" applyNumberFormat="1" applyFont="1" applyFill="1" applyAlignment="1">
      <alignment horizontal="right"/>
    </xf>
    <xf numFmtId="168" fontId="17" fillId="0" borderId="0" xfId="16" applyNumberFormat="1" applyFont="1" applyFill="1"/>
    <xf numFmtId="10" fontId="17" fillId="0" borderId="14" xfId="16" applyNumberFormat="1" applyFont="1" applyBorder="1"/>
    <xf numFmtId="10" fontId="17" fillId="0" borderId="0" xfId="16" applyFont="1" applyBorder="1"/>
    <xf numFmtId="10" fontId="17" fillId="0" borderId="0" xfId="16" applyNumberFormat="1" applyFont="1" applyBorder="1"/>
    <xf numFmtId="37" fontId="6" fillId="0" borderId="0" xfId="4" applyFont="1"/>
    <xf numFmtId="37" fontId="22" fillId="0" borderId="0" xfId="4" applyFont="1" applyBorder="1"/>
    <xf numFmtId="37" fontId="24" fillId="0" borderId="0" xfId="4" applyFont="1" applyAlignment="1">
      <alignment horizontal="right"/>
    </xf>
    <xf numFmtId="10" fontId="17" fillId="0" borderId="1" xfId="15" applyNumberFormat="1" applyFont="1" applyBorder="1"/>
    <xf numFmtId="171" fontId="17" fillId="0" borderId="0" xfId="15" applyNumberFormat="1" applyFont="1" applyBorder="1"/>
    <xf numFmtId="37" fontId="17" fillId="6" borderId="0" xfId="4" applyFont="1" applyFill="1"/>
    <xf numFmtId="41" fontId="17" fillId="0" borderId="0" xfId="0" applyNumberFormat="1" applyFont="1" applyBorder="1"/>
    <xf numFmtId="41" fontId="17" fillId="0" borderId="0" xfId="9" applyFont="1" applyFill="1" applyAlignment="1">
      <alignment horizontal="center"/>
    </xf>
    <xf numFmtId="41" fontId="17" fillId="0" borderId="0" xfId="0" applyNumberFormat="1" applyFont="1" applyFill="1" applyBorder="1"/>
    <xf numFmtId="37" fontId="17" fillId="0" borderId="20" xfId="4" applyFont="1" applyFill="1" applyBorder="1"/>
    <xf numFmtId="37" fontId="17" fillId="0" borderId="4" xfId="4" applyFont="1" applyFill="1" applyBorder="1"/>
    <xf numFmtId="41" fontId="17" fillId="0" borderId="10" xfId="1" applyFont="1" applyFill="1" applyBorder="1"/>
    <xf numFmtId="41" fontId="17" fillId="0" borderId="4" xfId="1" applyFont="1" applyFill="1" applyBorder="1"/>
    <xf numFmtId="41" fontId="17" fillId="0" borderId="0" xfId="9" applyFont="1" applyFill="1" applyBorder="1" applyAlignment="1">
      <alignment horizontal="center"/>
    </xf>
    <xf numFmtId="37" fontId="17" fillId="0" borderId="5" xfId="4" applyFont="1" applyFill="1" applyBorder="1"/>
    <xf numFmtId="175" fontId="3" fillId="4" borderId="0" xfId="13" applyFont="1" applyFill="1"/>
    <xf numFmtId="0" fontId="3" fillId="4" borderId="10" xfId="13" applyNumberFormat="1" applyFont="1" applyFill="1" applyBorder="1" applyAlignment="1">
      <alignment horizontal="center"/>
    </xf>
    <xf numFmtId="175" fontId="3" fillId="4" borderId="9" xfId="0" applyFont="1" applyFill="1" applyBorder="1" applyAlignment="1">
      <alignment horizontal="left"/>
    </xf>
    <xf numFmtId="175" fontId="3" fillId="4" borderId="0" xfId="0" applyFont="1" applyFill="1" applyBorder="1"/>
    <xf numFmtId="175" fontId="28" fillId="4" borderId="0" xfId="0" applyFont="1" applyFill="1" applyBorder="1"/>
    <xf numFmtId="175" fontId="3" fillId="4" borderId="0" xfId="13" applyFont="1" applyFill="1" applyBorder="1"/>
    <xf numFmtId="10" fontId="3" fillId="4" borderId="10" xfId="15" applyNumberFormat="1" applyFont="1" applyFill="1" applyBorder="1"/>
    <xf numFmtId="3" fontId="3" fillId="4" borderId="0" xfId="13" applyNumberFormat="1" applyFont="1" applyFill="1"/>
    <xf numFmtId="3" fontId="4" fillId="4" borderId="0" xfId="13" applyNumberFormat="1" applyFont="1" applyFill="1"/>
    <xf numFmtId="177" fontId="3" fillId="0" borderId="14" xfId="15" applyNumberFormat="1" applyFont="1" applyBorder="1" applyAlignment="1">
      <alignment shrinkToFit="1"/>
    </xf>
    <xf numFmtId="37" fontId="17" fillId="0" borderId="0" xfId="4" applyFont="1" applyFill="1" applyBorder="1" applyAlignment="1"/>
    <xf numFmtId="37" fontId="17" fillId="0" borderId="6" xfId="4" applyFont="1" applyFill="1" applyBorder="1"/>
    <xf numFmtId="37" fontId="17" fillId="0" borderId="0" xfId="4" applyFont="1" applyFill="1" applyAlignment="1">
      <alignment horizontal="right"/>
    </xf>
    <xf numFmtId="37" fontId="17" fillId="0" borderId="10" xfId="9" applyNumberFormat="1" applyFont="1" applyFill="1" applyBorder="1" applyAlignment="1">
      <alignment horizontal="center"/>
    </xf>
    <xf numFmtId="41" fontId="4" fillId="0" borderId="0" xfId="9" applyFont="1" applyBorder="1" applyAlignment="1">
      <alignment horizontal="center"/>
    </xf>
    <xf numFmtId="3" fontId="4" fillId="0" borderId="3" xfId="13" applyNumberFormat="1" applyFont="1" applyBorder="1" applyAlignment="1">
      <alignment horizontal="center"/>
    </xf>
    <xf numFmtId="3" fontId="4" fillId="0" borderId="4" xfId="13" applyNumberFormat="1" applyFont="1" applyBorder="1" applyAlignment="1">
      <alignment horizontal="center"/>
    </xf>
    <xf numFmtId="3" fontId="4" fillId="0" borderId="5" xfId="13" applyNumberFormat="1" applyFont="1" applyBorder="1" applyAlignment="1">
      <alignment horizontal="center"/>
    </xf>
    <xf numFmtId="175" fontId="4" fillId="0" borderId="6" xfId="13" applyFont="1" applyBorder="1" applyAlignment="1">
      <alignment horizontal="center"/>
    </xf>
    <xf numFmtId="175" fontId="4" fillId="0" borderId="12" xfId="13" applyFont="1" applyBorder="1" applyAlignment="1">
      <alignment horizontal="center"/>
    </xf>
    <xf numFmtId="175" fontId="4" fillId="0" borderId="3" xfId="13" applyFont="1" applyBorder="1" applyAlignment="1">
      <alignment horizontal="center"/>
    </xf>
    <xf numFmtId="0" fontId="4" fillId="0" borderId="4" xfId="13" applyNumberFormat="1" applyFont="1" applyBorder="1" applyAlignment="1">
      <alignment horizontal="center"/>
    </xf>
    <xf numFmtId="0" fontId="4" fillId="0" borderId="5" xfId="13" applyNumberFormat="1" applyFont="1" applyBorder="1" applyAlignment="1">
      <alignment horizontal="center"/>
    </xf>
    <xf numFmtId="175" fontId="3" fillId="0" borderId="8" xfId="13" applyFont="1" applyBorder="1" applyAlignment="1">
      <alignment horizontal="center"/>
    </xf>
    <xf numFmtId="3" fontId="4" fillId="0" borderId="3" xfId="13" applyNumberFormat="1" applyFont="1" applyFill="1" applyBorder="1" applyAlignment="1">
      <alignment horizontal="center"/>
    </xf>
    <xf numFmtId="3" fontId="4" fillId="0" borderId="4" xfId="13" applyNumberFormat="1" applyFont="1" applyFill="1" applyBorder="1" applyAlignment="1">
      <alignment horizontal="center"/>
    </xf>
    <xf numFmtId="3" fontId="4" fillId="0" borderId="5" xfId="13" applyNumberFormat="1" applyFont="1" applyFill="1" applyBorder="1" applyAlignment="1">
      <alignment horizontal="center"/>
    </xf>
    <xf numFmtId="175" fontId="4" fillId="0" borderId="7" xfId="13" applyFont="1" applyFill="1" applyBorder="1" applyAlignment="1">
      <alignment horizontal="center"/>
    </xf>
    <xf numFmtId="175" fontId="4" fillId="0" borderId="6" xfId="13" applyFont="1" applyFill="1" applyBorder="1" applyAlignment="1">
      <alignment horizontal="center"/>
    </xf>
    <xf numFmtId="175" fontId="4" fillId="0" borderId="8" xfId="13" applyFont="1" applyFill="1" applyBorder="1" applyAlignment="1">
      <alignment horizontal="center"/>
    </xf>
    <xf numFmtId="175" fontId="4" fillId="0" borderId="9" xfId="13" applyFont="1" applyFill="1" applyBorder="1" applyAlignment="1">
      <alignment horizontal="center"/>
    </xf>
    <xf numFmtId="175" fontId="3" fillId="0" borderId="10" xfId="13" applyFont="1" applyFill="1" applyBorder="1"/>
    <xf numFmtId="175" fontId="4" fillId="0" borderId="11" xfId="13" applyFont="1" applyFill="1" applyBorder="1" applyAlignment="1">
      <alignment horizontal="center"/>
    </xf>
    <xf numFmtId="175" fontId="4" fillId="0" borderId="1" xfId="13" applyFont="1" applyFill="1" applyBorder="1" applyAlignment="1">
      <alignment horizontal="center"/>
    </xf>
    <xf numFmtId="175" fontId="4" fillId="0" borderId="12" xfId="13" applyFont="1" applyFill="1" applyBorder="1" applyAlignment="1">
      <alignment horizontal="center"/>
    </xf>
    <xf numFmtId="175" fontId="4" fillId="0" borderId="3" xfId="13" applyFont="1" applyFill="1" applyBorder="1" applyAlignment="1">
      <alignment horizontal="center"/>
    </xf>
    <xf numFmtId="0" fontId="4" fillId="0" borderId="4" xfId="13" applyNumberFormat="1" applyFont="1" applyFill="1" applyBorder="1" applyAlignment="1">
      <alignment horizontal="center"/>
    </xf>
    <xf numFmtId="0" fontId="4" fillId="0" borderId="5" xfId="13" applyNumberFormat="1" applyFont="1" applyFill="1" applyBorder="1" applyAlignment="1">
      <alignment horizontal="center"/>
    </xf>
    <xf numFmtId="175" fontId="3" fillId="4" borderId="18" xfId="13" applyFont="1" applyFill="1" applyBorder="1"/>
    <xf numFmtId="10" fontId="3" fillId="4" borderId="21" xfId="15" applyNumberFormat="1" applyFont="1" applyFill="1" applyBorder="1"/>
    <xf numFmtId="5" fontId="3" fillId="4" borderId="21" xfId="13" applyNumberFormat="1" applyFont="1" applyFill="1" applyBorder="1"/>
    <xf numFmtId="175" fontId="3" fillId="4" borderId="21" xfId="13" applyFont="1" applyFill="1" applyBorder="1"/>
    <xf numFmtId="175" fontId="3" fillId="4" borderId="19" xfId="13" applyFont="1" applyFill="1" applyBorder="1"/>
    <xf numFmtId="165" fontId="17" fillId="0" borderId="4" xfId="0" applyNumberFormat="1" applyFont="1" applyFill="1" applyBorder="1"/>
    <xf numFmtId="166" fontId="17" fillId="0" borderId="14" xfId="2" applyNumberFormat="1" applyFont="1" applyBorder="1" applyAlignment="1"/>
    <xf numFmtId="166" fontId="17" fillId="0" borderId="16" xfId="2" applyNumberFormat="1" applyFont="1" applyBorder="1" applyAlignment="1"/>
    <xf numFmtId="10" fontId="3" fillId="4" borderId="21" xfId="15" applyNumberFormat="1" applyFont="1" applyFill="1" applyBorder="1" applyAlignment="1">
      <alignment horizontal="center"/>
    </xf>
    <xf numFmtId="5" fontId="3" fillId="4" borderId="21" xfId="13" applyNumberFormat="1" applyFont="1" applyFill="1" applyBorder="1" applyAlignment="1">
      <alignment horizontal="center"/>
    </xf>
    <xf numFmtId="175" fontId="4" fillId="7" borderId="22" xfId="14" applyFont="1" applyFill="1" applyBorder="1" applyAlignment="1">
      <alignment horizontal="center"/>
    </xf>
    <xf numFmtId="175" fontId="3" fillId="4" borderId="18" xfId="14" applyFont="1" applyFill="1" applyBorder="1"/>
    <xf numFmtId="175" fontId="3" fillId="4" borderId="21" xfId="14" applyFont="1" applyFill="1" applyBorder="1"/>
    <xf numFmtId="175" fontId="3" fillId="4" borderId="19" xfId="14" applyFont="1" applyFill="1" applyBorder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5" applyFont="1"/>
    <xf numFmtId="172" fontId="17" fillId="8" borderId="18" xfId="1" applyNumberFormat="1" applyFont="1" applyFill="1" applyBorder="1"/>
    <xf numFmtId="172" fontId="17" fillId="8" borderId="21" xfId="1" applyNumberFormat="1" applyFont="1" applyFill="1" applyBorder="1"/>
    <xf numFmtId="172" fontId="17" fillId="8" borderId="22" xfId="1" applyNumberFormat="1" applyFont="1" applyFill="1" applyBorder="1"/>
    <xf numFmtId="172" fontId="18" fillId="8" borderId="21" xfId="5" applyNumberFormat="1" applyFill="1" applyBorder="1"/>
    <xf numFmtId="0" fontId="18" fillId="8" borderId="21" xfId="5" applyFill="1" applyBorder="1"/>
    <xf numFmtId="172" fontId="22" fillId="8" borderId="24" xfId="1" applyNumberFormat="1" applyFont="1" applyFill="1" applyBorder="1"/>
    <xf numFmtId="175" fontId="2" fillId="0" borderId="13" xfId="14" applyFont="1" applyFill="1" applyBorder="1"/>
    <xf numFmtId="37" fontId="17" fillId="0" borderId="15" xfId="4" applyFont="1" applyFill="1" applyBorder="1"/>
    <xf numFmtId="169" fontId="17" fillId="0" borderId="0" xfId="2" applyNumberFormat="1" applyFont="1" applyBorder="1" applyAlignment="1"/>
    <xf numFmtId="166" fontId="17" fillId="0" borderId="0" xfId="2" applyNumberFormat="1" applyFont="1" applyBorder="1" applyAlignment="1"/>
    <xf numFmtId="5" fontId="3" fillId="0" borderId="19" xfId="13" applyNumberFormat="1" applyFont="1" applyBorder="1"/>
    <xf numFmtId="37" fontId="22" fillId="0" borderId="15" xfId="4" applyFont="1" applyBorder="1" applyAlignment="1">
      <alignment horizontal="center"/>
    </xf>
    <xf numFmtId="37" fontId="17" fillId="0" borderId="10" xfId="4" applyFont="1" applyFill="1" applyBorder="1" applyAlignment="1">
      <alignment horizontal="center"/>
    </xf>
    <xf numFmtId="37" fontId="22" fillId="0" borderId="10" xfId="4" applyFont="1" applyFill="1" applyBorder="1" applyAlignment="1">
      <alignment horizontal="center"/>
    </xf>
    <xf numFmtId="37" fontId="16" fillId="0" borderId="0" xfId="9" applyNumberFormat="1" applyBorder="1" applyAlignment="1">
      <alignment horizontal="center"/>
    </xf>
    <xf numFmtId="37" fontId="20" fillId="0" borderId="0" xfId="11" applyFont="1" applyAlignment="1">
      <alignment horizontal="center"/>
    </xf>
    <xf numFmtId="173" fontId="17" fillId="4" borderId="0" xfId="4" applyNumberFormat="1" applyFont="1" applyFill="1"/>
    <xf numFmtId="175" fontId="3" fillId="0" borderId="0" xfId="14" applyFont="1" applyBorder="1" applyAlignment="1">
      <alignment horizontal="right"/>
    </xf>
    <xf numFmtId="178" fontId="0" fillId="9" borderId="0" xfId="0" applyNumberFormat="1" applyFill="1"/>
    <xf numFmtId="37" fontId="0" fillId="9" borderId="0" xfId="0" applyNumberFormat="1" applyFill="1"/>
    <xf numFmtId="178" fontId="0" fillId="9" borderId="16" xfId="0" applyNumberFormat="1" applyFill="1" applyBorder="1"/>
    <xf numFmtId="3" fontId="3" fillId="10" borderId="20" xfId="12" applyNumberFormat="1" applyFont="1" applyFill="1" applyBorder="1"/>
    <xf numFmtId="175" fontId="3" fillId="10" borderId="20" xfId="13" applyFont="1" applyFill="1" applyBorder="1"/>
    <xf numFmtId="37" fontId="17" fillId="0" borderId="0" xfId="11" applyFont="1" applyFill="1" applyAlignment="1">
      <alignment horizontal="right"/>
    </xf>
    <xf numFmtId="37" fontId="17" fillId="0" borderId="0" xfId="11" applyFont="1" applyFill="1"/>
    <xf numFmtId="37" fontId="17" fillId="0" borderId="0" xfId="11" applyFont="1" applyBorder="1" applyAlignment="1">
      <alignment horizontal="right"/>
    </xf>
    <xf numFmtId="37" fontId="17" fillId="0" borderId="9" xfId="11" applyFont="1" applyFill="1" applyBorder="1" applyAlignment="1">
      <alignment horizontal="right"/>
    </xf>
    <xf numFmtId="37" fontId="17" fillId="0" borderId="0" xfId="23" applyFont="1"/>
    <xf numFmtId="37" fontId="17" fillId="0" borderId="16" xfId="11" applyFont="1" applyBorder="1"/>
    <xf numFmtId="37" fontId="17" fillId="0" borderId="1" xfId="11" applyFont="1" applyBorder="1"/>
    <xf numFmtId="37" fontId="17" fillId="0" borderId="0" xfId="11"/>
    <xf numFmtId="37" fontId="17" fillId="0" borderId="0" xfId="11" applyAlignment="1">
      <alignment horizontal="right"/>
    </xf>
    <xf numFmtId="37" fontId="17" fillId="0" borderId="0" xfId="11" applyFont="1" applyBorder="1"/>
    <xf numFmtId="37" fontId="17" fillId="0" borderId="0" xfId="11" applyFont="1"/>
    <xf numFmtId="37" fontId="6" fillId="0" borderId="0" xfId="11" applyFont="1"/>
    <xf numFmtId="37" fontId="17" fillId="0" borderId="1" xfId="11" applyBorder="1"/>
    <xf numFmtId="37" fontId="17" fillId="0" borderId="0" xfId="11" applyFont="1" applyAlignment="1">
      <alignment horizontal="right"/>
    </xf>
    <xf numFmtId="37" fontId="20" fillId="0" borderId="0" xfId="11" applyFont="1" applyAlignment="1">
      <alignment horizontal="center"/>
    </xf>
    <xf numFmtId="37" fontId="17" fillId="0" borderId="0" xfId="11" applyFont="1" applyAlignment="1">
      <alignment horizontal="left"/>
    </xf>
    <xf numFmtId="0" fontId="17" fillId="0" borderId="0" xfId="7" applyFont="1" applyAlignment="1">
      <alignment horizontal="left"/>
    </xf>
    <xf numFmtId="37" fontId="17" fillId="0" borderId="0" xfId="4" applyFont="1" applyFill="1"/>
    <xf numFmtId="37" fontId="17" fillId="0" borderId="20" xfId="4" applyFont="1" applyFill="1" applyBorder="1" applyAlignment="1">
      <alignment horizontal="center"/>
    </xf>
    <xf numFmtId="37" fontId="17" fillId="0" borderId="0" xfId="4" applyFont="1" applyAlignment="1">
      <alignment horizontal="right"/>
    </xf>
    <xf numFmtId="0" fontId="22" fillId="0" borderId="0" xfId="7" applyFont="1" applyAlignment="1">
      <alignment horizontal="left"/>
    </xf>
    <xf numFmtId="37" fontId="24" fillId="0" borderId="0" xfId="4" applyFont="1"/>
    <xf numFmtId="165" fontId="3" fillId="0" borderId="0" xfId="8" applyNumberFormat="1" applyFont="1" applyFill="1"/>
    <xf numFmtId="41" fontId="3" fillId="0" borderId="14" xfId="18" applyNumberFormat="1" applyFont="1" applyFill="1" applyBorder="1"/>
    <xf numFmtId="165" fontId="3" fillId="0" borderId="0" xfId="8" applyNumberFormat="1" applyFont="1" applyFill="1" applyBorder="1"/>
    <xf numFmtId="37" fontId="32" fillId="0" borderId="14" xfId="4" applyFont="1" applyBorder="1"/>
    <xf numFmtId="175" fontId="3" fillId="0" borderId="0" xfId="14" applyFont="1" applyBorder="1"/>
    <xf numFmtId="37" fontId="17" fillId="4" borderId="0" xfId="4" applyFont="1" applyFill="1"/>
    <xf numFmtId="37" fontId="17" fillId="0" borderId="12" xfId="4" applyFont="1" applyFill="1" applyBorder="1" applyAlignment="1">
      <alignment horizontal="center"/>
    </xf>
    <xf numFmtId="37" fontId="3" fillId="0" borderId="7" xfId="13" applyNumberFormat="1" applyFont="1" applyBorder="1"/>
    <xf numFmtId="37" fontId="17" fillId="0" borderId="9" xfId="4" applyFont="1" applyBorder="1"/>
    <xf numFmtId="179" fontId="17" fillId="0" borderId="4" xfId="0" applyNumberFormat="1" applyFont="1" applyFill="1" applyBorder="1"/>
    <xf numFmtId="175" fontId="17" fillId="0" borderId="5" xfId="0" applyFont="1" applyFill="1" applyBorder="1"/>
    <xf numFmtId="41" fontId="17" fillId="0" borderId="9" xfId="1" applyFont="1" applyFill="1" applyBorder="1"/>
    <xf numFmtId="175" fontId="17" fillId="0" borderId="9" xfId="0" applyFont="1" applyFill="1" applyBorder="1"/>
    <xf numFmtId="175" fontId="3" fillId="10" borderId="0" xfId="13" applyFont="1" applyFill="1"/>
    <xf numFmtId="5" fontId="3" fillId="4" borderId="25" xfId="13" applyNumberFormat="1" applyFont="1" applyFill="1" applyBorder="1" applyAlignment="1">
      <alignment horizontal="center"/>
    </xf>
    <xf numFmtId="175" fontId="3" fillId="11" borderId="0" xfId="13" applyFont="1" applyFill="1"/>
    <xf numFmtId="0" fontId="22" fillId="0" borderId="0" xfId="5" applyFont="1" applyBorder="1" applyAlignment="1">
      <alignment horizontal="center"/>
    </xf>
    <xf numFmtId="37" fontId="17" fillId="0" borderId="14" xfId="4" applyFont="1" applyFill="1" applyBorder="1" applyAlignment="1">
      <alignment horizontal="center"/>
    </xf>
    <xf numFmtId="5" fontId="17" fillId="0" borderId="10" xfId="1" applyNumberFormat="1" applyFont="1" applyFill="1" applyBorder="1"/>
    <xf numFmtId="175" fontId="17" fillId="0" borderId="4" xfId="0" applyFont="1" applyFill="1" applyBorder="1"/>
    <xf numFmtId="41" fontId="17" fillId="0" borderId="4" xfId="0" applyNumberFormat="1" applyFont="1" applyFill="1" applyBorder="1"/>
    <xf numFmtId="37" fontId="17" fillId="0" borderId="10" xfId="4" applyFont="1" applyFill="1" applyBorder="1"/>
    <xf numFmtId="5" fontId="17" fillId="0" borderId="9" xfId="1" applyNumberFormat="1" applyFont="1" applyFill="1" applyBorder="1"/>
    <xf numFmtId="37" fontId="33" fillId="0" borderId="0" xfId="11" applyFont="1"/>
    <xf numFmtId="41" fontId="34" fillId="0" borderId="0" xfId="9" applyFont="1" applyAlignment="1">
      <alignment horizontal="center"/>
    </xf>
    <xf numFmtId="37" fontId="33" fillId="0" borderId="0" xfId="11" applyFont="1" applyFill="1"/>
    <xf numFmtId="37" fontId="33" fillId="0" borderId="0" xfId="11" applyFont="1" applyAlignment="1">
      <alignment horizontal="right"/>
    </xf>
    <xf numFmtId="0" fontId="33" fillId="4" borderId="0" xfId="5" applyFont="1" applyFill="1"/>
    <xf numFmtId="0" fontId="35" fillId="4" borderId="0" xfId="10" applyFont="1" applyFill="1" applyBorder="1" applyAlignment="1">
      <alignment horizontal="right"/>
    </xf>
    <xf numFmtId="0" fontId="38" fillId="4" borderId="0" xfId="5" applyFont="1" applyFill="1" applyAlignment="1">
      <alignment horizontal="center"/>
    </xf>
    <xf numFmtId="41" fontId="38" fillId="4" borderId="0" xfId="9" applyFont="1" applyFill="1" applyAlignment="1">
      <alignment horizontal="centerContinuous"/>
    </xf>
    <xf numFmtId="41" fontId="38" fillId="4" borderId="0" xfId="9" applyFont="1" applyFill="1" applyBorder="1" applyAlignment="1">
      <alignment horizontal="center"/>
    </xf>
    <xf numFmtId="170" fontId="33" fillId="4" borderId="0" xfId="10" applyNumberFormat="1" applyFont="1" applyFill="1" applyBorder="1" applyAlignment="1"/>
    <xf numFmtId="0" fontId="33" fillId="4" borderId="0" xfId="10" applyFont="1" applyFill="1" applyBorder="1" applyAlignment="1"/>
    <xf numFmtId="0" fontId="35" fillId="0" borderId="0" xfId="10" applyFont="1" applyFill="1" applyBorder="1" applyAlignment="1">
      <alignment horizontal="right"/>
    </xf>
    <xf numFmtId="0" fontId="33" fillId="0" borderId="0" xfId="5" applyFont="1"/>
    <xf numFmtId="37" fontId="16" fillId="0" borderId="0" xfId="9" applyNumberFormat="1" applyFill="1" applyBorder="1" applyAlignment="1">
      <alignment horizontal="center"/>
    </xf>
    <xf numFmtId="41" fontId="16" fillId="0" borderId="0" xfId="9" applyFill="1" applyBorder="1" applyAlignment="1">
      <alignment horizontal="center"/>
    </xf>
    <xf numFmtId="41" fontId="8" fillId="0" borderId="0" xfId="9" applyFont="1" applyFill="1"/>
    <xf numFmtId="0" fontId="18" fillId="0" borderId="0" xfId="5" applyFill="1"/>
    <xf numFmtId="0" fontId="33" fillId="0" borderId="0" xfId="5" applyFont="1" applyBorder="1" applyAlignment="1">
      <alignment horizontal="center"/>
    </xf>
    <xf numFmtId="0" fontId="35" fillId="0" borderId="0" xfId="5" applyFont="1" applyBorder="1" applyAlignment="1">
      <alignment horizontal="center"/>
    </xf>
    <xf numFmtId="169" fontId="33" fillId="0" borderId="0" xfId="1" applyNumberFormat="1" applyFont="1" applyFill="1" applyBorder="1" applyAlignment="1" applyProtection="1"/>
    <xf numFmtId="0" fontId="36" fillId="0" borderId="0" xfId="10" applyFont="1" applyFill="1" applyBorder="1" applyAlignment="1">
      <alignment horizontal="center"/>
    </xf>
    <xf numFmtId="175" fontId="2" fillId="12" borderId="13" xfId="13" applyFont="1" applyFill="1" applyBorder="1"/>
    <xf numFmtId="175" fontId="2" fillId="12" borderId="23" xfId="14" applyFont="1" applyFill="1" applyBorder="1" applyAlignment="1">
      <alignment horizontal="right"/>
    </xf>
    <xf numFmtId="0" fontId="17" fillId="4" borderId="0" xfId="5" applyFont="1" applyFill="1"/>
    <xf numFmtId="0" fontId="17" fillId="0" borderId="0" xfId="5" applyFont="1"/>
    <xf numFmtId="41" fontId="17" fillId="4" borderId="0" xfId="9" applyFont="1" applyFill="1"/>
    <xf numFmtId="0" fontId="17" fillId="0" borderId="0" xfId="10" applyFont="1"/>
    <xf numFmtId="41" fontId="11" fillId="0" borderId="0" xfId="9" applyFont="1"/>
    <xf numFmtId="0" fontId="7" fillId="0" borderId="0" xfId="5" applyFont="1"/>
    <xf numFmtId="41" fontId="6" fillId="0" borderId="0" xfId="9" applyFont="1"/>
    <xf numFmtId="0" fontId="3" fillId="0" borderId="0" xfId="10" applyFont="1" applyFill="1" applyBorder="1" applyAlignment="1">
      <alignment horizontal="right"/>
    </xf>
    <xf numFmtId="41" fontId="6" fillId="0" borderId="10" xfId="9" applyFont="1" applyBorder="1" applyAlignment="1">
      <alignment horizontal="center"/>
    </xf>
    <xf numFmtId="5" fontId="17" fillId="0" borderId="0" xfId="5" applyNumberFormat="1" applyFont="1" applyBorder="1" applyAlignment="1"/>
    <xf numFmtId="0" fontId="17" fillId="0" borderId="0" xfId="5" applyFont="1" applyBorder="1"/>
    <xf numFmtId="0" fontId="22" fillId="0" borderId="0" xfId="5" applyFont="1" applyBorder="1" applyAlignment="1">
      <alignment horizontal="left"/>
    </xf>
    <xf numFmtId="0" fontId="22" fillId="0" borderId="0" xfId="5" applyFont="1" applyBorder="1" applyAlignment="1">
      <alignment horizontal="right"/>
    </xf>
    <xf numFmtId="0" fontId="17" fillId="0" borderId="0" xfId="5" applyFont="1" applyFill="1"/>
    <xf numFmtId="168" fontId="17" fillId="0" borderId="0" xfId="5" applyNumberFormat="1" applyFont="1" applyBorder="1" applyAlignment="1"/>
    <xf numFmtId="10" fontId="17" fillId="0" borderId="0" xfId="5" applyNumberFormat="1" applyFont="1" applyBorder="1" applyAlignment="1"/>
    <xf numFmtId="0" fontId="17" fillId="7" borderId="25" xfId="5" applyFont="1" applyFill="1" applyBorder="1" applyAlignment="1">
      <alignment horizontal="center"/>
    </xf>
    <xf numFmtId="0" fontId="39" fillId="0" borderId="0" xfId="5" applyFont="1" applyBorder="1" applyAlignment="1">
      <alignment horizontal="left"/>
    </xf>
    <xf numFmtId="41" fontId="17" fillId="0" borderId="0" xfId="5" applyNumberFormat="1" applyFont="1" applyBorder="1" applyAlignment="1"/>
    <xf numFmtId="174" fontId="17" fillId="0" borderId="0" xfId="15" applyNumberFormat="1" applyFont="1" applyBorder="1" applyAlignment="1"/>
    <xf numFmtId="41" fontId="17" fillId="0" borderId="0" xfId="1" applyFont="1"/>
    <xf numFmtId="41" fontId="6" fillId="0" borderId="0" xfId="9" applyFont="1" applyFill="1" applyBorder="1" applyAlignment="1">
      <alignment horizontal="center"/>
    </xf>
    <xf numFmtId="37" fontId="22" fillId="0" borderId="0" xfId="11" applyFont="1" applyAlignment="1"/>
    <xf numFmtId="37" fontId="17" fillId="0" borderId="0" xfId="4" applyFont="1" applyAlignment="1">
      <alignment horizontal="center"/>
    </xf>
    <xf numFmtId="37" fontId="17" fillId="0" borderId="13" xfId="4" applyFont="1" applyBorder="1"/>
    <xf numFmtId="37" fontId="17" fillId="0" borderId="15" xfId="4" applyFont="1" applyBorder="1"/>
    <xf numFmtId="37" fontId="17" fillId="0" borderId="14" xfId="4" applyFont="1" applyBorder="1"/>
    <xf numFmtId="37" fontId="17" fillId="0" borderId="20" xfId="4" applyFont="1" applyBorder="1"/>
    <xf numFmtId="37" fontId="17" fillId="5" borderId="20" xfId="4" applyFont="1" applyFill="1" applyBorder="1"/>
    <xf numFmtId="37" fontId="17" fillId="0" borderId="3" xfId="4" applyFont="1" applyBorder="1"/>
    <xf numFmtId="37" fontId="17" fillId="0" borderId="4" xfId="4" applyFont="1" applyBorder="1"/>
    <xf numFmtId="37" fontId="17" fillId="0" borderId="10" xfId="4" applyFont="1" applyBorder="1"/>
    <xf numFmtId="37" fontId="17" fillId="0" borderId="8" xfId="4" applyFont="1" applyFill="1" applyBorder="1" applyAlignment="1">
      <alignment horizontal="center"/>
    </xf>
    <xf numFmtId="41" fontId="17" fillId="0" borderId="9" xfId="4" applyNumberFormat="1" applyFont="1" applyFill="1" applyBorder="1"/>
    <xf numFmtId="37" fontId="17" fillId="0" borderId="0" xfId="28" applyFont="1" applyFill="1"/>
    <xf numFmtId="37" fontId="17" fillId="0" borderId="0" xfId="4" applyFont="1" applyFill="1" applyBorder="1"/>
    <xf numFmtId="41" fontId="17" fillId="0" borderId="0" xfId="4" applyNumberFormat="1" applyFont="1" applyFill="1" applyBorder="1"/>
    <xf numFmtId="37" fontId="17" fillId="0" borderId="4" xfId="28" applyFont="1" applyFill="1" applyBorder="1"/>
    <xf numFmtId="37" fontId="17" fillId="0" borderId="0" xfId="32" applyFont="1" applyFill="1"/>
    <xf numFmtId="41" fontId="17" fillId="0" borderId="4" xfId="4" applyNumberFormat="1" applyFont="1" applyFill="1" applyBorder="1"/>
    <xf numFmtId="41" fontId="17" fillId="0" borderId="5" xfId="4" applyNumberFormat="1" applyFont="1" applyFill="1" applyBorder="1"/>
    <xf numFmtId="37" fontId="17" fillId="0" borderId="14" xfId="4" applyFont="1" applyFill="1" applyBorder="1"/>
    <xf numFmtId="37" fontId="17" fillId="0" borderId="13" xfId="4" applyFont="1" applyFill="1" applyBorder="1"/>
    <xf numFmtId="37" fontId="17" fillId="0" borderId="7" xfId="4" applyFont="1" applyFill="1" applyBorder="1"/>
    <xf numFmtId="37" fontId="17" fillId="0" borderId="3" xfId="4" applyFont="1" applyFill="1" applyBorder="1"/>
    <xf numFmtId="5" fontId="17" fillId="0" borderId="4" xfId="4" applyNumberFormat="1" applyFont="1" applyFill="1" applyBorder="1"/>
    <xf numFmtId="5" fontId="17" fillId="0" borderId="9" xfId="4" applyNumberFormat="1" applyFont="1" applyFill="1" applyBorder="1"/>
    <xf numFmtId="41" fontId="17" fillId="0" borderId="11" xfId="4" applyNumberFormat="1" applyFont="1" applyFill="1" applyBorder="1"/>
    <xf numFmtId="41" fontId="17" fillId="0" borderId="20" xfId="4" applyNumberFormat="1" applyFont="1" applyFill="1" applyBorder="1"/>
    <xf numFmtId="169" fontId="17" fillId="0" borderId="0" xfId="2" applyNumberFormat="1" applyFont="1" applyBorder="1"/>
    <xf numFmtId="37" fontId="17" fillId="0" borderId="1" xfId="11" applyFont="1" applyBorder="1" applyAlignment="1">
      <alignment horizontal="center"/>
    </xf>
    <xf numFmtId="37" fontId="17" fillId="0" borderId="16" xfId="4" applyFont="1" applyBorder="1"/>
    <xf numFmtId="165" fontId="3" fillId="0" borderId="0" xfId="0" applyNumberFormat="1" applyFont="1"/>
    <xf numFmtId="41" fontId="34" fillId="0" borderId="0" xfId="9" applyFont="1" applyBorder="1" applyAlignment="1">
      <alignment horizontal="center"/>
    </xf>
    <xf numFmtId="37" fontId="33" fillId="0" borderId="0" xfId="11" applyFont="1" applyBorder="1"/>
    <xf numFmtId="0" fontId="35" fillId="0" borderId="0" xfId="5" applyFont="1" applyBorder="1" applyAlignment="1">
      <alignment horizontal="left"/>
    </xf>
    <xf numFmtId="37" fontId="36" fillId="0" borderId="0" xfId="11" applyFont="1" applyBorder="1" applyAlignment="1">
      <alignment horizontal="left"/>
    </xf>
    <xf numFmtId="37" fontId="33" fillId="0" borderId="0" xfId="11" applyFont="1" applyBorder="1" applyAlignment="1">
      <alignment horizontal="left"/>
    </xf>
    <xf numFmtId="37" fontId="36" fillId="0" borderId="0" xfId="11" applyFont="1" applyBorder="1"/>
    <xf numFmtId="37" fontId="33" fillId="0" borderId="0" xfId="11" applyFont="1" applyFill="1" applyBorder="1" applyAlignment="1">
      <alignment horizontal="left"/>
    </xf>
    <xf numFmtId="37" fontId="36" fillId="0" borderId="0" xfId="11" applyFont="1" applyFill="1" applyBorder="1" applyAlignment="1">
      <alignment horizontal="left"/>
    </xf>
    <xf numFmtId="37" fontId="36" fillId="0" borderId="0" xfId="11" quotePrefix="1" applyFont="1" applyFill="1" applyBorder="1" applyAlignment="1">
      <alignment horizontal="left"/>
    </xf>
    <xf numFmtId="10" fontId="17" fillId="0" borderId="0" xfId="16" applyNumberFormat="1" applyFont="1" applyFill="1"/>
    <xf numFmtId="37" fontId="17" fillId="0" borderId="13" xfId="4" applyFont="1" applyFill="1" applyBorder="1" applyAlignment="1">
      <alignment horizontal="center"/>
    </xf>
    <xf numFmtId="165" fontId="3" fillId="10" borderId="0" xfId="8" applyNumberFormat="1" applyFont="1" applyFill="1"/>
    <xf numFmtId="174" fontId="17" fillId="10" borderId="0" xfId="15" applyNumberFormat="1" applyFont="1" applyFill="1" applyBorder="1" applyAlignment="1"/>
    <xf numFmtId="169" fontId="17" fillId="13" borderId="0" xfId="2" applyNumberFormat="1" applyFont="1" applyFill="1"/>
    <xf numFmtId="10" fontId="17" fillId="13" borderId="0" xfId="16" applyNumberFormat="1" applyFont="1" applyFill="1"/>
    <xf numFmtId="3" fontId="4" fillId="0" borderId="0" xfId="14" applyNumberFormat="1" applyFont="1" applyFill="1"/>
    <xf numFmtId="0" fontId="18" fillId="10" borderId="20" xfId="5" applyFill="1" applyBorder="1" applyAlignment="1">
      <alignment horizontal="center"/>
    </xf>
    <xf numFmtId="37" fontId="17" fillId="0" borderId="5" xfId="4" applyFont="1" applyFill="1" applyBorder="1" applyAlignment="1">
      <alignment horizontal="center"/>
    </xf>
    <xf numFmtId="37" fontId="17" fillId="13" borderId="0" xfId="4" applyFont="1" applyFill="1"/>
    <xf numFmtId="168" fontId="17" fillId="13" borderId="0" xfId="16" applyNumberFormat="1" applyFont="1" applyFill="1"/>
    <xf numFmtId="37" fontId="17" fillId="13" borderId="20" xfId="4" applyFont="1" applyFill="1" applyBorder="1" applyAlignment="1">
      <alignment horizontal="center"/>
    </xf>
    <xf numFmtId="37" fontId="22" fillId="0" borderId="0" xfId="4" applyFont="1" applyFill="1"/>
    <xf numFmtId="3" fontId="3" fillId="13" borderId="20" xfId="13" applyNumberFormat="1" applyFont="1" applyFill="1" applyBorder="1" applyAlignment="1">
      <alignment horizontal="center"/>
    </xf>
    <xf numFmtId="41" fontId="4" fillId="13" borderId="0" xfId="9" applyFont="1" applyFill="1" applyAlignment="1">
      <alignment horizontal="center"/>
    </xf>
    <xf numFmtId="3" fontId="4" fillId="13" borderId="3" xfId="12" applyNumberFormat="1" applyFont="1" applyFill="1" applyBorder="1" applyAlignment="1">
      <alignment horizontal="center"/>
    </xf>
    <xf numFmtId="3" fontId="4" fillId="13" borderId="8" xfId="12" applyNumberFormat="1" applyFont="1" applyFill="1" applyBorder="1" applyAlignment="1">
      <alignment horizontal="center"/>
    </xf>
    <xf numFmtId="3" fontId="4" fillId="13" borderId="4" xfId="12" applyNumberFormat="1" applyFont="1" applyFill="1" applyBorder="1" applyAlignment="1">
      <alignment horizontal="center"/>
    </xf>
    <xf numFmtId="3" fontId="4" fillId="13" borderId="5" xfId="12" applyNumberFormat="1" applyFont="1" applyFill="1" applyBorder="1" applyAlignment="1">
      <alignment horizontal="center"/>
    </xf>
    <xf numFmtId="3" fontId="12" fillId="13" borderId="14" xfId="13" applyNumberFormat="1" applyFont="1" applyFill="1" applyBorder="1" applyAlignment="1">
      <alignment horizontal="center"/>
    </xf>
    <xf numFmtId="37" fontId="3" fillId="13" borderId="20" xfId="13" applyNumberFormat="1" applyFont="1" applyFill="1" applyBorder="1"/>
    <xf numFmtId="165" fontId="3" fillId="13" borderId="20" xfId="8" applyNumberFormat="1" applyFont="1" applyFill="1" applyBorder="1"/>
    <xf numFmtId="175" fontId="3" fillId="5" borderId="13" xfId="13" applyFont="1" applyFill="1" applyBorder="1" applyAlignment="1">
      <alignment horizontal="center"/>
    </xf>
    <xf numFmtId="175" fontId="3" fillId="5" borderId="14" xfId="13" applyFont="1" applyFill="1" applyBorder="1" applyAlignment="1">
      <alignment horizontal="center"/>
    </xf>
    <xf numFmtId="175" fontId="3" fillId="5" borderId="15" xfId="13" applyFont="1" applyFill="1" applyBorder="1" applyAlignment="1">
      <alignment horizontal="center"/>
    </xf>
    <xf numFmtId="37" fontId="17" fillId="6" borderId="1" xfId="4" applyFont="1" applyFill="1" applyBorder="1" applyAlignment="1">
      <alignment horizontal="center"/>
    </xf>
    <xf numFmtId="37" fontId="17" fillId="0" borderId="1" xfId="11" applyFont="1" applyFill="1" applyBorder="1" applyAlignment="1">
      <alignment horizontal="center"/>
    </xf>
    <xf numFmtId="37" fontId="17" fillId="0" borderId="13" xfId="4" applyFont="1" applyBorder="1" applyAlignment="1">
      <alignment horizontal="center"/>
    </xf>
    <xf numFmtId="37" fontId="17" fillId="0" borderId="14" xfId="4" applyFont="1" applyBorder="1" applyAlignment="1">
      <alignment horizontal="center"/>
    </xf>
    <xf numFmtId="37" fontId="17" fillId="0" borderId="15" xfId="4" applyFont="1" applyBorder="1" applyAlignment="1">
      <alignment horizontal="center"/>
    </xf>
    <xf numFmtId="37" fontId="22" fillId="0" borderId="13" xfId="4" applyFont="1" applyFill="1" applyBorder="1" applyAlignment="1">
      <alignment horizontal="center"/>
    </xf>
    <xf numFmtId="37" fontId="22" fillId="0" borderId="14" xfId="4" applyFont="1" applyFill="1" applyBorder="1" applyAlignment="1">
      <alignment horizontal="center"/>
    </xf>
    <xf numFmtId="37" fontId="17" fillId="0" borderId="13" xfId="4" applyFont="1" applyFill="1" applyBorder="1" applyAlignment="1">
      <alignment horizontal="center"/>
    </xf>
    <xf numFmtId="37" fontId="17" fillId="0" borderId="15" xfId="4" applyFont="1" applyFill="1" applyBorder="1" applyAlignment="1">
      <alignment horizontal="center"/>
    </xf>
    <xf numFmtId="37" fontId="17" fillId="0" borderId="14" xfId="4" applyFont="1" applyFill="1" applyBorder="1" applyAlignment="1">
      <alignment horizontal="center"/>
    </xf>
    <xf numFmtId="37" fontId="17" fillId="0" borderId="7" xfId="4" applyFont="1" applyFill="1" applyBorder="1" applyAlignment="1">
      <alignment horizontal="center"/>
    </xf>
    <xf numFmtId="37" fontId="17" fillId="0" borderId="6" xfId="4" applyFont="1" applyFill="1" applyBorder="1" applyAlignment="1">
      <alignment horizontal="center"/>
    </xf>
    <xf numFmtId="37" fontId="17" fillId="0" borderId="8" xfId="4" applyFont="1" applyFill="1" applyBorder="1" applyAlignment="1">
      <alignment horizontal="center"/>
    </xf>
    <xf numFmtId="0" fontId="22" fillId="0" borderId="0" xfId="5" applyFont="1" applyBorder="1" applyAlignment="1">
      <alignment horizontal="center"/>
    </xf>
  </cellXfs>
  <cellStyles count="38">
    <cellStyle name="Comma" xfId="1" builtinId="3"/>
    <cellStyle name="Comma 2 2" xfId="34"/>
    <cellStyle name="Comma_TEMPLATE 01" xfId="2"/>
    <cellStyle name="Date" xfId="3"/>
    <cellStyle name="Date 10" xfId="30"/>
    <cellStyle name="Date 11" xfId="31"/>
    <cellStyle name="Date 12" xfId="33"/>
    <cellStyle name="Date 2" xfId="17"/>
    <cellStyle name="Date 3" xfId="19"/>
    <cellStyle name="Date 4" xfId="20"/>
    <cellStyle name="Date 5" xfId="24"/>
    <cellStyle name="Date 6" xfId="25"/>
    <cellStyle name="Date 7" xfId="26"/>
    <cellStyle name="Date 8" xfId="27"/>
    <cellStyle name="Date 9" xfId="29"/>
    <cellStyle name="Normal" xfId="0" builtinId="0"/>
    <cellStyle name="Normal 2" xfId="21"/>
    <cellStyle name="Normal 2 2" xfId="35"/>
    <cellStyle name="Normal 3" xfId="23"/>
    <cellStyle name="Normal 3 2" xfId="36"/>
    <cellStyle name="Normal 4" xfId="32"/>
    <cellStyle name="Normal 6" xfId="28"/>
    <cellStyle name="Normal 6 2" xfId="37"/>
    <cellStyle name="Normal_Avista WA ELEC TY2006 Staff Rebuttal 05 capstruc" xfId="4"/>
    <cellStyle name="Normal_Avista WA GAS TY2006 Staff Rebuttal" xfId="18"/>
    <cellStyle name="Normal_Bench response 01" xfId="5"/>
    <cellStyle name="Normal_Book3" xfId="6"/>
    <cellStyle name="Normal_DFIT-WaGas_SUM" xfId="7"/>
    <cellStyle name="Normal_IDGas6_97" xfId="8"/>
    <cellStyle name="Normal_Inc. Stmt." xfId="9"/>
    <cellStyle name="Normal_scratch" xfId="10"/>
    <cellStyle name="Normal_TEMPLATE 01" xfId="11"/>
    <cellStyle name="Normal_WAElec6_97" xfId="12"/>
    <cellStyle name="Normal_WAGas6_97" xfId="13"/>
    <cellStyle name="Normal_WAGas6_97_Avista WA GAS TY2006 Staff Rebuttal" xfId="14"/>
    <cellStyle name="Percent" xfId="15" builtinId="5"/>
    <cellStyle name="Percent 2" xfId="22"/>
    <cellStyle name="Percent_TEMPLATE 01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23</xdr:row>
      <xdr:rowOff>95250</xdr:rowOff>
    </xdr:from>
    <xdr:to>
      <xdr:col>14</xdr:col>
      <xdr:colOff>847725</xdr:colOff>
      <xdr:row>28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991600" y="3743325"/>
          <a:ext cx="571500" cy="69532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070804\Staff%20WP\trash\Avista%20WA%20GAS%20TY2006%20Staff%20Rebuttal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070804\Staff%20WP\trash\Avista%20WA%20ELEC%20TY2006%20Staff%20Rebuttal%2005%20capstru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vista\TEMPLATE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 "/>
      <sheetName val="Pro Forma Adj Sch 1.3 "/>
      <sheetName val="Summary of Adj Sch 1.4"/>
      <sheetName val="Captial 2.0"/>
      <sheetName val="Rev Conv Factor 2.1"/>
      <sheetName val="Revenue Requirement 2.2"/>
      <sheetName val="ResultSumGas"/>
      <sheetName val="R-1 DFIT"/>
      <sheetName val="R-2 BldGain"/>
      <sheetName val="R-3 GasInv"/>
      <sheetName val="R-4 WznDSM"/>
      <sheetName val="R- 5 CustAdv"/>
      <sheetName val="R-6 WeatherGas"/>
      <sheetName val=" R- 7 B &amp; O"/>
      <sheetName val="R-8 PropTax"/>
      <sheetName val="R-9 UncollExp"/>
      <sheetName val="R-10 RegExp"/>
      <sheetName val="R-11 Inj &amp; Damages"/>
      <sheetName val="R-12 FIT"/>
      <sheetName val="R-13 PF Debt"/>
      <sheetName val="R- 14 IncentOther"/>
      <sheetName val="R-15 GainsLosses"/>
      <sheetName val="R-16 ElimAR"/>
      <sheetName val="R-17 SubSpace"/>
      <sheetName val="R- 18 ExciseTax"/>
      <sheetName val="PF-1 Non-Exec Salaries"/>
      <sheetName val="PF-2 Exec Salaries"/>
      <sheetName val="PF-3 DepStudy"/>
      <sheetName val="PF-4 StorageContr"/>
      <sheetName val="PF-5 Interest Sync."/>
      <sheetName val="Inputs"/>
      <sheetName val="## Proposed Rates"/>
      <sheetName val="#### blank"/>
      <sheetName val="## ConverFac_Exh"/>
      <sheetName val="CWIP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Results Sch1.1"/>
      <sheetName val="Restating Adj Sch 1.2"/>
      <sheetName val="Pro Forma Adj Sch 1.3"/>
      <sheetName val="Summary of Adj Sch 1.4"/>
      <sheetName val="Capital Structure Sch 2.0"/>
      <sheetName val="Revenue Requirement 2.2"/>
      <sheetName val="Revenue Conv Factor 2.1"/>
      <sheetName val="DFIT R-1"/>
      <sheetName val="BldGain R-2"/>
      <sheetName val="ColstripAFUDC R-3"/>
      <sheetName val="ColstripCommon R-4"/>
      <sheetName val="KFSumm R-5"/>
      <sheetName val="CustAdv R-6"/>
      <sheetName val="WAPGE R-7"/>
      <sheetName val="SettleEx R-8"/>
      <sheetName val="Eliminate B&amp;O R-9"/>
      <sheetName val="PropTax R-10"/>
      <sheetName val="UncollExp R-11"/>
      <sheetName val="RegExp R-12"/>
      <sheetName val="Inj &amp; Dam R-13"/>
      <sheetName val="FIT R-14"/>
      <sheetName val="ElimPowerCost R-15"/>
      <sheetName val="NezPerce R-16"/>
      <sheetName val="GainsLoss R-17"/>
      <sheetName val="ElimAR R-18"/>
      <sheetName val="SubSpace R-19"/>
      <sheetName val="ExciseTax R-20"/>
      <sheetName val="RevNormalztn R-21"/>
      <sheetName val="Incent&amp;Oth R-22"/>
      <sheetName val="R-23 PF Debt"/>
      <sheetName val="Inputs"/>
      <sheetName val="PF-1 PS"/>
      <sheetName val="PF-2 Prod Property "/>
      <sheetName val="ProdFctrCalc"/>
      <sheetName val="PF-3 Labor nonexecr"/>
      <sheetName val="PF-4 Labor Exec"/>
      <sheetName val="PF-5 Trans Rev Exp"/>
      <sheetName val="PF-6 Trans Cap Addition"/>
      <sheetName val="PF-7 Gen Cap Addition"/>
      <sheetName val="PF-8 Depreciation"/>
      <sheetName val="PF-9 Pole"/>
      <sheetName val="PF -10 Purchased Power"/>
      <sheetName val="PF-11 PF Debt"/>
      <sheetName val="PF12open"/>
      <sheetName val="END "/>
      <sheetName val="RevReq_Exh"/>
      <sheetName val="ID_DSM_Inv"/>
      <sheetName val=" NU-Proposed Rates"/>
      <sheetName val="WARateNorm"/>
      <sheetName val="CWIPAllocDebt"/>
      <sheetName val="PFRstmtSheet"/>
      <sheetName val="not-used "/>
      <sheetName val="not used -1"/>
      <sheetName val="PF13open"/>
      <sheetName val="PF14open"/>
      <sheetName val="PSID"/>
      <sheetName val="PSWA-not used"/>
      <sheetName val="IDElec12_06"/>
      <sheetName val="ResultSumEl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">
          <cell r="A1" t="str">
            <v xml:space="preserve"> 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. Stmt. 1.1"/>
      <sheetName val="Restating 1.2"/>
      <sheetName val="Pro Forma 1.3"/>
      <sheetName val="Avg Rate Base 2.1"/>
      <sheetName val="CIAC 2.2"/>
      <sheetName val="Working Cap 2.3"/>
      <sheetName val="Plant 3.1"/>
      <sheetName val="Depr 3.2 "/>
      <sheetName val="Captial 4.1"/>
      <sheetName val="Cost Debt 4.2"/>
      <sheetName val="PF Debt 4.3"/>
      <sheetName val="Income taxes 5.1"/>
      <sheetName val="Rev Conv Factor 5.2"/>
      <sheetName val="Deficiency 5.3"/>
      <sheetName val="Bal Sht 6.1"/>
      <sheetName val="not used"/>
    </sheetNames>
    <sheetDataSet>
      <sheetData sheetId="0">
        <row r="12">
          <cell r="B12" t="str">
            <v>Test Year Ended December 31,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47"/>
  </sheetPr>
  <dimension ref="A1:P118"/>
  <sheetViews>
    <sheetView showGridLines="0" zoomScaleNormal="100" workbookViewId="0">
      <selection activeCell="F9" sqref="F9"/>
    </sheetView>
  </sheetViews>
  <sheetFormatPr defaultColWidth="10.83203125" defaultRowHeight="12.75"/>
  <cols>
    <col min="1" max="1" width="19.33203125" style="32" customWidth="1"/>
    <col min="2" max="2" width="5.83203125" style="8" customWidth="1"/>
    <col min="3" max="5" width="1.83203125" style="2" customWidth="1"/>
    <col min="6" max="6" width="34.6640625" style="2" customWidth="1"/>
    <col min="7" max="9" width="11.83203125" style="19" customWidth="1"/>
    <col min="10" max="10" width="11.1640625" style="19" customWidth="1"/>
    <col min="11" max="11" width="12.33203125" style="19" customWidth="1"/>
    <col min="12" max="12" width="13.6640625" style="17" customWidth="1"/>
    <col min="13" max="13" width="10.83203125" style="2" customWidth="1"/>
    <col min="14" max="14" width="13.6640625" style="32" customWidth="1"/>
    <col min="15" max="15" width="20" style="32" customWidth="1"/>
    <col min="16" max="16" width="35" style="2" customWidth="1"/>
    <col min="17" max="16384" width="10.83203125" style="2"/>
  </cols>
  <sheetData>
    <row r="1" spans="1:16" s="32" customFormat="1">
      <c r="B1" s="33"/>
      <c r="G1" s="34"/>
      <c r="H1" s="34"/>
      <c r="I1" s="34"/>
      <c r="J1" s="34"/>
      <c r="K1" s="34"/>
      <c r="L1" s="36"/>
    </row>
    <row r="2" spans="1:16" s="32" customFormat="1">
      <c r="B2" s="33"/>
      <c r="G2" s="34"/>
      <c r="H2" s="34"/>
      <c r="I2" s="34"/>
      <c r="J2" s="34"/>
      <c r="K2" s="34"/>
      <c r="L2" s="439"/>
      <c r="M2" s="440" t="s">
        <v>319</v>
      </c>
    </row>
    <row r="3" spans="1:16">
      <c r="B3" s="1" t="s">
        <v>186</v>
      </c>
      <c r="G3" s="24"/>
      <c r="H3" s="509" t="s">
        <v>400</v>
      </c>
      <c r="M3" s="170"/>
      <c r="P3" s="32"/>
    </row>
    <row r="4" spans="1:16">
      <c r="B4" s="1" t="s">
        <v>389</v>
      </c>
      <c r="G4" s="24"/>
      <c r="H4" s="509" t="s">
        <v>399</v>
      </c>
      <c r="P4" s="32"/>
    </row>
    <row r="5" spans="1:16">
      <c r="B5" s="1" t="s">
        <v>381</v>
      </c>
      <c r="P5" s="32"/>
    </row>
    <row r="6" spans="1:16">
      <c r="B6" s="169" t="s">
        <v>141</v>
      </c>
      <c r="P6" s="32"/>
    </row>
    <row r="7" spans="1:16">
      <c r="P7" s="32"/>
    </row>
    <row r="8" spans="1:16" s="4" customFormat="1" thickBot="1">
      <c r="A8" s="37"/>
      <c r="B8" s="3"/>
      <c r="F8" s="4" t="s">
        <v>109</v>
      </c>
      <c r="G8" s="4" t="s">
        <v>111</v>
      </c>
      <c r="H8" s="4" t="s">
        <v>112</v>
      </c>
      <c r="I8" s="4" t="s">
        <v>261</v>
      </c>
      <c r="J8" s="4" t="s">
        <v>113</v>
      </c>
      <c r="K8" s="4" t="s">
        <v>139</v>
      </c>
      <c r="L8" s="4" t="s">
        <v>140</v>
      </c>
      <c r="M8" s="4" t="s">
        <v>143</v>
      </c>
      <c r="N8" s="37"/>
      <c r="O8" s="37"/>
      <c r="P8" s="32"/>
    </row>
    <row r="9" spans="1:16" s="4" customFormat="1" ht="15.75" customHeight="1" thickBot="1">
      <c r="A9" s="37"/>
      <c r="B9" s="49"/>
      <c r="C9" s="5"/>
      <c r="D9" s="5"/>
      <c r="E9" s="5"/>
      <c r="F9" s="12"/>
      <c r="G9" s="50"/>
      <c r="H9" s="50" t="s">
        <v>35</v>
      </c>
      <c r="I9" s="50"/>
      <c r="J9" s="50" t="s">
        <v>35</v>
      </c>
      <c r="K9" s="50"/>
      <c r="L9" s="50"/>
      <c r="M9" s="50" t="s">
        <v>110</v>
      </c>
      <c r="N9" s="37"/>
      <c r="O9" s="409">
        <v>4918000</v>
      </c>
      <c r="P9" s="32"/>
    </row>
    <row r="10" spans="1:16" s="4" customFormat="1" ht="12">
      <c r="A10" s="37"/>
      <c r="B10" s="49" t="s">
        <v>6</v>
      </c>
      <c r="C10" s="5"/>
      <c r="D10" s="5"/>
      <c r="E10" s="5"/>
      <c r="F10" s="12"/>
      <c r="G10" s="50" t="s">
        <v>142</v>
      </c>
      <c r="H10" s="50" t="s">
        <v>107</v>
      </c>
      <c r="I10" s="50" t="s">
        <v>19</v>
      </c>
      <c r="J10" s="50" t="s">
        <v>20</v>
      </c>
      <c r="K10" s="50" t="s">
        <v>20</v>
      </c>
      <c r="L10" s="50" t="s">
        <v>145</v>
      </c>
      <c r="M10" s="50" t="s">
        <v>146</v>
      </c>
      <c r="N10" s="37"/>
      <c r="O10" s="37"/>
      <c r="P10" s="32"/>
    </row>
    <row r="11" spans="1:16" s="4" customFormat="1" ht="12">
      <c r="A11" s="37"/>
      <c r="B11" s="51" t="s">
        <v>21</v>
      </c>
      <c r="C11" s="6"/>
      <c r="D11" s="6"/>
      <c r="E11" s="6"/>
      <c r="F11" s="6" t="s">
        <v>22</v>
      </c>
      <c r="G11" s="52" t="s">
        <v>110</v>
      </c>
      <c r="H11" s="52" t="s">
        <v>86</v>
      </c>
      <c r="I11" s="52" t="s">
        <v>110</v>
      </c>
      <c r="J11" s="52" t="s">
        <v>86</v>
      </c>
      <c r="K11" s="52" t="s">
        <v>110</v>
      </c>
      <c r="L11" s="52" t="s">
        <v>98</v>
      </c>
      <c r="M11" s="52" t="s">
        <v>138</v>
      </c>
      <c r="N11" s="37"/>
      <c r="O11" s="37"/>
      <c r="P11" s="32"/>
    </row>
    <row r="12" spans="1:16" s="7" customFormat="1" thickBot="1">
      <c r="A12" s="38"/>
      <c r="B12" s="42"/>
      <c r="C12" s="66"/>
      <c r="D12" s="66"/>
      <c r="E12" s="66"/>
      <c r="F12" s="70" t="s">
        <v>114</v>
      </c>
      <c r="G12" s="69" t="s">
        <v>362</v>
      </c>
      <c r="H12" s="71" t="s">
        <v>137</v>
      </c>
      <c r="I12" s="71" t="s">
        <v>147</v>
      </c>
      <c r="J12" s="71" t="s">
        <v>148</v>
      </c>
      <c r="K12" s="71" t="s">
        <v>149</v>
      </c>
      <c r="L12" s="305">
        <f ca="1">+L15/K15</f>
        <v>2.9658036926024497E-3</v>
      </c>
      <c r="M12" s="71" t="s">
        <v>150</v>
      </c>
      <c r="N12" s="37"/>
      <c r="O12" s="38" t="s">
        <v>314</v>
      </c>
      <c r="P12" s="32"/>
    </row>
    <row r="13" spans="1:16" ht="12">
      <c r="B13" s="41"/>
      <c r="C13" s="525" t="s">
        <v>177</v>
      </c>
      <c r="D13" s="526"/>
      <c r="E13" s="526"/>
      <c r="F13" s="527"/>
      <c r="L13" s="19"/>
      <c r="M13" s="19"/>
      <c r="N13" s="37"/>
      <c r="O13" s="334"/>
      <c r="P13" s="32"/>
    </row>
    <row r="14" spans="1:16">
      <c r="B14" s="41">
        <v>1</v>
      </c>
      <c r="C14" s="2" t="s">
        <v>37</v>
      </c>
      <c r="M14" s="19"/>
      <c r="N14" s="37"/>
      <c r="O14" s="342">
        <f ca="1">+L12</f>
        <v>2.9658036926024497E-3</v>
      </c>
      <c r="P14" s="32"/>
    </row>
    <row r="15" spans="1:16" s="9" customFormat="1" ht="12">
      <c r="A15" s="39"/>
      <c r="B15" s="41">
        <f>+B14+1</f>
        <v>2</v>
      </c>
      <c r="D15" s="9" t="s">
        <v>38</v>
      </c>
      <c r="G15" s="9">
        <v>220020</v>
      </c>
      <c r="H15" s="13">
        <f>+'DPK-3 Restating Adj Sch 1.2 '!G15</f>
        <v>-6144</v>
      </c>
      <c r="I15" s="9">
        <f>SUM(G15:H15)</f>
        <v>213876</v>
      </c>
      <c r="J15" s="43">
        <f>+'DPK-3 Pro Forma Adj Sch 1.3 '!G15</f>
        <v>0</v>
      </c>
      <c r="K15" s="67">
        <f>+J15+I15</f>
        <v>213876</v>
      </c>
      <c r="L15" s="43">
        <f ca="1">+'DPK-3 Revenue Require Sch 2 '!G27</f>
        <v>634.31423055904156</v>
      </c>
      <c r="M15" s="67">
        <f ca="1">+L15+K15</f>
        <v>214510.31423055904</v>
      </c>
      <c r="N15" s="37"/>
      <c r="O15" s="344" t="s">
        <v>317</v>
      </c>
      <c r="P15" s="32"/>
    </row>
    <row r="16" spans="1:16" ht="12">
      <c r="B16" s="41">
        <f t="shared" ref="B16:B79" si="0">+B15+1</f>
        <v>3</v>
      </c>
      <c r="D16" s="10" t="s">
        <v>39</v>
      </c>
      <c r="E16" s="10"/>
      <c r="F16" s="10"/>
      <c r="G16" s="31">
        <v>3486</v>
      </c>
      <c r="H16" s="43">
        <f>+'DPK-3 Restating Adj Sch 1.2 '!G16</f>
        <v>-1775</v>
      </c>
      <c r="I16" s="10">
        <f>SUM(G16:H16)</f>
        <v>1711</v>
      </c>
      <c r="J16" s="43">
        <f>+'DPK-3 Pro Forma Adj Sch 1.3 '!G16</f>
        <v>0</v>
      </c>
      <c r="K16" s="10">
        <f>+J16+I16</f>
        <v>1711</v>
      </c>
      <c r="L16" s="43">
        <f>+'DPK-3 Pro Forma Adj Sch 1.3 '!I16</f>
        <v>0</v>
      </c>
      <c r="M16" s="10">
        <f>+L16+K16</f>
        <v>1711</v>
      </c>
      <c r="N16" s="37"/>
      <c r="O16" s="343">
        <f ca="1">+L15*1000</f>
        <v>634314.23055904161</v>
      </c>
      <c r="P16" s="32"/>
    </row>
    <row r="17" spans="2:16" ht="12">
      <c r="B17" s="41">
        <f t="shared" si="0"/>
        <v>4</v>
      </c>
      <c r="D17" s="10" t="s">
        <v>40</v>
      </c>
      <c r="E17" s="10"/>
      <c r="F17" s="10"/>
      <c r="G17" s="45">
        <v>135812</v>
      </c>
      <c r="H17" s="44">
        <f>+'DPK-3 Restating Adj Sch 1.2 '!G17</f>
        <v>-131399</v>
      </c>
      <c r="I17" s="20">
        <f>SUM(G17:H17)</f>
        <v>4413</v>
      </c>
      <c r="J17" s="44">
        <f>+'DPK-3 Pro Forma Adj Sch 1.3 '!G17</f>
        <v>-2561</v>
      </c>
      <c r="K17" s="20">
        <f>+J17+I17</f>
        <v>1852</v>
      </c>
      <c r="L17" s="44">
        <f>+'DPK-3 Pro Forma Adj Sch 1.3 '!I17</f>
        <v>0</v>
      </c>
      <c r="M17" s="20">
        <f>+L17+K17</f>
        <v>1852</v>
      </c>
      <c r="N17" s="37"/>
      <c r="O17" s="344" t="s">
        <v>318</v>
      </c>
      <c r="P17" s="32"/>
    </row>
    <row r="18" spans="2:16" ht="12">
      <c r="B18" s="41">
        <f t="shared" si="0"/>
        <v>5</v>
      </c>
      <c r="C18" s="178"/>
      <c r="D18" s="10"/>
      <c r="E18" s="10"/>
      <c r="F18" s="2" t="s">
        <v>41</v>
      </c>
      <c r="G18" s="31">
        <f t="shared" ref="G18:M18" si="1">SUM(G15:G17)</f>
        <v>359318</v>
      </c>
      <c r="H18" s="10">
        <f t="shared" si="1"/>
        <v>-139318</v>
      </c>
      <c r="I18" s="10">
        <f t="shared" si="1"/>
        <v>220000</v>
      </c>
      <c r="J18" s="10">
        <f t="shared" si="1"/>
        <v>-2561</v>
      </c>
      <c r="K18" s="10">
        <f t="shared" si="1"/>
        <v>217439</v>
      </c>
      <c r="L18" s="43">
        <f t="shared" ca="1" si="1"/>
        <v>634.31423055904156</v>
      </c>
      <c r="M18" s="10">
        <f t="shared" ca="1" si="1"/>
        <v>218073.31423055904</v>
      </c>
      <c r="P18" s="32"/>
    </row>
    <row r="19" spans="2:16" ht="12">
      <c r="B19" s="41">
        <f t="shared" si="0"/>
        <v>6</v>
      </c>
      <c r="C19" s="178"/>
      <c r="D19" s="10"/>
      <c r="E19" s="10"/>
      <c r="F19" s="10"/>
      <c r="G19" s="31"/>
      <c r="H19" s="395"/>
      <c r="I19" s="10"/>
      <c r="J19" s="395"/>
      <c r="K19" s="10"/>
      <c r="L19" s="395"/>
      <c r="M19" s="10"/>
      <c r="P19" s="32"/>
    </row>
    <row r="20" spans="2:16" ht="12">
      <c r="B20" s="41">
        <f t="shared" si="0"/>
        <v>7</v>
      </c>
      <c r="C20" s="178" t="s">
        <v>42</v>
      </c>
      <c r="D20" s="10"/>
      <c r="E20" s="10"/>
      <c r="F20" s="10"/>
      <c r="G20" s="31"/>
      <c r="H20" s="395"/>
      <c r="I20" s="10"/>
      <c r="J20" s="395"/>
      <c r="K20" s="10"/>
      <c r="L20" s="395"/>
      <c r="M20" s="10"/>
      <c r="P20" s="32"/>
    </row>
    <row r="21" spans="2:16" ht="12">
      <c r="B21" s="41">
        <f t="shared" si="0"/>
        <v>8</v>
      </c>
      <c r="C21" s="178"/>
      <c r="D21" s="10" t="s">
        <v>43</v>
      </c>
      <c r="E21" s="10"/>
      <c r="F21" s="10"/>
      <c r="G21" s="31"/>
      <c r="H21" s="43">
        <f>+'DPK-3 Restating Adj Sch 1.2 '!G21</f>
        <v>0</v>
      </c>
      <c r="I21" s="31">
        <f>SUM(G21:H21)</f>
        <v>0</v>
      </c>
      <c r="J21" s="43">
        <f>+'DPK-3 Pro Forma Adj Sch 1.3 '!G20</f>
        <v>0</v>
      </c>
      <c r="K21" s="31">
        <f>+I21+J21</f>
        <v>0</v>
      </c>
      <c r="L21" s="31"/>
      <c r="M21" s="31">
        <f>+K21+L21</f>
        <v>0</v>
      </c>
      <c r="P21" s="32"/>
    </row>
    <row r="22" spans="2:16" thickBot="1">
      <c r="B22" s="41">
        <f t="shared" si="0"/>
        <v>9</v>
      </c>
      <c r="C22" s="178"/>
      <c r="D22" s="10"/>
      <c r="E22" s="10"/>
      <c r="F22" s="10"/>
      <c r="G22" s="31"/>
      <c r="H22" s="43"/>
      <c r="I22" s="31"/>
      <c r="J22" s="395"/>
      <c r="K22" s="10"/>
      <c r="L22" s="395"/>
      <c r="M22" s="10"/>
      <c r="P22" s="32"/>
    </row>
    <row r="23" spans="2:16" ht="12">
      <c r="B23" s="41">
        <f t="shared" si="0"/>
        <v>10</v>
      </c>
      <c r="C23" s="178"/>
      <c r="D23" s="10" t="s">
        <v>44</v>
      </c>
      <c r="E23" s="10"/>
      <c r="F23" s="10"/>
      <c r="G23" s="31"/>
      <c r="H23" s="395"/>
      <c r="I23" s="10"/>
      <c r="J23" s="395"/>
      <c r="K23" s="10"/>
      <c r="L23" s="395"/>
      <c r="M23" s="10"/>
      <c r="O23" s="345"/>
      <c r="P23" s="32"/>
    </row>
    <row r="24" spans="2:16" ht="12">
      <c r="B24" s="41">
        <f t="shared" si="0"/>
        <v>11</v>
      </c>
      <c r="C24" s="178"/>
      <c r="D24" s="10"/>
      <c r="E24" s="10" t="s">
        <v>45</v>
      </c>
      <c r="F24" s="10"/>
      <c r="G24" s="31">
        <v>309146</v>
      </c>
      <c r="H24" s="43">
        <f>+'DPK-3 Restating Adj Sch 1.2 '!G24</f>
        <v>-151865</v>
      </c>
      <c r="I24" s="10">
        <f>SUM(G24:H24)</f>
        <v>157281</v>
      </c>
      <c r="J24" s="43">
        <f>+'DPK-3 Pro Forma Adj Sch 1.3 '!G23</f>
        <v>0</v>
      </c>
      <c r="K24" s="10">
        <f>+J24+I24</f>
        <v>157281</v>
      </c>
      <c r="L24" s="43"/>
      <c r="M24" s="10">
        <f>+L24+K24</f>
        <v>157281</v>
      </c>
      <c r="O24" s="346"/>
      <c r="P24" s="32"/>
    </row>
    <row r="25" spans="2:16" ht="12">
      <c r="B25" s="41">
        <f t="shared" si="0"/>
        <v>12</v>
      </c>
      <c r="C25" s="178"/>
      <c r="D25" s="10"/>
      <c r="E25" s="10" t="s">
        <v>46</v>
      </c>
      <c r="F25" s="10"/>
      <c r="G25" s="31">
        <v>737</v>
      </c>
      <c r="H25" s="43">
        <f>+'DPK-3 Restating Adj Sch 1.2 '!G25</f>
        <v>0</v>
      </c>
      <c r="I25" s="10">
        <f>SUM(G25:H25)</f>
        <v>737</v>
      </c>
      <c r="J25" s="43">
        <f>+'DPK-3 Pro Forma Adj Sch 1.3 '!G25</f>
        <v>69.936999999999998</v>
      </c>
      <c r="K25" s="10">
        <f>+J25+I25</f>
        <v>806.93700000000001</v>
      </c>
      <c r="L25" s="43"/>
      <c r="M25" s="10">
        <f>+L25+K25</f>
        <v>806.93700000000001</v>
      </c>
      <c r="O25" s="346"/>
      <c r="P25" s="32"/>
    </row>
    <row r="26" spans="2:16" ht="12">
      <c r="B26" s="41">
        <f t="shared" si="0"/>
        <v>13</v>
      </c>
      <c r="C26" s="178"/>
      <c r="D26" s="10"/>
      <c r="E26" s="10" t="s">
        <v>47</v>
      </c>
      <c r="F26" s="10"/>
      <c r="G26" s="45">
        <v>-18687</v>
      </c>
      <c r="H26" s="44">
        <f>+'DPK-3 Restating Adj Sch 1.2 '!G26</f>
        <v>18687</v>
      </c>
      <c r="I26" s="20">
        <f>SUM(G26:H26)</f>
        <v>0</v>
      </c>
      <c r="J26" s="44">
        <f>+'DPK-3 Pro Forma Adj Sch 1.3 '!G26</f>
        <v>0</v>
      </c>
      <c r="K26" s="20">
        <f>+J26+I26</f>
        <v>0</v>
      </c>
      <c r="L26" s="44"/>
      <c r="M26" s="20">
        <f>+L26+K26</f>
        <v>0</v>
      </c>
      <c r="O26" s="346"/>
      <c r="P26" s="32"/>
    </row>
    <row r="27" spans="2:16" ht="12">
      <c r="B27" s="41">
        <f t="shared" si="0"/>
        <v>14</v>
      </c>
      <c r="C27" s="178"/>
      <c r="D27" s="10"/>
      <c r="E27" s="10"/>
      <c r="F27" s="10" t="s">
        <v>48</v>
      </c>
      <c r="G27" s="31">
        <f t="shared" ref="G27:M27" si="2">SUM(G23:G26)</f>
        <v>291196</v>
      </c>
      <c r="H27" s="10">
        <f t="shared" si="2"/>
        <v>-133178</v>
      </c>
      <c r="I27" s="10">
        <f t="shared" si="2"/>
        <v>158018</v>
      </c>
      <c r="J27" s="10">
        <f t="shared" si="2"/>
        <v>69.936999999999998</v>
      </c>
      <c r="K27" s="10">
        <f t="shared" si="2"/>
        <v>158087.93700000001</v>
      </c>
      <c r="L27" s="395">
        <f t="shared" si="2"/>
        <v>0</v>
      </c>
      <c r="M27" s="10">
        <f t="shared" si="2"/>
        <v>158087.93700000001</v>
      </c>
      <c r="O27" s="346"/>
      <c r="P27" s="32"/>
    </row>
    <row r="28" spans="2:16" ht="12">
      <c r="B28" s="41">
        <f t="shared" si="0"/>
        <v>15</v>
      </c>
      <c r="C28" s="178"/>
      <c r="D28" s="10"/>
      <c r="E28" s="10"/>
      <c r="F28" s="10"/>
      <c r="G28" s="31"/>
      <c r="H28" s="10"/>
      <c r="I28" s="10"/>
      <c r="J28" s="10"/>
      <c r="K28" s="10"/>
      <c r="L28" s="10"/>
      <c r="M28" s="10"/>
      <c r="O28" s="346"/>
      <c r="P28" s="32"/>
    </row>
    <row r="29" spans="2:16" ht="12">
      <c r="B29" s="41">
        <f t="shared" si="0"/>
        <v>16</v>
      </c>
      <c r="C29" s="178"/>
      <c r="D29" s="10" t="s">
        <v>49</v>
      </c>
      <c r="E29" s="10"/>
      <c r="F29" s="10"/>
      <c r="G29" s="31"/>
      <c r="H29" s="395"/>
      <c r="I29" s="10"/>
      <c r="J29" s="395"/>
      <c r="K29" s="10"/>
      <c r="L29" s="395"/>
      <c r="M29" s="10"/>
      <c r="O29" s="346"/>
      <c r="P29" s="32"/>
    </row>
    <row r="30" spans="2:16" thickBot="1">
      <c r="B30" s="41">
        <f t="shared" si="0"/>
        <v>17</v>
      </c>
      <c r="C30" s="178"/>
      <c r="D30" s="10"/>
      <c r="E30" s="10" t="s">
        <v>50</v>
      </c>
      <c r="F30" s="10"/>
      <c r="G30" s="31">
        <v>408</v>
      </c>
      <c r="H30" s="43">
        <f>+'DPK-3 Restating Adj Sch 1.2 '!G30</f>
        <v>0</v>
      </c>
      <c r="I30" s="10">
        <f>SUM(G30:H30)</f>
        <v>408</v>
      </c>
      <c r="J30" s="43">
        <f>+'DPK-3 Pro Forma Adj Sch 1.3 '!G30</f>
        <v>0.72399999999999998</v>
      </c>
      <c r="K30" s="10">
        <f>+J30+I30</f>
        <v>408.72399999999999</v>
      </c>
      <c r="L30" s="43"/>
      <c r="M30" s="10">
        <f>+L30+K30</f>
        <v>408.72399999999999</v>
      </c>
      <c r="O30" s="347"/>
      <c r="P30" s="32"/>
    </row>
    <row r="31" spans="2:16" ht="12">
      <c r="B31" s="41">
        <f t="shared" si="0"/>
        <v>18</v>
      </c>
      <c r="C31" s="178"/>
      <c r="D31" s="10"/>
      <c r="E31" s="10" t="s">
        <v>51</v>
      </c>
      <c r="F31" s="10"/>
      <c r="G31" s="31">
        <v>260</v>
      </c>
      <c r="H31" s="43">
        <f>+'DPK-3 Restating Adj Sch 1.2 '!G31</f>
        <v>-15</v>
      </c>
      <c r="I31" s="10">
        <f>SUM(G31:H31)</f>
        <v>245</v>
      </c>
      <c r="J31" s="43">
        <f>+'DPK-3 Pro Forma Adj Sch 1.3 '!G31</f>
        <v>155</v>
      </c>
      <c r="K31" s="10">
        <f>+J31+I31</f>
        <v>400</v>
      </c>
      <c r="L31" s="43"/>
      <c r="M31" s="10">
        <f>+L31+K31</f>
        <v>400</v>
      </c>
      <c r="P31" s="32"/>
    </row>
    <row r="32" spans="2:16" ht="12">
      <c r="B32" s="41">
        <f t="shared" si="0"/>
        <v>19</v>
      </c>
      <c r="C32" s="178"/>
      <c r="D32" s="10"/>
      <c r="E32" s="10" t="s">
        <v>29</v>
      </c>
      <c r="F32" s="10"/>
      <c r="G32" s="45">
        <v>113</v>
      </c>
      <c r="H32" s="44">
        <f>+'DPK-3 Restating Adj Sch 1.2 '!G32</f>
        <v>-40</v>
      </c>
      <c r="I32" s="20">
        <f>SUM(G32:H32)</f>
        <v>73</v>
      </c>
      <c r="J32" s="44">
        <f>+'DPK-3 Pro Forma Adj Sch 1.3 '!G32</f>
        <v>129</v>
      </c>
      <c r="K32" s="20">
        <f>+J32+I32</f>
        <v>202</v>
      </c>
      <c r="L32" s="44"/>
      <c r="M32" s="20">
        <f>+L32+K32</f>
        <v>202</v>
      </c>
      <c r="P32" s="32"/>
    </row>
    <row r="33" spans="2:16" ht="12">
      <c r="B33" s="41">
        <f t="shared" si="0"/>
        <v>20</v>
      </c>
      <c r="C33" s="178"/>
      <c r="D33" s="10"/>
      <c r="E33" s="10"/>
      <c r="F33" s="10" t="s">
        <v>52</v>
      </c>
      <c r="G33" s="31">
        <f t="shared" ref="G33:M33" si="3">SUM(G30:G32)</f>
        <v>781</v>
      </c>
      <c r="H33" s="10">
        <f t="shared" si="3"/>
        <v>-55</v>
      </c>
      <c r="I33" s="10">
        <f t="shared" si="3"/>
        <v>726</v>
      </c>
      <c r="J33" s="10">
        <f t="shared" si="3"/>
        <v>284.72399999999999</v>
      </c>
      <c r="K33" s="10">
        <f t="shared" si="3"/>
        <v>1010.7239999999999</v>
      </c>
      <c r="L33" s="395">
        <f t="shared" si="3"/>
        <v>0</v>
      </c>
      <c r="M33" s="10">
        <f t="shared" si="3"/>
        <v>1010.7239999999999</v>
      </c>
      <c r="P33" s="32"/>
    </row>
    <row r="34" spans="2:16" ht="12">
      <c r="B34" s="41">
        <f t="shared" si="0"/>
        <v>21</v>
      </c>
      <c r="C34" s="178"/>
      <c r="D34" s="10"/>
      <c r="E34" s="10"/>
      <c r="F34" s="10"/>
      <c r="G34" s="31"/>
      <c r="H34" s="10"/>
      <c r="I34" s="10"/>
      <c r="J34" s="10"/>
      <c r="K34" s="10"/>
      <c r="L34" s="10"/>
      <c r="M34" s="10"/>
      <c r="P34" s="32"/>
    </row>
    <row r="35" spans="2:16" ht="12">
      <c r="B35" s="41">
        <f t="shared" si="0"/>
        <v>22</v>
      </c>
      <c r="C35" s="178"/>
      <c r="D35" s="10" t="s">
        <v>53</v>
      </c>
      <c r="E35" s="10"/>
      <c r="F35" s="10"/>
      <c r="G35" s="31"/>
      <c r="H35" s="395"/>
      <c r="I35" s="10"/>
      <c r="J35" s="395"/>
      <c r="K35" s="10"/>
      <c r="L35" s="395"/>
      <c r="M35" s="10"/>
      <c r="P35" s="32"/>
    </row>
    <row r="36" spans="2:16" ht="12">
      <c r="B36" s="41">
        <f t="shared" si="0"/>
        <v>23</v>
      </c>
      <c r="C36" s="178"/>
      <c r="D36" s="10"/>
      <c r="E36" s="10" t="s">
        <v>50</v>
      </c>
      <c r="F36" s="10"/>
      <c r="G36" s="31">
        <v>6260</v>
      </c>
      <c r="H36" s="43">
        <f>+'DPK-3 Restating Adj Sch 1.2 '!G36</f>
        <v>0</v>
      </c>
      <c r="I36" s="10">
        <f>SUM(G36:H36)</f>
        <v>6260</v>
      </c>
      <c r="J36" s="43">
        <f>+'DPK-3 Pro Forma Adj Sch 1.3 '!G36</f>
        <v>551.81299999999999</v>
      </c>
      <c r="K36" s="10">
        <f>+J36+I36</f>
        <v>6811.8130000000001</v>
      </c>
      <c r="L36" s="43"/>
      <c r="M36" s="10">
        <f>+L36+K36</f>
        <v>6811.8130000000001</v>
      </c>
      <c r="P36" s="32"/>
    </row>
    <row r="37" spans="2:16" ht="12">
      <c r="B37" s="41">
        <f t="shared" si="0"/>
        <v>24</v>
      </c>
      <c r="C37" s="178"/>
      <c r="D37" s="10"/>
      <c r="E37" s="10" t="s">
        <v>51</v>
      </c>
      <c r="F37" s="10"/>
      <c r="G37" s="31">
        <v>5659</v>
      </c>
      <c r="H37" s="43">
        <f>+'DPK-3 Restating Adj Sch 1.2 '!G37</f>
        <v>-66</v>
      </c>
      <c r="I37" s="10">
        <f>SUM(G37:H37)</f>
        <v>5593</v>
      </c>
      <c r="J37" s="43">
        <f>+'DPK-3 Pro Forma Adj Sch 1.3 '!G37</f>
        <v>0</v>
      </c>
      <c r="K37" s="10">
        <f>+J37+I37</f>
        <v>5593</v>
      </c>
      <c r="L37" s="43"/>
      <c r="M37" s="10">
        <f>+L37+K37</f>
        <v>5593</v>
      </c>
      <c r="P37" s="32"/>
    </row>
    <row r="38" spans="2:16" ht="12">
      <c r="B38" s="41">
        <f t="shared" si="0"/>
        <v>25</v>
      </c>
      <c r="C38" s="178"/>
      <c r="D38" s="10"/>
      <c r="E38" s="10" t="s">
        <v>29</v>
      </c>
      <c r="F38" s="10"/>
      <c r="G38" s="45">
        <v>18282</v>
      </c>
      <c r="H38" s="44">
        <f>+'DPK-3 Restating Adj Sch 1.2 '!G38</f>
        <v>-8464.7540000000008</v>
      </c>
      <c r="I38" s="20">
        <f>SUM(G38:H38)</f>
        <v>9817.2459999999992</v>
      </c>
      <c r="J38" s="44">
        <f>+'DPK-3 Pro Forma Adj Sch 1.3 '!G38</f>
        <v>-98</v>
      </c>
      <c r="K38" s="20">
        <f>+J38+I38</f>
        <v>9719.2459999999992</v>
      </c>
      <c r="L38" s="44">
        <f ca="1">+'DPK-3 Rev Conv Factor Sch 3 '!K16</f>
        <v>1.2686284611180831</v>
      </c>
      <c r="M38" s="20">
        <f ca="1">+L38+K38</f>
        <v>9720.5146284611164</v>
      </c>
      <c r="P38" s="32"/>
    </row>
    <row r="39" spans="2:16" ht="12.95" customHeight="1">
      <c r="B39" s="41">
        <f t="shared" si="0"/>
        <v>26</v>
      </c>
      <c r="C39" s="178"/>
      <c r="D39" s="10"/>
      <c r="E39" s="10"/>
      <c r="F39" s="10" t="s">
        <v>54</v>
      </c>
      <c r="G39" s="31">
        <f t="shared" ref="G39:M39" si="4">SUM(G36:G38)</f>
        <v>30201</v>
      </c>
      <c r="H39" s="10">
        <f t="shared" si="4"/>
        <v>-8530.7540000000008</v>
      </c>
      <c r="I39" s="10">
        <f t="shared" si="4"/>
        <v>21670.245999999999</v>
      </c>
      <c r="J39" s="10">
        <f t="shared" si="4"/>
        <v>453.81299999999999</v>
      </c>
      <c r="K39" s="10">
        <f t="shared" si="4"/>
        <v>22124.059000000001</v>
      </c>
      <c r="L39" s="395">
        <f t="shared" ca="1" si="4"/>
        <v>1.2686284611180831</v>
      </c>
      <c r="M39" s="10">
        <f t="shared" ca="1" si="4"/>
        <v>22125.327628461117</v>
      </c>
      <c r="P39" s="32"/>
    </row>
    <row r="40" spans="2:16" ht="12.95" customHeight="1">
      <c r="B40" s="41">
        <f t="shared" si="0"/>
        <v>27</v>
      </c>
      <c r="C40" s="178"/>
      <c r="D40" s="10"/>
      <c r="E40" s="10"/>
      <c r="F40" s="10"/>
      <c r="G40" s="31"/>
      <c r="H40" s="10"/>
      <c r="I40" s="10"/>
      <c r="J40" s="10"/>
      <c r="K40" s="10"/>
      <c r="L40" s="10"/>
      <c r="M40" s="10"/>
      <c r="P40" s="32"/>
    </row>
    <row r="41" spans="2:16" ht="12.95" customHeight="1">
      <c r="B41" s="41">
        <f t="shared" si="0"/>
        <v>28</v>
      </c>
      <c r="C41" s="178" t="s">
        <v>55</v>
      </c>
      <c r="D41" s="10"/>
      <c r="E41" s="10"/>
      <c r="F41" s="10"/>
      <c r="G41" s="31">
        <v>4884</v>
      </c>
      <c r="H41" s="43">
        <f>+'DPK-3 Restating Adj Sch 1.2 '!G41</f>
        <v>-217.31899999999999</v>
      </c>
      <c r="I41" s="10">
        <f>SUM(G41:H41)</f>
        <v>4666.6809999999996</v>
      </c>
      <c r="J41" s="43">
        <f>+'DPK-3 Pro Forma Adj Sch 1.3 '!G41</f>
        <v>340.15300000000002</v>
      </c>
      <c r="K41" s="10">
        <f>+J41+I41</f>
        <v>5006.8339999999998</v>
      </c>
      <c r="L41" s="43">
        <f ca="1">+'DPK-3 Rev Conv Factor Sch 3 '!K17</f>
        <v>24.372255680770053</v>
      </c>
      <c r="M41" s="10">
        <f ca="1">+L41+K41</f>
        <v>5031.2062556807696</v>
      </c>
      <c r="P41" s="32"/>
    </row>
    <row r="42" spans="2:16" ht="12">
      <c r="B42" s="41">
        <f t="shared" si="0"/>
        <v>29</v>
      </c>
      <c r="C42" s="178" t="s">
        <v>56</v>
      </c>
      <c r="D42" s="10"/>
      <c r="E42" s="10"/>
      <c r="F42" s="10"/>
      <c r="G42" s="31">
        <v>5002</v>
      </c>
      <c r="H42" s="43">
        <f>+'DPK-3 Restating Adj Sch 1.2 '!G42</f>
        <v>-4270</v>
      </c>
      <c r="I42" s="10">
        <f>SUM(G42:H42)</f>
        <v>732</v>
      </c>
      <c r="J42" s="43">
        <f>+'DPK-3 Pro Forma Adj Sch 1.3 '!G42</f>
        <v>20.754000000000001</v>
      </c>
      <c r="K42" s="10">
        <f>+J42+I42</f>
        <v>752.75400000000002</v>
      </c>
      <c r="L42" s="43"/>
      <c r="M42" s="10">
        <f>+L42+K42</f>
        <v>752.75400000000002</v>
      </c>
      <c r="P42" s="32"/>
    </row>
    <row r="43" spans="2:16" ht="12">
      <c r="B43" s="41">
        <f t="shared" si="0"/>
        <v>30</v>
      </c>
      <c r="C43" s="178" t="s">
        <v>57</v>
      </c>
      <c r="D43" s="10"/>
      <c r="E43" s="10"/>
      <c r="F43" s="10"/>
      <c r="G43" s="45">
        <v>545</v>
      </c>
      <c r="H43" s="44">
        <f>+'DPK-3 Restating Adj Sch 1.2 '!G43</f>
        <v>0</v>
      </c>
      <c r="I43" s="20">
        <f>SUM(G43:H43)</f>
        <v>545</v>
      </c>
      <c r="J43" s="44">
        <f>+'DPK-3 Pro Forma Adj Sch 1.3 '!G43</f>
        <v>32.14</v>
      </c>
      <c r="K43" s="20">
        <f>+J43+I43</f>
        <v>577.14</v>
      </c>
      <c r="L43" s="44"/>
      <c r="M43" s="20">
        <f>+L43+K43</f>
        <v>577.14</v>
      </c>
      <c r="P43" s="32"/>
    </row>
    <row r="44" spans="2:16" ht="12">
      <c r="B44" s="41">
        <f t="shared" si="0"/>
        <v>31</v>
      </c>
      <c r="C44" s="178"/>
      <c r="D44" s="10"/>
      <c r="E44" s="10"/>
      <c r="F44" s="10"/>
      <c r="G44" s="31">
        <f>+SUM(G41:G43)</f>
        <v>10431</v>
      </c>
      <c r="H44" s="31">
        <f t="shared" ref="H44:M44" si="5">+SUM(H41:H43)</f>
        <v>-4487.3190000000004</v>
      </c>
      <c r="I44" s="31">
        <f t="shared" si="5"/>
        <v>5943.6809999999996</v>
      </c>
      <c r="J44" s="31">
        <f t="shared" si="5"/>
        <v>393.04700000000003</v>
      </c>
      <c r="K44" s="31">
        <f t="shared" si="5"/>
        <v>6336.7280000000001</v>
      </c>
      <c r="L44" s="31">
        <f t="shared" ca="1" si="5"/>
        <v>24.372255680770053</v>
      </c>
      <c r="M44" s="31">
        <f t="shared" ca="1" si="5"/>
        <v>6361.1002556807698</v>
      </c>
      <c r="P44" s="32"/>
    </row>
    <row r="45" spans="2:16" ht="12">
      <c r="B45" s="41">
        <f t="shared" si="0"/>
        <v>32</v>
      </c>
      <c r="C45" s="178" t="s">
        <v>58</v>
      </c>
      <c r="D45" s="10"/>
      <c r="E45" s="10"/>
      <c r="F45" s="10"/>
      <c r="G45" s="31"/>
      <c r="H45" s="395"/>
      <c r="I45" s="10"/>
      <c r="J45" s="395"/>
      <c r="K45" s="10"/>
      <c r="L45" s="395"/>
      <c r="M45" s="10"/>
      <c r="P45" s="32"/>
    </row>
    <row r="46" spans="2:16" ht="12">
      <c r="B46" s="41">
        <f t="shared" si="0"/>
        <v>33</v>
      </c>
      <c r="C46" s="178"/>
      <c r="D46" s="10" t="s">
        <v>50</v>
      </c>
      <c r="E46" s="10"/>
      <c r="F46" s="10"/>
      <c r="G46" s="31">
        <v>9202</v>
      </c>
      <c r="H46" s="43">
        <f>+'DPK-3 Restating Adj Sch 1.2 '!G47</f>
        <v>-142</v>
      </c>
      <c r="I46" s="10">
        <f>SUM(G46:H46)</f>
        <v>9060</v>
      </c>
      <c r="J46" s="43">
        <f>+'DPK-3 Pro Forma Adj Sch 1.3 '!G46</f>
        <v>632.947</v>
      </c>
      <c r="K46" s="10">
        <f>+J46+I46</f>
        <v>9692.9470000000001</v>
      </c>
      <c r="L46" s="43">
        <f ca="1">+'DPK-3 Rev Conv Factor Sch 3 '!K15</f>
        <v>1.5972032325476666</v>
      </c>
      <c r="M46" s="10">
        <f ca="1">+L46+K46</f>
        <v>9694.5442032325482</v>
      </c>
      <c r="P46" s="32"/>
    </row>
    <row r="47" spans="2:16" ht="12">
      <c r="B47" s="41">
        <f t="shared" si="0"/>
        <v>34</v>
      </c>
      <c r="C47" s="178"/>
      <c r="D47" s="10" t="s">
        <v>51</v>
      </c>
      <c r="E47" s="10"/>
      <c r="F47" s="10"/>
      <c r="G47" s="31">
        <v>1414</v>
      </c>
      <c r="H47" s="43">
        <f>+'DPK-3 Restating Adj Sch 1.2 '!G48</f>
        <v>341</v>
      </c>
      <c r="I47" s="10">
        <f>SUM(G47:H47)</f>
        <v>1755</v>
      </c>
      <c r="J47" s="43">
        <f>+'DPK-3 Pro Forma Adj Sch 1.3 '!G47</f>
        <v>0</v>
      </c>
      <c r="K47" s="10">
        <f>+J47+I47</f>
        <v>1755</v>
      </c>
      <c r="L47" s="43"/>
      <c r="M47" s="10">
        <f>+L47+K47</f>
        <v>1755</v>
      </c>
      <c r="P47" s="32"/>
    </row>
    <row r="48" spans="2:16" ht="12">
      <c r="B48" s="41">
        <f t="shared" si="0"/>
        <v>35</v>
      </c>
      <c r="C48" s="178"/>
      <c r="D48" s="10" t="s">
        <v>29</v>
      </c>
      <c r="E48" s="10"/>
      <c r="F48" s="10"/>
      <c r="G48" s="45">
        <v>23</v>
      </c>
      <c r="H48" s="44">
        <f>+'DPK-3 Restating Adj Sch 1.2 '!G49</f>
        <v>-5.0020000000000007</v>
      </c>
      <c r="I48" s="20">
        <f>SUM(G48:H48)</f>
        <v>17.997999999999998</v>
      </c>
      <c r="J48" s="44">
        <f>+'DPK-3 Pro Forma Adj Sch 1.3 '!G48</f>
        <v>0</v>
      </c>
      <c r="K48" s="20">
        <f>+J48+I48</f>
        <v>17.997999999999998</v>
      </c>
      <c r="L48" s="44"/>
      <c r="M48" s="20">
        <f>+L48+K48</f>
        <v>17.997999999999998</v>
      </c>
      <c r="P48" s="32"/>
    </row>
    <row r="49" spans="1:16" ht="12">
      <c r="B49" s="41">
        <f t="shared" si="0"/>
        <v>36</v>
      </c>
      <c r="C49" s="178"/>
      <c r="D49" s="10"/>
      <c r="E49" s="10"/>
      <c r="F49" s="10" t="s">
        <v>59</v>
      </c>
      <c r="G49" s="47">
        <f t="shared" ref="G49:M49" si="6">SUM(G46:G48)</f>
        <v>10639</v>
      </c>
      <c r="H49" s="22">
        <f t="shared" si="6"/>
        <v>193.99799999999999</v>
      </c>
      <c r="I49" s="22">
        <f t="shared" si="6"/>
        <v>10832.998</v>
      </c>
      <c r="J49" s="22">
        <f t="shared" si="6"/>
        <v>632.947</v>
      </c>
      <c r="K49" s="22">
        <f t="shared" si="6"/>
        <v>11465.945</v>
      </c>
      <c r="L49" s="395">
        <f t="shared" ca="1" si="6"/>
        <v>1.5972032325476666</v>
      </c>
      <c r="M49" s="22">
        <f t="shared" ca="1" si="6"/>
        <v>11467.542203232548</v>
      </c>
      <c r="P49" s="32"/>
    </row>
    <row r="50" spans="1:16" ht="12">
      <c r="B50" s="41">
        <f t="shared" si="0"/>
        <v>37</v>
      </c>
      <c r="C50" s="178"/>
      <c r="D50" s="10"/>
      <c r="E50" s="10"/>
      <c r="F50" s="10"/>
      <c r="G50" s="45"/>
      <c r="H50" s="20"/>
      <c r="I50" s="20"/>
      <c r="J50" s="20"/>
      <c r="K50" s="20"/>
      <c r="L50" s="20"/>
      <c r="M50" s="20"/>
      <c r="P50" s="32"/>
    </row>
    <row r="51" spans="1:16" ht="12">
      <c r="B51" s="41">
        <f t="shared" si="0"/>
        <v>38</v>
      </c>
      <c r="C51" s="178" t="s">
        <v>60</v>
      </c>
      <c r="D51" s="10"/>
      <c r="E51" s="10"/>
      <c r="F51" s="10"/>
      <c r="G51" s="45">
        <f t="shared" ref="G51:M51" si="7">G21+G27+G33+G39+G41+G42+G43+G49</f>
        <v>343248</v>
      </c>
      <c r="H51" s="20">
        <f t="shared" si="7"/>
        <v>-146057.07500000001</v>
      </c>
      <c r="I51" s="20">
        <f t="shared" si="7"/>
        <v>197190.92499999999</v>
      </c>
      <c r="J51" s="20">
        <f t="shared" si="7"/>
        <v>1834.4679999999998</v>
      </c>
      <c r="K51" s="20">
        <f t="shared" si="7"/>
        <v>199025.39300000001</v>
      </c>
      <c r="L51" s="154">
        <f t="shared" ca="1" si="7"/>
        <v>27.238087374435803</v>
      </c>
      <c r="M51" s="20">
        <f t="shared" ca="1" si="7"/>
        <v>199052.63108737444</v>
      </c>
      <c r="P51" s="32"/>
    </row>
    <row r="52" spans="1:16" ht="12">
      <c r="B52" s="41">
        <f t="shared" si="0"/>
        <v>39</v>
      </c>
      <c r="C52" s="178"/>
      <c r="D52" s="10"/>
      <c r="E52" s="10"/>
      <c r="F52" s="10"/>
      <c r="G52" s="31"/>
      <c r="H52" s="10"/>
      <c r="I52" s="10"/>
      <c r="J52" s="10"/>
      <c r="K52" s="10"/>
      <c r="L52" s="10"/>
      <c r="M52" s="10"/>
      <c r="P52" s="32"/>
    </row>
    <row r="53" spans="1:16" ht="12.95" customHeight="1">
      <c r="B53" s="41">
        <f t="shared" si="0"/>
        <v>40</v>
      </c>
      <c r="C53" s="178" t="s">
        <v>61</v>
      </c>
      <c r="D53" s="10"/>
      <c r="E53" s="10"/>
      <c r="F53" s="10"/>
      <c r="G53" s="31">
        <f t="shared" ref="G53:M53" si="8">G18-G51</f>
        <v>16070</v>
      </c>
      <c r="H53" s="10">
        <f t="shared" si="8"/>
        <v>6739.0750000000116</v>
      </c>
      <c r="I53" s="10">
        <f t="shared" si="8"/>
        <v>22809.075000000012</v>
      </c>
      <c r="J53" s="10">
        <f t="shared" si="8"/>
        <v>-4395.4679999999998</v>
      </c>
      <c r="K53" s="10">
        <f t="shared" si="8"/>
        <v>18413.606999999989</v>
      </c>
      <c r="L53" s="395">
        <f t="shared" ca="1" si="8"/>
        <v>607.07614318460571</v>
      </c>
      <c r="M53" s="10">
        <f t="shared" ca="1" si="8"/>
        <v>19020.683143184608</v>
      </c>
      <c r="P53" s="32"/>
    </row>
    <row r="54" spans="1:16" ht="12.95" customHeight="1">
      <c r="B54" s="41">
        <f t="shared" si="0"/>
        <v>41</v>
      </c>
      <c r="C54" s="178" t="s">
        <v>62</v>
      </c>
      <c r="D54" s="10"/>
      <c r="E54" s="10"/>
      <c r="F54" s="10"/>
      <c r="G54" s="31"/>
      <c r="H54" s="395"/>
      <c r="I54" s="10"/>
      <c r="J54" s="395"/>
      <c r="K54" s="10"/>
      <c r="L54" s="395"/>
      <c r="M54" s="10"/>
      <c r="P54" s="32"/>
    </row>
    <row r="55" spans="1:16" ht="12">
      <c r="B55" s="41">
        <f t="shared" si="0"/>
        <v>42</v>
      </c>
      <c r="C55" s="178"/>
      <c r="D55" s="10" t="s">
        <v>63</v>
      </c>
      <c r="E55" s="10"/>
      <c r="F55" s="10"/>
      <c r="G55" s="31">
        <v>5138</v>
      </c>
      <c r="H55" s="43">
        <f ca="1">+'DPK-3 Restating Adj Sch 1.2 '!G56</f>
        <v>2283.08164106</v>
      </c>
      <c r="I55" s="10">
        <f ca="1">+H55+G55</f>
        <v>7421.08164106</v>
      </c>
      <c r="J55" s="43">
        <f>+'DPK-3 Pro Forma Adj Sch 1.3 '!G55</f>
        <v>-1538.4138</v>
      </c>
      <c r="K55" s="10">
        <f ca="1">+J55+I55</f>
        <v>5882.6678410599998</v>
      </c>
      <c r="L55" s="43">
        <f ca="1">+L53*0.35</f>
        <v>212.476650114612</v>
      </c>
      <c r="M55" s="10">
        <f ca="1">+L55+K55</f>
        <v>6095.1444911746121</v>
      </c>
      <c r="P55" s="32"/>
    </row>
    <row r="56" spans="1:16" ht="12">
      <c r="B56" s="41">
        <f t="shared" si="0"/>
        <v>43</v>
      </c>
      <c r="C56" s="178"/>
      <c r="D56" s="10" t="s">
        <v>64</v>
      </c>
      <c r="E56" s="10"/>
      <c r="F56" s="10"/>
      <c r="G56" s="31">
        <v>-1042</v>
      </c>
      <c r="H56" s="43">
        <f>+'DPK-3 Restating Adj Sch 1.2 '!G57</f>
        <v>7</v>
      </c>
      <c r="I56" s="10">
        <f>SUM(G56:H56)</f>
        <v>-1035</v>
      </c>
      <c r="J56" s="43">
        <f>+'DPK-3 Pro Forma Adj Sch 1.3 '!G56</f>
        <v>0</v>
      </c>
      <c r="K56" s="10">
        <f>+J56+I56</f>
        <v>-1035</v>
      </c>
      <c r="L56" s="43"/>
      <c r="M56" s="10">
        <f>+L56+K56</f>
        <v>-1035</v>
      </c>
      <c r="P56" s="32"/>
    </row>
    <row r="57" spans="1:16" ht="12">
      <c r="B57" s="41">
        <f t="shared" si="0"/>
        <v>44</v>
      </c>
      <c r="C57" s="178"/>
      <c r="D57" s="10" t="s">
        <v>65</v>
      </c>
      <c r="E57" s="10"/>
      <c r="F57" s="10"/>
      <c r="G57" s="45">
        <v>-30</v>
      </c>
      <c r="H57" s="44">
        <f>+'DPK-3 Restating Adj Sch 1.2 '!G58</f>
        <v>0</v>
      </c>
      <c r="I57" s="20">
        <f>SUM(G57:H57)</f>
        <v>-30</v>
      </c>
      <c r="J57" s="44">
        <f>+'DPK-3 Pro Forma Adj Sch 1.3 '!G57</f>
        <v>0</v>
      </c>
      <c r="K57" s="20">
        <f>+J57+I57</f>
        <v>-30</v>
      </c>
      <c r="L57" s="44"/>
      <c r="M57" s="20">
        <f>+L57+K57</f>
        <v>-30</v>
      </c>
      <c r="P57" s="32"/>
    </row>
    <row r="58" spans="1:16" ht="12">
      <c r="B58" s="41">
        <f t="shared" si="0"/>
        <v>45</v>
      </c>
      <c r="C58" s="178"/>
      <c r="G58" s="31"/>
      <c r="L58" s="19"/>
      <c r="M58" s="19"/>
      <c r="P58" s="32"/>
    </row>
    <row r="59" spans="1:16" s="9" customFormat="1" thickBot="1">
      <c r="A59" s="39"/>
      <c r="B59" s="41">
        <f t="shared" si="0"/>
        <v>46</v>
      </c>
      <c r="C59" s="190" t="s">
        <v>66</v>
      </c>
      <c r="G59" s="46">
        <f>G53-SUM(G55:G57)</f>
        <v>12004</v>
      </c>
      <c r="H59" s="21">
        <f ca="1">H53-SUM(H55:H57)</f>
        <v>4448.9933589400116</v>
      </c>
      <c r="I59" s="21">
        <f ca="1">I53-SUM(I55:I57)</f>
        <v>16452.99335894001</v>
      </c>
      <c r="J59" s="21">
        <f>J53-SUM(J55:J57)</f>
        <v>-2857.0541999999996</v>
      </c>
      <c r="K59" s="21">
        <f ca="1">K53-SUM(K55:K57)+K58</f>
        <v>13595.939158939989</v>
      </c>
      <c r="L59" s="21">
        <f ca="1">L53-SUM(L55:L57)</f>
        <v>394.59949306999374</v>
      </c>
      <c r="M59" s="21">
        <f ca="1">M53-SUM(M55:M57)+M58</f>
        <v>13990.538652009996</v>
      </c>
      <c r="N59" s="32"/>
      <c r="O59" s="39"/>
      <c r="P59" s="32"/>
    </row>
    <row r="60" spans="1:16" thickTop="1">
      <c r="B60" s="41">
        <f t="shared" si="0"/>
        <v>47</v>
      </c>
      <c r="C60" s="178"/>
      <c r="G60" s="31"/>
      <c r="L60" s="19"/>
      <c r="M60" s="19"/>
      <c r="P60" s="32"/>
    </row>
    <row r="61" spans="1:16" ht="12.75" customHeight="1">
      <c r="B61" s="41">
        <f t="shared" si="0"/>
        <v>48</v>
      </c>
      <c r="C61" s="525" t="s">
        <v>78</v>
      </c>
      <c r="D61" s="526"/>
      <c r="E61" s="526"/>
      <c r="F61" s="527"/>
      <c r="G61" s="31"/>
      <c r="L61" s="19"/>
      <c r="M61" s="19"/>
      <c r="P61" s="32"/>
    </row>
    <row r="62" spans="1:16" ht="12">
      <c r="B62" s="41">
        <f t="shared" si="0"/>
        <v>49</v>
      </c>
      <c r="C62" s="2" t="s">
        <v>79</v>
      </c>
      <c r="G62" s="31"/>
      <c r="H62" s="395"/>
      <c r="J62" s="395"/>
      <c r="L62" s="395"/>
      <c r="M62" s="19"/>
      <c r="P62" s="32"/>
    </row>
    <row r="63" spans="1:16" ht="12">
      <c r="B63" s="41">
        <f t="shared" si="0"/>
        <v>50</v>
      </c>
      <c r="C63" s="10"/>
      <c r="D63" s="10" t="s">
        <v>49</v>
      </c>
      <c r="E63" s="10"/>
      <c r="F63" s="10"/>
      <c r="G63" s="31">
        <v>13539</v>
      </c>
      <c r="H63" s="43">
        <f>+'DPK-3 Restating Adj Sch 1.2 '!G64</f>
        <v>0</v>
      </c>
      <c r="I63" s="10">
        <f>SUM(G63:H63)</f>
        <v>13539</v>
      </c>
      <c r="J63" s="43">
        <f>+'DPK-3 Pro Forma Adj Sch 1.3 '!G63</f>
        <v>8614</v>
      </c>
      <c r="K63" s="10">
        <f>+J63+I63</f>
        <v>22153</v>
      </c>
      <c r="L63" s="43"/>
      <c r="M63" s="10">
        <f>+L63+K63</f>
        <v>22153</v>
      </c>
      <c r="P63" s="32"/>
    </row>
    <row r="64" spans="1:16" ht="12">
      <c r="B64" s="41">
        <f t="shared" si="0"/>
        <v>51</v>
      </c>
      <c r="C64" s="10"/>
      <c r="D64" s="10" t="s">
        <v>67</v>
      </c>
      <c r="E64" s="10"/>
      <c r="F64" s="10"/>
      <c r="G64" s="31">
        <v>237485</v>
      </c>
      <c r="H64" s="43">
        <f>+'DPK-3 Restating Adj Sch 1.2 '!G65</f>
        <v>-52</v>
      </c>
      <c r="I64" s="10">
        <f>SUM(G64:H64)</f>
        <v>237433</v>
      </c>
      <c r="J64" s="43">
        <f>+'DPK-3 Pro Forma Adj Sch 1.3 '!G64</f>
        <v>0</v>
      </c>
      <c r="K64" s="10">
        <f>+J64+I64</f>
        <v>237433</v>
      </c>
      <c r="L64" s="43"/>
      <c r="M64" s="10">
        <f>+L64+K64</f>
        <v>237433</v>
      </c>
      <c r="P64" s="32"/>
    </row>
    <row r="65" spans="1:16" ht="12">
      <c r="B65" s="41">
        <f t="shared" si="0"/>
        <v>52</v>
      </c>
      <c r="C65" s="10"/>
      <c r="D65" s="10" t="s">
        <v>68</v>
      </c>
      <c r="E65" s="10"/>
      <c r="F65" s="10"/>
      <c r="G65" s="45">
        <v>23944</v>
      </c>
      <c r="H65" s="44">
        <f>+'DPK-3 Restating Adj Sch 1.2 '!G66</f>
        <v>0</v>
      </c>
      <c r="I65" s="20">
        <f>SUM(G65:H65)</f>
        <v>23944</v>
      </c>
      <c r="J65" s="44">
        <f>+'DPK-3 Pro Forma Adj Sch 1.3 '!G65</f>
        <v>0</v>
      </c>
      <c r="K65" s="20">
        <f>+J65+I65</f>
        <v>23944</v>
      </c>
      <c r="L65" s="44"/>
      <c r="M65" s="20">
        <f>+L65+K65</f>
        <v>23944</v>
      </c>
      <c r="P65" s="32"/>
    </row>
    <row r="66" spans="1:16" ht="18" customHeight="1">
      <c r="B66" s="41">
        <f t="shared" si="0"/>
        <v>53</v>
      </c>
      <c r="C66" s="10"/>
      <c r="D66" s="10"/>
      <c r="E66" s="10"/>
      <c r="F66" s="10" t="s">
        <v>69</v>
      </c>
      <c r="G66" s="31">
        <f t="shared" ref="G66:M66" si="9">SUM(G63:G65)</f>
        <v>274968</v>
      </c>
      <c r="H66" s="10">
        <f t="shared" si="9"/>
        <v>-52</v>
      </c>
      <c r="I66" s="10">
        <f t="shared" si="9"/>
        <v>274916</v>
      </c>
      <c r="J66" s="10">
        <f t="shared" si="9"/>
        <v>8614</v>
      </c>
      <c r="K66" s="10">
        <f t="shared" si="9"/>
        <v>283530</v>
      </c>
      <c r="L66" s="10">
        <f t="shared" si="9"/>
        <v>0</v>
      </c>
      <c r="M66" s="10">
        <f t="shared" si="9"/>
        <v>283530</v>
      </c>
      <c r="P66" s="32"/>
    </row>
    <row r="67" spans="1:16" ht="12">
      <c r="B67" s="41">
        <f t="shared" si="0"/>
        <v>54</v>
      </c>
      <c r="C67" s="10" t="s">
        <v>70</v>
      </c>
      <c r="D67" s="10"/>
      <c r="E67" s="10"/>
      <c r="F67" s="10"/>
      <c r="G67" s="31"/>
      <c r="H67" s="395"/>
      <c r="I67" s="10"/>
      <c r="J67" s="395"/>
      <c r="K67" s="10"/>
      <c r="L67" s="395"/>
      <c r="M67" s="10"/>
      <c r="O67" s="32">
        <f ca="1">+K59</f>
        <v>13595.939158939989</v>
      </c>
      <c r="P67" s="32"/>
    </row>
    <row r="68" spans="1:16" ht="12">
      <c r="B68" s="41">
        <f t="shared" si="0"/>
        <v>55</v>
      </c>
      <c r="C68" s="10"/>
      <c r="D68" s="10" t="s">
        <v>49</v>
      </c>
      <c r="E68" s="10"/>
      <c r="F68" s="10"/>
      <c r="G68" s="31">
        <v>7516</v>
      </c>
      <c r="H68" s="43">
        <f>+'DPK-3 Restating Adj Sch 1.2 '!G69</f>
        <v>0</v>
      </c>
      <c r="I68" s="10">
        <f>SUM(G68:H68)</f>
        <v>7516</v>
      </c>
      <c r="J68" s="43">
        <f>+'DPK-3 Pro Forma Adj Sch 1.3 '!G68</f>
        <v>0</v>
      </c>
      <c r="K68" s="10">
        <f>+J68+I68</f>
        <v>7516</v>
      </c>
      <c r="L68" s="43"/>
      <c r="M68" s="10">
        <f>+L68+K68</f>
        <v>7516</v>
      </c>
      <c r="O68" s="32">
        <f ca="1">+'DPK-3 Summary of Adj Sch 1.4'!N56</f>
        <v>13595.939158940002</v>
      </c>
      <c r="P68" s="32"/>
    </row>
    <row r="69" spans="1:16" ht="12">
      <c r="B69" s="41">
        <f t="shared" si="0"/>
        <v>56</v>
      </c>
      <c r="C69" s="10"/>
      <c r="D69" s="10" t="s">
        <v>67</v>
      </c>
      <c r="E69" s="10"/>
      <c r="F69" s="10"/>
      <c r="G69" s="31">
        <v>80580</v>
      </c>
      <c r="H69" s="43">
        <f>+'DPK-3 Restating Adj Sch 1.2 '!G70</f>
        <v>0</v>
      </c>
      <c r="I69" s="10">
        <f>SUM(G69:H69)</f>
        <v>80580</v>
      </c>
      <c r="J69" s="43">
        <f>+'DPK-3 Pro Forma Adj Sch 1.3 '!G69</f>
        <v>266</v>
      </c>
      <c r="K69" s="10">
        <f>+J69+I69</f>
        <v>80846</v>
      </c>
      <c r="L69" s="43"/>
      <c r="M69" s="10">
        <f>+L69+K69</f>
        <v>80846</v>
      </c>
      <c r="O69" s="32">
        <f ca="1">+O68-O67</f>
        <v>0</v>
      </c>
      <c r="P69" s="32"/>
    </row>
    <row r="70" spans="1:16" ht="12">
      <c r="B70" s="41">
        <f t="shared" si="0"/>
        <v>57</v>
      </c>
      <c r="C70" s="10"/>
      <c r="D70" s="10" t="s">
        <v>68</v>
      </c>
      <c r="E70" s="10"/>
      <c r="F70" s="10"/>
      <c r="G70" s="31">
        <v>8155</v>
      </c>
      <c r="H70" s="44">
        <f>+'DPK-3 Restating Adj Sch 1.2 '!G71</f>
        <v>0</v>
      </c>
      <c r="I70" s="10">
        <f>SUM(G70:H70)</f>
        <v>8155</v>
      </c>
      <c r="J70" s="44">
        <f>+'DPK-3 Pro Forma Adj Sch 1.3 '!G70</f>
        <v>0</v>
      </c>
      <c r="K70" s="20">
        <f>+J70+I70</f>
        <v>8155</v>
      </c>
      <c r="L70" s="44"/>
      <c r="M70" s="20">
        <f>+L70+K70</f>
        <v>8155</v>
      </c>
      <c r="P70" s="32"/>
    </row>
    <row r="71" spans="1:16" ht="12">
      <c r="B71" s="41">
        <f t="shared" si="0"/>
        <v>58</v>
      </c>
      <c r="C71" s="10"/>
      <c r="D71" s="10"/>
      <c r="E71" s="10"/>
      <c r="F71" s="10" t="s">
        <v>71</v>
      </c>
      <c r="G71" s="47">
        <f t="shared" ref="G71:M71" si="10">SUM(G68:G70)</f>
        <v>96251</v>
      </c>
      <c r="H71" s="22">
        <f t="shared" si="10"/>
        <v>0</v>
      </c>
      <c r="I71" s="22">
        <f t="shared" si="10"/>
        <v>96251</v>
      </c>
      <c r="J71" s="22">
        <f t="shared" si="10"/>
        <v>266</v>
      </c>
      <c r="K71" s="22">
        <f t="shared" si="10"/>
        <v>96517</v>
      </c>
      <c r="L71" s="22">
        <f t="shared" si="10"/>
        <v>0</v>
      </c>
      <c r="M71" s="22">
        <f t="shared" si="10"/>
        <v>96517</v>
      </c>
      <c r="P71" s="32"/>
    </row>
    <row r="72" spans="1:16" ht="12">
      <c r="B72" s="41">
        <f t="shared" si="0"/>
        <v>59</v>
      </c>
      <c r="C72" s="10"/>
      <c r="D72" s="10"/>
      <c r="E72" s="10"/>
      <c r="F72" s="10"/>
      <c r="G72" s="48"/>
      <c r="H72" s="11"/>
      <c r="I72" s="11"/>
      <c r="J72" s="11"/>
      <c r="K72" s="11"/>
      <c r="L72" s="11"/>
      <c r="M72" s="11"/>
      <c r="P72" s="32"/>
    </row>
    <row r="73" spans="1:16" s="12" customFormat="1" ht="12">
      <c r="A73" s="40"/>
      <c r="B73" s="41">
        <f t="shared" si="0"/>
        <v>60</v>
      </c>
      <c r="C73" s="11" t="s">
        <v>72</v>
      </c>
      <c r="D73" s="11"/>
      <c r="E73" s="11"/>
      <c r="F73" s="11"/>
      <c r="G73" s="48"/>
      <c r="H73" s="43">
        <f>+'DPK-3 Restating Adj Sch 1.2 '!G73</f>
        <v>-27651</v>
      </c>
      <c r="I73" s="11">
        <f>SUM(G73:H73)</f>
        <v>-27651</v>
      </c>
      <c r="J73" s="43">
        <f>+'DPK-3 Pro Forma Adj Sch 1.3 '!G72</f>
        <v>-473</v>
      </c>
      <c r="K73" s="10">
        <f>+J73+I73</f>
        <v>-28124</v>
      </c>
      <c r="L73" s="43"/>
      <c r="M73" s="10">
        <f>+L73+K73</f>
        <v>-28124</v>
      </c>
      <c r="N73" s="40"/>
      <c r="O73" s="40"/>
      <c r="P73" s="32"/>
    </row>
    <row r="74" spans="1:16" ht="12">
      <c r="B74" s="41">
        <f t="shared" si="0"/>
        <v>61</v>
      </c>
      <c r="C74" s="10" t="s">
        <v>73</v>
      </c>
      <c r="D74" s="10"/>
      <c r="E74" s="10"/>
      <c r="F74" s="10"/>
      <c r="G74" s="31"/>
      <c r="H74" s="43">
        <f>+'DPK-3 Restating Adj Sch 1.2 '!G74</f>
        <v>11064</v>
      </c>
      <c r="I74" s="11">
        <f>SUM(G74:H74)</f>
        <v>11064</v>
      </c>
      <c r="J74" s="43">
        <f>+'DPK-3 Pro Forma Adj Sch 1.3 '!G73</f>
        <v>1047</v>
      </c>
      <c r="K74" s="10">
        <f>+J74+I74</f>
        <v>12111</v>
      </c>
      <c r="L74" s="43"/>
      <c r="M74" s="10">
        <f>+L74+K74</f>
        <v>12111</v>
      </c>
      <c r="P74" s="32"/>
    </row>
    <row r="75" spans="1:16" thickBot="1">
      <c r="B75" s="41">
        <f t="shared" si="0"/>
        <v>62</v>
      </c>
      <c r="C75" s="10" t="s">
        <v>315</v>
      </c>
      <c r="D75" s="10"/>
      <c r="E75" s="10"/>
      <c r="F75" s="10"/>
      <c r="G75" s="31"/>
      <c r="H75" s="43">
        <f>+'DPK-3 Restating Adj Sch 1.2 '!G75</f>
        <v>-1352.7159999999999</v>
      </c>
      <c r="I75" s="11">
        <f>SUM(G75:H75)</f>
        <v>-1352.7159999999999</v>
      </c>
      <c r="J75" s="43">
        <f>+'DPK-3 Pro Forma Adj Sch 1.3 '!G74</f>
        <v>0</v>
      </c>
      <c r="K75" s="10">
        <f>+J75+I75</f>
        <v>-1352.7159999999999</v>
      </c>
      <c r="L75" s="43"/>
      <c r="M75" s="10">
        <f>+L75+K75</f>
        <v>-1352.7159999999999</v>
      </c>
      <c r="N75" s="38" t="s">
        <v>314</v>
      </c>
      <c r="P75" s="32"/>
    </row>
    <row r="76" spans="1:16" ht="12">
      <c r="B76" s="41">
        <f t="shared" si="0"/>
        <v>63</v>
      </c>
      <c r="C76" s="10" t="s">
        <v>74</v>
      </c>
      <c r="D76" s="10"/>
      <c r="E76" s="10"/>
      <c r="F76" s="10"/>
      <c r="G76" s="45"/>
      <c r="H76" s="44">
        <f>+'DPK-3 Restating Adj Sch 1.2 '!G76</f>
        <v>-65</v>
      </c>
      <c r="I76" s="20">
        <f>SUM(G76:H76)</f>
        <v>-65</v>
      </c>
      <c r="J76" s="44">
        <f>+'DPK-3 Pro Forma Adj Sch 1.3 '!G74</f>
        <v>0</v>
      </c>
      <c r="K76" s="20">
        <f>+J76+I76</f>
        <v>-65</v>
      </c>
      <c r="L76" s="44"/>
      <c r="M76" s="20">
        <f>+L76+K76</f>
        <v>-65</v>
      </c>
      <c r="N76" s="334"/>
      <c r="P76" s="32"/>
    </row>
    <row r="77" spans="1:16" ht="12">
      <c r="B77" s="41">
        <f t="shared" si="0"/>
        <v>64</v>
      </c>
      <c r="L77" s="19"/>
      <c r="M77" s="19"/>
      <c r="N77" s="335"/>
      <c r="P77" s="32"/>
    </row>
    <row r="78" spans="1:16" s="9" customFormat="1" thickBot="1">
      <c r="A78" s="39"/>
      <c r="B78" s="41">
        <f t="shared" si="0"/>
        <v>65</v>
      </c>
      <c r="C78" s="153" t="s">
        <v>75</v>
      </c>
      <c r="G78" s="21">
        <f t="shared" ref="G78:M78" si="11">G66-G71+G73+G74+G76+G75</f>
        <v>178717</v>
      </c>
      <c r="H78" s="21">
        <f t="shared" si="11"/>
        <v>-18056.716</v>
      </c>
      <c r="I78" s="21">
        <f t="shared" si="11"/>
        <v>160660.28400000001</v>
      </c>
      <c r="J78" s="21">
        <f t="shared" si="11"/>
        <v>8922</v>
      </c>
      <c r="K78" s="21">
        <f t="shared" si="11"/>
        <v>169582.28400000001</v>
      </c>
      <c r="L78" s="21">
        <f t="shared" si="11"/>
        <v>0</v>
      </c>
      <c r="M78" s="21">
        <f t="shared" si="11"/>
        <v>169582.28400000001</v>
      </c>
      <c r="N78" s="336">
        <f>+M78*1000</f>
        <v>169582284</v>
      </c>
      <c r="O78" s="39"/>
      <c r="P78" s="32"/>
    </row>
    <row r="79" spans="1:16" ht="18" customHeight="1" thickTop="1" thickBot="1">
      <c r="B79" s="41">
        <f t="shared" si="0"/>
        <v>66</v>
      </c>
      <c r="C79" s="174" t="s">
        <v>76</v>
      </c>
      <c r="D79" s="175"/>
      <c r="E79" s="175"/>
      <c r="F79" s="176"/>
      <c r="G79" s="151">
        <f>ROUND(G59/G78,4)</f>
        <v>6.7199999999999996E-2</v>
      </c>
      <c r="H79" s="152"/>
      <c r="I79" s="151">
        <f ca="1">ROUND(I59/I78,4)</f>
        <v>0.1024</v>
      </c>
      <c r="J79" s="152"/>
      <c r="K79" s="151">
        <f ca="1">ROUND(K59/K78,4)</f>
        <v>8.0199999999999994E-2</v>
      </c>
      <c r="L79" s="152"/>
      <c r="M79" s="151">
        <f ca="1">ROUND(M59/M78,4)</f>
        <v>8.2500000000000004E-2</v>
      </c>
      <c r="N79" s="337"/>
      <c r="P79" s="32"/>
    </row>
    <row r="80" spans="1:16" s="32" customFormat="1" ht="9" customHeight="1" thickTop="1" thickBot="1">
      <c r="N80" s="338"/>
    </row>
    <row r="81" spans="2:16" s="32" customFormat="1" ht="9" customHeight="1"/>
    <row r="82" spans="2:16" ht="9" customHeight="1">
      <c r="B82" s="32"/>
      <c r="C82" s="32"/>
      <c r="D82" s="32"/>
      <c r="E82" s="32"/>
      <c r="F82" s="32"/>
      <c r="G82" s="32"/>
      <c r="H82" s="32"/>
      <c r="I82" s="32"/>
      <c r="J82" s="32"/>
      <c r="K82" s="32">
        <f>+K78-178263</f>
        <v>-8680.7159999999858</v>
      </c>
      <c r="L82" s="32"/>
      <c r="M82" s="32"/>
      <c r="P82" s="32"/>
    </row>
    <row r="83" spans="2:16" ht="9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P83" s="32"/>
    </row>
    <row r="84" spans="2:16" ht="9" customHeight="1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P84" s="32"/>
    </row>
    <row r="85" spans="2:16" ht="9" customHeight="1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P85" s="32"/>
    </row>
    <row r="86" spans="2:16" ht="9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P86" s="32"/>
    </row>
    <row r="87" spans="2:16" ht="12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32"/>
    </row>
    <row r="88" spans="2:16" ht="12">
      <c r="B88" s="41">
        <f t="shared" ref="B88:B110" si="12">+B87+1</f>
        <v>1</v>
      </c>
      <c r="C88" s="525" t="s">
        <v>205</v>
      </c>
      <c r="D88" s="526"/>
      <c r="E88" s="526"/>
      <c r="F88" s="527"/>
      <c r="G88" s="225"/>
      <c r="H88" s="225"/>
      <c r="I88" s="225"/>
      <c r="J88" s="225"/>
      <c r="K88" s="225"/>
      <c r="L88" s="225"/>
      <c r="M88" s="225"/>
      <c r="P88" s="32"/>
    </row>
    <row r="89" spans="2:16" ht="12">
      <c r="B89" s="41">
        <f t="shared" si="12"/>
        <v>2</v>
      </c>
      <c r="C89" s="207"/>
      <c r="D89" s="209" t="s">
        <v>191</v>
      </c>
      <c r="E89" s="211"/>
      <c r="F89" s="12"/>
      <c r="G89" s="11">
        <f>+G18</f>
        <v>359318</v>
      </c>
      <c r="H89" s="11">
        <f t="shared" ref="H89:M89" si="13">+H18</f>
        <v>-139318</v>
      </c>
      <c r="I89" s="11">
        <f t="shared" si="13"/>
        <v>220000</v>
      </c>
      <c r="J89" s="11">
        <f t="shared" si="13"/>
        <v>-2561</v>
      </c>
      <c r="K89" s="11">
        <f t="shared" si="13"/>
        <v>217439</v>
      </c>
      <c r="L89" s="11">
        <f t="shared" ca="1" si="13"/>
        <v>634.31423055904156</v>
      </c>
      <c r="M89" s="11">
        <f t="shared" ca="1" si="13"/>
        <v>218073.31423055904</v>
      </c>
      <c r="P89" s="32"/>
    </row>
    <row r="90" spans="2:16" ht="12">
      <c r="B90" s="41">
        <f t="shared" si="12"/>
        <v>3</v>
      </c>
      <c r="C90" s="207"/>
      <c r="D90" s="209" t="s">
        <v>192</v>
      </c>
      <c r="E90" s="211"/>
      <c r="F90" s="12"/>
      <c r="G90" s="11">
        <f>-G51</f>
        <v>-343248</v>
      </c>
      <c r="H90" s="11">
        <f t="shared" ref="H90:M90" si="14">-H51</f>
        <v>146057.07500000001</v>
      </c>
      <c r="I90" s="11">
        <f t="shared" si="14"/>
        <v>-197190.92499999999</v>
      </c>
      <c r="J90" s="11">
        <f t="shared" si="14"/>
        <v>-1834.4679999999998</v>
      </c>
      <c r="K90" s="11">
        <f t="shared" si="14"/>
        <v>-199025.39300000001</v>
      </c>
      <c r="L90" s="11">
        <f t="shared" ca="1" si="14"/>
        <v>-27.238087374435803</v>
      </c>
      <c r="M90" s="11">
        <f t="shared" ca="1" si="14"/>
        <v>-199052.63108737444</v>
      </c>
      <c r="P90" s="32"/>
    </row>
    <row r="91" spans="2:16" ht="12">
      <c r="B91" s="41">
        <f t="shared" si="12"/>
        <v>4</v>
      </c>
      <c r="C91" s="207"/>
      <c r="D91" s="209" t="s">
        <v>193</v>
      </c>
      <c r="E91" s="211"/>
      <c r="F91" s="12"/>
      <c r="G91" s="11">
        <f>-'DPK-5 Restated Debt Exh 5'!H27</f>
        <v>-5724</v>
      </c>
      <c r="H91" s="11">
        <f ca="1">-'DPK-5 Restated Debt Exh 5'!H29</f>
        <v>-228.33816840000054</v>
      </c>
      <c r="I91" s="11">
        <f ca="1">+H91+G91</f>
        <v>-5952.3381684000005</v>
      </c>
      <c r="J91" s="11"/>
      <c r="K91" s="11"/>
      <c r="L91" s="11"/>
      <c r="M91" s="11"/>
      <c r="P91" s="32"/>
    </row>
    <row r="92" spans="2:16" ht="12">
      <c r="B92" s="41">
        <f t="shared" si="12"/>
        <v>5</v>
      </c>
      <c r="C92" s="207"/>
      <c r="D92" s="209"/>
      <c r="E92" s="211"/>
      <c r="F92" s="245" t="s">
        <v>210</v>
      </c>
      <c r="G92" s="228">
        <f t="shared" ref="G92:M92" si="15">SUM(G89:G91)</f>
        <v>10346</v>
      </c>
      <c r="H92" s="228">
        <f t="shared" ca="1" si="15"/>
        <v>6510.7368316000111</v>
      </c>
      <c r="I92" s="228">
        <f t="shared" ca="1" si="15"/>
        <v>16856.73683160001</v>
      </c>
      <c r="J92" s="228">
        <f t="shared" si="15"/>
        <v>-4395.4679999999998</v>
      </c>
      <c r="K92" s="228">
        <f t="shared" si="15"/>
        <v>18413.606999999989</v>
      </c>
      <c r="L92" s="228">
        <f t="shared" ca="1" si="15"/>
        <v>607.07614318460571</v>
      </c>
      <c r="M92" s="228">
        <f t="shared" ca="1" si="15"/>
        <v>19020.683143184608</v>
      </c>
      <c r="P92" s="32"/>
    </row>
    <row r="93" spans="2:16" ht="12">
      <c r="B93" s="41"/>
      <c r="C93" s="207"/>
      <c r="D93" s="209"/>
      <c r="E93" s="211"/>
      <c r="F93" s="245"/>
      <c r="G93" s="227"/>
      <c r="H93" s="227"/>
      <c r="I93" s="227"/>
      <c r="J93" s="227"/>
      <c r="K93" s="227"/>
      <c r="L93" s="227"/>
      <c r="M93" s="227"/>
      <c r="P93" s="32"/>
    </row>
    <row r="94" spans="2:16" ht="12">
      <c r="B94" s="41">
        <f>+B92+1</f>
        <v>6</v>
      </c>
      <c r="C94" s="207"/>
      <c r="D94" s="220" t="s">
        <v>200</v>
      </c>
      <c r="E94" s="211"/>
      <c r="F94" s="12"/>
      <c r="G94" s="226"/>
      <c r="H94" s="234"/>
      <c r="I94" s="226"/>
      <c r="J94" s="226"/>
      <c r="K94" s="226"/>
      <c r="L94" s="226"/>
      <c r="M94" s="226"/>
      <c r="P94" s="32"/>
    </row>
    <row r="95" spans="2:16" ht="12">
      <c r="B95" s="41">
        <f t="shared" si="12"/>
        <v>7</v>
      </c>
      <c r="C95" s="207"/>
      <c r="E95" s="209" t="s">
        <v>207</v>
      </c>
      <c r="F95" s="12"/>
      <c r="G95" s="11">
        <v>6976.08</v>
      </c>
      <c r="H95" s="234"/>
      <c r="I95" s="226">
        <f>+H95+G95</f>
        <v>6976.08</v>
      </c>
      <c r="J95" s="226"/>
      <c r="K95" s="226"/>
      <c r="L95" s="226"/>
      <c r="M95" s="226"/>
      <c r="P95" s="32"/>
    </row>
    <row r="96" spans="2:16" ht="12">
      <c r="B96" s="223">
        <f t="shared" si="12"/>
        <v>8</v>
      </c>
      <c r="C96" s="207"/>
      <c r="E96" s="209" t="s">
        <v>206</v>
      </c>
      <c r="F96" s="12"/>
      <c r="G96" s="11">
        <v>13874.834000000001</v>
      </c>
      <c r="H96" s="233"/>
      <c r="I96" s="227">
        <f>+H96+G96</f>
        <v>13874.834000000001</v>
      </c>
      <c r="J96" s="227"/>
      <c r="K96" s="227"/>
      <c r="L96" s="227"/>
      <c r="M96" s="227"/>
      <c r="P96" s="32"/>
    </row>
    <row r="97" spans="2:16" ht="12">
      <c r="B97" s="223">
        <f t="shared" si="12"/>
        <v>9</v>
      </c>
      <c r="C97" s="207"/>
      <c r="E97" s="209" t="s">
        <v>208</v>
      </c>
      <c r="F97" s="12"/>
      <c r="G97" s="11">
        <f>20730.218-SUM(G95:G96)</f>
        <v>-120.69599999999991</v>
      </c>
      <c r="H97" s="233"/>
      <c r="I97" s="227">
        <f>+H97+G97</f>
        <v>-120.69599999999991</v>
      </c>
      <c r="J97" s="227"/>
      <c r="K97" s="227"/>
      <c r="L97" s="227"/>
      <c r="M97" s="227"/>
      <c r="P97" s="32"/>
    </row>
    <row r="98" spans="2:16" ht="12">
      <c r="B98" s="223">
        <f t="shared" si="12"/>
        <v>10</v>
      </c>
      <c r="C98" s="207"/>
      <c r="D98" s="209"/>
      <c r="E98" s="211"/>
      <c r="F98" s="12"/>
      <c r="G98" s="11"/>
      <c r="H98" s="233"/>
      <c r="I98" s="227"/>
      <c r="J98" s="227"/>
      <c r="K98" s="227"/>
      <c r="L98" s="227"/>
      <c r="M98" s="227"/>
      <c r="P98" s="32"/>
    </row>
    <row r="99" spans="2:16" ht="12">
      <c r="B99" s="223">
        <f t="shared" si="12"/>
        <v>11</v>
      </c>
      <c r="C99" s="207"/>
      <c r="E99" s="211"/>
      <c r="F99" s="210" t="s">
        <v>202</v>
      </c>
      <c r="G99" s="242">
        <f t="shared" ref="G99:M99" si="16">SUM(G95:G98)</f>
        <v>20730.218000000001</v>
      </c>
      <c r="H99" s="242">
        <f t="shared" si="16"/>
        <v>0</v>
      </c>
      <c r="I99" s="242">
        <f t="shared" si="16"/>
        <v>20730.218000000001</v>
      </c>
      <c r="J99" s="242">
        <f t="shared" si="16"/>
        <v>0</v>
      </c>
      <c r="K99" s="242">
        <f t="shared" si="16"/>
        <v>0</v>
      </c>
      <c r="L99" s="242">
        <f t="shared" si="16"/>
        <v>0</v>
      </c>
      <c r="M99" s="242">
        <f t="shared" si="16"/>
        <v>0</v>
      </c>
      <c r="P99" s="32"/>
    </row>
    <row r="100" spans="2:16" ht="12">
      <c r="B100" s="223">
        <f t="shared" si="12"/>
        <v>12</v>
      </c>
      <c r="C100" s="207"/>
      <c r="D100" s="210"/>
      <c r="E100" s="211"/>
      <c r="F100" s="12"/>
      <c r="G100" s="227"/>
      <c r="H100" s="227"/>
      <c r="I100" s="227"/>
      <c r="J100" s="227"/>
      <c r="K100" s="227"/>
      <c r="L100" s="227"/>
      <c r="M100" s="227"/>
      <c r="P100" s="32"/>
    </row>
    <row r="101" spans="2:16" ht="12">
      <c r="B101" s="223">
        <f t="shared" si="12"/>
        <v>13</v>
      </c>
      <c r="C101" s="207"/>
      <c r="D101" s="220" t="s">
        <v>201</v>
      </c>
      <c r="E101" s="211"/>
      <c r="F101" s="12"/>
      <c r="G101" s="226"/>
      <c r="H101" s="226"/>
      <c r="I101" s="226"/>
      <c r="J101" s="226"/>
      <c r="K101" s="226"/>
      <c r="L101" s="226"/>
      <c r="M101" s="226"/>
      <c r="P101" s="32"/>
    </row>
    <row r="102" spans="2:16" ht="12">
      <c r="B102" s="223">
        <f t="shared" si="12"/>
        <v>14</v>
      </c>
      <c r="C102" s="207"/>
      <c r="E102" s="220" t="s">
        <v>211</v>
      </c>
      <c r="F102" s="12"/>
      <c r="G102" s="11">
        <v>10792.915999999999</v>
      </c>
      <c r="H102" s="233"/>
      <c r="I102" s="233">
        <f>+H102+G102</f>
        <v>10792.915999999999</v>
      </c>
      <c r="J102" s="233">
        <v>0</v>
      </c>
      <c r="K102" s="233">
        <v>0</v>
      </c>
      <c r="L102" s="233">
        <v>0</v>
      </c>
      <c r="M102" s="233">
        <v>0</v>
      </c>
      <c r="P102" s="32"/>
    </row>
    <row r="103" spans="2:16" ht="12">
      <c r="B103" s="223">
        <f t="shared" si="12"/>
        <v>15</v>
      </c>
      <c r="C103" s="207"/>
      <c r="D103" s="209"/>
      <c r="E103" s="209" t="s">
        <v>208</v>
      </c>
      <c r="F103" s="12"/>
      <c r="G103" s="11">
        <f>5+89.444+45.137</f>
        <v>139.58100000000002</v>
      </c>
      <c r="H103" s="233"/>
      <c r="I103" s="233">
        <f>+H103+G103</f>
        <v>139.58100000000002</v>
      </c>
      <c r="J103" s="233">
        <v>0</v>
      </c>
      <c r="K103" s="233">
        <v>0</v>
      </c>
      <c r="L103" s="233">
        <v>0</v>
      </c>
      <c r="M103" s="233">
        <v>0</v>
      </c>
      <c r="P103" s="32"/>
    </row>
    <row r="104" spans="2:16" ht="12">
      <c r="B104" s="223">
        <f t="shared" si="12"/>
        <v>16</v>
      </c>
      <c r="C104" s="207"/>
      <c r="D104" s="209"/>
      <c r="E104" s="211"/>
      <c r="F104" s="12"/>
      <c r="G104" s="11"/>
      <c r="H104" s="233"/>
      <c r="I104" s="233"/>
      <c r="J104" s="233"/>
      <c r="K104" s="233"/>
      <c r="L104" s="233"/>
      <c r="M104" s="233"/>
      <c r="P104" s="32"/>
    </row>
    <row r="105" spans="2:16" ht="12">
      <c r="B105" s="223">
        <f t="shared" si="12"/>
        <v>17</v>
      </c>
      <c r="C105" s="207"/>
      <c r="E105" s="211"/>
      <c r="F105" s="210" t="s">
        <v>195</v>
      </c>
      <c r="G105" s="26">
        <f t="shared" ref="G105:M105" si="17">SUM(G102:G103)</f>
        <v>10932.496999999999</v>
      </c>
      <c r="H105" s="26">
        <f t="shared" si="17"/>
        <v>0</v>
      </c>
      <c r="I105" s="26">
        <f t="shared" si="17"/>
        <v>10932.496999999999</v>
      </c>
      <c r="J105" s="26">
        <f t="shared" si="17"/>
        <v>0</v>
      </c>
      <c r="K105" s="26">
        <f t="shared" si="17"/>
        <v>0</v>
      </c>
      <c r="L105" s="26">
        <f t="shared" si="17"/>
        <v>0</v>
      </c>
      <c r="M105" s="26">
        <f t="shared" si="17"/>
        <v>0</v>
      </c>
      <c r="P105" s="32"/>
    </row>
    <row r="106" spans="2:16" ht="12">
      <c r="B106" s="223">
        <f t="shared" si="12"/>
        <v>18</v>
      </c>
      <c r="C106" s="207"/>
      <c r="D106" s="210"/>
      <c r="E106" s="211"/>
      <c r="F106" s="12"/>
      <c r="G106" s="229"/>
      <c r="H106" s="226"/>
      <c r="I106" s="226"/>
      <c r="J106" s="226"/>
      <c r="K106" s="226"/>
      <c r="L106" s="226"/>
      <c r="M106" s="226"/>
      <c r="P106" s="32"/>
    </row>
    <row r="107" spans="2:16" ht="12">
      <c r="B107" s="223">
        <f t="shared" si="12"/>
        <v>19</v>
      </c>
      <c r="C107" s="207"/>
      <c r="D107" s="209" t="s">
        <v>209</v>
      </c>
      <c r="E107" s="211"/>
      <c r="F107" s="12"/>
      <c r="G107" s="227">
        <f t="shared" ref="G107:M107" si="18">+G89+G90+G91+G99-G105</f>
        <v>20143.721000000001</v>
      </c>
      <c r="H107" s="236">
        <f t="shared" ca="1" si="18"/>
        <v>6510.7368316000111</v>
      </c>
      <c r="I107" s="236">
        <f t="shared" ca="1" si="18"/>
        <v>26654.457831600015</v>
      </c>
      <c r="J107" s="236">
        <f t="shared" si="18"/>
        <v>-4395.4679999999998</v>
      </c>
      <c r="K107" s="236">
        <f t="shared" si="18"/>
        <v>18413.606999999989</v>
      </c>
      <c r="L107" s="236">
        <f t="shared" ca="1" si="18"/>
        <v>607.07614318460571</v>
      </c>
      <c r="M107" s="236">
        <f t="shared" ca="1" si="18"/>
        <v>19020.683143184608</v>
      </c>
      <c r="P107" s="32"/>
    </row>
    <row r="108" spans="2:16" ht="12">
      <c r="B108" s="223">
        <f t="shared" si="12"/>
        <v>20</v>
      </c>
      <c r="C108" s="207"/>
      <c r="D108" s="209" t="s">
        <v>196</v>
      </c>
      <c r="E108" s="211"/>
      <c r="F108" s="12"/>
      <c r="G108" s="230">
        <v>0.35</v>
      </c>
      <c r="H108" s="230">
        <f t="shared" ref="H108:M108" si="19">+G108</f>
        <v>0.35</v>
      </c>
      <c r="I108" s="230">
        <f t="shared" si="19"/>
        <v>0.35</v>
      </c>
      <c r="J108" s="230">
        <f t="shared" si="19"/>
        <v>0.35</v>
      </c>
      <c r="K108" s="230">
        <f t="shared" si="19"/>
        <v>0.35</v>
      </c>
      <c r="L108" s="230">
        <f t="shared" si="19"/>
        <v>0.35</v>
      </c>
      <c r="M108" s="230">
        <f t="shared" si="19"/>
        <v>0.35</v>
      </c>
      <c r="P108" s="32"/>
    </row>
    <row r="109" spans="2:16" ht="12">
      <c r="B109" s="223">
        <f t="shared" si="12"/>
        <v>21</v>
      </c>
      <c r="C109" s="207"/>
      <c r="D109" s="220" t="s">
        <v>197</v>
      </c>
      <c r="E109" s="211"/>
      <c r="F109" s="12"/>
      <c r="G109" s="229">
        <f t="shared" ref="G109:M109" si="20">G107*G108</f>
        <v>7050.3023499999999</v>
      </c>
      <c r="H109" s="236">
        <f t="shared" ca="1" si="20"/>
        <v>2278.7578910600037</v>
      </c>
      <c r="I109" s="236">
        <f t="shared" ca="1" si="20"/>
        <v>9329.060241060004</v>
      </c>
      <c r="J109" s="236">
        <f t="shared" si="20"/>
        <v>-1538.4137999999998</v>
      </c>
      <c r="K109" s="236">
        <f t="shared" si="20"/>
        <v>6444.7624499999956</v>
      </c>
      <c r="L109" s="236">
        <f t="shared" ca="1" si="20"/>
        <v>212.476650114612</v>
      </c>
      <c r="M109" s="236">
        <f t="shared" ca="1" si="20"/>
        <v>6657.2391001146125</v>
      </c>
      <c r="P109" s="32"/>
    </row>
    <row r="110" spans="2:16" ht="12">
      <c r="B110" s="223">
        <f t="shared" si="12"/>
        <v>22</v>
      </c>
      <c r="C110" s="207"/>
      <c r="D110" s="209" t="s">
        <v>198</v>
      </c>
      <c r="E110" s="211"/>
      <c r="F110" s="12"/>
      <c r="G110" s="243">
        <v>-3050.0540000000001</v>
      </c>
      <c r="H110" s="238">
        <v>0</v>
      </c>
      <c r="I110" s="238">
        <f>+H110+G110</f>
        <v>-3050.0540000000001</v>
      </c>
      <c r="J110" s="238">
        <v>0</v>
      </c>
      <c r="K110" s="238">
        <f>+J110+I110</f>
        <v>-3050.0540000000001</v>
      </c>
      <c r="L110" s="238"/>
      <c r="M110" s="238">
        <f>+L110+K110</f>
        <v>-3050.0540000000001</v>
      </c>
      <c r="P110" s="32"/>
    </row>
    <row r="111" spans="2:16" ht="12">
      <c r="B111" s="223">
        <f>+B110+1</f>
        <v>23</v>
      </c>
      <c r="C111" s="207"/>
      <c r="D111" s="244" t="s">
        <v>204</v>
      </c>
      <c r="E111" s="208"/>
      <c r="G111" s="20">
        <f t="shared" ref="G111:M111" si="21">+G109+G110</f>
        <v>4000.2483499999998</v>
      </c>
      <c r="H111" s="20">
        <f t="shared" ca="1" si="21"/>
        <v>2278.7578910600037</v>
      </c>
      <c r="I111" s="20">
        <f t="shared" ca="1" si="21"/>
        <v>6279.006241060004</v>
      </c>
      <c r="J111" s="20">
        <f t="shared" si="21"/>
        <v>-1538.4137999999998</v>
      </c>
      <c r="K111" s="20">
        <f t="shared" si="21"/>
        <v>3394.7084499999955</v>
      </c>
      <c r="L111" s="20">
        <f t="shared" ca="1" si="21"/>
        <v>212.476650114612</v>
      </c>
      <c r="M111" s="20">
        <f t="shared" ca="1" si="21"/>
        <v>3607.1851001146124</v>
      </c>
      <c r="P111" s="32"/>
    </row>
    <row r="112" spans="2:16" ht="1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P112" s="32"/>
    </row>
    <row r="113" spans="2:16" ht="1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P113" s="32"/>
    </row>
    <row r="114" spans="2:16" ht="12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P114" s="32"/>
    </row>
    <row r="115" spans="2:16" ht="12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P115" s="32"/>
    </row>
    <row r="116" spans="2:16" ht="56.25" customHeight="1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P116" s="32"/>
    </row>
    <row r="117" spans="2:16" ht="12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P117" s="32"/>
    </row>
    <row r="118" spans="2:16">
      <c r="P118" s="32"/>
    </row>
  </sheetData>
  <mergeCells count="3">
    <mergeCell ref="C61:F61"/>
    <mergeCell ref="C13:F13"/>
    <mergeCell ref="C88:F88"/>
  </mergeCells>
  <phoneticPr fontId="0" type="noConversion"/>
  <printOptions gridLinesSet="0"/>
  <pageMargins left="0.75" right="0.75" top="0.75" bottom="0.5" header="0.5" footer="0.5"/>
  <pageSetup scale="75" orientation="portrait" useFirstPageNumber="1" r:id="rId1"/>
  <headerFooter>
    <oddHeader>&amp;RExhibit No. _____(DPK-3)
Docket UE-090134  UG-090135
Page &amp;P of &amp;N</oddHeader>
  </headerFooter>
  <rowBreaks count="1" manualBreakCount="1">
    <brk id="86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 enableFormatConditionsCalculation="0">
    <tabColor indexed="10"/>
  </sheetPr>
  <dimension ref="A1"/>
  <sheetViews>
    <sheetView workbookViewId="0">
      <selection activeCell="J16" sqref="J16"/>
    </sheetView>
  </sheetViews>
  <sheetFormatPr defaultRowHeight="12.75"/>
  <cols>
    <col min="1" max="1" width="18.1640625" style="18" customWidth="1"/>
    <col min="2" max="16384" width="9.33203125" style="18"/>
  </cols>
  <sheetData/>
  <customSheetViews>
    <customSheetView guid="{A15D1964-B049-11D2-8670-0000832CEEE8}" showRuler="0">
      <selection activeCell="D6" sqref="D6"/>
      <pageMargins left="0.75" right="0.75" top="1" bottom="1" header="0.5" footer="0.5"/>
      <pageSetup orientation="portrait" horizontalDpi="4294967292" verticalDpi="0" r:id="rId1"/>
      <headerFooter alignWithMargins="0">
        <oddHeader>&amp;A</oddHeader>
        <oddFooter>Page &amp;P</oddFooter>
      </headerFooter>
    </customSheetView>
    <customSheetView guid="{5BE913A1-B14F-11D2-B0DC-0000832CDFF0}" showRuler="0">
      <selection activeCell="D6" sqref="D6"/>
      <pageMargins left="0.75" right="0.75" top="1" bottom="1" header="0.5" footer="0.5"/>
      <pageSetup orientation="portrait" horizontalDpi="4294967292" verticalDpi="0" r:id="rId2"/>
      <headerFooter alignWithMargins="0">
        <oddHeader>&amp;A</oddHeader>
        <oddFooter>Page &amp;P</oddFooter>
      </headerFooter>
    </customSheetView>
  </customSheetViews>
  <phoneticPr fontId="0" type="noConversion"/>
  <pageMargins left="0.75" right="0.75" top="1" bottom="1" header="0.5" footer="0.5"/>
  <pageSetup orientation="portrait" horizontalDpi="4294967292" verticalDpi="0" r:id="rId3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 enableFormatConditionsCalculation="0">
    <tabColor indexed="47"/>
    <pageSetUpPr fitToPage="1"/>
  </sheetPr>
  <dimension ref="A1:AB121"/>
  <sheetViews>
    <sheetView showGridLines="0" zoomScaleNormal="100" workbookViewId="0">
      <pane xSplit="7" ySplit="12" topLeftCell="Y23" activePane="bottomRight" state="frozen"/>
      <selection activeCell="F9" sqref="F9"/>
      <selection pane="topRight" activeCell="F9" sqref="F9"/>
      <selection pane="bottomLeft" activeCell="F9" sqref="F9"/>
      <selection pane="bottomRight" activeCell="F9" sqref="F9"/>
    </sheetView>
  </sheetViews>
  <sheetFormatPr defaultRowHeight="12.75"/>
  <cols>
    <col min="1" max="1" width="9.33203125" style="32" customWidth="1"/>
    <col min="2" max="2" width="5.83203125" style="8" customWidth="1"/>
    <col min="3" max="5" width="1.83203125" style="2" customWidth="1"/>
    <col min="6" max="6" width="33.83203125" style="2" customWidth="1"/>
    <col min="7" max="8" width="11.83203125" style="19" customWidth="1"/>
    <col min="9" max="9" width="13.5" style="19" customWidth="1"/>
    <col min="10" max="10" width="11.83203125" style="19" customWidth="1"/>
    <col min="11" max="11" width="14.1640625" style="19" customWidth="1"/>
    <col min="12" max="12" width="11.83203125" style="19" customWidth="1"/>
    <col min="13" max="13" width="17.83203125" style="19" customWidth="1"/>
    <col min="14" max="14" width="16.33203125" style="19" customWidth="1"/>
    <col min="15" max="15" width="11.83203125" style="19" customWidth="1"/>
    <col min="16" max="16" width="14.33203125" style="19" customWidth="1"/>
    <col min="17" max="18" width="11.83203125" style="19" customWidth="1"/>
    <col min="19" max="19" width="10.5" style="19" customWidth="1"/>
    <col min="20" max="20" width="10.33203125" style="19" customWidth="1"/>
    <col min="21" max="21" width="12.1640625" style="24" customWidth="1"/>
    <col min="22" max="22" width="13.1640625" style="24" customWidth="1"/>
    <col min="23" max="23" width="11.83203125" style="19" customWidth="1"/>
    <col min="24" max="26" width="14" style="19" customWidth="1"/>
    <col min="27" max="27" width="13" style="19" customWidth="1"/>
    <col min="28" max="28" width="13.33203125" style="17" customWidth="1"/>
    <col min="29" max="16384" width="9.33203125" style="2"/>
  </cols>
  <sheetData>
    <row r="1" spans="1:28" s="32" customFormat="1">
      <c r="B1" s="33"/>
      <c r="P1" s="410"/>
      <c r="AA1" s="34"/>
      <c r="AB1" s="36"/>
    </row>
    <row r="2" spans="1:28" s="32" customFormat="1">
      <c r="B2" s="33"/>
      <c r="G2" s="62" t="s">
        <v>136</v>
      </c>
      <c r="P2" s="410"/>
      <c r="Y2" s="61"/>
      <c r="Z2" s="61"/>
      <c r="AA2" s="61" t="s">
        <v>36</v>
      </c>
      <c r="AB2" s="36"/>
    </row>
    <row r="3" spans="1:28">
      <c r="B3" s="1" t="s">
        <v>186</v>
      </c>
      <c r="G3" s="24"/>
      <c r="N3" s="509"/>
    </row>
    <row r="4" spans="1:28">
      <c r="B4" s="1" t="s">
        <v>108</v>
      </c>
      <c r="G4" s="24"/>
      <c r="N4" s="509"/>
    </row>
    <row r="5" spans="1:28">
      <c r="B5" s="1" t="s">
        <v>390</v>
      </c>
      <c r="H5" s="24"/>
    </row>
    <row r="6" spans="1:28" ht="12">
      <c r="B6" s="1" t="s">
        <v>381</v>
      </c>
      <c r="H6" s="24"/>
      <c r="AB6" s="19"/>
    </row>
    <row r="7" spans="1:28" ht="12">
      <c r="F7" s="7" t="s">
        <v>109</v>
      </c>
      <c r="G7" s="7" t="s">
        <v>111</v>
      </c>
      <c r="H7" s="7" t="s">
        <v>112</v>
      </c>
      <c r="I7" s="7" t="s">
        <v>261</v>
      </c>
      <c r="J7" s="7" t="s">
        <v>113</v>
      </c>
      <c r="K7" s="7" t="s">
        <v>139</v>
      </c>
      <c r="L7" s="7" t="s">
        <v>140</v>
      </c>
      <c r="M7" s="7" t="s">
        <v>143</v>
      </c>
      <c r="N7" s="7" t="s">
        <v>144</v>
      </c>
      <c r="O7" s="7" t="s">
        <v>301</v>
      </c>
      <c r="P7" s="7" t="s">
        <v>302</v>
      </c>
      <c r="Q7" s="7" t="s">
        <v>303</v>
      </c>
      <c r="R7" s="7" t="s">
        <v>304</v>
      </c>
      <c r="S7" s="7" t="s">
        <v>305</v>
      </c>
      <c r="T7" s="7" t="s">
        <v>306</v>
      </c>
      <c r="U7" s="7" t="s">
        <v>307</v>
      </c>
      <c r="V7" s="7" t="s">
        <v>308</v>
      </c>
      <c r="W7" s="7" t="s">
        <v>309</v>
      </c>
      <c r="X7" s="7" t="s">
        <v>310</v>
      </c>
      <c r="Y7" s="7" t="s">
        <v>311</v>
      </c>
      <c r="Z7" s="7" t="s">
        <v>338</v>
      </c>
      <c r="AA7" s="516" t="s">
        <v>402</v>
      </c>
      <c r="AB7" s="516" t="s">
        <v>402</v>
      </c>
    </row>
    <row r="8" spans="1:28" s="4" customFormat="1" ht="12">
      <c r="A8" s="37"/>
      <c r="B8" s="169" t="s">
        <v>141</v>
      </c>
      <c r="H8" s="310" t="s">
        <v>118</v>
      </c>
      <c r="I8" s="59" t="s">
        <v>119</v>
      </c>
      <c r="J8" s="59" t="s">
        <v>120</v>
      </c>
      <c r="K8" s="59" t="s">
        <v>121</v>
      </c>
      <c r="L8" s="59" t="s">
        <v>122</v>
      </c>
      <c r="M8" s="59" t="s">
        <v>123</v>
      </c>
      <c r="N8" s="59" t="s">
        <v>124</v>
      </c>
      <c r="O8" s="59" t="s">
        <v>125</v>
      </c>
      <c r="P8" s="59" t="s">
        <v>126</v>
      </c>
      <c r="Q8" s="59" t="s">
        <v>127</v>
      </c>
      <c r="R8" s="59" t="s">
        <v>128</v>
      </c>
      <c r="S8" s="59" t="s">
        <v>129</v>
      </c>
      <c r="T8" s="59" t="s">
        <v>130</v>
      </c>
      <c r="U8" s="59" t="s">
        <v>131</v>
      </c>
      <c r="V8" s="59" t="s">
        <v>132</v>
      </c>
      <c r="W8" s="59" t="s">
        <v>133</v>
      </c>
      <c r="X8" s="59" t="s">
        <v>134</v>
      </c>
      <c r="Y8" s="59" t="s">
        <v>135</v>
      </c>
      <c r="Z8" s="59" t="s">
        <v>232</v>
      </c>
      <c r="AA8" s="517" t="s">
        <v>234</v>
      </c>
      <c r="AB8" s="517" t="s">
        <v>235</v>
      </c>
    </row>
    <row r="9" spans="1:28" s="4" customFormat="1" ht="12" customHeight="1">
      <c r="A9" s="37"/>
      <c r="B9" s="316"/>
      <c r="C9" s="314"/>
      <c r="D9" s="314"/>
      <c r="E9" s="314"/>
      <c r="F9" s="319"/>
      <c r="G9" s="311" t="s">
        <v>116</v>
      </c>
      <c r="H9" s="311" t="s">
        <v>0</v>
      </c>
      <c r="I9" s="311" t="s">
        <v>80</v>
      </c>
      <c r="J9" s="311"/>
      <c r="K9" s="311" t="s">
        <v>82</v>
      </c>
      <c r="L9" s="311"/>
      <c r="M9" s="311"/>
      <c r="N9" s="311" t="s">
        <v>101</v>
      </c>
      <c r="O9" s="311" t="s">
        <v>1</v>
      </c>
      <c r="P9" s="311"/>
      <c r="Q9" s="311"/>
      <c r="R9" s="311" t="s">
        <v>2</v>
      </c>
      <c r="S9" s="311" t="s">
        <v>3</v>
      </c>
      <c r="T9" s="311"/>
      <c r="U9" s="311"/>
      <c r="V9" s="311" t="s">
        <v>1</v>
      </c>
      <c r="W9" s="311" t="s">
        <v>5</v>
      </c>
      <c r="X9" s="311" t="s">
        <v>4</v>
      </c>
      <c r="Y9" s="311"/>
      <c r="Z9" s="311" t="s">
        <v>4</v>
      </c>
      <c r="AA9" s="518"/>
      <c r="AB9" s="519"/>
    </row>
    <row r="10" spans="1:28" s="4" customFormat="1" ht="12">
      <c r="A10" s="37"/>
      <c r="B10" s="317" t="s">
        <v>6</v>
      </c>
      <c r="C10" s="5"/>
      <c r="D10" s="5"/>
      <c r="E10" s="5"/>
      <c r="F10" s="231"/>
      <c r="G10" s="312" t="s">
        <v>117</v>
      </c>
      <c r="H10" s="312" t="s">
        <v>7</v>
      </c>
      <c r="I10" s="312" t="s">
        <v>8</v>
      </c>
      <c r="J10" s="312" t="s">
        <v>9</v>
      </c>
      <c r="K10" s="312" t="s">
        <v>10</v>
      </c>
      <c r="L10" s="312" t="s">
        <v>11</v>
      </c>
      <c r="M10" s="312" t="s">
        <v>336</v>
      </c>
      <c r="N10" s="312" t="s">
        <v>83</v>
      </c>
      <c r="O10" s="312" t="s">
        <v>12</v>
      </c>
      <c r="P10" s="312" t="s">
        <v>13</v>
      </c>
      <c r="Q10" s="312" t="s">
        <v>81</v>
      </c>
      <c r="R10" s="312" t="s">
        <v>14</v>
      </c>
      <c r="S10" s="312" t="s">
        <v>15</v>
      </c>
      <c r="T10" s="312"/>
      <c r="U10" s="312" t="s">
        <v>93</v>
      </c>
      <c r="V10" s="312" t="s">
        <v>17</v>
      </c>
      <c r="W10" s="312" t="s">
        <v>18</v>
      </c>
      <c r="X10" s="312" t="s">
        <v>95</v>
      </c>
      <c r="Y10" s="312" t="s">
        <v>363</v>
      </c>
      <c r="Z10" s="312" t="s">
        <v>16</v>
      </c>
      <c r="AA10" s="520" t="s">
        <v>347</v>
      </c>
      <c r="AB10" s="520" t="s">
        <v>382</v>
      </c>
    </row>
    <row r="11" spans="1:28" s="4" customFormat="1" ht="12">
      <c r="A11" s="37"/>
      <c r="B11" s="318" t="s">
        <v>21</v>
      </c>
      <c r="C11" s="6"/>
      <c r="D11" s="6"/>
      <c r="E11" s="6"/>
      <c r="F11" s="315" t="s">
        <v>22</v>
      </c>
      <c r="G11" s="313" t="s">
        <v>86</v>
      </c>
      <c r="H11" s="313" t="s">
        <v>23</v>
      </c>
      <c r="I11" s="313" t="s">
        <v>24</v>
      </c>
      <c r="J11" s="313" t="s">
        <v>25</v>
      </c>
      <c r="K11" s="313" t="s">
        <v>26</v>
      </c>
      <c r="L11" s="313" t="s">
        <v>27</v>
      </c>
      <c r="M11" s="313" t="s">
        <v>337</v>
      </c>
      <c r="N11" s="313" t="s">
        <v>84</v>
      </c>
      <c r="O11" s="313" t="s">
        <v>29</v>
      </c>
      <c r="P11" s="313" t="s">
        <v>30</v>
      </c>
      <c r="Q11" s="313" t="s">
        <v>14</v>
      </c>
      <c r="R11" s="313" t="s">
        <v>28</v>
      </c>
      <c r="S11" s="313" t="s">
        <v>31</v>
      </c>
      <c r="T11" s="313" t="s">
        <v>7</v>
      </c>
      <c r="U11" s="313" t="s">
        <v>94</v>
      </c>
      <c r="V11" s="313" t="s">
        <v>33</v>
      </c>
      <c r="W11" s="313" t="s">
        <v>34</v>
      </c>
      <c r="X11" s="313" t="s">
        <v>29</v>
      </c>
      <c r="Y11" s="313" t="s">
        <v>86</v>
      </c>
      <c r="Z11" s="313" t="s">
        <v>32</v>
      </c>
      <c r="AA11" s="521" t="s">
        <v>348</v>
      </c>
      <c r="AB11" s="521" t="s">
        <v>383</v>
      </c>
    </row>
    <row r="12" spans="1:28" s="7" customFormat="1" ht="12">
      <c r="A12" s="38"/>
      <c r="B12" s="42"/>
      <c r="C12" s="66"/>
      <c r="D12" s="66"/>
      <c r="E12" s="66"/>
      <c r="F12" s="63"/>
      <c r="G12" s="72" t="s">
        <v>114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  <c r="V12" s="64"/>
      <c r="W12" s="64"/>
      <c r="X12" s="64"/>
      <c r="Y12" s="64"/>
      <c r="Z12" s="64"/>
      <c r="AA12" s="522" t="s">
        <v>397</v>
      </c>
      <c r="AB12" s="522" t="s">
        <v>397</v>
      </c>
    </row>
    <row r="13" spans="1:28" ht="12">
      <c r="B13" s="41"/>
      <c r="C13" s="525" t="s">
        <v>177</v>
      </c>
      <c r="D13" s="526"/>
      <c r="E13" s="526"/>
      <c r="F13" s="527"/>
      <c r="G13" s="53"/>
      <c r="T13" s="25"/>
      <c r="U13" s="19"/>
      <c r="V13" s="19"/>
      <c r="AB13" s="19"/>
    </row>
    <row r="14" spans="1:28" s="9" customFormat="1" ht="12">
      <c r="A14" s="39"/>
      <c r="B14" s="41">
        <v>1</v>
      </c>
      <c r="C14" s="2" t="s">
        <v>37</v>
      </c>
      <c r="D14" s="2"/>
      <c r="E14" s="2"/>
      <c r="F14" s="2"/>
      <c r="G14" s="221"/>
    </row>
    <row r="15" spans="1:28" ht="12">
      <c r="B15" s="41">
        <f>+B14+1</f>
        <v>2</v>
      </c>
      <c r="C15" s="9"/>
      <c r="D15" s="9" t="s">
        <v>38</v>
      </c>
      <c r="E15" s="9"/>
      <c r="F15" s="9"/>
      <c r="G15" s="54">
        <f>SUM(H15:Z15)</f>
        <v>-6144</v>
      </c>
      <c r="H15" s="16"/>
      <c r="I15" s="16"/>
      <c r="J15" s="16"/>
      <c r="K15" s="16"/>
      <c r="L15" s="16"/>
      <c r="M15" s="16"/>
      <c r="N15" s="16">
        <v>1695</v>
      </c>
      <c r="O15" s="23">
        <v>-7839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2">
      <c r="B16" s="41">
        <f t="shared" ref="B16:B81" si="0">+B15+1</f>
        <v>3</v>
      </c>
      <c r="D16" s="10" t="s">
        <v>39</v>
      </c>
      <c r="E16" s="10"/>
      <c r="F16" s="10"/>
      <c r="G16" s="55">
        <f>SUM(H16:Z16)</f>
        <v>-1775</v>
      </c>
      <c r="H16" s="395"/>
      <c r="I16" s="395"/>
      <c r="J16" s="395"/>
      <c r="K16" s="395"/>
      <c r="L16" s="395"/>
      <c r="M16" s="395"/>
      <c r="N16" s="395">
        <v>-1700</v>
      </c>
      <c r="O16" s="395">
        <v>-75</v>
      </c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</row>
    <row r="17" spans="2:28" ht="12">
      <c r="B17" s="41">
        <f t="shared" si="0"/>
        <v>4</v>
      </c>
      <c r="D17" s="10" t="s">
        <v>40</v>
      </c>
      <c r="E17" s="10"/>
      <c r="F17" s="10"/>
      <c r="G17" s="56">
        <f>SUM(H17:Z17)</f>
        <v>-131399</v>
      </c>
      <c r="H17" s="15"/>
      <c r="I17" s="15"/>
      <c r="J17" s="15"/>
      <c r="K17" s="15"/>
      <c r="L17" s="15"/>
      <c r="M17" s="15"/>
      <c r="N17" s="15">
        <v>-131399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2:28" ht="12">
      <c r="B18" s="41">
        <f t="shared" si="0"/>
        <v>5</v>
      </c>
      <c r="C18" s="178"/>
      <c r="D18" s="10"/>
      <c r="E18" s="10"/>
      <c r="F18" s="2" t="s">
        <v>41</v>
      </c>
      <c r="G18" s="55">
        <f t="shared" ref="G18:M18" si="1">SUM(G15:G17)</f>
        <v>-139318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ref="N18:Y18" si="2">SUM(N15:N17)</f>
        <v>-131404</v>
      </c>
      <c r="O18" s="10">
        <f t="shared" si="2"/>
        <v>-7914</v>
      </c>
      <c r="P18" s="10">
        <f t="shared" si="2"/>
        <v>0</v>
      </c>
      <c r="Q18" s="10">
        <f t="shared" si="2"/>
        <v>0</v>
      </c>
      <c r="R18" s="10">
        <f t="shared" si="2"/>
        <v>0</v>
      </c>
      <c r="S18" s="10">
        <f t="shared" si="2"/>
        <v>0</v>
      </c>
      <c r="T18" s="10">
        <f t="shared" si="2"/>
        <v>0</v>
      </c>
      <c r="U18" s="10">
        <f t="shared" si="2"/>
        <v>0</v>
      </c>
      <c r="V18" s="10">
        <f t="shared" si="2"/>
        <v>0</v>
      </c>
      <c r="W18" s="10">
        <f t="shared" si="2"/>
        <v>0</v>
      </c>
      <c r="X18" s="10">
        <f t="shared" si="2"/>
        <v>0</v>
      </c>
      <c r="Y18" s="10">
        <f t="shared" si="2"/>
        <v>0</v>
      </c>
      <c r="Z18" s="10">
        <f>SUM(Z15:Z17)</f>
        <v>0</v>
      </c>
      <c r="AA18" s="10">
        <f>SUM(AA15:AA17)</f>
        <v>0</v>
      </c>
      <c r="AB18" s="10">
        <f>SUM(AB15:AB17)</f>
        <v>0</v>
      </c>
    </row>
    <row r="19" spans="2:28" ht="12">
      <c r="B19" s="41">
        <f t="shared" si="0"/>
        <v>6</v>
      </c>
      <c r="C19" s="178"/>
      <c r="D19" s="10"/>
      <c r="E19" s="10"/>
      <c r="F19" s="10"/>
      <c r="G19" s="5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</row>
    <row r="20" spans="2:28" ht="12">
      <c r="B20" s="41">
        <f t="shared" si="0"/>
        <v>7</v>
      </c>
      <c r="C20" s="178" t="s">
        <v>42</v>
      </c>
      <c r="D20" s="10"/>
      <c r="E20" s="10"/>
      <c r="F20" s="10"/>
      <c r="G20" s="5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</row>
    <row r="21" spans="2:28" ht="12">
      <c r="B21" s="41">
        <f t="shared" si="0"/>
        <v>8</v>
      </c>
      <c r="C21" s="178"/>
      <c r="D21" s="10" t="s">
        <v>43</v>
      </c>
      <c r="E21" s="10"/>
      <c r="F21" s="10"/>
      <c r="G21" s="55">
        <f>SUM(H21:Z21)</f>
        <v>0</v>
      </c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</row>
    <row r="22" spans="2:28" ht="12">
      <c r="B22" s="41">
        <f t="shared" si="0"/>
        <v>9</v>
      </c>
      <c r="C22" s="178"/>
      <c r="D22" s="10"/>
      <c r="E22" s="10"/>
      <c r="F22" s="10"/>
      <c r="G22" s="5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</row>
    <row r="23" spans="2:28" ht="12">
      <c r="B23" s="41">
        <f t="shared" si="0"/>
        <v>10</v>
      </c>
      <c r="C23" s="178"/>
      <c r="D23" s="10" t="s">
        <v>44</v>
      </c>
      <c r="E23" s="10"/>
      <c r="F23" s="10"/>
      <c r="G23" s="23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2">
      <c r="B24" s="41">
        <f t="shared" si="0"/>
        <v>11</v>
      </c>
      <c r="C24" s="178"/>
      <c r="D24" s="10"/>
      <c r="E24" s="10" t="s">
        <v>45</v>
      </c>
      <c r="F24" s="10"/>
      <c r="G24" s="55">
        <f>SUM(H24:Z24)</f>
        <v>-151865</v>
      </c>
      <c r="H24" s="395"/>
      <c r="I24" s="395"/>
      <c r="J24" s="395"/>
      <c r="K24" s="395"/>
      <c r="L24" s="395"/>
      <c r="M24" s="395"/>
      <c r="N24" s="395">
        <v>-151865</v>
      </c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</row>
    <row r="25" spans="2:28" ht="12">
      <c r="B25" s="41">
        <f t="shared" si="0"/>
        <v>12</v>
      </c>
      <c r="C25" s="178"/>
      <c r="D25" s="10"/>
      <c r="E25" s="10" t="s">
        <v>46</v>
      </c>
      <c r="F25" s="10"/>
      <c r="G25" s="55">
        <f>SUM(H25:Z25)</f>
        <v>0</v>
      </c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</row>
    <row r="26" spans="2:28" ht="12">
      <c r="B26" s="41">
        <f t="shared" si="0"/>
        <v>13</v>
      </c>
      <c r="C26" s="178"/>
      <c r="D26" s="10"/>
      <c r="E26" s="10" t="s">
        <v>47</v>
      </c>
      <c r="F26" s="10"/>
      <c r="G26" s="56">
        <f>SUM(H26:Z26)</f>
        <v>18687</v>
      </c>
      <c r="H26" s="15"/>
      <c r="I26" s="15"/>
      <c r="J26" s="15"/>
      <c r="K26" s="15"/>
      <c r="L26" s="15"/>
      <c r="M26" s="15"/>
      <c r="N26" s="15">
        <v>18687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ht="12">
      <c r="B27" s="41">
        <f t="shared" si="0"/>
        <v>14</v>
      </c>
      <c r="C27" s="178"/>
      <c r="D27" s="10"/>
      <c r="E27" s="10"/>
      <c r="F27" s="10" t="s">
        <v>48</v>
      </c>
      <c r="G27" s="55">
        <f t="shared" ref="G27:M27" si="3">SUM(G22:G26)</f>
        <v>-133178</v>
      </c>
      <c r="H27" s="10">
        <f t="shared" si="3"/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ref="N27:Y27" si="4">SUM(N22:N26)</f>
        <v>-133178</v>
      </c>
      <c r="O27" s="10">
        <f t="shared" si="4"/>
        <v>0</v>
      </c>
      <c r="P27" s="10">
        <f t="shared" si="4"/>
        <v>0</v>
      </c>
      <c r="Q27" s="10">
        <f t="shared" si="4"/>
        <v>0</v>
      </c>
      <c r="R27" s="10">
        <f t="shared" si="4"/>
        <v>0</v>
      </c>
      <c r="S27" s="10">
        <f t="shared" si="4"/>
        <v>0</v>
      </c>
      <c r="T27" s="10">
        <f t="shared" si="4"/>
        <v>0</v>
      </c>
      <c r="U27" s="10">
        <f t="shared" si="4"/>
        <v>0</v>
      </c>
      <c r="V27" s="10">
        <f t="shared" si="4"/>
        <v>0</v>
      </c>
      <c r="W27" s="10">
        <f t="shared" si="4"/>
        <v>0</v>
      </c>
      <c r="X27" s="10">
        <f t="shared" si="4"/>
        <v>0</v>
      </c>
      <c r="Y27" s="10">
        <f t="shared" si="4"/>
        <v>0</v>
      </c>
      <c r="Z27" s="10">
        <f>SUM(Z22:Z26)</f>
        <v>0</v>
      </c>
      <c r="AA27" s="10">
        <f>SUM(AA22:AA26)</f>
        <v>0</v>
      </c>
      <c r="AB27" s="10">
        <f>SUM(AB22:AB26)</f>
        <v>0</v>
      </c>
    </row>
    <row r="28" spans="2:28" ht="12">
      <c r="B28" s="41">
        <f t="shared" si="0"/>
        <v>15</v>
      </c>
      <c r="C28" s="178"/>
      <c r="D28" s="10"/>
      <c r="E28" s="10"/>
      <c r="F28" s="10"/>
      <c r="G28" s="5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</row>
    <row r="29" spans="2:28" ht="12">
      <c r="B29" s="41">
        <f t="shared" si="0"/>
        <v>16</v>
      </c>
      <c r="C29" s="178"/>
      <c r="D29" s="10" t="s">
        <v>49</v>
      </c>
      <c r="E29" s="10"/>
      <c r="F29" s="10"/>
      <c r="G29" s="23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12">
      <c r="B30" s="41">
        <f t="shared" si="0"/>
        <v>17</v>
      </c>
      <c r="C30" s="178"/>
      <c r="D30" s="10"/>
      <c r="E30" s="10" t="s">
        <v>50</v>
      </c>
      <c r="F30" s="10"/>
      <c r="G30" s="55">
        <f>SUM(H30:Z30)</f>
        <v>0</v>
      </c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</row>
    <row r="31" spans="2:28" ht="12">
      <c r="B31" s="41">
        <f t="shared" si="0"/>
        <v>18</v>
      </c>
      <c r="C31" s="178"/>
      <c r="D31" s="10"/>
      <c r="E31" s="10" t="s">
        <v>51</v>
      </c>
      <c r="F31" s="10"/>
      <c r="G31" s="55">
        <f>SUM(H31:Z31)</f>
        <v>-15</v>
      </c>
      <c r="H31" s="395"/>
      <c r="I31" s="395"/>
      <c r="J31" s="395"/>
      <c r="K31" s="395"/>
      <c r="L31" s="395"/>
      <c r="M31" s="395">
        <v>-15</v>
      </c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</row>
    <row r="32" spans="2:28" ht="12">
      <c r="B32" s="41">
        <f t="shared" si="0"/>
        <v>19</v>
      </c>
      <c r="C32" s="178"/>
      <c r="D32" s="10"/>
      <c r="E32" s="10" t="s">
        <v>29</v>
      </c>
      <c r="F32" s="10"/>
      <c r="G32" s="56">
        <f>SUM(H32:Z32)</f>
        <v>-40</v>
      </c>
      <c r="H32" s="15"/>
      <c r="I32" s="15"/>
      <c r="J32" s="15"/>
      <c r="K32" s="15"/>
      <c r="L32" s="15"/>
      <c r="M32" s="15"/>
      <c r="N32" s="15"/>
      <c r="O32" s="15"/>
      <c r="P32" s="15">
        <v>-40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2:28" ht="12">
      <c r="B33" s="41">
        <f t="shared" si="0"/>
        <v>20</v>
      </c>
      <c r="C33" s="178"/>
      <c r="D33" s="10"/>
      <c r="E33" s="10"/>
      <c r="F33" s="10" t="s">
        <v>52</v>
      </c>
      <c r="G33" s="55">
        <f t="shared" ref="G33:M33" si="5">SUM(G30:G32)</f>
        <v>-55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-15</v>
      </c>
      <c r="N33" s="10">
        <f t="shared" ref="N33:Y33" si="6">SUM(N30:N32)</f>
        <v>0</v>
      </c>
      <c r="O33" s="10">
        <f t="shared" si="6"/>
        <v>0</v>
      </c>
      <c r="P33" s="10">
        <f t="shared" si="6"/>
        <v>-40</v>
      </c>
      <c r="Q33" s="10">
        <f t="shared" si="6"/>
        <v>0</v>
      </c>
      <c r="R33" s="10">
        <f t="shared" si="6"/>
        <v>0</v>
      </c>
      <c r="S33" s="10">
        <f t="shared" si="6"/>
        <v>0</v>
      </c>
      <c r="T33" s="10">
        <f t="shared" si="6"/>
        <v>0</v>
      </c>
      <c r="U33" s="10">
        <f t="shared" si="6"/>
        <v>0</v>
      </c>
      <c r="V33" s="10">
        <f t="shared" si="6"/>
        <v>0</v>
      </c>
      <c r="W33" s="10">
        <f t="shared" si="6"/>
        <v>0</v>
      </c>
      <c r="X33" s="10">
        <f t="shared" si="6"/>
        <v>0</v>
      </c>
      <c r="Y33" s="10">
        <f t="shared" si="6"/>
        <v>0</v>
      </c>
      <c r="Z33" s="10">
        <f>SUM(Z30:Z32)</f>
        <v>0</v>
      </c>
      <c r="AA33" s="10">
        <f>SUM(AA30:AA32)</f>
        <v>0</v>
      </c>
      <c r="AB33" s="10">
        <f>SUM(AB30:AB32)</f>
        <v>0</v>
      </c>
    </row>
    <row r="34" spans="2:28" ht="12">
      <c r="B34" s="41">
        <f t="shared" si="0"/>
        <v>21</v>
      </c>
      <c r="C34" s="178"/>
      <c r="D34" s="10"/>
      <c r="E34" s="10"/>
      <c r="F34" s="10"/>
      <c r="G34" s="5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</row>
    <row r="35" spans="2:28" ht="12.95" customHeight="1">
      <c r="B35" s="41">
        <f t="shared" si="0"/>
        <v>22</v>
      </c>
      <c r="C35" s="178"/>
      <c r="D35" s="10" t="s">
        <v>53</v>
      </c>
      <c r="E35" s="10"/>
      <c r="F35" s="10"/>
      <c r="G35" s="23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2.95" customHeight="1">
      <c r="B36" s="41">
        <f t="shared" si="0"/>
        <v>23</v>
      </c>
      <c r="C36" s="178"/>
      <c r="D36" s="10"/>
      <c r="E36" s="10" t="s">
        <v>50</v>
      </c>
      <c r="F36" s="10"/>
      <c r="G36" s="55">
        <f>SUM(H36:Z36)</f>
        <v>0</v>
      </c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</row>
    <row r="37" spans="2:28" ht="12.95" customHeight="1">
      <c r="B37" s="41">
        <f t="shared" si="0"/>
        <v>24</v>
      </c>
      <c r="C37" s="178"/>
      <c r="D37" s="10"/>
      <c r="E37" s="10" t="s">
        <v>51</v>
      </c>
      <c r="F37" s="10"/>
      <c r="G37" s="55">
        <f>SUM(H37:Z37)</f>
        <v>-66</v>
      </c>
      <c r="I37" s="395"/>
      <c r="J37" s="395"/>
      <c r="K37" s="395"/>
      <c r="L37" s="395"/>
      <c r="M37" s="395">
        <v>-53</v>
      </c>
      <c r="N37" s="395"/>
      <c r="O37" s="395"/>
      <c r="P37" s="395"/>
      <c r="Q37" s="395"/>
      <c r="R37" s="395"/>
      <c r="S37" s="395"/>
      <c r="T37" s="395"/>
      <c r="U37" s="395">
        <v>-13</v>
      </c>
      <c r="V37" s="395"/>
      <c r="W37" s="395"/>
      <c r="Y37" s="395"/>
      <c r="Z37" s="395"/>
      <c r="AA37" s="395"/>
      <c r="AB37" s="395"/>
    </row>
    <row r="38" spans="2:28" ht="12">
      <c r="B38" s="41">
        <f t="shared" si="0"/>
        <v>25</v>
      </c>
      <c r="C38" s="178"/>
      <c r="D38" s="10"/>
      <c r="E38" s="10" t="s">
        <v>29</v>
      </c>
      <c r="F38" s="10"/>
      <c r="G38" s="56">
        <f>SUM(H38:Z38)</f>
        <v>-8464.7540000000008</v>
      </c>
      <c r="H38" s="15"/>
      <c r="I38" s="15"/>
      <c r="J38" s="15"/>
      <c r="K38" s="15"/>
      <c r="L38" s="15"/>
      <c r="M38" s="15"/>
      <c r="N38" s="15">
        <v>67</v>
      </c>
      <c r="O38" s="15">
        <v>-7908</v>
      </c>
      <c r="P38" s="15">
        <v>-702.75400000000002</v>
      </c>
      <c r="Q38" s="15"/>
      <c r="R38" s="15"/>
      <c r="S38" s="15"/>
      <c r="T38" s="15"/>
      <c r="U38" s="15"/>
      <c r="V38" s="15"/>
      <c r="W38" s="15"/>
      <c r="X38" s="15">
        <v>79</v>
      </c>
      <c r="Y38" s="15"/>
      <c r="Z38" s="15"/>
      <c r="AA38" s="15"/>
      <c r="AB38" s="15"/>
    </row>
    <row r="39" spans="2:28" ht="12">
      <c r="B39" s="41">
        <f t="shared" si="0"/>
        <v>26</v>
      </c>
      <c r="C39" s="178"/>
      <c r="D39" s="10"/>
      <c r="E39" s="10"/>
      <c r="F39" s="10" t="s">
        <v>54</v>
      </c>
      <c r="G39" s="55">
        <f t="shared" ref="G39:M39" si="7">SUM(G36:G38)</f>
        <v>-8530.7540000000008</v>
      </c>
      <c r="H39" s="10">
        <f t="shared" si="7"/>
        <v>0</v>
      </c>
      <c r="I39" s="10">
        <f t="shared" si="7"/>
        <v>0</v>
      </c>
      <c r="J39" s="10">
        <f t="shared" si="7"/>
        <v>0</v>
      </c>
      <c r="K39" s="10">
        <f t="shared" si="7"/>
        <v>0</v>
      </c>
      <c r="L39" s="10">
        <f t="shared" si="7"/>
        <v>0</v>
      </c>
      <c r="M39" s="10">
        <f t="shared" si="7"/>
        <v>-53</v>
      </c>
      <c r="N39" s="10">
        <f t="shared" ref="N39:Y39" si="8">SUM(N36:N38)</f>
        <v>67</v>
      </c>
      <c r="O39" s="10">
        <f t="shared" si="8"/>
        <v>-7908</v>
      </c>
      <c r="P39" s="10">
        <f t="shared" si="8"/>
        <v>-702.75400000000002</v>
      </c>
      <c r="Q39" s="10">
        <f t="shared" si="8"/>
        <v>0</v>
      </c>
      <c r="R39" s="10">
        <f t="shared" si="8"/>
        <v>0</v>
      </c>
      <c r="S39" s="10">
        <f t="shared" si="8"/>
        <v>0</v>
      </c>
      <c r="T39" s="10">
        <f t="shared" si="8"/>
        <v>0</v>
      </c>
      <c r="U39" s="10">
        <f t="shared" si="8"/>
        <v>-13</v>
      </c>
      <c r="V39" s="10">
        <f t="shared" si="8"/>
        <v>0</v>
      </c>
      <c r="W39" s="10">
        <f t="shared" si="8"/>
        <v>0</v>
      </c>
      <c r="X39" s="10">
        <f t="shared" si="8"/>
        <v>79</v>
      </c>
      <c r="Y39" s="10">
        <f t="shared" si="8"/>
        <v>0</v>
      </c>
      <c r="Z39" s="10">
        <f>SUM(Z36:Z38)</f>
        <v>0</v>
      </c>
      <c r="AA39" s="10">
        <f>SUM(AA36:AA38)</f>
        <v>0</v>
      </c>
      <c r="AB39" s="10">
        <f>SUM(AB36:AB38)</f>
        <v>0</v>
      </c>
    </row>
    <row r="40" spans="2:28" ht="12">
      <c r="B40" s="41">
        <f t="shared" si="0"/>
        <v>27</v>
      </c>
      <c r="C40" s="178"/>
      <c r="D40" s="10"/>
      <c r="E40" s="10"/>
      <c r="F40" s="10"/>
      <c r="G40" s="5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2:28" ht="12">
      <c r="B41" s="41">
        <f t="shared" si="0"/>
        <v>28</v>
      </c>
      <c r="C41" s="178" t="s">
        <v>55</v>
      </c>
      <c r="D41" s="10"/>
      <c r="E41" s="10"/>
      <c r="F41" s="10"/>
      <c r="G41" s="55">
        <f>SUM(I41:AA41)</f>
        <v>-217.31899999999999</v>
      </c>
      <c r="H41" s="397"/>
      <c r="I41" s="397"/>
      <c r="J41" s="10"/>
      <c r="K41" s="10"/>
      <c r="L41" s="397"/>
      <c r="M41" s="10"/>
      <c r="N41" s="10">
        <v>5</v>
      </c>
      <c r="O41" s="10"/>
      <c r="P41" s="10"/>
      <c r="Q41" s="10">
        <v>-143</v>
      </c>
      <c r="R41" s="10"/>
      <c r="S41" s="397"/>
      <c r="T41" s="397"/>
      <c r="U41" s="397"/>
      <c r="V41" s="10">
        <v>-85</v>
      </c>
      <c r="W41" s="10"/>
      <c r="X41" s="10"/>
      <c r="Y41" s="10"/>
      <c r="Z41" s="10"/>
      <c r="AA41" s="523">
        <v>5.681</v>
      </c>
      <c r="AB41" s="10"/>
    </row>
    <row r="42" spans="2:28" ht="12">
      <c r="B42" s="41">
        <f t="shared" si="0"/>
        <v>29</v>
      </c>
      <c r="C42" s="178" t="s">
        <v>56</v>
      </c>
      <c r="D42" s="10"/>
      <c r="E42" s="10"/>
      <c r="F42" s="10"/>
      <c r="G42" s="55">
        <f t="shared" ref="G42:G48" si="9">SUM(I42:Z42)</f>
        <v>-4270</v>
      </c>
      <c r="H42" s="395"/>
      <c r="I42" s="395"/>
      <c r="J42" s="395"/>
      <c r="K42" s="395"/>
      <c r="L42" s="395"/>
      <c r="M42" s="395"/>
      <c r="N42" s="395">
        <v>-4270</v>
      </c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</row>
    <row r="43" spans="2:28" ht="12">
      <c r="B43" s="41">
        <f t="shared" si="0"/>
        <v>30</v>
      </c>
      <c r="C43" s="178" t="s">
        <v>57</v>
      </c>
      <c r="D43" s="10"/>
      <c r="E43" s="10"/>
      <c r="F43" s="10"/>
      <c r="G43" s="56">
        <f t="shared" si="9"/>
        <v>0</v>
      </c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</row>
    <row r="44" spans="2:28" ht="12">
      <c r="B44" s="41"/>
      <c r="C44" s="178"/>
      <c r="D44" s="10"/>
      <c r="E44" s="10"/>
      <c r="F44" s="10"/>
      <c r="G44" s="55">
        <f>+G41+G42+G43</f>
        <v>-4487.3190000000004</v>
      </c>
      <c r="H44" s="402">
        <f t="shared" ref="H44:AB44" si="10">+H41+H42+H43</f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  <c r="N44" s="22">
        <f t="shared" si="10"/>
        <v>-4265</v>
      </c>
      <c r="O44" s="22">
        <f t="shared" si="10"/>
        <v>0</v>
      </c>
      <c r="P44" s="22">
        <f t="shared" si="10"/>
        <v>0</v>
      </c>
      <c r="Q44" s="22">
        <f t="shared" si="10"/>
        <v>-143</v>
      </c>
      <c r="R44" s="22">
        <f t="shared" si="10"/>
        <v>0</v>
      </c>
      <c r="S44" s="22">
        <f t="shared" si="10"/>
        <v>0</v>
      </c>
      <c r="T44" s="22">
        <f t="shared" si="10"/>
        <v>0</v>
      </c>
      <c r="U44" s="22">
        <f t="shared" si="10"/>
        <v>0</v>
      </c>
      <c r="V44" s="22">
        <f t="shared" si="10"/>
        <v>-85</v>
      </c>
      <c r="W44" s="22">
        <f t="shared" si="10"/>
        <v>0</v>
      </c>
      <c r="X44" s="22">
        <f t="shared" si="10"/>
        <v>0</v>
      </c>
      <c r="Y44" s="22">
        <f t="shared" si="10"/>
        <v>0</v>
      </c>
      <c r="Z44" s="22">
        <f t="shared" si="10"/>
        <v>0</v>
      </c>
      <c r="AA44" s="22">
        <f t="shared" si="10"/>
        <v>5.681</v>
      </c>
      <c r="AB44" s="22">
        <f t="shared" si="10"/>
        <v>0</v>
      </c>
    </row>
    <row r="45" spans="2:28" ht="12">
      <c r="B45" s="41"/>
      <c r="C45" s="178"/>
      <c r="D45" s="10"/>
      <c r="E45" s="10"/>
      <c r="F45" s="10"/>
      <c r="G45" s="5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</row>
    <row r="46" spans="2:28" ht="12">
      <c r="B46" s="41">
        <f>+B43+1</f>
        <v>31</v>
      </c>
      <c r="C46" s="178" t="s">
        <v>58</v>
      </c>
      <c r="D46" s="10"/>
      <c r="E46" s="10"/>
      <c r="F46" s="10"/>
      <c r="G46" s="55">
        <f t="shared" si="9"/>
        <v>0</v>
      </c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</row>
    <row r="47" spans="2:28" ht="12">
      <c r="B47" s="41">
        <f t="shared" si="0"/>
        <v>32</v>
      </c>
      <c r="C47" s="178"/>
      <c r="D47" s="10" t="s">
        <v>50</v>
      </c>
      <c r="E47" s="10"/>
      <c r="F47" s="10"/>
      <c r="G47" s="55">
        <f>SUM(K47:AB47)</f>
        <v>-142</v>
      </c>
      <c r="H47" s="395"/>
      <c r="I47" s="395"/>
      <c r="J47" s="395"/>
      <c r="K47" s="395"/>
      <c r="L47" s="395"/>
      <c r="M47" s="395"/>
      <c r="N47" s="395">
        <v>3</v>
      </c>
      <c r="O47" s="395"/>
      <c r="P47" s="395"/>
      <c r="Q47" s="395"/>
      <c r="R47" s="395">
        <v>14</v>
      </c>
      <c r="S47" s="395">
        <v>-65</v>
      </c>
      <c r="T47" s="395"/>
      <c r="U47" s="395"/>
      <c r="V47" s="395"/>
      <c r="W47" s="395">
        <v>-2</v>
      </c>
      <c r="X47" s="395"/>
      <c r="Y47" s="395">
        <v>-86</v>
      </c>
      <c r="Z47" s="395"/>
      <c r="AA47" s="395"/>
      <c r="AB47" s="524">
        <v>-6</v>
      </c>
    </row>
    <row r="48" spans="2:28" ht="12">
      <c r="B48" s="41">
        <f t="shared" si="0"/>
        <v>33</v>
      </c>
      <c r="C48" s="178"/>
      <c r="D48" s="10" t="s">
        <v>51</v>
      </c>
      <c r="E48" s="10"/>
      <c r="F48" s="10"/>
      <c r="G48" s="55">
        <f t="shared" si="9"/>
        <v>341</v>
      </c>
      <c r="H48" s="395"/>
      <c r="I48" s="395"/>
      <c r="J48" s="395"/>
      <c r="K48" s="395"/>
      <c r="L48" s="395"/>
      <c r="M48" s="395">
        <v>-15</v>
      </c>
      <c r="N48" s="395">
        <v>356</v>
      </c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</row>
    <row r="49" spans="1:28" ht="12.95" customHeight="1">
      <c r="B49" s="41">
        <f t="shared" si="0"/>
        <v>34</v>
      </c>
      <c r="C49" s="178"/>
      <c r="D49" s="10" t="s">
        <v>29</v>
      </c>
      <c r="E49" s="10"/>
      <c r="F49" s="10"/>
      <c r="G49" s="56">
        <f>SUM(H49:Z49)</f>
        <v>-5.0020000000000007</v>
      </c>
      <c r="H49" s="15"/>
      <c r="I49" s="15"/>
      <c r="J49" s="15"/>
      <c r="K49" s="15"/>
      <c r="L49" s="15"/>
      <c r="M49" s="15"/>
      <c r="N49" s="15"/>
      <c r="O49" s="15"/>
      <c r="P49" s="15">
        <f>-6.105+1.103</f>
        <v>-5.0020000000000007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95" customHeight="1">
      <c r="B50" s="41">
        <f t="shared" si="0"/>
        <v>35</v>
      </c>
      <c r="C50" s="178"/>
      <c r="D50" s="10"/>
      <c r="E50" s="10"/>
      <c r="F50" s="10" t="s">
        <v>59</v>
      </c>
      <c r="G50" s="56">
        <f t="shared" ref="G50:M50" si="11">SUM(G47:G49)</f>
        <v>193.99799999999999</v>
      </c>
      <c r="H50" s="20">
        <f t="shared" si="11"/>
        <v>0</v>
      </c>
      <c r="I50" s="20">
        <f t="shared" si="11"/>
        <v>0</v>
      </c>
      <c r="J50" s="20">
        <f t="shared" si="11"/>
        <v>0</v>
      </c>
      <c r="K50" s="20">
        <f t="shared" si="11"/>
        <v>0</v>
      </c>
      <c r="L50" s="20">
        <f t="shared" si="11"/>
        <v>0</v>
      </c>
      <c r="M50" s="20">
        <f t="shared" si="11"/>
        <v>-15</v>
      </c>
      <c r="N50" s="20">
        <f t="shared" ref="N50:Y50" si="12">SUM(N47:N49)</f>
        <v>359</v>
      </c>
      <c r="O50" s="20">
        <f t="shared" si="12"/>
        <v>0</v>
      </c>
      <c r="P50" s="20">
        <f t="shared" si="12"/>
        <v>-5.0020000000000007</v>
      </c>
      <c r="Q50" s="20">
        <f t="shared" si="12"/>
        <v>0</v>
      </c>
      <c r="R50" s="20">
        <f t="shared" si="12"/>
        <v>14</v>
      </c>
      <c r="S50" s="20">
        <f t="shared" si="12"/>
        <v>-65</v>
      </c>
      <c r="T50" s="20">
        <f t="shared" si="12"/>
        <v>0</v>
      </c>
      <c r="U50" s="20">
        <f t="shared" si="12"/>
        <v>0</v>
      </c>
      <c r="V50" s="20">
        <f t="shared" si="12"/>
        <v>0</v>
      </c>
      <c r="W50" s="20">
        <f t="shared" si="12"/>
        <v>-2</v>
      </c>
      <c r="X50" s="20">
        <f t="shared" si="12"/>
        <v>0</v>
      </c>
      <c r="Y50" s="20">
        <f t="shared" si="12"/>
        <v>-86</v>
      </c>
      <c r="Z50" s="20">
        <f>SUM(Z47:Z49)</f>
        <v>0</v>
      </c>
      <c r="AA50" s="20">
        <f>SUM(AA47:AA49)</f>
        <v>0</v>
      </c>
      <c r="AB50" s="20">
        <f>SUM(AB47:AB49)</f>
        <v>-6</v>
      </c>
    </row>
    <row r="51" spans="1:28" ht="12">
      <c r="B51" s="41">
        <f t="shared" si="0"/>
        <v>36</v>
      </c>
      <c r="C51" s="178"/>
      <c r="D51" s="10"/>
      <c r="E51" s="10"/>
      <c r="F51" s="10"/>
      <c r="G51" s="23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B52" s="41">
        <f t="shared" si="0"/>
        <v>37</v>
      </c>
      <c r="C52" s="178" t="s">
        <v>60</v>
      </c>
      <c r="D52" s="10"/>
      <c r="E52" s="10"/>
      <c r="F52" s="10"/>
      <c r="G52" s="56">
        <f t="shared" ref="G52:M52" si="13">G21+G27+G33+G39+G41+G42+G43+G50</f>
        <v>-146057.07500000001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-83</v>
      </c>
      <c r="N52" s="20">
        <f t="shared" ref="N52:Y52" si="14">N21+N27+N33+N39+N41+N42+N43+N50</f>
        <v>-137017</v>
      </c>
      <c r="O52" s="20">
        <f t="shared" si="14"/>
        <v>-7908</v>
      </c>
      <c r="P52" s="20">
        <f t="shared" si="14"/>
        <v>-747.75599999999997</v>
      </c>
      <c r="Q52" s="20">
        <f t="shared" si="14"/>
        <v>-143</v>
      </c>
      <c r="R52" s="20">
        <f t="shared" si="14"/>
        <v>14</v>
      </c>
      <c r="S52" s="20">
        <f t="shared" si="14"/>
        <v>-65</v>
      </c>
      <c r="T52" s="20">
        <f t="shared" si="14"/>
        <v>0</v>
      </c>
      <c r="U52" s="20">
        <f t="shared" si="14"/>
        <v>-13</v>
      </c>
      <c r="V52" s="20">
        <f t="shared" si="14"/>
        <v>-85</v>
      </c>
      <c r="W52" s="20">
        <f t="shared" si="14"/>
        <v>-2</v>
      </c>
      <c r="X52" s="20">
        <f t="shared" si="14"/>
        <v>79</v>
      </c>
      <c r="Y52" s="20">
        <f t="shared" si="14"/>
        <v>-86</v>
      </c>
      <c r="Z52" s="20">
        <f>Z21+Z27+Z33+Z39+Z41+Z42+Z43+Z50</f>
        <v>0</v>
      </c>
      <c r="AA52" s="20">
        <f>AA21+AA27+AA33+AA39+AA41+AA42+AA43+AA50</f>
        <v>5.681</v>
      </c>
      <c r="AB52" s="20">
        <f>AB21+AB27+AB33+AB39+AB41+AB42+AB43+AB50</f>
        <v>-6</v>
      </c>
    </row>
    <row r="53" spans="1:28" ht="12">
      <c r="B53" s="41">
        <f t="shared" si="0"/>
        <v>38</v>
      </c>
      <c r="C53" s="178"/>
      <c r="D53" s="10"/>
      <c r="E53" s="10"/>
      <c r="F53" s="10"/>
      <c r="G53" s="5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2">
      <c r="B54" s="41">
        <f t="shared" si="0"/>
        <v>39</v>
      </c>
      <c r="C54" s="178" t="s">
        <v>61</v>
      </c>
      <c r="D54" s="10"/>
      <c r="E54" s="10"/>
      <c r="F54" s="10"/>
      <c r="G54" s="55">
        <f t="shared" ref="G54:M54" si="15">G18-G52</f>
        <v>6739.0750000000116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10">
        <f t="shared" si="15"/>
        <v>0</v>
      </c>
      <c r="L54" s="10">
        <f t="shared" si="15"/>
        <v>0</v>
      </c>
      <c r="M54" s="10">
        <f t="shared" si="15"/>
        <v>83</v>
      </c>
      <c r="N54" s="10">
        <f t="shared" ref="N54:Y54" si="16">N18-N52</f>
        <v>5613</v>
      </c>
      <c r="O54" s="10">
        <f t="shared" si="16"/>
        <v>-6</v>
      </c>
      <c r="P54" s="10">
        <f t="shared" si="16"/>
        <v>747.75599999999997</v>
      </c>
      <c r="Q54" s="10">
        <f t="shared" si="16"/>
        <v>143</v>
      </c>
      <c r="R54" s="10">
        <f t="shared" si="16"/>
        <v>-14</v>
      </c>
      <c r="S54" s="10">
        <f t="shared" si="16"/>
        <v>65</v>
      </c>
      <c r="T54" s="10">
        <f t="shared" si="16"/>
        <v>0</v>
      </c>
      <c r="U54" s="10">
        <f t="shared" si="16"/>
        <v>13</v>
      </c>
      <c r="V54" s="10">
        <f t="shared" si="16"/>
        <v>85</v>
      </c>
      <c r="W54" s="10">
        <f t="shared" si="16"/>
        <v>2</v>
      </c>
      <c r="X54" s="10">
        <f t="shared" si="16"/>
        <v>-79</v>
      </c>
      <c r="Y54" s="10">
        <f t="shared" si="16"/>
        <v>86</v>
      </c>
      <c r="Z54" s="10">
        <f>Z18-Z52</f>
        <v>0</v>
      </c>
      <c r="AA54" s="10">
        <f>AA18-AA52</f>
        <v>-5.681</v>
      </c>
      <c r="AB54" s="10">
        <f>AB18-AB52</f>
        <v>6</v>
      </c>
    </row>
    <row r="55" spans="1:28" s="9" customFormat="1" ht="12">
      <c r="A55" s="39"/>
      <c r="B55" s="41">
        <f t="shared" si="0"/>
        <v>40</v>
      </c>
      <c r="C55" s="178" t="s">
        <v>62</v>
      </c>
      <c r="D55" s="10"/>
      <c r="E55" s="10"/>
      <c r="F55" s="10"/>
      <c r="G55" s="5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</row>
    <row r="56" spans="1:28" ht="12">
      <c r="B56" s="41">
        <f t="shared" si="0"/>
        <v>41</v>
      </c>
      <c r="C56" s="178"/>
      <c r="D56" s="10" t="s">
        <v>63</v>
      </c>
      <c r="E56" s="10"/>
      <c r="F56" s="10"/>
      <c r="G56" s="55">
        <f ca="1">SUM(H56:AB56)</f>
        <v>2283.08164106</v>
      </c>
      <c r="H56" s="395"/>
      <c r="I56" s="395"/>
      <c r="J56" s="395"/>
      <c r="K56" s="395"/>
      <c r="L56" s="395"/>
      <c r="M56" s="395">
        <f>ROUND(+M103,0)</f>
        <v>29</v>
      </c>
      <c r="N56" s="395">
        <f t="shared" ref="N56:AB56" si="17">ROUND(+N103,0)</f>
        <v>1965</v>
      </c>
      <c r="O56" s="395">
        <f t="shared" si="17"/>
        <v>-2</v>
      </c>
      <c r="P56" s="395">
        <f t="shared" si="17"/>
        <v>262</v>
      </c>
      <c r="Q56" s="395">
        <f t="shared" si="17"/>
        <v>50</v>
      </c>
      <c r="R56" s="395">
        <f t="shared" si="17"/>
        <v>-5</v>
      </c>
      <c r="S56" s="395">
        <f t="shared" si="17"/>
        <v>23</v>
      </c>
      <c r="T56" s="395">
        <v>3</v>
      </c>
      <c r="U56" s="395">
        <f t="shared" si="17"/>
        <v>5</v>
      </c>
      <c r="V56" s="395">
        <f t="shared" si="17"/>
        <v>30</v>
      </c>
      <c r="W56" s="395">
        <f t="shared" si="17"/>
        <v>1</v>
      </c>
      <c r="X56" s="395">
        <f t="shared" si="17"/>
        <v>-28</v>
      </c>
      <c r="Y56" s="395">
        <f t="shared" si="17"/>
        <v>30</v>
      </c>
      <c r="Z56" s="395">
        <f ca="1">+'DPK-5 Restated Debt Exh 5'!H31</f>
        <v>-79.918358940000189</v>
      </c>
      <c r="AA56" s="395">
        <f t="shared" si="17"/>
        <v>-2</v>
      </c>
      <c r="AB56" s="395">
        <f t="shared" si="17"/>
        <v>2</v>
      </c>
    </row>
    <row r="57" spans="1:28" ht="12">
      <c r="B57" s="41">
        <f t="shared" si="0"/>
        <v>42</v>
      </c>
      <c r="C57" s="178"/>
      <c r="D57" s="10" t="s">
        <v>64</v>
      </c>
      <c r="E57" s="10"/>
      <c r="F57" s="10"/>
      <c r="G57" s="55">
        <f>SUM(H57:Z57)</f>
        <v>7</v>
      </c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>
        <v>7</v>
      </c>
      <c r="U57" s="395"/>
      <c r="V57" s="395"/>
      <c r="W57" s="395"/>
      <c r="X57" s="395"/>
      <c r="Y57" s="395"/>
      <c r="Z57" s="395"/>
      <c r="AA57" s="395"/>
      <c r="AB57" s="395"/>
    </row>
    <row r="58" spans="1:28" ht="12">
      <c r="B58" s="41">
        <f t="shared" si="0"/>
        <v>43</v>
      </c>
      <c r="C58" s="178"/>
      <c r="D58" s="10" t="s">
        <v>65</v>
      </c>
      <c r="E58" s="10"/>
      <c r="F58" s="10"/>
      <c r="G58" s="56">
        <f>SUM(H58:Z58)</f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">
      <c r="B59" s="41">
        <f t="shared" si="0"/>
        <v>44</v>
      </c>
      <c r="C59" s="178"/>
      <c r="G59" s="53"/>
      <c r="U59" s="19"/>
      <c r="V59" s="19"/>
      <c r="AB59" s="19"/>
    </row>
    <row r="60" spans="1:28" thickBot="1">
      <c r="B60" s="41">
        <f t="shared" si="0"/>
        <v>45</v>
      </c>
      <c r="C60" s="190" t="s">
        <v>66</v>
      </c>
      <c r="D60" s="9"/>
      <c r="E60" s="9"/>
      <c r="F60" s="9"/>
      <c r="G60" s="57">
        <f t="shared" ref="G60:M60" ca="1" si="18">G54-SUM(G56:G58)</f>
        <v>4448.9933589400116</v>
      </c>
      <c r="H60" s="21">
        <f t="shared" si="18"/>
        <v>0</v>
      </c>
      <c r="I60" s="21">
        <f t="shared" si="18"/>
        <v>0</v>
      </c>
      <c r="J60" s="21">
        <f t="shared" si="18"/>
        <v>0</v>
      </c>
      <c r="K60" s="21">
        <f t="shared" si="18"/>
        <v>0</v>
      </c>
      <c r="L60" s="21">
        <f t="shared" si="18"/>
        <v>0</v>
      </c>
      <c r="M60" s="21">
        <f t="shared" si="18"/>
        <v>54</v>
      </c>
      <c r="N60" s="21">
        <f t="shared" ref="N60:Y60" si="19">N54-SUM(N56:N58)</f>
        <v>3648</v>
      </c>
      <c r="O60" s="21">
        <f t="shared" si="19"/>
        <v>-4</v>
      </c>
      <c r="P60" s="21">
        <f t="shared" si="19"/>
        <v>485.75599999999997</v>
      </c>
      <c r="Q60" s="21">
        <f t="shared" si="19"/>
        <v>93</v>
      </c>
      <c r="R60" s="21">
        <f t="shared" si="19"/>
        <v>-9</v>
      </c>
      <c r="S60" s="21">
        <f t="shared" si="19"/>
        <v>42</v>
      </c>
      <c r="T60" s="21">
        <f t="shared" si="19"/>
        <v>-10</v>
      </c>
      <c r="U60" s="198">
        <f t="shared" si="19"/>
        <v>8</v>
      </c>
      <c r="V60" s="21">
        <f t="shared" si="19"/>
        <v>55</v>
      </c>
      <c r="W60" s="21">
        <f t="shared" si="19"/>
        <v>1</v>
      </c>
      <c r="X60" s="21">
        <f t="shared" si="19"/>
        <v>-51</v>
      </c>
      <c r="Y60" s="21">
        <f t="shared" si="19"/>
        <v>56</v>
      </c>
      <c r="Z60" s="21">
        <f ca="1">Z54-SUM(Z56:Z58)</f>
        <v>79.918358940000189</v>
      </c>
      <c r="AA60" s="21">
        <f>AA54-SUM(AA56:AA58)</f>
        <v>-3.681</v>
      </c>
      <c r="AB60" s="21">
        <f>AB54-SUM(AB56:AB58)</f>
        <v>4</v>
      </c>
    </row>
    <row r="61" spans="1:28" thickTop="1">
      <c r="B61" s="41">
        <f t="shared" si="0"/>
        <v>46</v>
      </c>
      <c r="C61" s="9"/>
      <c r="D61" s="9"/>
      <c r="E61" s="9"/>
      <c r="F61" s="9"/>
      <c r="G61" s="221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</row>
    <row r="62" spans="1:28" ht="18" customHeight="1">
      <c r="B62" s="41">
        <f t="shared" si="0"/>
        <v>47</v>
      </c>
      <c r="C62" s="525" t="s">
        <v>78</v>
      </c>
      <c r="D62" s="526"/>
      <c r="E62" s="526"/>
      <c r="F62" s="527"/>
      <c r="G62" s="53"/>
      <c r="U62" s="19"/>
      <c r="W62" s="24"/>
      <c r="AB62" s="19"/>
    </row>
    <row r="63" spans="1:28" ht="12">
      <c r="B63" s="41">
        <f t="shared" si="0"/>
        <v>48</v>
      </c>
      <c r="C63" s="2" t="s">
        <v>79</v>
      </c>
      <c r="G63" s="53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29"/>
      <c r="W63" s="29"/>
      <c r="X63" s="395"/>
      <c r="Y63" s="395"/>
      <c r="Z63" s="395"/>
      <c r="AA63" s="395"/>
      <c r="AB63" s="395"/>
    </row>
    <row r="64" spans="1:28" ht="12">
      <c r="B64" s="41">
        <f t="shared" si="0"/>
        <v>49</v>
      </c>
      <c r="C64" s="10"/>
      <c r="D64" s="10" t="s">
        <v>49</v>
      </c>
      <c r="E64" s="10"/>
      <c r="F64" s="10"/>
      <c r="G64" s="55">
        <f>SUM(H64:Z64)</f>
        <v>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16"/>
      <c r="Y64" s="16"/>
      <c r="Z64" s="16"/>
      <c r="AA64" s="16"/>
      <c r="AB64" s="16"/>
    </row>
    <row r="65" spans="1:28" ht="12">
      <c r="B65" s="41">
        <f t="shared" si="0"/>
        <v>50</v>
      </c>
      <c r="C65" s="10"/>
      <c r="D65" s="10" t="s">
        <v>67</v>
      </c>
      <c r="E65" s="10"/>
      <c r="F65" s="10"/>
      <c r="G65" s="55">
        <f>SUM(H65:Z65)</f>
        <v>-52</v>
      </c>
      <c r="H65" s="395"/>
      <c r="I65" s="395"/>
      <c r="J65" s="395"/>
      <c r="K65" s="395"/>
      <c r="L65" s="395">
        <v>-52</v>
      </c>
      <c r="M65" s="395"/>
      <c r="N65" s="395"/>
      <c r="O65" s="395"/>
      <c r="P65" s="395"/>
      <c r="Q65" s="395"/>
      <c r="R65" s="395"/>
      <c r="S65" s="395"/>
      <c r="T65" s="395"/>
      <c r="U65" s="395"/>
      <c r="V65" s="29"/>
      <c r="W65" s="29"/>
      <c r="X65" s="395"/>
      <c r="Y65" s="395"/>
      <c r="Z65" s="395"/>
      <c r="AA65" s="395"/>
      <c r="AB65" s="395"/>
    </row>
    <row r="66" spans="1:28" ht="12">
      <c r="B66" s="41">
        <f t="shared" si="0"/>
        <v>51</v>
      </c>
      <c r="C66" s="10"/>
      <c r="D66" s="10" t="s">
        <v>68</v>
      </c>
      <c r="E66" s="10"/>
      <c r="F66" s="10"/>
      <c r="G66" s="56">
        <f>SUM(H66:Z66)</f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30"/>
      <c r="W66" s="30"/>
      <c r="X66" s="15"/>
      <c r="Y66" s="15"/>
      <c r="Z66" s="15"/>
      <c r="AA66" s="15"/>
      <c r="AB66" s="15"/>
    </row>
    <row r="67" spans="1:28" ht="12">
      <c r="B67" s="41">
        <f t="shared" si="0"/>
        <v>52</v>
      </c>
      <c r="C67" s="10"/>
      <c r="D67" s="10"/>
      <c r="E67" s="10"/>
      <c r="F67" s="10" t="s">
        <v>69</v>
      </c>
      <c r="G67" s="55">
        <f t="shared" ref="G67:M67" si="20">SUM(G64:G66)</f>
        <v>-52</v>
      </c>
      <c r="H67" s="10">
        <f t="shared" si="20"/>
        <v>0</v>
      </c>
      <c r="I67" s="10">
        <f t="shared" si="20"/>
        <v>0</v>
      </c>
      <c r="J67" s="10">
        <f t="shared" si="20"/>
        <v>0</v>
      </c>
      <c r="K67" s="10">
        <f t="shared" si="20"/>
        <v>0</v>
      </c>
      <c r="L67" s="10">
        <f t="shared" si="20"/>
        <v>-52</v>
      </c>
      <c r="M67" s="10">
        <f t="shared" si="20"/>
        <v>0</v>
      </c>
      <c r="N67" s="10">
        <f t="shared" ref="N67:Y67" si="21">SUM(N64:N66)</f>
        <v>0</v>
      </c>
      <c r="O67" s="10">
        <f t="shared" si="21"/>
        <v>0</v>
      </c>
      <c r="P67" s="10">
        <f t="shared" si="21"/>
        <v>0</v>
      </c>
      <c r="Q67" s="10">
        <f t="shared" si="21"/>
        <v>0</v>
      </c>
      <c r="R67" s="10">
        <f t="shared" si="21"/>
        <v>0</v>
      </c>
      <c r="S67" s="10">
        <f t="shared" si="21"/>
        <v>0</v>
      </c>
      <c r="T67" s="10">
        <f t="shared" si="21"/>
        <v>0</v>
      </c>
      <c r="U67" s="10">
        <f t="shared" si="21"/>
        <v>0</v>
      </c>
      <c r="V67" s="10">
        <f t="shared" si="21"/>
        <v>0</v>
      </c>
      <c r="W67" s="10">
        <f t="shared" si="21"/>
        <v>0</v>
      </c>
      <c r="X67" s="10">
        <f t="shared" si="21"/>
        <v>0</v>
      </c>
      <c r="Y67" s="10">
        <f t="shared" si="21"/>
        <v>0</v>
      </c>
      <c r="Z67" s="10">
        <f>SUM(Z64:Z66)</f>
        <v>0</v>
      </c>
      <c r="AA67" s="10">
        <f>SUM(AA64:AA66)</f>
        <v>0</v>
      </c>
      <c r="AB67" s="10">
        <f>SUM(AB64:AB66)</f>
        <v>0</v>
      </c>
    </row>
    <row r="68" spans="1:28" s="12" customFormat="1" ht="18.95" customHeight="1">
      <c r="A68" s="40"/>
      <c r="B68" s="41">
        <f t="shared" si="0"/>
        <v>53</v>
      </c>
      <c r="C68" s="10" t="s">
        <v>70</v>
      </c>
      <c r="D68" s="10"/>
      <c r="E68" s="10"/>
      <c r="F68" s="10"/>
      <c r="G68" s="5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</row>
    <row r="69" spans="1:28" ht="12">
      <c r="B69" s="41">
        <f t="shared" si="0"/>
        <v>54</v>
      </c>
      <c r="C69" s="10"/>
      <c r="D69" s="10" t="s">
        <v>49</v>
      </c>
      <c r="E69" s="10"/>
      <c r="F69" s="10"/>
      <c r="G69" s="55">
        <f>SUM(H69:Z69)</f>
        <v>0</v>
      </c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</row>
    <row r="70" spans="1:28" ht="12">
      <c r="B70" s="41">
        <f t="shared" si="0"/>
        <v>55</v>
      </c>
      <c r="C70" s="10"/>
      <c r="D70" s="10" t="s">
        <v>67</v>
      </c>
      <c r="E70" s="10"/>
      <c r="F70" s="10"/>
      <c r="G70" s="55">
        <f>SUM(H70:Z70)</f>
        <v>0</v>
      </c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  <c r="Y70" s="395"/>
      <c r="Z70" s="395"/>
      <c r="AA70" s="395"/>
      <c r="AB70" s="395"/>
    </row>
    <row r="71" spans="1:28" ht="12">
      <c r="B71" s="41">
        <f t="shared" si="0"/>
        <v>56</v>
      </c>
      <c r="C71" s="10"/>
      <c r="D71" s="10" t="s">
        <v>68</v>
      </c>
      <c r="E71" s="10"/>
      <c r="F71" s="10"/>
      <c r="G71" s="56">
        <f>SUM(H71:Z71)</f>
        <v>0</v>
      </c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</row>
    <row r="72" spans="1:28" s="9" customFormat="1" ht="12">
      <c r="A72" s="39"/>
      <c r="B72" s="41">
        <f t="shared" si="0"/>
        <v>57</v>
      </c>
      <c r="C72" s="10"/>
      <c r="D72" s="10"/>
      <c r="E72" s="10"/>
      <c r="F72" s="10" t="s">
        <v>71</v>
      </c>
      <c r="G72" s="58">
        <f t="shared" ref="G72:M72" si="22">SUM(G69:G71)</f>
        <v>0</v>
      </c>
      <c r="H72" s="22">
        <f t="shared" si="22"/>
        <v>0</v>
      </c>
      <c r="I72" s="22">
        <f t="shared" si="22"/>
        <v>0</v>
      </c>
      <c r="J72" s="22">
        <f t="shared" si="22"/>
        <v>0</v>
      </c>
      <c r="K72" s="22">
        <f t="shared" si="22"/>
        <v>0</v>
      </c>
      <c r="L72" s="22">
        <f t="shared" si="22"/>
        <v>0</v>
      </c>
      <c r="M72" s="22">
        <f t="shared" si="22"/>
        <v>0</v>
      </c>
      <c r="N72" s="22">
        <f t="shared" ref="N72:Y72" si="23">SUM(N69:N71)</f>
        <v>0</v>
      </c>
      <c r="O72" s="22">
        <f t="shared" si="23"/>
        <v>0</v>
      </c>
      <c r="P72" s="22">
        <f t="shared" si="23"/>
        <v>0</v>
      </c>
      <c r="Q72" s="22">
        <f t="shared" si="23"/>
        <v>0</v>
      </c>
      <c r="R72" s="22">
        <f t="shared" si="23"/>
        <v>0</v>
      </c>
      <c r="S72" s="22">
        <f t="shared" si="23"/>
        <v>0</v>
      </c>
      <c r="T72" s="22">
        <f t="shared" si="23"/>
        <v>0</v>
      </c>
      <c r="U72" s="22">
        <f t="shared" si="23"/>
        <v>0</v>
      </c>
      <c r="V72" s="22">
        <f t="shared" si="23"/>
        <v>0</v>
      </c>
      <c r="W72" s="22">
        <f t="shared" si="23"/>
        <v>0</v>
      </c>
      <c r="X72" s="22">
        <f t="shared" si="23"/>
        <v>0</v>
      </c>
      <c r="Y72" s="22">
        <f t="shared" si="23"/>
        <v>0</v>
      </c>
      <c r="Z72" s="22">
        <f>SUM(Z69:Z71)</f>
        <v>0</v>
      </c>
      <c r="AA72" s="22">
        <f>SUM(AA69:AA71)</f>
        <v>0</v>
      </c>
      <c r="AB72" s="22">
        <f>SUM(AB69:AB71)</f>
        <v>0</v>
      </c>
    </row>
    <row r="73" spans="1:28" ht="18" customHeight="1">
      <c r="B73" s="41">
        <f t="shared" si="0"/>
        <v>58</v>
      </c>
      <c r="C73" s="11" t="s">
        <v>72</v>
      </c>
      <c r="D73" s="11"/>
      <c r="E73" s="11"/>
      <c r="F73" s="11"/>
      <c r="G73" s="55">
        <f>SUM(H73:Z73)</f>
        <v>-27651</v>
      </c>
      <c r="H73" s="397">
        <v>-27674</v>
      </c>
      <c r="I73" s="397">
        <v>23</v>
      </c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</row>
    <row r="74" spans="1:28" ht="12">
      <c r="B74" s="41">
        <f t="shared" si="0"/>
        <v>59</v>
      </c>
      <c r="C74" s="10" t="s">
        <v>73</v>
      </c>
      <c r="D74" s="10"/>
      <c r="E74" s="10"/>
      <c r="F74" s="10"/>
      <c r="G74" s="55">
        <f>SUM(H74:Z74)</f>
        <v>11064</v>
      </c>
      <c r="H74" s="395"/>
      <c r="I74" s="395"/>
      <c r="J74" s="397">
        <v>11064</v>
      </c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5"/>
      <c r="Y74" s="395"/>
      <c r="Z74" s="395"/>
      <c r="AA74" s="395"/>
      <c r="AB74" s="395"/>
    </row>
    <row r="75" spans="1:28" ht="12">
      <c r="B75" s="41"/>
      <c r="C75" s="10" t="s">
        <v>315</v>
      </c>
      <c r="D75" s="10"/>
      <c r="E75" s="10"/>
      <c r="F75" s="10"/>
      <c r="G75" s="55">
        <f>SUM(H75:AA75)</f>
        <v>-1352.7159999999999</v>
      </c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505">
        <v>-1352.7159999999999</v>
      </c>
      <c r="AB75" s="395"/>
    </row>
    <row r="76" spans="1:28" ht="12">
      <c r="B76" s="41">
        <f>+B74+1</f>
        <v>60</v>
      </c>
      <c r="C76" s="10" t="s">
        <v>74</v>
      </c>
      <c r="D76" s="10"/>
      <c r="E76" s="10"/>
      <c r="F76" s="10"/>
      <c r="G76" s="56">
        <f>SUM(H76:Z76)</f>
        <v>-65</v>
      </c>
      <c r="H76" s="15"/>
      <c r="I76" s="15">
        <v>-65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">
      <c r="B77" s="41">
        <f t="shared" si="0"/>
        <v>61</v>
      </c>
      <c r="G77" s="53"/>
      <c r="U77" s="19"/>
      <c r="V77" s="19"/>
      <c r="AB77" s="19"/>
    </row>
    <row r="78" spans="1:28" thickBot="1">
      <c r="B78" s="41">
        <f t="shared" si="0"/>
        <v>62</v>
      </c>
      <c r="C78" s="153" t="s">
        <v>75</v>
      </c>
      <c r="D78" s="9"/>
      <c r="E78" s="9"/>
      <c r="F78" s="9"/>
      <c r="G78" s="57">
        <f>G67-G72+G73+G74+G76+G75</f>
        <v>-18056.716</v>
      </c>
      <c r="H78" s="21">
        <f t="shared" ref="H78:M78" si="24">H67-H72+H73+H74+H76+H75</f>
        <v>-27674</v>
      </c>
      <c r="I78" s="21">
        <f t="shared" si="24"/>
        <v>-42</v>
      </c>
      <c r="J78" s="21">
        <f t="shared" si="24"/>
        <v>11064</v>
      </c>
      <c r="K78" s="21">
        <f t="shared" si="24"/>
        <v>0</v>
      </c>
      <c r="L78" s="21">
        <f t="shared" si="24"/>
        <v>-52</v>
      </c>
      <c r="M78" s="21">
        <f t="shared" si="24"/>
        <v>0</v>
      </c>
      <c r="N78" s="21">
        <f t="shared" ref="N78:AB78" si="25">N67-N72+N73+N74+N76+N75</f>
        <v>0</v>
      </c>
      <c r="O78" s="21">
        <f t="shared" si="25"/>
        <v>0</v>
      </c>
      <c r="P78" s="21">
        <f t="shared" si="25"/>
        <v>0</v>
      </c>
      <c r="Q78" s="21">
        <f t="shared" si="25"/>
        <v>0</v>
      </c>
      <c r="R78" s="21">
        <f t="shared" si="25"/>
        <v>0</v>
      </c>
      <c r="S78" s="21">
        <f t="shared" si="25"/>
        <v>0</v>
      </c>
      <c r="T78" s="21">
        <f t="shared" si="25"/>
        <v>0</v>
      </c>
      <c r="U78" s="21">
        <f t="shared" si="25"/>
        <v>0</v>
      </c>
      <c r="V78" s="21">
        <f t="shared" si="25"/>
        <v>0</v>
      </c>
      <c r="W78" s="21">
        <f t="shared" si="25"/>
        <v>0</v>
      </c>
      <c r="X78" s="21">
        <f t="shared" si="25"/>
        <v>0</v>
      </c>
      <c r="Y78" s="21">
        <f t="shared" si="25"/>
        <v>0</v>
      </c>
      <c r="Z78" s="21">
        <f t="shared" si="25"/>
        <v>0</v>
      </c>
      <c r="AA78" s="21">
        <f t="shared" si="25"/>
        <v>-1352.7159999999999</v>
      </c>
      <c r="AB78" s="21">
        <f t="shared" si="25"/>
        <v>0</v>
      </c>
    </row>
    <row r="79" spans="1:28" ht="13.5" thickTop="1">
      <c r="B79" s="41">
        <f t="shared" si="0"/>
        <v>63</v>
      </c>
      <c r="C79" s="525"/>
      <c r="D79" s="526"/>
      <c r="E79" s="526"/>
      <c r="F79" s="527"/>
      <c r="G79" s="232"/>
      <c r="U79" s="19"/>
      <c r="W79" s="24"/>
    </row>
    <row r="80" spans="1:28" s="296" customFormat="1" ht="12">
      <c r="B80" s="297">
        <v>1</v>
      </c>
      <c r="C80" s="298"/>
      <c r="D80" s="299"/>
      <c r="E80" s="300"/>
      <c r="F80" s="301"/>
      <c r="G80" s="302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4"/>
      <c r="W80" s="304"/>
      <c r="X80" s="303"/>
      <c r="Y80" s="303"/>
      <c r="Z80" s="303"/>
      <c r="AA80" s="303"/>
      <c r="AB80" s="303"/>
    </row>
    <row r="81" spans="2:28" ht="12">
      <c r="B81" s="41">
        <f t="shared" si="0"/>
        <v>2</v>
      </c>
      <c r="C81" s="525" t="s">
        <v>205</v>
      </c>
      <c r="D81" s="526"/>
      <c r="E81" s="526"/>
      <c r="F81" s="527"/>
      <c r="G81" s="219"/>
      <c r="H81" s="225"/>
      <c r="I81" s="225"/>
      <c r="J81" s="225"/>
      <c r="K81" s="225"/>
      <c r="L81" s="225"/>
      <c r="M81" s="225"/>
      <c r="N81" s="225"/>
      <c r="U81" s="19"/>
      <c r="W81" s="24"/>
      <c r="AB81" s="19"/>
    </row>
    <row r="82" spans="2:28" ht="12">
      <c r="B82" s="41">
        <f t="shared" ref="B82:B87" si="26">+B81+1</f>
        <v>3</v>
      </c>
      <c r="C82" s="207"/>
      <c r="D82" s="209" t="s">
        <v>191</v>
      </c>
      <c r="E82" s="211"/>
      <c r="F82" s="12"/>
      <c r="G82" s="55">
        <f>SUM(H82:AA82)</f>
        <v>-139318</v>
      </c>
      <c r="H82" s="235">
        <f t="shared" ref="H82:M82" si="27">+H18</f>
        <v>0</v>
      </c>
      <c r="I82" s="235">
        <f t="shared" si="27"/>
        <v>0</v>
      </c>
      <c r="J82" s="235">
        <f t="shared" si="27"/>
        <v>0</v>
      </c>
      <c r="K82" s="235">
        <f t="shared" si="27"/>
        <v>0</v>
      </c>
      <c r="L82" s="235">
        <f t="shared" si="27"/>
        <v>0</v>
      </c>
      <c r="M82" s="235">
        <f t="shared" si="27"/>
        <v>0</v>
      </c>
      <c r="N82" s="235">
        <f t="shared" ref="N82:Y82" si="28">+N18</f>
        <v>-131404</v>
      </c>
      <c r="O82" s="235">
        <f t="shared" si="28"/>
        <v>-7914</v>
      </c>
      <c r="P82" s="235">
        <f t="shared" si="28"/>
        <v>0</v>
      </c>
      <c r="Q82" s="235">
        <f t="shared" si="28"/>
        <v>0</v>
      </c>
      <c r="R82" s="235">
        <f t="shared" si="28"/>
        <v>0</v>
      </c>
      <c r="S82" s="235">
        <f t="shared" si="28"/>
        <v>0</v>
      </c>
      <c r="T82" s="235">
        <f t="shared" si="28"/>
        <v>0</v>
      </c>
      <c r="U82" s="235">
        <f t="shared" si="28"/>
        <v>0</v>
      </c>
      <c r="V82" s="235">
        <f t="shared" si="28"/>
        <v>0</v>
      </c>
      <c r="W82" s="235">
        <f t="shared" si="28"/>
        <v>0</v>
      </c>
      <c r="X82" s="235">
        <f t="shared" si="28"/>
        <v>0</v>
      </c>
      <c r="Y82" s="235">
        <f t="shared" si="28"/>
        <v>0</v>
      </c>
      <c r="Z82" s="235">
        <f>+Z18</f>
        <v>0</v>
      </c>
      <c r="AA82" s="235">
        <f>+AA18</f>
        <v>0</v>
      </c>
      <c r="AB82" s="235">
        <f>+AB18</f>
        <v>0</v>
      </c>
    </row>
    <row r="83" spans="2:28" ht="12">
      <c r="B83" s="41">
        <f t="shared" si="26"/>
        <v>4</v>
      </c>
      <c r="C83" s="207"/>
      <c r="D83" s="209" t="s">
        <v>192</v>
      </c>
      <c r="E83" s="211"/>
      <c r="F83" s="12"/>
      <c r="G83" s="55">
        <f>SUM(I83:AB83)</f>
        <v>-146057.07499999998</v>
      </c>
      <c r="H83" s="493">
        <f t="shared" ref="H83:M83" si="29">+H52</f>
        <v>0</v>
      </c>
      <c r="I83" s="493">
        <f t="shared" si="29"/>
        <v>0</v>
      </c>
      <c r="J83" s="493">
        <f t="shared" si="29"/>
        <v>0</v>
      </c>
      <c r="K83" s="493">
        <f t="shared" si="29"/>
        <v>0</v>
      </c>
      <c r="L83" s="493">
        <f t="shared" si="29"/>
        <v>0</v>
      </c>
      <c r="M83" s="493">
        <f t="shared" si="29"/>
        <v>-83</v>
      </c>
      <c r="N83" s="493">
        <f t="shared" ref="N83:Y83" si="30">+N52</f>
        <v>-137017</v>
      </c>
      <c r="O83" s="493">
        <f t="shared" si="30"/>
        <v>-7908</v>
      </c>
      <c r="P83" s="493">
        <f t="shared" si="30"/>
        <v>-747.75599999999997</v>
      </c>
      <c r="Q83" s="493">
        <f t="shared" si="30"/>
        <v>-143</v>
      </c>
      <c r="R83" s="493">
        <f t="shared" si="30"/>
        <v>14</v>
      </c>
      <c r="S83" s="493">
        <f t="shared" si="30"/>
        <v>-65</v>
      </c>
      <c r="T83" s="493">
        <f t="shared" si="30"/>
        <v>0</v>
      </c>
      <c r="U83" s="493">
        <f t="shared" si="30"/>
        <v>-13</v>
      </c>
      <c r="V83" s="493">
        <f t="shared" si="30"/>
        <v>-85</v>
      </c>
      <c r="W83" s="493">
        <f t="shared" si="30"/>
        <v>-2</v>
      </c>
      <c r="X83" s="493">
        <f t="shared" si="30"/>
        <v>79</v>
      </c>
      <c r="Y83" s="493">
        <f t="shared" si="30"/>
        <v>-86</v>
      </c>
      <c r="Z83" s="493">
        <f>+Z52</f>
        <v>0</v>
      </c>
      <c r="AA83" s="493">
        <f>+AA52</f>
        <v>5.681</v>
      </c>
      <c r="AB83" s="493">
        <f>+AB52</f>
        <v>-6</v>
      </c>
    </row>
    <row r="84" spans="2:28" ht="12">
      <c r="B84" s="41">
        <f t="shared" si="26"/>
        <v>5</v>
      </c>
      <c r="C84" s="207"/>
      <c r="D84" s="209" t="s">
        <v>193</v>
      </c>
      <c r="E84" s="211"/>
      <c r="F84" s="12"/>
      <c r="G84" s="55">
        <f>SUM(H84:AA84)</f>
        <v>0</v>
      </c>
      <c r="H84" s="233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>
        <f>+'DPK-5 Restated Debt Exh 5'!I29</f>
        <v>0</v>
      </c>
      <c r="V84" s="227"/>
      <c r="W84" s="227"/>
      <c r="X84" s="227"/>
      <c r="Y84" s="227"/>
      <c r="Z84" s="227"/>
      <c r="AA84" s="227"/>
      <c r="AB84" s="227"/>
    </row>
    <row r="85" spans="2:28" ht="12">
      <c r="B85" s="41">
        <f t="shared" si="26"/>
        <v>6</v>
      </c>
      <c r="C85" s="207"/>
      <c r="D85" s="209"/>
      <c r="E85" s="211"/>
      <c r="F85" s="367" t="s">
        <v>210</v>
      </c>
      <c r="G85" s="396">
        <f>+G82-G83-G84</f>
        <v>6739.0749999999825</v>
      </c>
      <c r="H85" s="396">
        <f t="shared" ref="H85:AA85" si="31">+H82-H83-H84</f>
        <v>0</v>
      </c>
      <c r="I85" s="396">
        <f t="shared" si="31"/>
        <v>0</v>
      </c>
      <c r="J85" s="396">
        <f t="shared" si="31"/>
        <v>0</v>
      </c>
      <c r="K85" s="396">
        <f t="shared" si="31"/>
        <v>0</v>
      </c>
      <c r="L85" s="396">
        <f t="shared" si="31"/>
        <v>0</v>
      </c>
      <c r="M85" s="396">
        <f t="shared" si="31"/>
        <v>83</v>
      </c>
      <c r="N85" s="396">
        <f t="shared" si="31"/>
        <v>5613</v>
      </c>
      <c r="O85" s="396">
        <f t="shared" si="31"/>
        <v>-6</v>
      </c>
      <c r="P85" s="396">
        <f t="shared" si="31"/>
        <v>747.75599999999997</v>
      </c>
      <c r="Q85" s="396">
        <f t="shared" si="31"/>
        <v>143</v>
      </c>
      <c r="R85" s="396">
        <f t="shared" si="31"/>
        <v>-14</v>
      </c>
      <c r="S85" s="396">
        <f t="shared" si="31"/>
        <v>65</v>
      </c>
      <c r="T85" s="396">
        <f t="shared" si="31"/>
        <v>0</v>
      </c>
      <c r="U85" s="396">
        <f t="shared" si="31"/>
        <v>13</v>
      </c>
      <c r="V85" s="396">
        <f t="shared" si="31"/>
        <v>85</v>
      </c>
      <c r="W85" s="396">
        <f t="shared" si="31"/>
        <v>2</v>
      </c>
      <c r="X85" s="396">
        <f t="shared" si="31"/>
        <v>-79</v>
      </c>
      <c r="Y85" s="396">
        <f t="shared" si="31"/>
        <v>86</v>
      </c>
      <c r="Z85" s="396">
        <f t="shared" si="31"/>
        <v>0</v>
      </c>
      <c r="AA85" s="396">
        <f t="shared" si="31"/>
        <v>-5.681</v>
      </c>
      <c r="AB85" s="396">
        <f t="shared" ref="AB85" si="32">+AB82-AB83-AB84</f>
        <v>6</v>
      </c>
    </row>
    <row r="86" spans="2:28" ht="12">
      <c r="B86" s="41">
        <f t="shared" si="26"/>
        <v>7</v>
      </c>
      <c r="C86" s="207"/>
      <c r="D86" s="220" t="s">
        <v>200</v>
      </c>
      <c r="E86" s="211"/>
      <c r="F86" s="12"/>
      <c r="G86" s="217"/>
      <c r="H86" s="234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</row>
    <row r="87" spans="2:28" ht="12">
      <c r="B87" s="41">
        <f t="shared" si="26"/>
        <v>8</v>
      </c>
      <c r="C87" s="207"/>
      <c r="D87" s="209" t="s">
        <v>207</v>
      </c>
      <c r="E87" s="211"/>
      <c r="F87" s="12"/>
      <c r="G87" s="55">
        <f>SUM(H87:M87)</f>
        <v>0</v>
      </c>
      <c r="H87" s="234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</row>
    <row r="88" spans="2:28" ht="12">
      <c r="B88" s="223">
        <f t="shared" ref="B88:B103" si="33">+B87+1</f>
        <v>9</v>
      </c>
      <c r="C88" s="207"/>
      <c r="D88" s="209" t="s">
        <v>206</v>
      </c>
      <c r="E88" s="211"/>
      <c r="F88" s="12"/>
      <c r="G88" s="55">
        <f>SUM(H88:M88)</f>
        <v>0</v>
      </c>
      <c r="H88" s="233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</row>
    <row r="89" spans="2:28" ht="12">
      <c r="B89" s="223">
        <f t="shared" si="33"/>
        <v>10</v>
      </c>
      <c r="C89" s="207"/>
      <c r="D89" s="209" t="s">
        <v>208</v>
      </c>
      <c r="E89" s="211"/>
      <c r="F89" s="12"/>
      <c r="G89" s="55">
        <f>SUM(H89:M89)</f>
        <v>0</v>
      </c>
      <c r="H89" s="233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</row>
    <row r="90" spans="2:28" ht="12">
      <c r="B90" s="223">
        <f t="shared" si="33"/>
        <v>11</v>
      </c>
      <c r="C90" s="207"/>
      <c r="D90" s="209"/>
      <c r="E90" s="211"/>
      <c r="F90" s="12"/>
      <c r="G90" s="55"/>
      <c r="H90" s="233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</row>
    <row r="91" spans="2:28" ht="12">
      <c r="B91" s="223">
        <f t="shared" si="33"/>
        <v>12</v>
      </c>
      <c r="C91" s="207"/>
      <c r="D91" s="220" t="s">
        <v>202</v>
      </c>
      <c r="E91" s="211"/>
      <c r="F91" s="12"/>
      <c r="G91" s="241">
        <f>SUM(G87:G90)</f>
        <v>0</v>
      </c>
      <c r="H91" s="242">
        <f>SUM(H87:H90)</f>
        <v>0</v>
      </c>
      <c r="I91" s="242">
        <f t="shared" ref="I91:M91" si="34">SUM(I87:I90)</f>
        <v>0</v>
      </c>
      <c r="J91" s="242">
        <f t="shared" si="34"/>
        <v>0</v>
      </c>
      <c r="K91" s="242">
        <f t="shared" si="34"/>
        <v>0</v>
      </c>
      <c r="L91" s="242">
        <f t="shared" si="34"/>
        <v>0</v>
      </c>
      <c r="M91" s="242">
        <f t="shared" si="34"/>
        <v>0</v>
      </c>
      <c r="N91" s="242">
        <f t="shared" ref="N91:Y91" si="35">SUM(N87:N90)</f>
        <v>0</v>
      </c>
      <c r="O91" s="242">
        <f t="shared" si="35"/>
        <v>0</v>
      </c>
      <c r="P91" s="242">
        <f t="shared" si="35"/>
        <v>0</v>
      </c>
      <c r="Q91" s="242">
        <f t="shared" si="35"/>
        <v>0</v>
      </c>
      <c r="R91" s="242">
        <f t="shared" si="35"/>
        <v>0</v>
      </c>
      <c r="S91" s="242">
        <f t="shared" si="35"/>
        <v>0</v>
      </c>
      <c r="T91" s="242">
        <f t="shared" si="35"/>
        <v>0</v>
      </c>
      <c r="U91" s="242">
        <f t="shared" si="35"/>
        <v>0</v>
      </c>
      <c r="V91" s="242">
        <f t="shared" si="35"/>
        <v>0</v>
      </c>
      <c r="W91" s="242">
        <f t="shared" si="35"/>
        <v>0</v>
      </c>
      <c r="X91" s="242">
        <f t="shared" si="35"/>
        <v>0</v>
      </c>
      <c r="Y91" s="242">
        <f t="shared" si="35"/>
        <v>0</v>
      </c>
      <c r="Z91" s="242">
        <f>SUM(Z87:Z90)</f>
        <v>0</v>
      </c>
      <c r="AA91" s="242">
        <f>SUM(AA87:AA90)</f>
        <v>0</v>
      </c>
      <c r="AB91" s="242">
        <f>SUM(AB87:AB90)</f>
        <v>0</v>
      </c>
    </row>
    <row r="92" spans="2:28" ht="12">
      <c r="B92" s="223">
        <f t="shared" si="33"/>
        <v>13</v>
      </c>
      <c r="C92" s="207"/>
      <c r="D92" s="210"/>
      <c r="E92" s="211"/>
      <c r="F92" s="12"/>
      <c r="G92" s="216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</row>
    <row r="93" spans="2:28" ht="12">
      <c r="B93" s="223">
        <f t="shared" si="33"/>
        <v>14</v>
      </c>
      <c r="C93" s="207"/>
      <c r="D93" s="220" t="s">
        <v>201</v>
      </c>
      <c r="E93" s="211"/>
      <c r="F93" s="12"/>
      <c r="G93" s="217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</row>
    <row r="94" spans="2:28" ht="12">
      <c r="B94" s="223">
        <f t="shared" si="33"/>
        <v>15</v>
      </c>
      <c r="C94" s="207"/>
      <c r="D94" s="220" t="s">
        <v>194</v>
      </c>
      <c r="E94" s="211"/>
      <c r="F94" s="12"/>
      <c r="G94" s="55">
        <f>SUM(H94:M94)</f>
        <v>0</v>
      </c>
      <c r="H94" s="233"/>
      <c r="I94" s="233">
        <v>0</v>
      </c>
      <c r="J94" s="233">
        <v>0</v>
      </c>
      <c r="K94" s="233"/>
      <c r="L94" s="233"/>
      <c r="M94" s="233">
        <v>0</v>
      </c>
      <c r="N94" s="233">
        <v>0</v>
      </c>
      <c r="O94" s="233">
        <v>0</v>
      </c>
      <c r="P94" s="233">
        <v>0</v>
      </c>
      <c r="Q94" s="233">
        <v>0</v>
      </c>
      <c r="R94" s="233">
        <v>0</v>
      </c>
      <c r="S94" s="233">
        <v>0</v>
      </c>
      <c r="T94" s="233">
        <v>0</v>
      </c>
      <c r="U94" s="233">
        <v>0</v>
      </c>
      <c r="V94" s="233">
        <v>0</v>
      </c>
      <c r="W94" s="233">
        <v>0</v>
      </c>
      <c r="X94" s="233">
        <v>0</v>
      </c>
      <c r="Y94" s="233">
        <v>0</v>
      </c>
      <c r="Z94" s="233">
        <v>0</v>
      </c>
      <c r="AA94" s="233">
        <v>0</v>
      </c>
      <c r="AB94" s="233">
        <v>0</v>
      </c>
    </row>
    <row r="95" spans="2:28" ht="12">
      <c r="B95" s="223">
        <f t="shared" si="33"/>
        <v>16</v>
      </c>
      <c r="C95" s="207"/>
      <c r="D95" s="399" t="s">
        <v>360</v>
      </c>
      <c r="E95" s="211"/>
      <c r="F95" s="12"/>
      <c r="G95" s="55">
        <f>SUM(H95:AB95)</f>
        <v>0</v>
      </c>
      <c r="H95" s="233"/>
      <c r="I95" s="233">
        <v>0</v>
      </c>
      <c r="J95" s="233">
        <v>0</v>
      </c>
      <c r="K95" s="233">
        <v>0</v>
      </c>
      <c r="L95" s="233">
        <v>0</v>
      </c>
      <c r="M95" s="233">
        <v>0</v>
      </c>
      <c r="N95" s="233">
        <v>0</v>
      </c>
      <c r="O95" s="233">
        <v>0</v>
      </c>
      <c r="P95" s="233">
        <v>0</v>
      </c>
      <c r="Q95" s="233">
        <v>0</v>
      </c>
      <c r="R95" s="233">
        <v>0</v>
      </c>
      <c r="S95" s="233">
        <v>0</v>
      </c>
      <c r="T95" s="233">
        <v>0</v>
      </c>
      <c r="U95" s="233">
        <v>0</v>
      </c>
      <c r="V95" s="233">
        <v>0</v>
      </c>
      <c r="W95" s="233">
        <v>0</v>
      </c>
      <c r="X95" s="233">
        <v>0</v>
      </c>
      <c r="Y95" s="233">
        <v>0</v>
      </c>
      <c r="Z95" s="233">
        <v>0</v>
      </c>
      <c r="AA95" s="233">
        <v>0</v>
      </c>
      <c r="AB95" s="233">
        <v>0</v>
      </c>
    </row>
    <row r="96" spans="2:28" ht="12">
      <c r="B96" s="223">
        <f t="shared" si="33"/>
        <v>17</v>
      </c>
      <c r="C96" s="207"/>
      <c r="D96" s="209"/>
      <c r="E96" s="211"/>
      <c r="F96" s="12"/>
      <c r="G96" s="55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</row>
    <row r="97" spans="2:28" ht="12">
      <c r="B97" s="223">
        <f t="shared" si="33"/>
        <v>18</v>
      </c>
      <c r="C97" s="207"/>
      <c r="D97" s="220" t="s">
        <v>195</v>
      </c>
      <c r="E97" s="211"/>
      <c r="F97" s="12"/>
      <c r="G97" s="240">
        <f>SUM(G94:G95)</f>
        <v>0</v>
      </c>
      <c r="H97" s="26">
        <f t="shared" ref="H97:M97" si="36">SUM(H94:H95)</f>
        <v>0</v>
      </c>
      <c r="I97" s="26">
        <f t="shared" si="36"/>
        <v>0</v>
      </c>
      <c r="J97" s="26">
        <f t="shared" si="36"/>
        <v>0</v>
      </c>
      <c r="K97" s="26">
        <f t="shared" si="36"/>
        <v>0</v>
      </c>
      <c r="L97" s="26">
        <f t="shared" si="36"/>
        <v>0</v>
      </c>
      <c r="M97" s="26">
        <f t="shared" si="36"/>
        <v>0</v>
      </c>
      <c r="N97" s="26">
        <f t="shared" ref="N97:Y97" si="37">SUM(N94:N95)</f>
        <v>0</v>
      </c>
      <c r="O97" s="26">
        <f t="shared" si="37"/>
        <v>0</v>
      </c>
      <c r="P97" s="26">
        <f t="shared" si="37"/>
        <v>0</v>
      </c>
      <c r="Q97" s="26">
        <f t="shared" si="37"/>
        <v>0</v>
      </c>
      <c r="R97" s="26">
        <f t="shared" si="37"/>
        <v>0</v>
      </c>
      <c r="S97" s="26">
        <f t="shared" si="37"/>
        <v>0</v>
      </c>
      <c r="T97" s="26">
        <f t="shared" si="37"/>
        <v>0</v>
      </c>
      <c r="U97" s="26">
        <f t="shared" si="37"/>
        <v>0</v>
      </c>
      <c r="V97" s="26">
        <f t="shared" si="37"/>
        <v>0</v>
      </c>
      <c r="W97" s="26">
        <f t="shared" si="37"/>
        <v>0</v>
      </c>
      <c r="X97" s="26">
        <f t="shared" si="37"/>
        <v>0</v>
      </c>
      <c r="Y97" s="26">
        <f t="shared" si="37"/>
        <v>0</v>
      </c>
      <c r="Z97" s="26">
        <f>SUM(Z94:Z95)</f>
        <v>0</v>
      </c>
      <c r="AA97" s="26">
        <f>SUM(AA94:AA95)</f>
        <v>0</v>
      </c>
      <c r="AB97" s="26">
        <f>SUM(AB94:AB95)</f>
        <v>0</v>
      </c>
    </row>
    <row r="98" spans="2:28" ht="12">
      <c r="B98" s="223">
        <f t="shared" si="33"/>
        <v>19</v>
      </c>
      <c r="C98" s="207"/>
      <c r="D98" s="210"/>
      <c r="E98" s="211"/>
      <c r="F98" s="12"/>
      <c r="G98" s="218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</row>
    <row r="99" spans="2:28" ht="12">
      <c r="B99" s="223">
        <f t="shared" si="33"/>
        <v>20</v>
      </c>
      <c r="C99" s="207"/>
      <c r="D99" s="209" t="s">
        <v>203</v>
      </c>
      <c r="E99" s="211"/>
      <c r="F99" s="12"/>
      <c r="G99" s="236">
        <f t="shared" ref="G99:L99" si="38">+G85+G91+G97</f>
        <v>6739.0749999999825</v>
      </c>
      <c r="H99" s="236">
        <f t="shared" si="38"/>
        <v>0</v>
      </c>
      <c r="I99" s="236">
        <f t="shared" si="38"/>
        <v>0</v>
      </c>
      <c r="J99" s="236">
        <f t="shared" si="38"/>
        <v>0</v>
      </c>
      <c r="K99" s="236">
        <f t="shared" si="38"/>
        <v>0</v>
      </c>
      <c r="L99" s="236">
        <f t="shared" si="38"/>
        <v>0</v>
      </c>
      <c r="M99" s="236">
        <f>+M85+M91+M97</f>
        <v>83</v>
      </c>
      <c r="N99" s="236">
        <f t="shared" ref="N99:AA99" si="39">+N85+N91+N97</f>
        <v>5613</v>
      </c>
      <c r="O99" s="236">
        <f t="shared" si="39"/>
        <v>-6</v>
      </c>
      <c r="P99" s="236">
        <f t="shared" si="39"/>
        <v>747.75599999999997</v>
      </c>
      <c r="Q99" s="236">
        <f t="shared" si="39"/>
        <v>143</v>
      </c>
      <c r="R99" s="236">
        <f t="shared" si="39"/>
        <v>-14</v>
      </c>
      <c r="S99" s="236">
        <f t="shared" si="39"/>
        <v>65</v>
      </c>
      <c r="T99" s="236">
        <f t="shared" si="39"/>
        <v>0</v>
      </c>
      <c r="U99" s="236">
        <f t="shared" si="39"/>
        <v>13</v>
      </c>
      <c r="V99" s="236">
        <f t="shared" si="39"/>
        <v>85</v>
      </c>
      <c r="W99" s="236">
        <f t="shared" si="39"/>
        <v>2</v>
      </c>
      <c r="X99" s="236">
        <f t="shared" si="39"/>
        <v>-79</v>
      </c>
      <c r="Y99" s="236">
        <f t="shared" si="39"/>
        <v>86</v>
      </c>
      <c r="Z99" s="236">
        <f t="shared" si="39"/>
        <v>0</v>
      </c>
      <c r="AA99" s="236">
        <f t="shared" si="39"/>
        <v>-5.681</v>
      </c>
      <c r="AB99" s="236">
        <f>+AB85+AB91-AB97</f>
        <v>6</v>
      </c>
    </row>
    <row r="100" spans="2:28" ht="12">
      <c r="B100" s="223">
        <f t="shared" si="33"/>
        <v>21</v>
      </c>
      <c r="C100" s="207"/>
      <c r="D100" s="209" t="s">
        <v>196</v>
      </c>
      <c r="E100" s="211"/>
      <c r="F100" s="12"/>
      <c r="G100" s="212">
        <v>0.35</v>
      </c>
      <c r="H100" s="230">
        <f t="shared" ref="H100:N100" si="40">+$G$100</f>
        <v>0.35</v>
      </c>
      <c r="I100" s="230">
        <f t="shared" si="40"/>
        <v>0.35</v>
      </c>
      <c r="J100" s="230">
        <f t="shared" si="40"/>
        <v>0.35</v>
      </c>
      <c r="K100" s="230">
        <f t="shared" si="40"/>
        <v>0.35</v>
      </c>
      <c r="L100" s="230">
        <f t="shared" si="40"/>
        <v>0.35</v>
      </c>
      <c r="M100" s="230">
        <f t="shared" si="40"/>
        <v>0.35</v>
      </c>
      <c r="N100" s="230">
        <f t="shared" si="40"/>
        <v>0.35</v>
      </c>
      <c r="O100" s="230">
        <f t="shared" ref="O100:AB100" si="41">+$G$100</f>
        <v>0.35</v>
      </c>
      <c r="P100" s="230">
        <f t="shared" si="41"/>
        <v>0.35</v>
      </c>
      <c r="Q100" s="230">
        <f t="shared" si="41"/>
        <v>0.35</v>
      </c>
      <c r="R100" s="230">
        <f t="shared" si="41"/>
        <v>0.35</v>
      </c>
      <c r="S100" s="230">
        <f t="shared" si="41"/>
        <v>0.35</v>
      </c>
      <c r="T100" s="230">
        <f t="shared" si="41"/>
        <v>0.35</v>
      </c>
      <c r="U100" s="230">
        <f t="shared" si="41"/>
        <v>0.35</v>
      </c>
      <c r="V100" s="230">
        <f t="shared" si="41"/>
        <v>0.35</v>
      </c>
      <c r="W100" s="230">
        <f t="shared" si="41"/>
        <v>0.35</v>
      </c>
      <c r="X100" s="230">
        <f t="shared" si="41"/>
        <v>0.35</v>
      </c>
      <c r="Y100" s="230">
        <f t="shared" si="41"/>
        <v>0.35</v>
      </c>
      <c r="Z100" s="230">
        <f t="shared" si="41"/>
        <v>0.35</v>
      </c>
      <c r="AA100" s="230">
        <f t="shared" si="41"/>
        <v>0.35</v>
      </c>
      <c r="AB100" s="230">
        <f t="shared" si="41"/>
        <v>0.35</v>
      </c>
    </row>
    <row r="101" spans="2:28" ht="12">
      <c r="B101" s="223">
        <f t="shared" si="33"/>
        <v>22</v>
      </c>
      <c r="C101" s="207"/>
      <c r="D101" s="220" t="s">
        <v>197</v>
      </c>
      <c r="E101" s="211"/>
      <c r="F101" s="12"/>
      <c r="G101" s="218">
        <f>G99*G100</f>
        <v>2358.6762499999936</v>
      </c>
      <c r="H101" s="236">
        <f t="shared" ref="H101:M101" si="42">H99*H100</f>
        <v>0</v>
      </c>
      <c r="I101" s="236">
        <f t="shared" si="42"/>
        <v>0</v>
      </c>
      <c r="J101" s="236">
        <f t="shared" si="42"/>
        <v>0</v>
      </c>
      <c r="K101" s="236">
        <f t="shared" si="42"/>
        <v>0</v>
      </c>
      <c r="L101" s="236">
        <f t="shared" si="42"/>
        <v>0</v>
      </c>
      <c r="M101" s="236">
        <f t="shared" si="42"/>
        <v>29.049999999999997</v>
      </c>
      <c r="N101" s="236">
        <f t="shared" ref="N101:Y101" si="43">N99*N100</f>
        <v>1964.55</v>
      </c>
      <c r="O101" s="236">
        <f t="shared" si="43"/>
        <v>-2.0999999999999996</v>
      </c>
      <c r="P101" s="236">
        <f t="shared" si="43"/>
        <v>261.71459999999996</v>
      </c>
      <c r="Q101" s="236">
        <f t="shared" si="43"/>
        <v>50.05</v>
      </c>
      <c r="R101" s="236">
        <f t="shared" si="43"/>
        <v>-4.8999999999999995</v>
      </c>
      <c r="S101" s="236">
        <f t="shared" si="43"/>
        <v>22.75</v>
      </c>
      <c r="T101" s="236">
        <f t="shared" si="43"/>
        <v>0</v>
      </c>
      <c r="U101" s="236">
        <f t="shared" si="43"/>
        <v>4.55</v>
      </c>
      <c r="V101" s="236">
        <f t="shared" si="43"/>
        <v>29.749999999999996</v>
      </c>
      <c r="W101" s="236">
        <f t="shared" si="43"/>
        <v>0.7</v>
      </c>
      <c r="X101" s="236">
        <f t="shared" si="43"/>
        <v>-27.65</v>
      </c>
      <c r="Y101" s="236">
        <f t="shared" si="43"/>
        <v>30.099999999999998</v>
      </c>
      <c r="Z101" s="236">
        <f>Z99*Z100</f>
        <v>0</v>
      </c>
      <c r="AA101" s="236">
        <f>AA99*AA100</f>
        <v>-1.9883499999999998</v>
      </c>
      <c r="AB101" s="236">
        <f>AB99*AB100</f>
        <v>2.0999999999999996</v>
      </c>
    </row>
    <row r="102" spans="2:28" ht="12">
      <c r="B102" s="223">
        <f t="shared" si="33"/>
        <v>23</v>
      </c>
      <c r="C102" s="207"/>
      <c r="D102" s="209" t="s">
        <v>198</v>
      </c>
      <c r="E102" s="211"/>
      <c r="F102" s="12"/>
      <c r="G102" s="239">
        <f>(G94+G95-G87)*G100</f>
        <v>0</v>
      </c>
      <c r="H102" s="237">
        <v>0</v>
      </c>
      <c r="I102" s="238">
        <v>0</v>
      </c>
      <c r="J102" s="238">
        <v>0</v>
      </c>
      <c r="K102" s="238">
        <v>0</v>
      </c>
      <c r="L102" s="238">
        <v>0</v>
      </c>
      <c r="M102" s="238">
        <v>0</v>
      </c>
      <c r="N102" s="238">
        <v>0</v>
      </c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</row>
    <row r="103" spans="2:28" ht="12">
      <c r="B103" s="223">
        <f t="shared" si="33"/>
        <v>24</v>
      </c>
      <c r="C103" s="213"/>
      <c r="D103" s="214" t="s">
        <v>204</v>
      </c>
      <c r="E103" s="215"/>
      <c r="G103" s="56">
        <f>+G101+G102</f>
        <v>2358.6762499999936</v>
      </c>
      <c r="H103" s="20">
        <f t="shared" ref="H103:M103" si="44">+H101+H102</f>
        <v>0</v>
      </c>
      <c r="I103" s="20">
        <f t="shared" si="44"/>
        <v>0</v>
      </c>
      <c r="J103" s="20">
        <f t="shared" si="44"/>
        <v>0</v>
      </c>
      <c r="K103" s="20">
        <f t="shared" si="44"/>
        <v>0</v>
      </c>
      <c r="L103" s="20">
        <f t="shared" si="44"/>
        <v>0</v>
      </c>
      <c r="M103" s="20">
        <f t="shared" si="44"/>
        <v>29.049999999999997</v>
      </c>
      <c r="N103" s="20">
        <f t="shared" ref="N103:Y103" si="45">+N101+N102</f>
        <v>1964.55</v>
      </c>
      <c r="O103" s="20">
        <f t="shared" si="45"/>
        <v>-2.0999999999999996</v>
      </c>
      <c r="P103" s="20">
        <f t="shared" si="45"/>
        <v>261.71459999999996</v>
      </c>
      <c r="Q103" s="20">
        <f t="shared" si="45"/>
        <v>50.05</v>
      </c>
      <c r="R103" s="20">
        <f t="shared" si="45"/>
        <v>-4.8999999999999995</v>
      </c>
      <c r="S103" s="20">
        <f t="shared" si="45"/>
        <v>22.75</v>
      </c>
      <c r="T103" s="20">
        <f t="shared" si="45"/>
        <v>0</v>
      </c>
      <c r="U103" s="20">
        <f t="shared" si="45"/>
        <v>4.55</v>
      </c>
      <c r="V103" s="20">
        <f t="shared" si="45"/>
        <v>29.749999999999996</v>
      </c>
      <c r="W103" s="20">
        <f t="shared" si="45"/>
        <v>0.7</v>
      </c>
      <c r="X103" s="20">
        <f t="shared" si="45"/>
        <v>-27.65</v>
      </c>
      <c r="Y103" s="20">
        <f t="shared" si="45"/>
        <v>30.099999999999998</v>
      </c>
      <c r="Z103" s="20">
        <f>+Z101+Z102</f>
        <v>0</v>
      </c>
      <c r="AA103" s="20">
        <f>+AA101+AA102</f>
        <v>-1.9883499999999998</v>
      </c>
      <c r="AB103" s="20">
        <f>+AB101+AB102</f>
        <v>2.0999999999999996</v>
      </c>
    </row>
    <row r="104" spans="2:28" s="32" customFormat="1">
      <c r="B104" s="22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5"/>
      <c r="W104" s="35"/>
      <c r="X104" s="34"/>
      <c r="Y104" s="34"/>
      <c r="Z104" s="34"/>
      <c r="AA104" s="34"/>
      <c r="AB104" s="36"/>
    </row>
    <row r="105" spans="2:28" s="32" customFormat="1">
      <c r="B105" s="33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5"/>
      <c r="V105" s="35"/>
      <c r="W105" s="34"/>
      <c r="X105" s="34"/>
      <c r="Y105" s="34"/>
      <c r="Z105" s="34"/>
      <c r="AA105" s="34"/>
      <c r="AB105" s="36"/>
    </row>
    <row r="106" spans="2:28" s="32" customFormat="1">
      <c r="B106" s="33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5"/>
      <c r="V106" s="35"/>
      <c r="W106" s="34"/>
      <c r="X106" s="34"/>
      <c r="Y106" s="34"/>
      <c r="Z106" s="34"/>
      <c r="AA106" s="34"/>
      <c r="AB106" s="36"/>
    </row>
    <row r="107" spans="2:28" s="32" customFormat="1">
      <c r="B107" s="33"/>
      <c r="G107" s="34"/>
      <c r="H107" s="34"/>
      <c r="I107" s="34"/>
      <c r="J107" s="34"/>
      <c r="K107" s="34"/>
      <c r="L107" s="34"/>
      <c r="M107" s="34"/>
      <c r="N107" s="34"/>
      <c r="O107" s="34"/>
      <c r="P107" s="34">
        <f>+P60/'DPK-3 Rev Conv Factor Sch 3 '!G25</f>
        <v>780.84772572369184</v>
      </c>
      <c r="Q107" s="34"/>
      <c r="R107" s="34"/>
      <c r="S107" s="34"/>
      <c r="T107" s="34"/>
      <c r="U107" s="35"/>
      <c r="V107" s="35"/>
      <c r="W107" s="34"/>
      <c r="X107" s="34"/>
      <c r="Y107" s="34"/>
      <c r="Z107" s="34"/>
      <c r="AA107" s="34"/>
      <c r="AB107" s="36"/>
    </row>
    <row r="108" spans="2:28" s="32" customFormat="1">
      <c r="B108" s="3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5"/>
      <c r="V108" s="35"/>
      <c r="W108" s="34"/>
      <c r="X108" s="34"/>
      <c r="Y108" s="34"/>
      <c r="Z108" s="34"/>
      <c r="AA108" s="34"/>
      <c r="AB108" s="36"/>
    </row>
    <row r="109" spans="2:28" s="32" customFormat="1">
      <c r="B109" s="3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4"/>
      <c r="X109" s="34"/>
      <c r="Y109" s="34"/>
      <c r="Z109" s="34"/>
      <c r="AA109" s="34"/>
      <c r="AB109" s="36"/>
    </row>
    <row r="110" spans="2:28" s="32" customFormat="1">
      <c r="B110" s="33"/>
      <c r="F110" s="206" t="s">
        <v>190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5"/>
      <c r="V110" s="35"/>
      <c r="W110" s="34"/>
      <c r="X110" s="34"/>
      <c r="Y110" s="34"/>
      <c r="Z110" s="34"/>
      <c r="AA110" s="34"/>
      <c r="AB110" s="36"/>
    </row>
    <row r="111" spans="2:28" s="32" customFormat="1">
      <c r="B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5"/>
      <c r="V111" s="35"/>
      <c r="W111" s="34"/>
      <c r="X111" s="34"/>
      <c r="Y111" s="34"/>
      <c r="Z111" s="34"/>
      <c r="AA111" s="34"/>
      <c r="AB111" s="36"/>
    </row>
    <row r="112" spans="2:28" s="32" customFormat="1">
      <c r="B112" s="33"/>
      <c r="G112" s="68"/>
      <c r="H112" s="68"/>
      <c r="I112" s="68"/>
      <c r="J112" s="68"/>
      <c r="K112" s="68"/>
      <c r="L112" s="68"/>
      <c r="M112" s="68"/>
      <c r="N112" s="34"/>
      <c r="O112" s="34"/>
      <c r="P112" s="34"/>
      <c r="Q112" s="34"/>
      <c r="R112" s="34"/>
      <c r="S112" s="34"/>
      <c r="T112" s="34"/>
      <c r="U112" s="35"/>
      <c r="V112" s="35"/>
      <c r="W112" s="34"/>
      <c r="X112" s="34"/>
      <c r="Y112" s="34"/>
      <c r="Z112" s="34"/>
      <c r="AA112" s="34"/>
      <c r="AB112" s="36"/>
    </row>
    <row r="113" spans="2:28" s="32" customFormat="1">
      <c r="B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5"/>
      <c r="V113" s="35"/>
      <c r="W113" s="34"/>
      <c r="X113" s="34"/>
      <c r="Y113" s="34"/>
      <c r="Z113" s="34"/>
      <c r="AA113" s="34"/>
      <c r="AB113" s="36"/>
    </row>
    <row r="114" spans="2:28" s="32" customFormat="1">
      <c r="B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5"/>
      <c r="V114" s="35"/>
      <c r="W114" s="34"/>
      <c r="X114" s="34"/>
      <c r="Y114" s="34"/>
      <c r="Z114" s="34"/>
      <c r="AA114" s="34"/>
      <c r="AB114" s="36"/>
    </row>
    <row r="115" spans="2:28" s="32" customFormat="1">
      <c r="B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4"/>
      <c r="X115" s="34"/>
      <c r="Y115" s="34"/>
      <c r="Z115" s="34"/>
      <c r="AA115" s="34"/>
      <c r="AB115" s="36"/>
    </row>
    <row r="116" spans="2:28" s="32" customFormat="1">
      <c r="B116" s="3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5"/>
      <c r="V116" s="35"/>
      <c r="W116" s="34"/>
      <c r="X116" s="34"/>
      <c r="Y116" s="34"/>
      <c r="Z116" s="34"/>
      <c r="AA116" s="34"/>
      <c r="AB116" s="36"/>
    </row>
    <row r="117" spans="2:28" s="32" customFormat="1">
      <c r="B117" s="33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5"/>
      <c r="V117" s="35"/>
      <c r="W117" s="34"/>
      <c r="X117" s="34"/>
      <c r="Y117" s="34"/>
      <c r="Z117" s="34"/>
      <c r="AA117" s="34"/>
      <c r="AB117" s="36"/>
    </row>
    <row r="118" spans="2:28" s="32" customFormat="1">
      <c r="B118" s="3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5"/>
      <c r="V118" s="35"/>
      <c r="W118" s="34"/>
      <c r="X118" s="34"/>
      <c r="Y118" s="34"/>
      <c r="Z118" s="34"/>
      <c r="AA118" s="34"/>
      <c r="AB118" s="36"/>
    </row>
    <row r="119" spans="2:28" s="32" customFormat="1">
      <c r="B119" s="3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5"/>
      <c r="V119" s="35"/>
      <c r="W119" s="34"/>
      <c r="X119" s="34"/>
      <c r="Y119" s="34"/>
      <c r="Z119" s="34"/>
      <c r="AA119" s="34"/>
      <c r="AB119" s="36"/>
    </row>
    <row r="120" spans="2:28" s="32" customFormat="1">
      <c r="B120" s="3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5"/>
      <c r="V120" s="35"/>
      <c r="W120" s="34"/>
      <c r="X120" s="34"/>
      <c r="Y120" s="34"/>
      <c r="Z120" s="34"/>
      <c r="AA120" s="34"/>
      <c r="AB120" s="36"/>
    </row>
    <row r="121" spans="2:28" s="32" customFormat="1">
      <c r="B121" s="33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4"/>
      <c r="X121" s="34"/>
      <c r="Y121" s="34"/>
      <c r="Z121" s="34"/>
      <c r="AA121" s="34"/>
      <c r="AB121" s="36"/>
    </row>
  </sheetData>
  <mergeCells count="4">
    <mergeCell ref="C13:F13"/>
    <mergeCell ref="C62:F62"/>
    <mergeCell ref="C81:F81"/>
    <mergeCell ref="C79:F79"/>
  </mergeCells>
  <phoneticPr fontId="0" type="noConversion"/>
  <printOptions gridLinesSet="0"/>
  <pageMargins left="0.75" right="0.56999999999999995" top="0.75" bottom="0.5" header="0.5" footer="0.5"/>
  <pageSetup scale="75" firstPageNumber="2" fitToWidth="3" orientation="portrait" useFirstPageNumber="1" r:id="rId1"/>
  <headerFooter alignWithMargins="0">
    <oddHeader>&amp;RExhibit No. _____(DPK-3)
Docket UE-090134  UG-090135
Page &amp;P of &amp;N</oddHeader>
    <oddFooter>&amp;RRESPONSE TO BENCH REQUEST #2 supplemental
Revised for Settlement and Accepted Rebuttal Corrections</oddFooter>
  </headerFooter>
  <rowBreaks count="1" manualBreakCount="1">
    <brk id="80" min="6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 enableFormatConditionsCalculation="0">
    <tabColor indexed="47"/>
  </sheetPr>
  <dimension ref="A1:Y110"/>
  <sheetViews>
    <sheetView showGridLines="0" topLeftCell="A2" zoomScaleNormal="100" workbookViewId="0">
      <pane xSplit="7" ySplit="11" topLeftCell="H13" activePane="bottomRight" state="frozen"/>
      <selection activeCell="F9" sqref="F9"/>
      <selection pane="topRight" activeCell="F9" sqref="F9"/>
      <selection pane="bottomLeft" activeCell="F9" sqref="F9"/>
      <selection pane="bottomRight" activeCell="F9" sqref="F9"/>
    </sheetView>
  </sheetViews>
  <sheetFormatPr defaultColWidth="10.83203125" defaultRowHeight="12"/>
  <cols>
    <col min="1" max="1" width="9.33203125" style="32" customWidth="1"/>
    <col min="2" max="2" width="5.83203125" style="8" customWidth="1"/>
    <col min="3" max="5" width="1.83203125" style="2" customWidth="1"/>
    <col min="6" max="6" width="34.5" style="2" customWidth="1"/>
    <col min="7" max="7" width="11.83203125" style="19" customWidth="1"/>
    <col min="8" max="18" width="12.6640625" style="2" customWidth="1"/>
    <col min="19" max="22" width="10.83203125" style="32" customWidth="1"/>
    <col min="23" max="16384" width="10.83203125" style="2"/>
  </cols>
  <sheetData>
    <row r="1" spans="1:25" s="32" customFormat="1">
      <c r="B1" s="33"/>
      <c r="G1" s="34"/>
    </row>
    <row r="2" spans="1:25" s="32" customFormat="1">
      <c r="B2" s="33"/>
      <c r="G2" s="62"/>
      <c r="H2" s="408"/>
      <c r="I2" s="408"/>
      <c r="K2" s="408"/>
      <c r="L2" s="408"/>
      <c r="M2" s="408"/>
      <c r="N2" s="408"/>
      <c r="O2" s="408"/>
      <c r="P2" s="38"/>
      <c r="Q2" s="38"/>
    </row>
    <row r="3" spans="1:25">
      <c r="B3" s="177" t="s">
        <v>186</v>
      </c>
      <c r="C3" s="178"/>
      <c r="D3" s="178"/>
      <c r="E3" s="178"/>
      <c r="F3" s="178"/>
      <c r="G3" s="179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W3" s="32"/>
      <c r="X3" s="32"/>
      <c r="Y3" s="32"/>
    </row>
    <row r="4" spans="1:25">
      <c r="B4" s="177" t="s">
        <v>108</v>
      </c>
      <c r="C4" s="178"/>
      <c r="D4" s="178"/>
      <c r="E4" s="178"/>
      <c r="F4" s="178"/>
      <c r="G4" s="179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W4" s="32"/>
      <c r="X4" s="32"/>
      <c r="Y4" s="32"/>
    </row>
    <row r="5" spans="1:25">
      <c r="B5" s="177" t="s">
        <v>391</v>
      </c>
      <c r="C5" s="178"/>
      <c r="D5" s="178"/>
      <c r="E5" s="178"/>
      <c r="F5" s="178"/>
      <c r="G5" s="180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W5" s="32"/>
      <c r="X5" s="32"/>
      <c r="Y5" s="32"/>
    </row>
    <row r="6" spans="1:25">
      <c r="B6" s="177" t="s">
        <v>381</v>
      </c>
      <c r="C6" s="178"/>
      <c r="D6" s="178"/>
      <c r="E6" s="178"/>
      <c r="F6" s="178"/>
      <c r="G6" s="180"/>
      <c r="R6" s="178"/>
      <c r="W6" s="32"/>
      <c r="X6" s="32"/>
      <c r="Y6" s="32"/>
    </row>
    <row r="7" spans="1:25">
      <c r="B7" s="177" t="s">
        <v>115</v>
      </c>
      <c r="C7" s="178"/>
      <c r="D7" s="178"/>
      <c r="E7" s="178"/>
      <c r="F7" s="178"/>
      <c r="G7" s="180"/>
      <c r="H7" s="181" t="s">
        <v>102</v>
      </c>
      <c r="I7" s="181" t="s">
        <v>103</v>
      </c>
      <c r="J7" s="181" t="s">
        <v>104</v>
      </c>
      <c r="K7" s="181" t="s">
        <v>105</v>
      </c>
      <c r="L7" s="181" t="s">
        <v>106</v>
      </c>
      <c r="M7" s="181" t="s">
        <v>88</v>
      </c>
      <c r="N7" s="181" t="s">
        <v>278</v>
      </c>
      <c r="O7" s="181" t="s">
        <v>366</v>
      </c>
      <c r="P7" s="181" t="s">
        <v>367</v>
      </c>
      <c r="Q7" s="181" t="s">
        <v>368</v>
      </c>
      <c r="R7" s="181" t="s">
        <v>369</v>
      </c>
      <c r="W7" s="32"/>
      <c r="X7" s="32"/>
      <c r="Y7" s="32"/>
    </row>
    <row r="8" spans="1:25" s="4" customFormat="1">
      <c r="A8" s="37"/>
      <c r="B8" s="182"/>
      <c r="C8" s="183"/>
      <c r="D8" s="183"/>
      <c r="E8" s="183"/>
      <c r="F8" s="183"/>
      <c r="G8" s="60"/>
      <c r="M8" s="183"/>
      <c r="N8" s="183"/>
      <c r="O8" s="183"/>
      <c r="P8" s="183"/>
      <c r="Q8" s="183"/>
      <c r="R8" s="183"/>
      <c r="S8" s="37"/>
      <c r="T8" s="37"/>
      <c r="U8" s="32"/>
      <c r="V8" s="372" t="s">
        <v>349</v>
      </c>
      <c r="W8" s="32"/>
      <c r="X8" s="32"/>
      <c r="Y8" s="32"/>
    </row>
    <row r="9" spans="1:25" s="4" customFormat="1" ht="12" customHeight="1">
      <c r="A9" s="37"/>
      <c r="B9" s="331"/>
      <c r="C9" s="323"/>
      <c r="D9" s="324"/>
      <c r="E9" s="324"/>
      <c r="F9" s="325"/>
      <c r="G9" s="320" t="s">
        <v>116</v>
      </c>
      <c r="H9" s="320" t="s">
        <v>20</v>
      </c>
      <c r="I9" s="320" t="s">
        <v>20</v>
      </c>
      <c r="J9" s="320" t="s">
        <v>20</v>
      </c>
      <c r="K9" s="320" t="s">
        <v>20</v>
      </c>
      <c r="L9" s="320" t="s">
        <v>20</v>
      </c>
      <c r="M9" s="320" t="s">
        <v>20</v>
      </c>
      <c r="N9" s="320" t="s">
        <v>20</v>
      </c>
      <c r="O9" s="320" t="s">
        <v>20</v>
      </c>
      <c r="P9" s="320" t="s">
        <v>20</v>
      </c>
      <c r="Q9" s="320" t="s">
        <v>20</v>
      </c>
      <c r="R9" s="320" t="s">
        <v>20</v>
      </c>
      <c r="S9" s="37"/>
      <c r="T9" s="37"/>
      <c r="U9" s="32"/>
      <c r="V9" s="32"/>
      <c r="W9" s="32"/>
      <c r="X9" s="32"/>
      <c r="Y9" s="32"/>
    </row>
    <row r="10" spans="1:25" s="4" customFormat="1">
      <c r="A10" s="37"/>
      <c r="B10" s="332" t="s">
        <v>6</v>
      </c>
      <c r="C10" s="326"/>
      <c r="D10" s="184"/>
      <c r="E10" s="184"/>
      <c r="F10" s="327"/>
      <c r="G10" s="321" t="s">
        <v>20</v>
      </c>
      <c r="H10" s="321" t="s">
        <v>90</v>
      </c>
      <c r="I10" s="321" t="s">
        <v>90</v>
      </c>
      <c r="J10" s="321" t="s">
        <v>339</v>
      </c>
      <c r="K10" s="321" t="s">
        <v>340</v>
      </c>
      <c r="L10" s="321" t="s">
        <v>340</v>
      </c>
      <c r="M10" s="321" t="s">
        <v>373</v>
      </c>
      <c r="N10" s="321" t="s">
        <v>89</v>
      </c>
      <c r="O10" s="321" t="s">
        <v>365</v>
      </c>
      <c r="P10" s="321" t="s">
        <v>371</v>
      </c>
      <c r="Q10" s="321" t="s">
        <v>370</v>
      </c>
      <c r="R10" s="321"/>
      <c r="S10" s="37"/>
      <c r="T10" s="37"/>
      <c r="U10" s="32"/>
      <c r="V10" s="371" t="s">
        <v>349</v>
      </c>
      <c r="W10" s="32"/>
      <c r="X10" s="32"/>
      <c r="Y10" s="32"/>
    </row>
    <row r="11" spans="1:25" s="4" customFormat="1">
      <c r="A11" s="37"/>
      <c r="B11" s="333" t="s">
        <v>21</v>
      </c>
      <c r="C11" s="328"/>
      <c r="D11" s="329"/>
      <c r="E11" s="329"/>
      <c r="F11" s="330" t="s">
        <v>22</v>
      </c>
      <c r="G11" s="322" t="s">
        <v>86</v>
      </c>
      <c r="H11" s="322" t="s">
        <v>91</v>
      </c>
      <c r="I11" s="322" t="s">
        <v>92</v>
      </c>
      <c r="J11" s="322"/>
      <c r="K11" s="333" t="s">
        <v>385</v>
      </c>
      <c r="L11" s="333">
        <v>2009</v>
      </c>
      <c r="M11" s="333" t="s">
        <v>374</v>
      </c>
      <c r="N11" s="333"/>
      <c r="O11" s="322" t="s">
        <v>364</v>
      </c>
      <c r="P11" s="322" t="s">
        <v>372</v>
      </c>
      <c r="Q11" s="322"/>
      <c r="R11" s="322"/>
      <c r="S11" s="37"/>
      <c r="T11" s="37"/>
      <c r="U11" s="32"/>
      <c r="V11" s="32"/>
      <c r="W11" s="32"/>
      <c r="X11" s="32"/>
      <c r="Y11" s="32"/>
    </row>
    <row r="12" spans="1:25" s="7" customFormat="1">
      <c r="A12" s="38"/>
      <c r="B12" s="185"/>
      <c r="C12" s="186"/>
      <c r="D12" s="186"/>
      <c r="E12" s="186"/>
      <c r="F12" s="246" t="s">
        <v>114</v>
      </c>
      <c r="G12" s="187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65"/>
      <c r="S12" s="38"/>
      <c r="T12" s="38"/>
      <c r="U12" s="32"/>
      <c r="V12" s="371" t="s">
        <v>349</v>
      </c>
      <c r="W12" s="32"/>
      <c r="X12" s="32"/>
      <c r="Y12" s="32"/>
    </row>
    <row r="13" spans="1:25">
      <c r="B13" s="188"/>
      <c r="C13" s="525" t="s">
        <v>177</v>
      </c>
      <c r="D13" s="526"/>
      <c r="E13" s="526"/>
      <c r="F13" s="527"/>
      <c r="G13" s="189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W13" s="32"/>
      <c r="X13" s="32"/>
      <c r="Y13" s="32"/>
    </row>
    <row r="14" spans="1:25">
      <c r="B14" s="188">
        <v>1</v>
      </c>
      <c r="C14" s="178" t="s">
        <v>37</v>
      </c>
      <c r="D14" s="178"/>
      <c r="E14" s="178"/>
      <c r="F14" s="178"/>
      <c r="G14" s="189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W14" s="32"/>
      <c r="X14" s="32"/>
      <c r="Y14" s="32"/>
    </row>
    <row r="15" spans="1:25" s="9" customFormat="1">
      <c r="A15" s="39"/>
      <c r="B15" s="188">
        <f>+B14+1</f>
        <v>2</v>
      </c>
      <c r="C15" s="190"/>
      <c r="D15" s="190" t="s">
        <v>38</v>
      </c>
      <c r="E15" s="190"/>
      <c r="F15" s="190"/>
      <c r="G15" s="191">
        <f>SUM(R15:R15)</f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9"/>
      <c r="T15" s="39"/>
      <c r="U15" s="32"/>
      <c r="V15" s="32"/>
      <c r="W15" s="32"/>
      <c r="X15" s="32"/>
      <c r="Y15" s="32"/>
    </row>
    <row r="16" spans="1:25">
      <c r="B16" s="188">
        <f t="shared" ref="B16:B77" si="0">+B15+1</f>
        <v>3</v>
      </c>
      <c r="C16" s="178"/>
      <c r="D16" s="192" t="s">
        <v>39</v>
      </c>
      <c r="E16" s="192"/>
      <c r="F16" s="192"/>
      <c r="G16" s="193">
        <f>SUM(H16:R16)</f>
        <v>0</v>
      </c>
      <c r="H16" s="395"/>
      <c r="I16" s="395"/>
      <c r="J16" s="395"/>
      <c r="K16" s="16"/>
      <c r="L16" s="395"/>
      <c r="M16" s="395"/>
      <c r="N16" s="395"/>
      <c r="O16" s="395"/>
      <c r="P16" s="395"/>
      <c r="Q16" s="395"/>
      <c r="R16" s="395"/>
      <c r="W16" s="32"/>
      <c r="X16" s="32"/>
      <c r="Y16" s="32"/>
    </row>
    <row r="17" spans="2:25">
      <c r="B17" s="188">
        <f t="shared" si="0"/>
        <v>4</v>
      </c>
      <c r="C17" s="178"/>
      <c r="D17" s="192" t="s">
        <v>40</v>
      </c>
      <c r="E17" s="192"/>
      <c r="F17" s="192"/>
      <c r="G17" s="194">
        <f>SUM(H17:R17)</f>
        <v>-2561</v>
      </c>
      <c r="H17" s="15"/>
      <c r="I17" s="15"/>
      <c r="J17" s="15">
        <v>-2561</v>
      </c>
      <c r="K17" s="15"/>
      <c r="L17" s="15"/>
      <c r="M17" s="15"/>
      <c r="N17" s="15"/>
      <c r="O17" s="15"/>
      <c r="P17" s="15"/>
      <c r="Q17" s="15"/>
      <c r="R17" s="15"/>
      <c r="W17" s="32"/>
      <c r="X17" s="32"/>
      <c r="Y17" s="32"/>
    </row>
    <row r="18" spans="2:25">
      <c r="B18" s="188">
        <f t="shared" si="0"/>
        <v>5</v>
      </c>
      <c r="C18" s="178"/>
      <c r="D18" s="192"/>
      <c r="E18" s="192"/>
      <c r="F18" s="178" t="s">
        <v>41</v>
      </c>
      <c r="G18" s="195">
        <f t="shared" ref="G18:R18" si="1">SUM(G15:G17)</f>
        <v>-2561</v>
      </c>
      <c r="H18" s="192">
        <f t="shared" si="1"/>
        <v>0</v>
      </c>
      <c r="I18" s="192">
        <f t="shared" si="1"/>
        <v>0</v>
      </c>
      <c r="J18" s="192">
        <f t="shared" si="1"/>
        <v>-2561</v>
      </c>
      <c r="K18" s="192">
        <f t="shared" si="1"/>
        <v>0</v>
      </c>
      <c r="L18" s="192">
        <f t="shared" si="1"/>
        <v>0</v>
      </c>
      <c r="M18" s="192">
        <f t="shared" si="1"/>
        <v>0</v>
      </c>
      <c r="N18" s="192">
        <f t="shared" si="1"/>
        <v>0</v>
      </c>
      <c r="O18" s="192">
        <f t="shared" si="1"/>
        <v>0</v>
      </c>
      <c r="P18" s="192">
        <f t="shared" si="1"/>
        <v>0</v>
      </c>
      <c r="Q18" s="192">
        <f t="shared" si="1"/>
        <v>0</v>
      </c>
      <c r="R18" s="192">
        <f t="shared" si="1"/>
        <v>0</v>
      </c>
      <c r="W18" s="32"/>
      <c r="X18" s="32"/>
      <c r="Y18" s="32"/>
    </row>
    <row r="19" spans="2:25">
      <c r="B19" s="188">
        <f t="shared" si="0"/>
        <v>6</v>
      </c>
      <c r="C19" s="178"/>
      <c r="D19" s="192"/>
      <c r="E19" s="192"/>
      <c r="F19" s="192"/>
      <c r="G19" s="1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W19" s="32"/>
      <c r="X19" s="32"/>
      <c r="Y19" s="32"/>
    </row>
    <row r="20" spans="2:25">
      <c r="B20" s="188">
        <f t="shared" si="0"/>
        <v>7</v>
      </c>
      <c r="C20" s="178" t="s">
        <v>42</v>
      </c>
      <c r="D20" s="192"/>
      <c r="E20" s="192"/>
      <c r="F20" s="192"/>
      <c r="G20" s="1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W20" s="32"/>
      <c r="X20" s="32"/>
      <c r="Y20" s="32"/>
    </row>
    <row r="21" spans="2:25">
      <c r="B21" s="188">
        <f t="shared" si="0"/>
        <v>8</v>
      </c>
      <c r="C21" s="178"/>
      <c r="D21" s="192" t="s">
        <v>43</v>
      </c>
      <c r="E21" s="192"/>
      <c r="F21" s="192"/>
      <c r="G21" s="191">
        <f>SUM(H21:R21)</f>
        <v>0</v>
      </c>
      <c r="H21" s="395"/>
      <c r="I21" s="395"/>
      <c r="J21" s="395"/>
      <c r="K21" s="16"/>
      <c r="L21" s="395"/>
      <c r="M21" s="395"/>
      <c r="N21" s="395"/>
      <c r="O21" s="395"/>
      <c r="P21" s="395"/>
      <c r="Q21" s="395"/>
      <c r="R21" s="395"/>
      <c r="W21" s="32"/>
      <c r="X21" s="32"/>
      <c r="Y21" s="32"/>
    </row>
    <row r="22" spans="2:25">
      <c r="B22" s="188">
        <f t="shared" si="0"/>
        <v>9</v>
      </c>
      <c r="C22" s="178"/>
      <c r="D22" s="192"/>
      <c r="E22" s="192"/>
      <c r="F22" s="192"/>
      <c r="G22" s="1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W22" s="32"/>
      <c r="X22" s="32"/>
      <c r="Y22" s="32"/>
    </row>
    <row r="23" spans="2:25">
      <c r="B23" s="188">
        <f t="shared" si="0"/>
        <v>10</v>
      </c>
      <c r="C23" s="178"/>
      <c r="D23" s="192" t="s">
        <v>44</v>
      </c>
      <c r="E23" s="192"/>
      <c r="F23" s="192"/>
      <c r="G23" s="191">
        <f>SUM(H23:R23)</f>
        <v>0</v>
      </c>
      <c r="H23" s="395"/>
      <c r="I23" s="395"/>
      <c r="J23" s="395"/>
      <c r="K23" s="16"/>
      <c r="L23" s="395"/>
      <c r="M23" s="395"/>
      <c r="N23" s="395"/>
      <c r="O23" s="395"/>
      <c r="P23" s="395"/>
      <c r="Q23" s="395"/>
      <c r="R23" s="395"/>
      <c r="W23" s="32"/>
      <c r="X23" s="32"/>
      <c r="Y23" s="32"/>
    </row>
    <row r="24" spans="2:25">
      <c r="B24" s="188">
        <f t="shared" si="0"/>
        <v>11</v>
      </c>
      <c r="C24" s="178"/>
      <c r="D24" s="192"/>
      <c r="E24" s="192" t="s">
        <v>45</v>
      </c>
      <c r="F24" s="192"/>
      <c r="G24" s="180"/>
      <c r="H24" s="203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W24" s="32"/>
      <c r="X24" s="32"/>
      <c r="Y24" s="32"/>
    </row>
    <row r="25" spans="2:25">
      <c r="B25" s="188">
        <f t="shared" si="0"/>
        <v>12</v>
      </c>
      <c r="C25" s="178"/>
      <c r="D25" s="192"/>
      <c r="E25" s="192" t="s">
        <v>46</v>
      </c>
      <c r="F25" s="192"/>
      <c r="G25" s="191">
        <f>SUM(H25:R25)</f>
        <v>69.936999999999998</v>
      </c>
      <c r="H25" s="395">
        <v>18.657</v>
      </c>
      <c r="I25" s="395">
        <v>-8.7569999999999997</v>
      </c>
      <c r="J25" s="395"/>
      <c r="K25" s="16"/>
      <c r="L25" s="395"/>
      <c r="M25" s="395"/>
      <c r="N25" s="395"/>
      <c r="O25" s="395"/>
      <c r="P25" s="395">
        <f>40.794+19.243</f>
        <v>60.036999999999992</v>
      </c>
      <c r="Q25" s="395"/>
      <c r="R25" s="395"/>
      <c r="W25" s="32"/>
      <c r="X25" s="32"/>
      <c r="Y25" s="32"/>
    </row>
    <row r="26" spans="2:25">
      <c r="B26" s="188">
        <f t="shared" si="0"/>
        <v>13</v>
      </c>
      <c r="C26" s="178"/>
      <c r="D26" s="192"/>
      <c r="E26" s="192" t="s">
        <v>47</v>
      </c>
      <c r="F26" s="192"/>
      <c r="G26" s="194">
        <f>SUM(H26:R26)</f>
        <v>0</v>
      </c>
      <c r="H26" s="15"/>
      <c r="I26" s="15"/>
      <c r="J26" s="15"/>
      <c r="K26" s="27"/>
      <c r="L26" s="15"/>
      <c r="M26" s="15"/>
      <c r="N26" s="15"/>
      <c r="O26" s="15"/>
      <c r="P26" s="15"/>
      <c r="Q26" s="15"/>
      <c r="R26" s="15"/>
      <c r="W26" s="32"/>
      <c r="X26" s="32"/>
      <c r="Y26" s="32"/>
    </row>
    <row r="27" spans="2:25">
      <c r="B27" s="188">
        <f t="shared" si="0"/>
        <v>14</v>
      </c>
      <c r="C27" s="178"/>
      <c r="D27" s="192"/>
      <c r="E27" s="192"/>
      <c r="F27" s="192" t="s">
        <v>48</v>
      </c>
      <c r="G27" s="195">
        <f t="shared" ref="G27:R27" si="2">SUM(G22:G26)</f>
        <v>69.936999999999998</v>
      </c>
      <c r="H27" s="192">
        <f t="shared" si="2"/>
        <v>18.657</v>
      </c>
      <c r="I27" s="192">
        <f t="shared" si="2"/>
        <v>-8.7569999999999997</v>
      </c>
      <c r="J27" s="192">
        <f t="shared" si="2"/>
        <v>0</v>
      </c>
      <c r="K27" s="192">
        <f t="shared" si="2"/>
        <v>0</v>
      </c>
      <c r="L27" s="192">
        <f t="shared" si="2"/>
        <v>0</v>
      </c>
      <c r="M27" s="192">
        <f t="shared" si="2"/>
        <v>0</v>
      </c>
      <c r="N27" s="192">
        <f t="shared" si="2"/>
        <v>0</v>
      </c>
      <c r="O27" s="192">
        <f t="shared" si="2"/>
        <v>0</v>
      </c>
      <c r="P27" s="192">
        <f t="shared" si="2"/>
        <v>60.036999999999992</v>
      </c>
      <c r="Q27" s="192">
        <f t="shared" si="2"/>
        <v>0</v>
      </c>
      <c r="R27" s="192">
        <f t="shared" si="2"/>
        <v>0</v>
      </c>
      <c r="W27" s="32"/>
      <c r="X27" s="32"/>
      <c r="Y27" s="32"/>
    </row>
    <row r="28" spans="2:25">
      <c r="B28" s="188">
        <f t="shared" si="0"/>
        <v>15</v>
      </c>
      <c r="C28" s="178"/>
      <c r="D28" s="192"/>
      <c r="E28" s="192"/>
      <c r="F28" s="192"/>
      <c r="G28" s="1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W28" s="32"/>
      <c r="X28" s="32"/>
      <c r="Y28" s="32"/>
    </row>
    <row r="29" spans="2:25">
      <c r="B29" s="188">
        <f t="shared" si="0"/>
        <v>16</v>
      </c>
      <c r="C29" s="178"/>
      <c r="D29" s="192" t="s">
        <v>49</v>
      </c>
      <c r="E29" s="192"/>
      <c r="F29" s="192"/>
      <c r="G29" s="180"/>
      <c r="H29" s="203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W29" s="32"/>
      <c r="X29" s="32"/>
      <c r="Y29" s="32"/>
    </row>
    <row r="30" spans="2:25">
      <c r="B30" s="188">
        <f t="shared" si="0"/>
        <v>17</v>
      </c>
      <c r="C30" s="178"/>
      <c r="D30" s="192"/>
      <c r="E30" s="192" t="s">
        <v>50</v>
      </c>
      <c r="F30" s="192"/>
      <c r="G30" s="193">
        <f>SUM(H30:R30)</f>
        <v>0.72399999999999998</v>
      </c>
      <c r="H30" s="395">
        <v>0</v>
      </c>
      <c r="I30" s="395"/>
      <c r="J30" s="395"/>
      <c r="K30" s="16"/>
      <c r="L30" s="395"/>
      <c r="M30" s="395"/>
      <c r="N30" s="395"/>
      <c r="O30" s="395"/>
      <c r="P30" s="395">
        <v>0.72399999999999998</v>
      </c>
      <c r="Q30" s="395"/>
      <c r="R30" s="395"/>
      <c r="W30" s="32"/>
      <c r="X30" s="32"/>
      <c r="Y30" s="32"/>
    </row>
    <row r="31" spans="2:25">
      <c r="B31" s="188">
        <f t="shared" si="0"/>
        <v>18</v>
      </c>
      <c r="C31" s="178"/>
      <c r="D31" s="192"/>
      <c r="E31" s="192" t="s">
        <v>51</v>
      </c>
      <c r="F31" s="192"/>
      <c r="G31" s="193">
        <f>SUM(H31:R31)</f>
        <v>155</v>
      </c>
      <c r="H31" s="395"/>
      <c r="I31" s="395"/>
      <c r="J31" s="395">
        <v>155</v>
      </c>
      <c r="K31" s="16">
        <v>0</v>
      </c>
      <c r="L31" s="395">
        <v>0</v>
      </c>
      <c r="M31" s="395"/>
      <c r="N31" s="395"/>
      <c r="O31" s="395"/>
      <c r="P31" s="395"/>
      <c r="Q31" s="395"/>
      <c r="R31" s="395"/>
      <c r="W31" s="32"/>
      <c r="X31" s="32"/>
      <c r="Y31" s="32"/>
    </row>
    <row r="32" spans="2:25">
      <c r="B32" s="188">
        <f t="shared" si="0"/>
        <v>19</v>
      </c>
      <c r="C32" s="178"/>
      <c r="D32" s="192"/>
      <c r="E32" s="192" t="s">
        <v>29</v>
      </c>
      <c r="F32" s="192"/>
      <c r="G32" s="194">
        <f>SUM(H32:R32)</f>
        <v>129</v>
      </c>
      <c r="H32" s="15"/>
      <c r="I32" s="15"/>
      <c r="J32" s="15">
        <v>129</v>
      </c>
      <c r="K32" s="27"/>
      <c r="L32" s="15">
        <v>0</v>
      </c>
      <c r="M32" s="15"/>
      <c r="N32" s="15"/>
      <c r="O32" s="15"/>
      <c r="P32" s="15"/>
      <c r="Q32" s="15"/>
      <c r="R32" s="15"/>
      <c r="W32" s="32"/>
      <c r="X32" s="32"/>
      <c r="Y32" s="32"/>
    </row>
    <row r="33" spans="2:25">
      <c r="B33" s="188">
        <f t="shared" si="0"/>
        <v>20</v>
      </c>
      <c r="C33" s="178"/>
      <c r="D33" s="192"/>
      <c r="E33" s="192"/>
      <c r="F33" s="192" t="s">
        <v>52</v>
      </c>
      <c r="G33" s="195">
        <f t="shared" ref="G33:R33" si="3">SUM(G30:G32)</f>
        <v>284.72399999999999</v>
      </c>
      <c r="H33" s="192">
        <f t="shared" si="3"/>
        <v>0</v>
      </c>
      <c r="I33" s="192">
        <f t="shared" si="3"/>
        <v>0</v>
      </c>
      <c r="J33" s="192">
        <f t="shared" si="3"/>
        <v>284</v>
      </c>
      <c r="K33" s="192">
        <f t="shared" si="3"/>
        <v>0</v>
      </c>
      <c r="L33" s="192">
        <f t="shared" si="3"/>
        <v>0</v>
      </c>
      <c r="M33" s="192">
        <f t="shared" si="3"/>
        <v>0</v>
      </c>
      <c r="N33" s="192">
        <f t="shared" si="3"/>
        <v>0</v>
      </c>
      <c r="O33" s="192">
        <f t="shared" si="3"/>
        <v>0</v>
      </c>
      <c r="P33" s="192">
        <f t="shared" si="3"/>
        <v>0.72399999999999998</v>
      </c>
      <c r="Q33" s="192">
        <f t="shared" si="3"/>
        <v>0</v>
      </c>
      <c r="R33" s="192">
        <f t="shared" si="3"/>
        <v>0</v>
      </c>
      <c r="W33" s="32"/>
      <c r="X33" s="32"/>
      <c r="Y33" s="32"/>
    </row>
    <row r="34" spans="2:25">
      <c r="B34" s="188">
        <f t="shared" si="0"/>
        <v>21</v>
      </c>
      <c r="C34" s="178"/>
      <c r="D34" s="192"/>
      <c r="E34" s="192"/>
      <c r="F34" s="192"/>
      <c r="G34" s="1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W34" s="32"/>
      <c r="X34" s="32"/>
      <c r="Y34" s="32"/>
    </row>
    <row r="35" spans="2:25">
      <c r="B35" s="188">
        <f t="shared" si="0"/>
        <v>22</v>
      </c>
      <c r="C35" s="178"/>
      <c r="D35" s="192" t="s">
        <v>53</v>
      </c>
      <c r="E35" s="192"/>
      <c r="F35" s="192"/>
      <c r="G35" s="180"/>
      <c r="H35" s="203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W35" s="32"/>
      <c r="X35" s="32"/>
      <c r="Y35" s="32"/>
    </row>
    <row r="36" spans="2:25" ht="12.95" customHeight="1">
      <c r="B36" s="188">
        <f t="shared" si="0"/>
        <v>23</v>
      </c>
      <c r="C36" s="178"/>
      <c r="D36" s="192"/>
      <c r="E36" s="192" t="s">
        <v>50</v>
      </c>
      <c r="F36" s="192"/>
      <c r="G36" s="193">
        <f>SUM(H36:R36)</f>
        <v>551.81299999999999</v>
      </c>
      <c r="H36" s="395">
        <v>193.38800000000001</v>
      </c>
      <c r="I36" s="395"/>
      <c r="J36" s="395"/>
      <c r="K36" s="16"/>
      <c r="L36" s="395"/>
      <c r="M36" s="395">
        <v>0</v>
      </c>
      <c r="N36" s="395"/>
      <c r="O36" s="395"/>
      <c r="P36" s="395">
        <v>358.42500000000001</v>
      </c>
      <c r="Q36" s="395"/>
      <c r="R36" s="395"/>
      <c r="W36" s="32"/>
      <c r="X36" s="32"/>
      <c r="Y36" s="32"/>
    </row>
    <row r="37" spans="2:25" ht="12.95" customHeight="1">
      <c r="B37" s="188">
        <f t="shared" si="0"/>
        <v>24</v>
      </c>
      <c r="C37" s="178"/>
      <c r="D37" s="192"/>
      <c r="E37" s="192" t="s">
        <v>51</v>
      </c>
      <c r="F37" s="192"/>
      <c r="G37" s="193">
        <f>SUM(H37:R37)</f>
        <v>0</v>
      </c>
      <c r="H37" s="395"/>
      <c r="I37" s="395"/>
      <c r="J37" s="395"/>
      <c r="K37" s="16">
        <v>0</v>
      </c>
      <c r="L37" s="395">
        <v>0</v>
      </c>
      <c r="M37" s="395"/>
      <c r="N37" s="395"/>
      <c r="O37" s="395"/>
      <c r="P37" s="395"/>
      <c r="Q37" s="395"/>
      <c r="R37" s="395"/>
      <c r="W37" s="32"/>
      <c r="X37" s="32"/>
      <c r="Y37" s="32"/>
    </row>
    <row r="38" spans="2:25" ht="12.95" customHeight="1">
      <c r="B38" s="188">
        <f t="shared" si="0"/>
        <v>25</v>
      </c>
      <c r="C38" s="178"/>
      <c r="D38" s="192"/>
      <c r="E38" s="192" t="s">
        <v>29</v>
      </c>
      <c r="F38" s="192"/>
      <c r="G38" s="194">
        <f>SUM(H38:R38)</f>
        <v>-98</v>
      </c>
      <c r="H38" s="15"/>
      <c r="I38" s="15"/>
      <c r="J38" s="15">
        <v>-98</v>
      </c>
      <c r="K38" s="27"/>
      <c r="L38" s="15">
        <v>0</v>
      </c>
      <c r="M38" s="15"/>
      <c r="N38" s="15"/>
      <c r="O38" s="15"/>
      <c r="P38" s="15"/>
      <c r="Q38" s="15"/>
      <c r="R38" s="15"/>
      <c r="W38" s="32"/>
      <c r="X38" s="32"/>
      <c r="Y38" s="32"/>
    </row>
    <row r="39" spans="2:25">
      <c r="B39" s="188">
        <f t="shared" si="0"/>
        <v>26</v>
      </c>
      <c r="C39" s="178"/>
      <c r="D39" s="192"/>
      <c r="E39" s="192"/>
      <c r="F39" s="192" t="s">
        <v>54</v>
      </c>
      <c r="G39" s="195">
        <f t="shared" ref="G39:R39" si="4">SUM(G36:G38)</f>
        <v>453.81299999999999</v>
      </c>
      <c r="H39" s="192">
        <f t="shared" si="4"/>
        <v>193.38800000000001</v>
      </c>
      <c r="I39" s="192">
        <f t="shared" si="4"/>
        <v>0</v>
      </c>
      <c r="J39" s="192">
        <f t="shared" si="4"/>
        <v>-98</v>
      </c>
      <c r="K39" s="192">
        <f t="shared" si="4"/>
        <v>0</v>
      </c>
      <c r="L39" s="192">
        <f t="shared" si="4"/>
        <v>0</v>
      </c>
      <c r="M39" s="192">
        <f t="shared" si="4"/>
        <v>0</v>
      </c>
      <c r="N39" s="192">
        <f t="shared" si="4"/>
        <v>0</v>
      </c>
      <c r="O39" s="192">
        <f t="shared" si="4"/>
        <v>0</v>
      </c>
      <c r="P39" s="192">
        <f t="shared" si="4"/>
        <v>358.42500000000001</v>
      </c>
      <c r="Q39" s="192">
        <f t="shared" si="4"/>
        <v>0</v>
      </c>
      <c r="R39" s="192">
        <f t="shared" si="4"/>
        <v>0</v>
      </c>
      <c r="W39" s="32"/>
      <c r="X39" s="32"/>
      <c r="Y39" s="32"/>
    </row>
    <row r="40" spans="2:25">
      <c r="B40" s="188">
        <f t="shared" si="0"/>
        <v>27</v>
      </c>
      <c r="C40" s="178"/>
      <c r="D40" s="192"/>
      <c r="E40" s="192"/>
      <c r="F40" s="192"/>
      <c r="G40" s="195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W40" s="32"/>
      <c r="X40" s="32"/>
      <c r="Y40" s="32"/>
    </row>
    <row r="41" spans="2:25">
      <c r="B41" s="188">
        <f t="shared" si="0"/>
        <v>28</v>
      </c>
      <c r="C41" s="178" t="s">
        <v>55</v>
      </c>
      <c r="D41" s="192"/>
      <c r="E41" s="192"/>
      <c r="F41" s="192"/>
      <c r="G41" s="193">
        <f>SUM(H41:R41)</f>
        <v>340.15300000000002</v>
      </c>
      <c r="H41" s="397">
        <v>118.539</v>
      </c>
      <c r="I41" s="397"/>
      <c r="J41" s="397">
        <v>-7</v>
      </c>
      <c r="K41" s="16"/>
      <c r="L41" s="192"/>
      <c r="M41" s="192"/>
      <c r="N41" s="192"/>
      <c r="O41" s="192"/>
      <c r="P41" s="397">
        <v>228.614</v>
      </c>
      <c r="Q41" s="397"/>
      <c r="R41" s="397"/>
      <c r="W41" s="32"/>
      <c r="X41" s="32"/>
      <c r="Y41" s="32"/>
    </row>
    <row r="42" spans="2:25">
      <c r="B42" s="188">
        <f t="shared" si="0"/>
        <v>29</v>
      </c>
      <c r="C42" s="178" t="s">
        <v>56</v>
      </c>
      <c r="D42" s="192"/>
      <c r="E42" s="192"/>
      <c r="F42" s="192"/>
      <c r="G42" s="193">
        <f>SUM(H42:R42)</f>
        <v>20.754000000000001</v>
      </c>
      <c r="H42" s="395">
        <v>6.9720000000000004</v>
      </c>
      <c r="I42" s="395"/>
      <c r="J42" s="395"/>
      <c r="K42" s="16"/>
      <c r="L42" s="395"/>
      <c r="M42" s="395"/>
      <c r="N42" s="395"/>
      <c r="O42" s="395"/>
      <c r="P42" s="395">
        <v>13.782</v>
      </c>
      <c r="Q42" s="395"/>
      <c r="R42" s="395"/>
      <c r="W42" s="32"/>
      <c r="X42" s="32"/>
      <c r="Y42" s="32"/>
    </row>
    <row r="43" spans="2:25">
      <c r="B43" s="188">
        <f t="shared" si="0"/>
        <v>30</v>
      </c>
      <c r="C43" s="178" t="s">
        <v>57</v>
      </c>
      <c r="D43" s="192"/>
      <c r="E43" s="192"/>
      <c r="F43" s="192"/>
      <c r="G43" s="194">
        <f>SUM(H43:R43)</f>
        <v>32.14</v>
      </c>
      <c r="H43" s="395">
        <v>10.797000000000001</v>
      </c>
      <c r="I43" s="395"/>
      <c r="J43" s="395"/>
      <c r="K43" s="16"/>
      <c r="L43" s="395"/>
      <c r="M43" s="395"/>
      <c r="N43" s="395"/>
      <c r="O43" s="395"/>
      <c r="P43" s="395">
        <v>21.343</v>
      </c>
      <c r="Q43" s="395"/>
      <c r="R43" s="395"/>
      <c r="W43" s="32"/>
      <c r="X43" s="32"/>
      <c r="Y43" s="32"/>
    </row>
    <row r="44" spans="2:25">
      <c r="B44" s="188">
        <f t="shared" si="0"/>
        <v>31</v>
      </c>
      <c r="C44" s="178"/>
      <c r="D44" s="192"/>
      <c r="E44" s="192"/>
      <c r="F44" s="192"/>
      <c r="G44" s="195"/>
      <c r="H44" s="395"/>
      <c r="I44" s="395"/>
      <c r="J44" s="395"/>
      <c r="K44" s="16"/>
      <c r="L44" s="395"/>
      <c r="M44" s="395"/>
      <c r="N44" s="395"/>
      <c r="O44" s="395"/>
      <c r="P44" s="395"/>
      <c r="Q44" s="395"/>
      <c r="R44" s="395"/>
      <c r="W44" s="32"/>
      <c r="X44" s="32"/>
      <c r="Y44" s="32"/>
    </row>
    <row r="45" spans="2:25">
      <c r="B45" s="188">
        <f t="shared" si="0"/>
        <v>32</v>
      </c>
      <c r="C45" s="178" t="s">
        <v>58</v>
      </c>
      <c r="D45" s="192"/>
      <c r="E45" s="192"/>
      <c r="F45" s="192"/>
      <c r="G45" s="1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W45" s="32"/>
      <c r="X45" s="32"/>
      <c r="Y45" s="32"/>
    </row>
    <row r="46" spans="2:25">
      <c r="B46" s="188">
        <f t="shared" si="0"/>
        <v>33</v>
      </c>
      <c r="C46" s="178"/>
      <c r="D46" s="192" t="s">
        <v>50</v>
      </c>
      <c r="E46" s="192"/>
      <c r="F46" s="192"/>
      <c r="G46" s="193">
        <f>SUM(H46:R46)</f>
        <v>632.947</v>
      </c>
      <c r="H46" s="395">
        <v>108.535</v>
      </c>
      <c r="I46" s="395">
        <v>49.615000000000002</v>
      </c>
      <c r="J46" s="395">
        <v>-5</v>
      </c>
      <c r="K46" s="16"/>
      <c r="L46" s="395"/>
      <c r="M46" s="395"/>
      <c r="N46" s="395">
        <v>-4.8129999999999997</v>
      </c>
      <c r="O46" s="395"/>
      <c r="P46" s="395">
        <f>249.999+253.553</f>
        <v>503.55200000000002</v>
      </c>
      <c r="Q46" s="395">
        <v>-18.942</v>
      </c>
      <c r="R46" s="395"/>
      <c r="W46" s="32"/>
      <c r="X46" s="32"/>
      <c r="Y46" s="32"/>
    </row>
    <row r="47" spans="2:25">
      <c r="B47" s="188">
        <f t="shared" si="0"/>
        <v>34</v>
      </c>
      <c r="C47" s="178"/>
      <c r="D47" s="192" t="s">
        <v>51</v>
      </c>
      <c r="E47" s="192"/>
      <c r="F47" s="192"/>
      <c r="G47" s="193">
        <f>SUM(H47:R47)</f>
        <v>0</v>
      </c>
      <c r="H47" s="395"/>
      <c r="I47" s="395"/>
      <c r="J47" s="395"/>
      <c r="K47" s="16">
        <v>0</v>
      </c>
      <c r="L47" s="395">
        <v>0</v>
      </c>
      <c r="M47" s="395"/>
      <c r="N47" s="395"/>
      <c r="O47" s="395"/>
      <c r="P47" s="395"/>
      <c r="Q47" s="395"/>
      <c r="R47" s="395"/>
      <c r="W47" s="32"/>
      <c r="X47" s="32"/>
      <c r="Y47" s="32"/>
    </row>
    <row r="48" spans="2:25">
      <c r="B48" s="188">
        <f t="shared" si="0"/>
        <v>35</v>
      </c>
      <c r="C48" s="178"/>
      <c r="D48" s="192" t="s">
        <v>29</v>
      </c>
      <c r="E48" s="192"/>
      <c r="F48" s="192"/>
      <c r="G48" s="194">
        <f>SUM(H48:R48)</f>
        <v>0</v>
      </c>
      <c r="H48" s="15"/>
      <c r="I48" s="15"/>
      <c r="J48" s="15"/>
      <c r="K48" s="27"/>
      <c r="L48" s="15">
        <v>0</v>
      </c>
      <c r="M48" s="15"/>
      <c r="N48" s="15"/>
      <c r="O48" s="15"/>
      <c r="P48" s="15"/>
      <c r="Q48" s="15"/>
      <c r="R48" s="15"/>
      <c r="W48" s="32"/>
      <c r="X48" s="32"/>
      <c r="Y48" s="32"/>
    </row>
    <row r="49" spans="1:25" ht="12.95" customHeight="1">
      <c r="B49" s="188">
        <f t="shared" si="0"/>
        <v>36</v>
      </c>
      <c r="C49" s="178"/>
      <c r="D49" s="192"/>
      <c r="E49" s="192"/>
      <c r="F49" s="192" t="s">
        <v>59</v>
      </c>
      <c r="G49" s="194">
        <f t="shared" ref="G49:L49" si="5">SUM(G46:G48)</f>
        <v>632.947</v>
      </c>
      <c r="H49" s="196">
        <f t="shared" si="5"/>
        <v>108.535</v>
      </c>
      <c r="I49" s="196">
        <f t="shared" si="5"/>
        <v>49.615000000000002</v>
      </c>
      <c r="J49" s="196">
        <f t="shared" si="5"/>
        <v>-5</v>
      </c>
      <c r="K49" s="196">
        <f t="shared" si="5"/>
        <v>0</v>
      </c>
      <c r="L49" s="196">
        <f t="shared" si="5"/>
        <v>0</v>
      </c>
      <c r="M49" s="196">
        <f t="shared" ref="M49:R49" si="6">SUM(M46:M48)</f>
        <v>0</v>
      </c>
      <c r="N49" s="196">
        <f t="shared" si="6"/>
        <v>-4.8129999999999997</v>
      </c>
      <c r="O49" s="196">
        <f t="shared" si="6"/>
        <v>0</v>
      </c>
      <c r="P49" s="196">
        <f t="shared" si="6"/>
        <v>503.55200000000002</v>
      </c>
      <c r="Q49" s="196">
        <f t="shared" si="6"/>
        <v>-18.942</v>
      </c>
      <c r="R49" s="196">
        <f t="shared" si="6"/>
        <v>0</v>
      </c>
      <c r="W49" s="32"/>
      <c r="X49" s="32"/>
      <c r="Y49" s="32"/>
    </row>
    <row r="50" spans="1:25" ht="12.95" customHeight="1">
      <c r="B50" s="188">
        <f t="shared" si="0"/>
        <v>37</v>
      </c>
      <c r="C50" s="178"/>
      <c r="D50" s="192"/>
      <c r="E50" s="192"/>
      <c r="F50" s="192"/>
      <c r="G50" s="180"/>
      <c r="H50" s="204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W50" s="32"/>
      <c r="X50" s="32"/>
      <c r="Y50" s="32"/>
    </row>
    <row r="51" spans="1:25">
      <c r="B51" s="188">
        <f t="shared" si="0"/>
        <v>38</v>
      </c>
      <c r="C51" s="178" t="s">
        <v>60</v>
      </c>
      <c r="D51" s="192"/>
      <c r="E51" s="192"/>
      <c r="F51" s="192"/>
      <c r="G51" s="194">
        <f t="shared" ref="G51:L51" si="7">G21+G27+G33+G39+G41+G42+G43+G49</f>
        <v>1834.4679999999998</v>
      </c>
      <c r="H51" s="196">
        <f t="shared" si="7"/>
        <v>456.88800000000003</v>
      </c>
      <c r="I51" s="196">
        <f t="shared" si="7"/>
        <v>40.858000000000004</v>
      </c>
      <c r="J51" s="196">
        <f t="shared" si="7"/>
        <v>174</v>
      </c>
      <c r="K51" s="196">
        <f t="shared" si="7"/>
        <v>0</v>
      </c>
      <c r="L51" s="196">
        <f t="shared" si="7"/>
        <v>0</v>
      </c>
      <c r="M51" s="196">
        <f t="shared" ref="M51:R51" si="8">M21+M27+M33+M39+M41+M42+M43+M49</f>
        <v>0</v>
      </c>
      <c r="N51" s="196">
        <f t="shared" si="8"/>
        <v>-4.8129999999999997</v>
      </c>
      <c r="O51" s="196">
        <f t="shared" si="8"/>
        <v>0</v>
      </c>
      <c r="P51" s="196">
        <f t="shared" si="8"/>
        <v>1186.4769999999999</v>
      </c>
      <c r="Q51" s="196">
        <f t="shared" si="8"/>
        <v>-18.942</v>
      </c>
      <c r="R51" s="196">
        <f t="shared" si="8"/>
        <v>0</v>
      </c>
      <c r="W51" s="32"/>
      <c r="X51" s="32"/>
      <c r="Y51" s="32"/>
    </row>
    <row r="52" spans="1:25">
      <c r="B52" s="188">
        <f t="shared" si="0"/>
        <v>39</v>
      </c>
      <c r="C52" s="178"/>
      <c r="D52" s="192"/>
      <c r="E52" s="192"/>
      <c r="F52" s="192"/>
      <c r="G52" s="195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W52" s="32"/>
      <c r="X52" s="32"/>
      <c r="Y52" s="32"/>
    </row>
    <row r="53" spans="1:25">
      <c r="B53" s="188">
        <f t="shared" si="0"/>
        <v>40</v>
      </c>
      <c r="C53" s="178" t="s">
        <v>61</v>
      </c>
      <c r="D53" s="192"/>
      <c r="E53" s="192"/>
      <c r="F53" s="192"/>
      <c r="G53" s="195">
        <f t="shared" ref="G53:L53" si="9">G18-G51</f>
        <v>-4395.4679999999998</v>
      </c>
      <c r="H53" s="192">
        <f t="shared" si="9"/>
        <v>-456.88800000000003</v>
      </c>
      <c r="I53" s="192">
        <f t="shared" si="9"/>
        <v>-40.858000000000004</v>
      </c>
      <c r="J53" s="192">
        <f t="shared" si="9"/>
        <v>-2735</v>
      </c>
      <c r="K53" s="192">
        <f t="shared" si="9"/>
        <v>0</v>
      </c>
      <c r="L53" s="192">
        <f t="shared" si="9"/>
        <v>0</v>
      </c>
      <c r="M53" s="192">
        <f t="shared" ref="M53:R53" si="10">M18-M51</f>
        <v>0</v>
      </c>
      <c r="N53" s="192">
        <f t="shared" si="10"/>
        <v>4.8129999999999997</v>
      </c>
      <c r="O53" s="192">
        <f t="shared" si="10"/>
        <v>0</v>
      </c>
      <c r="P53" s="192">
        <f t="shared" ref="P53" si="11">P18-P51</f>
        <v>-1186.4769999999999</v>
      </c>
      <c r="Q53" s="192">
        <f t="shared" si="10"/>
        <v>18.942</v>
      </c>
      <c r="R53" s="192">
        <f t="shared" si="10"/>
        <v>0</v>
      </c>
      <c r="W53" s="32"/>
      <c r="X53" s="32"/>
      <c r="Y53" s="32"/>
    </row>
    <row r="54" spans="1:25">
      <c r="B54" s="188">
        <f t="shared" si="0"/>
        <v>41</v>
      </c>
      <c r="C54" s="178" t="s">
        <v>62</v>
      </c>
      <c r="D54" s="192"/>
      <c r="E54" s="192"/>
      <c r="F54" s="192"/>
      <c r="G54" s="1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W54" s="32"/>
      <c r="X54" s="32"/>
      <c r="Y54" s="32"/>
    </row>
    <row r="55" spans="1:25" s="9" customFormat="1">
      <c r="A55" s="39"/>
      <c r="B55" s="188">
        <f t="shared" si="0"/>
        <v>42</v>
      </c>
      <c r="C55" s="178"/>
      <c r="D55" s="192" t="s">
        <v>63</v>
      </c>
      <c r="E55" s="192"/>
      <c r="F55" s="192"/>
      <c r="G55" s="193">
        <f>SUM(H55:R55)</f>
        <v>-1538.4138</v>
      </c>
      <c r="H55" s="395">
        <f>+H102</f>
        <v>-159.91079999999999</v>
      </c>
      <c r="I55" s="395">
        <f t="shared" ref="I55:L55" si="12">+I102</f>
        <v>-14.3003</v>
      </c>
      <c r="J55" s="395">
        <f t="shared" si="12"/>
        <v>-957.24999999999989</v>
      </c>
      <c r="K55" s="395">
        <f t="shared" si="12"/>
        <v>0</v>
      </c>
      <c r="L55" s="395">
        <f t="shared" si="12"/>
        <v>0</v>
      </c>
      <c r="M55" s="395">
        <f t="shared" ref="M55:R55" si="13">+M102</f>
        <v>0</v>
      </c>
      <c r="N55" s="395">
        <f t="shared" si="13"/>
        <v>1.6845499999999998</v>
      </c>
      <c r="O55" s="395">
        <f t="shared" si="13"/>
        <v>0</v>
      </c>
      <c r="P55" s="395">
        <f t="shared" ref="P55" si="14">+P102</f>
        <v>-415.26694999999995</v>
      </c>
      <c r="Q55" s="395">
        <f t="shared" si="13"/>
        <v>6.6296999999999997</v>
      </c>
      <c r="R55" s="395">
        <f t="shared" si="13"/>
        <v>0</v>
      </c>
      <c r="S55" s="39"/>
      <c r="T55" s="39"/>
      <c r="U55" s="32"/>
      <c r="V55" s="32"/>
      <c r="W55" s="32"/>
      <c r="X55" s="32"/>
      <c r="Y55" s="32"/>
    </row>
    <row r="56" spans="1:25">
      <c r="B56" s="188">
        <f t="shared" si="0"/>
        <v>43</v>
      </c>
      <c r="C56" s="178"/>
      <c r="D56" s="192" t="s">
        <v>64</v>
      </c>
      <c r="E56" s="192"/>
      <c r="F56" s="192"/>
      <c r="G56" s="193">
        <f>SUM(H56:R56)</f>
        <v>0</v>
      </c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W56" s="32"/>
      <c r="X56" s="32"/>
      <c r="Y56" s="32"/>
    </row>
    <row r="57" spans="1:25">
      <c r="B57" s="188">
        <f t="shared" si="0"/>
        <v>44</v>
      </c>
      <c r="C57" s="178"/>
      <c r="D57" s="192" t="s">
        <v>65</v>
      </c>
      <c r="E57" s="192"/>
      <c r="F57" s="192"/>
      <c r="G57" s="194">
        <f>SUM(H57:R57)</f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W57" s="32"/>
      <c r="X57" s="32"/>
      <c r="Y57" s="32"/>
    </row>
    <row r="58" spans="1:25">
      <c r="B58" s="188">
        <f t="shared" si="0"/>
        <v>45</v>
      </c>
      <c r="C58" s="178"/>
      <c r="D58" s="178"/>
      <c r="E58" s="178"/>
      <c r="F58" s="178"/>
      <c r="G58" s="189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W58" s="32"/>
      <c r="X58" s="32"/>
      <c r="Y58" s="32"/>
    </row>
    <row r="59" spans="1:25" ht="12.75" thickBot="1">
      <c r="B59" s="188">
        <f t="shared" si="0"/>
        <v>46</v>
      </c>
      <c r="C59" s="190" t="s">
        <v>66</v>
      </c>
      <c r="D59" s="190"/>
      <c r="E59" s="190"/>
      <c r="F59" s="190"/>
      <c r="G59" s="197">
        <f t="shared" ref="G59:L59" si="15">G53-SUM(G55:G57)</f>
        <v>-2857.0541999999996</v>
      </c>
      <c r="H59" s="198">
        <f t="shared" si="15"/>
        <v>-296.97720000000004</v>
      </c>
      <c r="I59" s="198">
        <f t="shared" si="15"/>
        <v>-26.557700000000004</v>
      </c>
      <c r="J59" s="198">
        <f t="shared" si="15"/>
        <v>-1777.75</v>
      </c>
      <c r="K59" s="198">
        <f t="shared" si="15"/>
        <v>0</v>
      </c>
      <c r="L59" s="198">
        <f t="shared" si="15"/>
        <v>0</v>
      </c>
      <c r="M59" s="198">
        <f t="shared" ref="M59:R59" si="16">M53-SUM(M55:M57)</f>
        <v>0</v>
      </c>
      <c r="N59" s="198">
        <f t="shared" si="16"/>
        <v>3.12845</v>
      </c>
      <c r="O59" s="198">
        <f t="shared" si="16"/>
        <v>0</v>
      </c>
      <c r="P59" s="198">
        <f t="shared" ref="P59" si="17">P53-SUM(P55:P57)</f>
        <v>-771.21004999999991</v>
      </c>
      <c r="Q59" s="198">
        <f t="shared" si="16"/>
        <v>12.3123</v>
      </c>
      <c r="R59" s="198">
        <f t="shared" si="16"/>
        <v>0</v>
      </c>
      <c r="W59" s="32"/>
      <c r="X59" s="32"/>
      <c r="Y59" s="32"/>
    </row>
    <row r="60" spans="1:25" ht="12.75" thickTop="1">
      <c r="B60" s="188">
        <f t="shared" si="0"/>
        <v>47</v>
      </c>
      <c r="C60" s="178"/>
      <c r="D60" s="178"/>
      <c r="E60" s="178"/>
      <c r="F60" s="178"/>
      <c r="G60" s="189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W60" s="32"/>
      <c r="X60" s="32"/>
      <c r="Y60" s="32"/>
    </row>
    <row r="61" spans="1:25">
      <c r="B61" s="188">
        <f t="shared" si="0"/>
        <v>48</v>
      </c>
      <c r="C61" s="525" t="s">
        <v>78</v>
      </c>
      <c r="D61" s="526"/>
      <c r="E61" s="526"/>
      <c r="F61" s="527"/>
      <c r="G61" s="189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W61" s="32"/>
      <c r="X61" s="32"/>
      <c r="Y61" s="32"/>
    </row>
    <row r="62" spans="1:25" ht="18" customHeight="1">
      <c r="B62" s="188">
        <f t="shared" si="0"/>
        <v>49</v>
      </c>
      <c r="C62" s="178" t="s">
        <v>79</v>
      </c>
      <c r="D62" s="178"/>
      <c r="E62" s="178"/>
      <c r="F62" s="178"/>
      <c r="G62" s="189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W62" s="32"/>
      <c r="X62" s="32"/>
      <c r="Y62" s="32"/>
    </row>
    <row r="63" spans="1:25">
      <c r="B63" s="188">
        <f t="shared" si="0"/>
        <v>50</v>
      </c>
      <c r="C63" s="192"/>
      <c r="D63" s="192" t="s">
        <v>49</v>
      </c>
      <c r="E63" s="192"/>
      <c r="F63" s="192"/>
      <c r="G63" s="193">
        <f>SUM(H63:R63)</f>
        <v>8614</v>
      </c>
      <c r="H63" s="16"/>
      <c r="I63" s="16"/>
      <c r="J63" s="16">
        <v>8614</v>
      </c>
      <c r="K63" s="16">
        <v>0</v>
      </c>
      <c r="L63" s="16">
        <v>0</v>
      </c>
      <c r="M63" s="16"/>
      <c r="N63" s="16"/>
      <c r="O63" s="16"/>
      <c r="P63" s="16"/>
      <c r="Q63" s="16"/>
      <c r="R63" s="16"/>
      <c r="W63" s="32"/>
      <c r="X63" s="32"/>
      <c r="Y63" s="32"/>
    </row>
    <row r="64" spans="1:25">
      <c r="B64" s="188">
        <f t="shared" si="0"/>
        <v>51</v>
      </c>
      <c r="C64" s="192"/>
      <c r="D64" s="192" t="s">
        <v>67</v>
      </c>
      <c r="E64" s="192"/>
      <c r="F64" s="192"/>
      <c r="G64" s="193">
        <f>SUM(H64:R64)</f>
        <v>0</v>
      </c>
      <c r="H64" s="395"/>
      <c r="I64" s="395"/>
      <c r="J64" s="395"/>
      <c r="K64" s="16">
        <v>0</v>
      </c>
      <c r="L64" s="395">
        <v>0</v>
      </c>
      <c r="M64" s="395"/>
      <c r="N64" s="395"/>
      <c r="O64" s="395"/>
      <c r="P64" s="395"/>
      <c r="Q64" s="395"/>
      <c r="R64" s="395"/>
      <c r="W64" s="32"/>
      <c r="X64" s="32"/>
      <c r="Y64" s="32"/>
    </row>
    <row r="65" spans="1:25">
      <c r="B65" s="188">
        <f t="shared" si="0"/>
        <v>52</v>
      </c>
      <c r="C65" s="192"/>
      <c r="D65" s="192" t="s">
        <v>68</v>
      </c>
      <c r="E65" s="192"/>
      <c r="F65" s="192"/>
      <c r="G65" s="194">
        <f>SUM(H65:R65)</f>
        <v>0</v>
      </c>
      <c r="H65" s="15"/>
      <c r="I65" s="15"/>
      <c r="J65" s="15"/>
      <c r="K65" s="27"/>
      <c r="L65" s="15">
        <v>0</v>
      </c>
      <c r="M65" s="15"/>
      <c r="N65" s="15"/>
      <c r="O65" s="15"/>
      <c r="P65" s="15"/>
      <c r="Q65" s="15"/>
      <c r="R65" s="15"/>
      <c r="W65" s="32"/>
      <c r="X65" s="32"/>
      <c r="Y65" s="32"/>
    </row>
    <row r="66" spans="1:25">
      <c r="B66" s="188">
        <f t="shared" si="0"/>
        <v>53</v>
      </c>
      <c r="C66" s="192"/>
      <c r="D66" s="192"/>
      <c r="E66" s="192"/>
      <c r="F66" s="192" t="s">
        <v>69</v>
      </c>
      <c r="G66" s="195">
        <f t="shared" ref="G66:L66" si="18">SUM(G63:G65)</f>
        <v>8614</v>
      </c>
      <c r="H66" s="192">
        <f t="shared" si="18"/>
        <v>0</v>
      </c>
      <c r="I66" s="192">
        <f t="shared" si="18"/>
        <v>0</v>
      </c>
      <c r="J66" s="192">
        <f t="shared" si="18"/>
        <v>8614</v>
      </c>
      <c r="K66" s="192">
        <f t="shared" si="18"/>
        <v>0</v>
      </c>
      <c r="L66" s="192">
        <f t="shared" si="18"/>
        <v>0</v>
      </c>
      <c r="M66" s="192">
        <f t="shared" ref="M66:R66" si="19">SUM(M63:M65)</f>
        <v>0</v>
      </c>
      <c r="N66" s="192">
        <f t="shared" si="19"/>
        <v>0</v>
      </c>
      <c r="O66" s="192">
        <f t="shared" si="19"/>
        <v>0</v>
      </c>
      <c r="P66" s="192">
        <f t="shared" si="19"/>
        <v>0</v>
      </c>
      <c r="Q66" s="192">
        <f t="shared" si="19"/>
        <v>0</v>
      </c>
      <c r="R66" s="192">
        <f t="shared" si="19"/>
        <v>0</v>
      </c>
      <c r="W66" s="32"/>
      <c r="X66" s="32"/>
      <c r="Y66" s="32"/>
    </row>
    <row r="67" spans="1:25">
      <c r="B67" s="188">
        <f t="shared" si="0"/>
        <v>54</v>
      </c>
      <c r="C67" s="192" t="s">
        <v>70</v>
      </c>
      <c r="D67" s="192"/>
      <c r="E67" s="192"/>
      <c r="F67" s="192"/>
      <c r="G67" s="1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W67" s="32"/>
      <c r="X67" s="32"/>
      <c r="Y67" s="32"/>
    </row>
    <row r="68" spans="1:25" s="12" customFormat="1" ht="18.95" customHeight="1">
      <c r="A68" s="40"/>
      <c r="B68" s="188">
        <f t="shared" si="0"/>
        <v>55</v>
      </c>
      <c r="C68" s="192"/>
      <c r="D68" s="192" t="s">
        <v>49</v>
      </c>
      <c r="E68" s="192"/>
      <c r="F68" s="192"/>
      <c r="G68" s="193">
        <f>SUM(H68:R68)</f>
        <v>0</v>
      </c>
      <c r="H68" s="395"/>
      <c r="I68" s="395"/>
      <c r="J68" s="395"/>
      <c r="K68" s="16">
        <v>0</v>
      </c>
      <c r="L68" s="395">
        <v>0</v>
      </c>
      <c r="M68" s="395"/>
      <c r="N68" s="395"/>
      <c r="O68" s="395"/>
      <c r="P68" s="395"/>
      <c r="Q68" s="395"/>
      <c r="R68" s="395"/>
      <c r="S68" s="40"/>
      <c r="T68" s="40"/>
      <c r="U68" s="32"/>
      <c r="V68" s="32"/>
      <c r="W68" s="32"/>
      <c r="X68" s="32"/>
      <c r="Y68" s="32"/>
    </row>
    <row r="69" spans="1:25">
      <c r="B69" s="188">
        <f t="shared" si="0"/>
        <v>56</v>
      </c>
      <c r="C69" s="192"/>
      <c r="D69" s="192" t="s">
        <v>67</v>
      </c>
      <c r="E69" s="192"/>
      <c r="F69" s="192"/>
      <c r="G69" s="193">
        <f>SUM(H69:R69)</f>
        <v>266</v>
      </c>
      <c r="H69" s="395"/>
      <c r="I69" s="395"/>
      <c r="J69" s="395">
        <v>266</v>
      </c>
      <c r="K69" s="16">
        <v>0</v>
      </c>
      <c r="L69" s="395">
        <v>0</v>
      </c>
      <c r="M69" s="395"/>
      <c r="N69" s="395"/>
      <c r="O69" s="395"/>
      <c r="P69" s="395"/>
      <c r="Q69" s="395"/>
      <c r="R69" s="395"/>
      <c r="W69" s="32"/>
      <c r="X69" s="32"/>
      <c r="Y69" s="32"/>
    </row>
    <row r="70" spans="1:25">
      <c r="B70" s="188">
        <f t="shared" si="0"/>
        <v>57</v>
      </c>
      <c r="C70" s="192"/>
      <c r="D70" s="192" t="s">
        <v>68</v>
      </c>
      <c r="E70" s="192"/>
      <c r="F70" s="192"/>
      <c r="G70" s="194">
        <f>SUM(H70:R70)</f>
        <v>0</v>
      </c>
      <c r="H70" s="395"/>
      <c r="I70" s="395"/>
      <c r="J70" s="395"/>
      <c r="K70" s="16"/>
      <c r="L70" s="395">
        <v>0</v>
      </c>
      <c r="M70" s="395"/>
      <c r="N70" s="395"/>
      <c r="O70" s="395"/>
      <c r="P70" s="395"/>
      <c r="Q70" s="395"/>
      <c r="R70" s="395"/>
      <c r="W70" s="32"/>
      <c r="X70" s="32"/>
      <c r="Y70" s="32"/>
    </row>
    <row r="71" spans="1:25">
      <c r="B71" s="188">
        <f t="shared" si="0"/>
        <v>58</v>
      </c>
      <c r="C71" s="192"/>
      <c r="D71" s="192"/>
      <c r="E71" s="192"/>
      <c r="F71" s="192" t="s">
        <v>71</v>
      </c>
      <c r="G71" s="199">
        <f t="shared" ref="G71:L71" si="20">SUM(G68:G70)</f>
        <v>266</v>
      </c>
      <c r="H71" s="200">
        <f t="shared" si="20"/>
        <v>0</v>
      </c>
      <c r="I71" s="200">
        <f t="shared" si="20"/>
        <v>0</v>
      </c>
      <c r="J71" s="200">
        <f t="shared" si="20"/>
        <v>266</v>
      </c>
      <c r="K71" s="200">
        <f t="shared" si="20"/>
        <v>0</v>
      </c>
      <c r="L71" s="200">
        <f t="shared" si="20"/>
        <v>0</v>
      </c>
      <c r="M71" s="200">
        <f t="shared" ref="M71:R71" si="21">SUM(M68:M70)</f>
        <v>0</v>
      </c>
      <c r="N71" s="200">
        <f t="shared" si="21"/>
        <v>0</v>
      </c>
      <c r="O71" s="200">
        <f t="shared" si="21"/>
        <v>0</v>
      </c>
      <c r="P71" s="200">
        <f t="shared" si="21"/>
        <v>0</v>
      </c>
      <c r="Q71" s="200">
        <f t="shared" si="21"/>
        <v>0</v>
      </c>
      <c r="R71" s="200">
        <f t="shared" si="21"/>
        <v>0</v>
      </c>
      <c r="W71" s="32"/>
      <c r="X71" s="32"/>
      <c r="Y71" s="32"/>
    </row>
    <row r="72" spans="1:25" s="9" customFormat="1" ht="17.25" customHeight="1">
      <c r="A72" s="39"/>
      <c r="B72" s="188">
        <f t="shared" si="0"/>
        <v>59</v>
      </c>
      <c r="C72" s="201" t="s">
        <v>72</v>
      </c>
      <c r="D72" s="201"/>
      <c r="E72" s="201"/>
      <c r="F72" s="201"/>
      <c r="G72" s="193">
        <f>SUM(H72:R72)</f>
        <v>-473</v>
      </c>
      <c r="H72" s="397"/>
      <c r="I72" s="397"/>
      <c r="J72" s="397">
        <v>-473</v>
      </c>
      <c r="K72" s="16"/>
      <c r="L72" s="397">
        <v>0</v>
      </c>
      <c r="M72" s="397"/>
      <c r="N72" s="397"/>
      <c r="O72" s="397"/>
      <c r="P72" s="397"/>
      <c r="Q72" s="397"/>
      <c r="R72" s="397"/>
      <c r="S72" s="39"/>
      <c r="T72" s="39"/>
      <c r="U72" s="32"/>
      <c r="V72" s="32"/>
      <c r="W72" s="32"/>
      <c r="X72" s="32"/>
      <c r="Y72" s="32"/>
    </row>
    <row r="73" spans="1:25" ht="18" customHeight="1">
      <c r="B73" s="188">
        <f t="shared" si="0"/>
        <v>60</v>
      </c>
      <c r="C73" s="192" t="s">
        <v>73</v>
      </c>
      <c r="D73" s="192"/>
      <c r="E73" s="192"/>
      <c r="F73" s="192"/>
      <c r="G73" s="193">
        <f>SUM(H73:R73)</f>
        <v>1047</v>
      </c>
      <c r="H73" s="395"/>
      <c r="I73" s="395"/>
      <c r="J73" s="43">
        <v>1047</v>
      </c>
      <c r="K73" s="16"/>
      <c r="L73" s="395"/>
      <c r="M73" s="395"/>
      <c r="N73" s="395"/>
      <c r="O73" s="395"/>
      <c r="P73" s="395"/>
      <c r="Q73" s="395"/>
      <c r="R73" s="395"/>
      <c r="W73" s="32"/>
      <c r="X73" s="32"/>
      <c r="Y73" s="32"/>
    </row>
    <row r="74" spans="1:25">
      <c r="B74" s="188">
        <f t="shared" si="0"/>
        <v>61</v>
      </c>
      <c r="C74" s="192" t="s">
        <v>74</v>
      </c>
      <c r="D74" s="192"/>
      <c r="E74" s="192"/>
      <c r="F74" s="192"/>
      <c r="G74" s="194">
        <f>SUM(H74:R74)</f>
        <v>0</v>
      </c>
      <c r="H74" s="15"/>
      <c r="I74" s="15"/>
      <c r="J74" s="15"/>
      <c r="K74" s="27"/>
      <c r="L74" s="15"/>
      <c r="M74" s="15"/>
      <c r="N74" s="15"/>
      <c r="O74" s="15"/>
      <c r="P74" s="15"/>
      <c r="Q74" s="15"/>
      <c r="R74" s="15"/>
      <c r="W74" s="32"/>
      <c r="X74" s="32"/>
      <c r="Y74" s="32"/>
    </row>
    <row r="75" spans="1:25">
      <c r="B75" s="188">
        <f t="shared" si="0"/>
        <v>62</v>
      </c>
      <c r="C75" s="178"/>
      <c r="D75" s="178"/>
      <c r="E75" s="178"/>
      <c r="F75" s="178"/>
      <c r="G75" s="189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W75" s="32"/>
      <c r="X75" s="32"/>
      <c r="Y75" s="32"/>
    </row>
    <row r="76" spans="1:25" ht="12.75" thickBot="1">
      <c r="B76" s="188">
        <f t="shared" si="0"/>
        <v>63</v>
      </c>
      <c r="C76" s="202" t="s">
        <v>75</v>
      </c>
      <c r="D76" s="190"/>
      <c r="E76" s="190"/>
      <c r="F76" s="190"/>
      <c r="G76" s="197">
        <f t="shared" ref="G76:L76" si="22">G66-G71+G72+G73+G74</f>
        <v>8922</v>
      </c>
      <c r="H76" s="198">
        <f t="shared" si="22"/>
        <v>0</v>
      </c>
      <c r="I76" s="198">
        <f t="shared" si="22"/>
        <v>0</v>
      </c>
      <c r="J76" s="198">
        <f t="shared" si="22"/>
        <v>8922</v>
      </c>
      <c r="K76" s="198">
        <f t="shared" si="22"/>
        <v>0</v>
      </c>
      <c r="L76" s="198">
        <f t="shared" si="22"/>
        <v>0</v>
      </c>
      <c r="M76" s="198">
        <f t="shared" ref="M76:R76" si="23">M66-M71+M72+M73+M74</f>
        <v>0</v>
      </c>
      <c r="N76" s="198">
        <f t="shared" si="23"/>
        <v>0</v>
      </c>
      <c r="O76" s="198">
        <f t="shared" si="23"/>
        <v>0</v>
      </c>
      <c r="P76" s="198">
        <f t="shared" si="23"/>
        <v>0</v>
      </c>
      <c r="Q76" s="198">
        <f t="shared" si="23"/>
        <v>0</v>
      </c>
      <c r="R76" s="198">
        <f t="shared" si="23"/>
        <v>0</v>
      </c>
      <c r="W76" s="32"/>
      <c r="X76" s="32"/>
      <c r="Y76" s="32"/>
    </row>
    <row r="77" spans="1:25" s="32" customFormat="1" ht="12.75" thickTop="1">
      <c r="B77" s="188">
        <f t="shared" si="0"/>
        <v>64</v>
      </c>
      <c r="C77" s="174"/>
      <c r="D77" s="175"/>
      <c r="E77" s="175"/>
      <c r="F77" s="176"/>
      <c r="G77" s="14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25" s="32" customForma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25" s="32" customForma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25" s="32" customFormat="1">
      <c r="B80" s="41">
        <v>1</v>
      </c>
      <c r="C80" s="525" t="s">
        <v>205</v>
      </c>
      <c r="D80" s="526"/>
      <c r="E80" s="526"/>
      <c r="F80" s="527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</row>
    <row r="81" spans="2:25" s="32" customFormat="1">
      <c r="B81" s="41">
        <f t="shared" ref="B81:B101" si="24">+B80+1</f>
        <v>2</v>
      </c>
      <c r="C81" s="207"/>
      <c r="D81" s="209" t="s">
        <v>191</v>
      </c>
      <c r="E81" s="211"/>
      <c r="F81" s="12"/>
      <c r="G81" s="11">
        <f t="shared" ref="G81:L81" si="25">+G18</f>
        <v>-2561</v>
      </c>
      <c r="H81" s="11">
        <f t="shared" si="25"/>
        <v>0</v>
      </c>
      <c r="I81" s="11">
        <f t="shared" si="25"/>
        <v>0</v>
      </c>
      <c r="J81" s="11">
        <f t="shared" si="25"/>
        <v>-2561</v>
      </c>
      <c r="K81" s="11">
        <f t="shared" si="25"/>
        <v>0</v>
      </c>
      <c r="L81" s="11">
        <f t="shared" si="25"/>
        <v>0</v>
      </c>
      <c r="M81" s="11">
        <f t="shared" ref="M81:R81" si="26">+M18</f>
        <v>0</v>
      </c>
      <c r="N81" s="11">
        <f t="shared" si="26"/>
        <v>0</v>
      </c>
      <c r="O81" s="11">
        <f t="shared" si="26"/>
        <v>0</v>
      </c>
      <c r="P81" s="11">
        <f t="shared" si="26"/>
        <v>0</v>
      </c>
      <c r="Q81" s="11">
        <f t="shared" si="26"/>
        <v>0</v>
      </c>
      <c r="R81" s="11">
        <f t="shared" si="26"/>
        <v>0</v>
      </c>
    </row>
    <row r="82" spans="2:25" s="32" customFormat="1">
      <c r="B82" s="41">
        <f t="shared" si="24"/>
        <v>3</v>
      </c>
      <c r="C82" s="207"/>
      <c r="D82" s="209" t="s">
        <v>192</v>
      </c>
      <c r="E82" s="211"/>
      <c r="F82" s="12"/>
      <c r="G82" s="11">
        <f>-G51</f>
        <v>-1834.4679999999998</v>
      </c>
      <c r="H82" s="11">
        <f t="shared" ref="H82:L82" si="27">-H51</f>
        <v>-456.88800000000003</v>
      </c>
      <c r="I82" s="11">
        <f t="shared" si="27"/>
        <v>-40.858000000000004</v>
      </c>
      <c r="J82" s="11">
        <f t="shared" si="27"/>
        <v>-174</v>
      </c>
      <c r="K82" s="11">
        <f t="shared" si="27"/>
        <v>0</v>
      </c>
      <c r="L82" s="11">
        <f t="shared" si="27"/>
        <v>0</v>
      </c>
      <c r="M82" s="11">
        <f t="shared" ref="M82:R82" si="28">-M51</f>
        <v>0</v>
      </c>
      <c r="N82" s="11">
        <f t="shared" si="28"/>
        <v>4.8129999999999997</v>
      </c>
      <c r="O82" s="11">
        <f t="shared" si="28"/>
        <v>0</v>
      </c>
      <c r="P82" s="11">
        <f t="shared" si="28"/>
        <v>-1186.4769999999999</v>
      </c>
      <c r="Q82" s="11">
        <f t="shared" si="28"/>
        <v>18.942</v>
      </c>
      <c r="R82" s="11">
        <f t="shared" si="28"/>
        <v>0</v>
      </c>
    </row>
    <row r="83" spans="2:25">
      <c r="B83" s="41">
        <f t="shared" si="24"/>
        <v>4</v>
      </c>
      <c r="C83" s="207"/>
      <c r="D83" s="209" t="s">
        <v>193</v>
      </c>
      <c r="E83" s="211"/>
      <c r="F83" s="12"/>
      <c r="G83" s="11"/>
      <c r="H83" s="233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W83" s="32"/>
      <c r="X83" s="32"/>
      <c r="Y83" s="32"/>
    </row>
    <row r="84" spans="2:25">
      <c r="B84" s="41">
        <f t="shared" si="24"/>
        <v>5</v>
      </c>
      <c r="C84" s="207"/>
      <c r="D84" s="209"/>
      <c r="E84" s="211"/>
      <c r="F84" s="12"/>
      <c r="G84" s="227"/>
      <c r="H84" s="233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W84" s="32"/>
      <c r="X84" s="32"/>
      <c r="Y84" s="32"/>
    </row>
    <row r="85" spans="2:25">
      <c r="B85" s="41">
        <f t="shared" si="24"/>
        <v>6</v>
      </c>
      <c r="C85" s="207"/>
      <c r="D85" s="220" t="s">
        <v>200</v>
      </c>
      <c r="E85" s="211"/>
      <c r="F85" s="12"/>
      <c r="G85" s="226"/>
      <c r="H85" s="234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W85" s="32"/>
      <c r="X85" s="32"/>
      <c r="Y85" s="32"/>
    </row>
    <row r="86" spans="2:25">
      <c r="B86" s="41">
        <f t="shared" si="24"/>
        <v>7</v>
      </c>
      <c r="C86" s="207"/>
      <c r="D86" s="209" t="s">
        <v>207</v>
      </c>
      <c r="E86" s="211"/>
      <c r="F86" s="12"/>
      <c r="G86" s="11"/>
      <c r="H86" s="234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W86" s="32"/>
      <c r="X86" s="32"/>
      <c r="Y86" s="32"/>
    </row>
    <row r="87" spans="2:25">
      <c r="B87" s="223">
        <f t="shared" si="24"/>
        <v>8</v>
      </c>
      <c r="C87" s="207"/>
      <c r="D87" s="209" t="s">
        <v>206</v>
      </c>
      <c r="E87" s="211"/>
      <c r="F87" s="12"/>
      <c r="G87" s="11"/>
      <c r="H87" s="233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W87" s="32"/>
      <c r="X87" s="32"/>
      <c r="Y87" s="32"/>
    </row>
    <row r="88" spans="2:25">
      <c r="B88" s="223">
        <f t="shared" si="24"/>
        <v>9</v>
      </c>
      <c r="C88" s="207"/>
      <c r="D88" s="209" t="s">
        <v>208</v>
      </c>
      <c r="E88" s="209"/>
      <c r="F88" s="12"/>
      <c r="G88" s="11"/>
      <c r="H88" s="233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W88" s="32"/>
      <c r="X88" s="32"/>
      <c r="Y88" s="32"/>
    </row>
    <row r="89" spans="2:25">
      <c r="B89" s="223">
        <f t="shared" si="24"/>
        <v>10</v>
      </c>
      <c r="C89" s="207"/>
      <c r="D89" s="209"/>
      <c r="E89" s="211"/>
      <c r="F89" s="12"/>
      <c r="G89" s="11"/>
      <c r="H89" s="233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W89" s="32"/>
      <c r="X89" s="32"/>
      <c r="Y89" s="32"/>
    </row>
    <row r="90" spans="2:25">
      <c r="B90" s="223">
        <f t="shared" si="24"/>
        <v>11</v>
      </c>
      <c r="C90" s="207"/>
      <c r="E90" s="211"/>
      <c r="F90" s="210" t="s">
        <v>202</v>
      </c>
      <c r="G90" s="242">
        <f t="shared" ref="G90:L90" si="29">SUM(G86:G89)</f>
        <v>0</v>
      </c>
      <c r="H90" s="242">
        <f t="shared" si="29"/>
        <v>0</v>
      </c>
      <c r="I90" s="242">
        <f t="shared" si="29"/>
        <v>0</v>
      </c>
      <c r="J90" s="242">
        <f t="shared" si="29"/>
        <v>0</v>
      </c>
      <c r="K90" s="242">
        <f t="shared" si="29"/>
        <v>0</v>
      </c>
      <c r="L90" s="242">
        <f t="shared" si="29"/>
        <v>0</v>
      </c>
      <c r="M90" s="242">
        <f t="shared" ref="M90:R90" si="30">SUM(M86:M89)</f>
        <v>0</v>
      </c>
      <c r="N90" s="242">
        <f t="shared" si="30"/>
        <v>0</v>
      </c>
      <c r="O90" s="242">
        <f t="shared" si="30"/>
        <v>0</v>
      </c>
      <c r="P90" s="242">
        <f t="shared" si="30"/>
        <v>0</v>
      </c>
      <c r="Q90" s="242">
        <f t="shared" si="30"/>
        <v>0</v>
      </c>
      <c r="R90" s="242">
        <f t="shared" si="30"/>
        <v>0</v>
      </c>
      <c r="W90" s="32"/>
      <c r="X90" s="32"/>
      <c r="Y90" s="32"/>
    </row>
    <row r="91" spans="2:25">
      <c r="B91" s="223">
        <f t="shared" si="24"/>
        <v>12</v>
      </c>
      <c r="C91" s="207"/>
      <c r="D91" s="210"/>
      <c r="E91" s="211"/>
      <c r="F91" s="12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W91" s="32"/>
      <c r="X91" s="32"/>
      <c r="Y91" s="32"/>
    </row>
    <row r="92" spans="2:25">
      <c r="B92" s="223">
        <f t="shared" si="24"/>
        <v>13</v>
      </c>
      <c r="C92" s="207"/>
      <c r="D92" s="220" t="s">
        <v>201</v>
      </c>
      <c r="E92" s="211"/>
      <c r="F92" s="12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W92" s="32"/>
      <c r="X92" s="32"/>
      <c r="Y92" s="32"/>
    </row>
    <row r="93" spans="2:25">
      <c r="B93" s="223">
        <f t="shared" si="24"/>
        <v>14</v>
      </c>
      <c r="C93" s="207"/>
      <c r="D93" s="220" t="s">
        <v>194</v>
      </c>
      <c r="E93" s="211"/>
      <c r="F93" s="12"/>
      <c r="G93" s="11"/>
      <c r="H93" s="233"/>
      <c r="I93" s="233">
        <v>0</v>
      </c>
      <c r="J93" s="233">
        <v>0</v>
      </c>
      <c r="K93" s="233">
        <v>0</v>
      </c>
      <c r="L93" s="233">
        <v>0</v>
      </c>
      <c r="M93" s="233">
        <v>0</v>
      </c>
      <c r="N93" s="233">
        <v>0</v>
      </c>
      <c r="O93" s="233">
        <v>0</v>
      </c>
      <c r="P93" s="233">
        <v>0</v>
      </c>
      <c r="Q93" s="233">
        <v>0</v>
      </c>
      <c r="R93" s="233">
        <v>0</v>
      </c>
      <c r="W93" s="32"/>
      <c r="X93" s="32"/>
      <c r="Y93" s="32"/>
    </row>
    <row r="94" spans="2:25">
      <c r="B94" s="223">
        <f t="shared" si="24"/>
        <v>15</v>
      </c>
      <c r="C94" s="207"/>
      <c r="D94" s="209" t="s">
        <v>199</v>
      </c>
      <c r="E94" s="211"/>
      <c r="F94" s="12"/>
      <c r="G94" s="11"/>
      <c r="H94" s="233"/>
      <c r="I94" s="233">
        <v>0</v>
      </c>
      <c r="J94" s="233">
        <v>0</v>
      </c>
      <c r="K94" s="233">
        <v>0</v>
      </c>
      <c r="L94" s="233">
        <v>0</v>
      </c>
      <c r="M94" s="233">
        <v>0</v>
      </c>
      <c r="N94" s="233">
        <v>0</v>
      </c>
      <c r="O94" s="233">
        <v>0</v>
      </c>
      <c r="P94" s="233">
        <v>0</v>
      </c>
      <c r="Q94" s="233">
        <v>0</v>
      </c>
      <c r="R94" s="233">
        <v>0</v>
      </c>
      <c r="W94" s="32"/>
      <c r="X94" s="32"/>
      <c r="Y94" s="32"/>
    </row>
    <row r="95" spans="2:25">
      <c r="B95" s="223">
        <f t="shared" si="24"/>
        <v>16</v>
      </c>
      <c r="C95" s="207"/>
      <c r="D95" s="209"/>
      <c r="E95" s="211"/>
      <c r="F95" s="12"/>
      <c r="G95" s="11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W95" s="32"/>
      <c r="X95" s="32"/>
      <c r="Y95" s="32"/>
    </row>
    <row r="96" spans="2:25">
      <c r="B96" s="223">
        <f t="shared" si="24"/>
        <v>17</v>
      </c>
      <c r="C96" s="207"/>
      <c r="E96" s="211"/>
      <c r="F96" s="210" t="s">
        <v>195</v>
      </c>
      <c r="G96" s="26">
        <f>SUM(G93:G94)</f>
        <v>0</v>
      </c>
      <c r="H96" s="26">
        <f t="shared" ref="H96:L96" si="31">SUM(H93:H94)</f>
        <v>0</v>
      </c>
      <c r="I96" s="26">
        <f t="shared" si="31"/>
        <v>0</v>
      </c>
      <c r="J96" s="26">
        <f t="shared" si="31"/>
        <v>0</v>
      </c>
      <c r="K96" s="26">
        <f t="shared" si="31"/>
        <v>0</v>
      </c>
      <c r="L96" s="26">
        <f t="shared" si="31"/>
        <v>0</v>
      </c>
      <c r="M96" s="26">
        <f t="shared" ref="M96:R96" si="32">SUM(M93:M94)</f>
        <v>0</v>
      </c>
      <c r="N96" s="26">
        <f t="shared" si="32"/>
        <v>0</v>
      </c>
      <c r="O96" s="26">
        <f t="shared" si="32"/>
        <v>0</v>
      </c>
      <c r="P96" s="26">
        <f t="shared" si="32"/>
        <v>0</v>
      </c>
      <c r="Q96" s="26">
        <f t="shared" si="32"/>
        <v>0</v>
      </c>
      <c r="R96" s="26">
        <f t="shared" si="32"/>
        <v>0</v>
      </c>
      <c r="W96" s="32"/>
      <c r="X96" s="32"/>
      <c r="Y96" s="32"/>
    </row>
    <row r="97" spans="2:25">
      <c r="B97" s="223">
        <f t="shared" si="24"/>
        <v>18</v>
      </c>
      <c r="C97" s="207"/>
      <c r="D97" s="210"/>
      <c r="E97" s="211"/>
      <c r="F97" s="12"/>
      <c r="G97" s="229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W97" s="32"/>
      <c r="X97" s="32"/>
      <c r="Y97" s="32"/>
    </row>
    <row r="98" spans="2:25">
      <c r="B98" s="223">
        <f t="shared" si="24"/>
        <v>19</v>
      </c>
      <c r="C98" s="207"/>
      <c r="D98" s="209" t="s">
        <v>203</v>
      </c>
      <c r="E98" s="211"/>
      <c r="F98" s="12"/>
      <c r="G98" s="227">
        <f t="shared" ref="G98:L98" si="33">+G81+G82+G83+G90-G96</f>
        <v>-4395.4679999999998</v>
      </c>
      <c r="H98" s="236">
        <f t="shared" si="33"/>
        <v>-456.88800000000003</v>
      </c>
      <c r="I98" s="236">
        <f t="shared" si="33"/>
        <v>-40.858000000000004</v>
      </c>
      <c r="J98" s="236">
        <f t="shared" si="33"/>
        <v>-2735</v>
      </c>
      <c r="K98" s="236">
        <f t="shared" si="33"/>
        <v>0</v>
      </c>
      <c r="L98" s="236">
        <f t="shared" si="33"/>
        <v>0</v>
      </c>
      <c r="M98" s="236">
        <f t="shared" ref="M98:R98" si="34">+M81+M82+M83+M90-M96</f>
        <v>0</v>
      </c>
      <c r="N98" s="236">
        <f t="shared" si="34"/>
        <v>4.8129999999999997</v>
      </c>
      <c r="O98" s="236">
        <f t="shared" si="34"/>
        <v>0</v>
      </c>
      <c r="P98" s="236">
        <f t="shared" si="34"/>
        <v>-1186.4769999999999</v>
      </c>
      <c r="Q98" s="236">
        <f t="shared" si="34"/>
        <v>18.942</v>
      </c>
      <c r="R98" s="236">
        <f t="shared" si="34"/>
        <v>0</v>
      </c>
      <c r="W98" s="32"/>
      <c r="X98" s="32"/>
      <c r="Y98" s="32"/>
    </row>
    <row r="99" spans="2:25">
      <c r="B99" s="223">
        <f t="shared" si="24"/>
        <v>20</v>
      </c>
      <c r="C99" s="207"/>
      <c r="D99" s="209" t="s">
        <v>196</v>
      </c>
      <c r="E99" s="211"/>
      <c r="F99" s="12"/>
      <c r="G99" s="230">
        <v>0.35</v>
      </c>
      <c r="H99" s="230">
        <f t="shared" ref="H99:L99" si="35">+G99</f>
        <v>0.35</v>
      </c>
      <c r="I99" s="230">
        <f t="shared" si="35"/>
        <v>0.35</v>
      </c>
      <c r="J99" s="230">
        <f t="shared" si="35"/>
        <v>0.35</v>
      </c>
      <c r="K99" s="230">
        <f t="shared" si="35"/>
        <v>0.35</v>
      </c>
      <c r="L99" s="230">
        <f t="shared" si="35"/>
        <v>0.35</v>
      </c>
      <c r="M99" s="230">
        <f t="shared" ref="M99" si="36">+L99</f>
        <v>0.35</v>
      </c>
      <c r="N99" s="230">
        <f t="shared" ref="N99" si="37">+M99</f>
        <v>0.35</v>
      </c>
      <c r="O99" s="230">
        <f t="shared" ref="O99" si="38">+N99</f>
        <v>0.35</v>
      </c>
      <c r="P99" s="230">
        <f t="shared" ref="P99" si="39">+O99</f>
        <v>0.35</v>
      </c>
      <c r="Q99" s="230">
        <f t="shared" ref="Q99" si="40">+P99</f>
        <v>0.35</v>
      </c>
      <c r="R99" s="230">
        <f t="shared" ref="R99" si="41">+Q99</f>
        <v>0.35</v>
      </c>
      <c r="W99" s="32"/>
      <c r="X99" s="32"/>
      <c r="Y99" s="32"/>
    </row>
    <row r="100" spans="2:25">
      <c r="B100" s="223">
        <f t="shared" si="24"/>
        <v>21</v>
      </c>
      <c r="C100" s="207"/>
      <c r="D100" s="220" t="s">
        <v>197</v>
      </c>
      <c r="E100" s="211"/>
      <c r="F100" s="12"/>
      <c r="G100" s="229">
        <f>G98*G99</f>
        <v>-1538.4137999999998</v>
      </c>
      <c r="H100" s="236">
        <f t="shared" ref="H100:L100" si="42">H98*H99</f>
        <v>-159.91079999999999</v>
      </c>
      <c r="I100" s="236">
        <f t="shared" si="42"/>
        <v>-14.3003</v>
      </c>
      <c r="J100" s="236">
        <f t="shared" si="42"/>
        <v>-957.24999999999989</v>
      </c>
      <c r="K100" s="236">
        <f t="shared" si="42"/>
        <v>0</v>
      </c>
      <c r="L100" s="236">
        <f t="shared" si="42"/>
        <v>0</v>
      </c>
      <c r="M100" s="236">
        <f t="shared" ref="M100:R100" si="43">M98*M99</f>
        <v>0</v>
      </c>
      <c r="N100" s="236">
        <f t="shared" si="43"/>
        <v>1.6845499999999998</v>
      </c>
      <c r="O100" s="236">
        <f t="shared" si="43"/>
        <v>0</v>
      </c>
      <c r="P100" s="236">
        <f t="shared" si="43"/>
        <v>-415.26694999999995</v>
      </c>
      <c r="Q100" s="236">
        <f t="shared" si="43"/>
        <v>6.6296999999999997</v>
      </c>
      <c r="R100" s="236">
        <f t="shared" si="43"/>
        <v>0</v>
      </c>
      <c r="W100" s="32"/>
      <c r="X100" s="32"/>
      <c r="Y100" s="32"/>
    </row>
    <row r="101" spans="2:25">
      <c r="B101" s="223">
        <f t="shared" si="24"/>
        <v>22</v>
      </c>
      <c r="C101" s="207"/>
      <c r="D101" s="209" t="s">
        <v>198</v>
      </c>
      <c r="E101" s="211"/>
      <c r="F101" s="12"/>
      <c r="G101" s="243">
        <v>-3050.0540000000001</v>
      </c>
      <c r="H101" s="238">
        <v>0</v>
      </c>
      <c r="I101" s="238"/>
      <c r="J101" s="238">
        <v>0</v>
      </c>
      <c r="K101" s="238">
        <f>+J101+I101</f>
        <v>0</v>
      </c>
      <c r="L101" s="238"/>
      <c r="M101" s="238"/>
      <c r="N101" s="238"/>
      <c r="O101" s="238"/>
      <c r="P101" s="238"/>
      <c r="Q101" s="238"/>
      <c r="R101" s="238"/>
      <c r="W101" s="32"/>
      <c r="X101" s="32"/>
      <c r="Y101" s="32"/>
    </row>
    <row r="102" spans="2:25">
      <c r="B102" s="223">
        <f>+B101+1</f>
        <v>23</v>
      </c>
      <c r="C102" s="207"/>
      <c r="D102" s="244" t="s">
        <v>204</v>
      </c>
      <c r="E102" s="208"/>
      <c r="G102" s="20">
        <f>+G100+G101</f>
        <v>-4588.4678000000004</v>
      </c>
      <c r="H102" s="20">
        <f t="shared" ref="H102:L102" si="44">+H100+H101</f>
        <v>-159.91079999999999</v>
      </c>
      <c r="I102" s="20">
        <f t="shared" si="44"/>
        <v>-14.3003</v>
      </c>
      <c r="J102" s="20">
        <f t="shared" si="44"/>
        <v>-957.24999999999989</v>
      </c>
      <c r="K102" s="20">
        <f t="shared" si="44"/>
        <v>0</v>
      </c>
      <c r="L102" s="20">
        <f t="shared" si="44"/>
        <v>0</v>
      </c>
      <c r="M102" s="20">
        <f t="shared" ref="M102:R102" si="45">+M100+M101</f>
        <v>0</v>
      </c>
      <c r="N102" s="20">
        <f t="shared" si="45"/>
        <v>1.6845499999999998</v>
      </c>
      <c r="O102" s="20">
        <f t="shared" si="45"/>
        <v>0</v>
      </c>
      <c r="P102" s="20">
        <f t="shared" si="45"/>
        <v>-415.26694999999995</v>
      </c>
      <c r="Q102" s="20">
        <f t="shared" si="45"/>
        <v>6.6296999999999997</v>
      </c>
      <c r="R102" s="20">
        <f t="shared" si="45"/>
        <v>0</v>
      </c>
      <c r="W102" s="32"/>
      <c r="X102" s="32"/>
      <c r="Y102" s="32"/>
    </row>
    <row r="103" spans="2:25" s="32" customFormat="1">
      <c r="B103" s="33"/>
      <c r="G103" s="34"/>
    </row>
    <row r="104" spans="2:25" s="32" customFormat="1">
      <c r="B104" s="33"/>
      <c r="G104" s="34"/>
    </row>
    <row r="105" spans="2:25" s="32" customFormat="1">
      <c r="B105" s="33"/>
      <c r="G105" s="34"/>
    </row>
    <row r="106" spans="2:25" s="32" customFormat="1">
      <c r="B106" s="33"/>
      <c r="G106" s="34"/>
    </row>
    <row r="107" spans="2:25" s="32" customFormat="1">
      <c r="B107" s="33"/>
      <c r="G107" s="34"/>
    </row>
    <row r="108" spans="2:25" s="32" customFormat="1">
      <c r="B108" s="33"/>
      <c r="G108" s="34"/>
    </row>
    <row r="109" spans="2:25" s="32" customFormat="1">
      <c r="B109" s="33"/>
      <c r="G109" s="34"/>
    </row>
    <row r="110" spans="2:25" s="32" customFormat="1" ht="145.5" customHeight="1">
      <c r="B110" s="33"/>
      <c r="G110" s="34"/>
    </row>
  </sheetData>
  <mergeCells count="3">
    <mergeCell ref="C13:F13"/>
    <mergeCell ref="C61:F61"/>
    <mergeCell ref="C80:F80"/>
  </mergeCells>
  <phoneticPr fontId="0" type="noConversion"/>
  <printOptions gridLinesSet="0"/>
  <pageMargins left="0.75" right="0.46" top="0.75" bottom="0.5" header="0.5" footer="0.5"/>
  <pageSetup scale="69" firstPageNumber="4" fitToWidth="3" orientation="portrait" r:id="rId1"/>
  <headerFooter>
    <oddHeader>&amp;RExhibit No. _____(DPK-3)
Docket UE-090134  UG-090135
Page &amp;P of &amp;N</oddHeader>
    <oddFooter>&amp;R                    RESPONSE TO BENCH REQUEST #2 supplemental
Revised for Settlement and Accepted Rebuttal Corrections</oddFooter>
  </headerFooter>
  <colBreaks count="1" manualBreakCount="1">
    <brk id="14" min="2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47"/>
    <pageSetUpPr fitToPage="1"/>
  </sheetPr>
  <dimension ref="A1:X85"/>
  <sheetViews>
    <sheetView showGridLines="0" topLeftCell="B1" zoomScale="70" zoomScaleNormal="70" workbookViewId="0">
      <selection activeCell="F9" sqref="F9"/>
    </sheetView>
  </sheetViews>
  <sheetFormatPr defaultRowHeight="15.75"/>
  <cols>
    <col min="1" max="2" width="12" style="255" customWidth="1"/>
    <col min="3" max="3" width="8.33203125" style="255" customWidth="1"/>
    <col min="4" max="4" width="12" style="255" customWidth="1"/>
    <col min="5" max="5" width="45.1640625" style="255" customWidth="1"/>
    <col min="6" max="6" width="3.83203125" style="255" customWidth="1"/>
    <col min="7" max="7" width="12" style="255" customWidth="1"/>
    <col min="8" max="8" width="18.33203125" style="255" customWidth="1"/>
    <col min="9" max="9" width="5.1640625" style="255" customWidth="1"/>
    <col min="10" max="10" width="13.5" style="255" hidden="1" customWidth="1"/>
    <col min="11" max="11" width="16" style="255" hidden="1" customWidth="1"/>
    <col min="12" max="12" width="24.6640625" style="255" customWidth="1"/>
    <col min="13" max="13" width="4.5" style="255" customWidth="1"/>
    <col min="14" max="14" width="12.1640625" style="255" customWidth="1"/>
    <col min="15" max="15" width="16" style="255" bestFit="1" customWidth="1"/>
    <col min="16" max="16" width="13.5" style="255" hidden="1" customWidth="1"/>
    <col min="17" max="17" width="16" style="255" hidden="1" customWidth="1"/>
    <col min="18" max="18" width="27.83203125" style="255" customWidth="1"/>
    <col min="19" max="19" width="26" style="255" customWidth="1"/>
    <col min="20" max="20" width="12.6640625" style="255" customWidth="1"/>
    <col min="21" max="21" width="10.1640625" style="255" bestFit="1" customWidth="1"/>
    <col min="22" max="16384" width="9.33203125" style="255"/>
  </cols>
  <sheetData>
    <row r="1" spans="1:24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>
      <c r="A2" s="400"/>
      <c r="B2" s="400"/>
      <c r="C2" s="400"/>
      <c r="D2" s="356" t="s">
        <v>319</v>
      </c>
      <c r="E2" s="357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</row>
    <row r="3" spans="1:24">
      <c r="A3" s="400"/>
      <c r="B3" s="400"/>
      <c r="C3" s="95"/>
      <c r="D3" s="46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S3" s="348"/>
      <c r="T3" s="400"/>
      <c r="U3" s="400"/>
      <c r="V3" s="400"/>
      <c r="W3" s="400"/>
      <c r="X3" s="400"/>
    </row>
    <row r="4" spans="1:24">
      <c r="A4" s="400"/>
      <c r="B4" s="400"/>
      <c r="C4" s="389" t="s">
        <v>186</v>
      </c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247"/>
      <c r="P4" s="383"/>
      <c r="S4" s="348"/>
      <c r="T4" s="400"/>
      <c r="U4" s="400"/>
      <c r="V4" s="400"/>
      <c r="W4" s="400"/>
      <c r="X4" s="400"/>
    </row>
    <row r="5" spans="1:24">
      <c r="A5" s="400"/>
      <c r="B5" s="400"/>
      <c r="C5" s="393" t="s">
        <v>392</v>
      </c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S5" s="348"/>
      <c r="T5" s="400"/>
      <c r="U5" s="400"/>
      <c r="V5" s="400"/>
      <c r="W5" s="400"/>
      <c r="X5" s="400"/>
    </row>
    <row r="6" spans="1:24">
      <c r="A6" s="400"/>
      <c r="B6" s="400"/>
      <c r="C6" s="389" t="s">
        <v>381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248"/>
      <c r="T6" s="400"/>
      <c r="U6" s="400"/>
      <c r="V6" s="400"/>
      <c r="W6" s="400"/>
      <c r="X6" s="400"/>
    </row>
    <row r="7" spans="1:24">
      <c r="A7" s="400"/>
      <c r="B7" s="400"/>
      <c r="C7" s="389" t="s">
        <v>189</v>
      </c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S7" s="383"/>
      <c r="T7" s="400"/>
      <c r="U7" s="400"/>
      <c r="V7" s="400"/>
      <c r="W7" s="400"/>
      <c r="X7" s="400"/>
    </row>
    <row r="8" spans="1:24">
      <c r="A8" s="400"/>
      <c r="B8" s="400"/>
      <c r="D8" s="390"/>
      <c r="E8" s="256" t="s">
        <v>109</v>
      </c>
      <c r="F8" s="256"/>
      <c r="G8" s="256" t="s">
        <v>111</v>
      </c>
      <c r="H8" s="256" t="s">
        <v>112</v>
      </c>
      <c r="I8" s="529"/>
      <c r="J8" s="529"/>
      <c r="K8" s="529"/>
      <c r="L8" s="257" t="s">
        <v>261</v>
      </c>
      <c r="M8" s="258"/>
      <c r="N8" s="259" t="s">
        <v>113</v>
      </c>
      <c r="O8" s="256" t="s">
        <v>139</v>
      </c>
      <c r="P8" s="528"/>
      <c r="Q8" s="528"/>
      <c r="R8" s="464" t="s">
        <v>140</v>
      </c>
      <c r="S8" s="256" t="s">
        <v>143</v>
      </c>
      <c r="T8" s="400"/>
      <c r="U8" s="400"/>
      <c r="V8" s="400"/>
      <c r="W8" s="400"/>
      <c r="X8" s="400"/>
    </row>
    <row r="9" spans="1:24">
      <c r="A9" s="400"/>
      <c r="B9" s="400"/>
      <c r="D9" s="390"/>
      <c r="E9" s="260"/>
      <c r="F9" s="260"/>
      <c r="G9" s="530" t="s">
        <v>186</v>
      </c>
      <c r="H9" s="531"/>
      <c r="I9" s="531"/>
      <c r="J9" s="531"/>
      <c r="K9" s="531"/>
      <c r="L9" s="532"/>
      <c r="M9" s="249"/>
      <c r="N9" s="530" t="s">
        <v>349</v>
      </c>
      <c r="O9" s="531"/>
      <c r="P9" s="531"/>
      <c r="Q9" s="531"/>
      <c r="R9" s="532"/>
      <c r="S9" s="261" t="s">
        <v>218</v>
      </c>
      <c r="T9" s="400"/>
      <c r="U9" s="400"/>
      <c r="V9" s="400"/>
      <c r="W9" s="400"/>
      <c r="X9" s="400"/>
    </row>
    <row r="10" spans="1:24">
      <c r="A10" s="400"/>
      <c r="B10" s="400"/>
      <c r="C10" s="250" t="s">
        <v>6</v>
      </c>
      <c r="D10" s="256"/>
      <c r="G10" s="535" t="s">
        <v>352</v>
      </c>
      <c r="H10" s="536"/>
      <c r="I10" s="538" t="s">
        <v>380</v>
      </c>
      <c r="J10" s="539"/>
      <c r="K10" s="539"/>
      <c r="L10" s="540"/>
      <c r="M10" s="262"/>
      <c r="N10" s="537" t="s">
        <v>349</v>
      </c>
      <c r="O10" s="536"/>
      <c r="P10" s="538" t="s">
        <v>380</v>
      </c>
      <c r="Q10" s="539"/>
      <c r="R10" s="539"/>
      <c r="S10" s="263" t="s">
        <v>219</v>
      </c>
      <c r="T10" s="400"/>
      <c r="U10" s="400"/>
      <c r="V10" s="400"/>
      <c r="W10" s="400"/>
      <c r="X10" s="400"/>
    </row>
    <row r="11" spans="1:24">
      <c r="A11" s="400"/>
      <c r="B11" s="400"/>
      <c r="C11" s="251" t="s">
        <v>21</v>
      </c>
      <c r="D11" s="264"/>
      <c r="E11" s="265"/>
      <c r="F11" s="265"/>
      <c r="G11" s="391" t="s">
        <v>221</v>
      </c>
      <c r="H11" s="401" t="s">
        <v>222</v>
      </c>
      <c r="I11" s="504"/>
      <c r="J11" s="504" t="s">
        <v>221</v>
      </c>
      <c r="K11" s="391" t="s">
        <v>23</v>
      </c>
      <c r="L11" s="511" t="s">
        <v>262</v>
      </c>
      <c r="M11" s="262"/>
      <c r="N11" s="412" t="s">
        <v>221</v>
      </c>
      <c r="O11" s="391" t="s">
        <v>23</v>
      </c>
      <c r="P11" s="391" t="s">
        <v>221</v>
      </c>
      <c r="Q11" s="391" t="s">
        <v>23</v>
      </c>
      <c r="R11" s="511" t="s">
        <v>263</v>
      </c>
      <c r="S11" s="266" t="s">
        <v>262</v>
      </c>
      <c r="T11" s="400"/>
      <c r="U11" s="400"/>
      <c r="V11" s="400"/>
      <c r="W11" s="400"/>
      <c r="X11" s="400"/>
    </row>
    <row r="12" spans="1:24" ht="21.75" customHeight="1">
      <c r="A12" s="400"/>
      <c r="B12" s="400"/>
      <c r="C12" s="252">
        <v>1</v>
      </c>
      <c r="D12" s="253" t="s">
        <v>223</v>
      </c>
      <c r="E12" s="267" t="s">
        <v>224</v>
      </c>
      <c r="F12" s="267"/>
      <c r="G12" s="465">
        <f>+'DPK-3 Results Sch1.1'!G59</f>
        <v>12004</v>
      </c>
      <c r="H12" s="466">
        <f>+'DPK-3 Results Sch1.1'!G78</f>
        <v>178717</v>
      </c>
      <c r="I12" s="467"/>
      <c r="J12" s="468">
        <f ca="1">+((H12*T75)-G12)/K83</f>
        <v>4404.7666889571901</v>
      </c>
      <c r="K12" s="268"/>
      <c r="L12" s="290">
        <f ca="1">+J12</f>
        <v>4404.7666889571901</v>
      </c>
      <c r="M12" s="262"/>
      <c r="N12" s="467">
        <f>+G12</f>
        <v>12004</v>
      </c>
      <c r="O12" s="466">
        <f>+H12</f>
        <v>178717</v>
      </c>
      <c r="P12" s="468">
        <f ca="1">+J12</f>
        <v>4404.7666889571901</v>
      </c>
      <c r="Q12" s="469"/>
      <c r="R12" s="290">
        <f ca="1">+P12</f>
        <v>4404.7666889571901</v>
      </c>
      <c r="S12" s="269" t="s">
        <v>264</v>
      </c>
      <c r="T12" s="400"/>
      <c r="U12" s="400"/>
      <c r="V12" s="400"/>
      <c r="W12" s="400"/>
      <c r="X12" s="400"/>
    </row>
    <row r="13" spans="1:24" ht="21.75" customHeight="1">
      <c r="A13" s="400"/>
      <c r="B13" s="400"/>
      <c r="C13" s="252">
        <f t="shared" ref="C13:C41" si="0">+C12+1</f>
        <v>2</v>
      </c>
      <c r="D13" s="530" t="s">
        <v>86</v>
      </c>
      <c r="E13" s="531"/>
      <c r="F13" s="361"/>
      <c r="G13" s="470"/>
      <c r="H13" s="272"/>
      <c r="I13" s="470"/>
      <c r="J13" s="272"/>
      <c r="K13" s="470"/>
      <c r="L13" s="471"/>
      <c r="M13" s="262"/>
      <c r="N13" s="470"/>
      <c r="O13" s="472"/>
      <c r="P13" s="272"/>
      <c r="Q13" s="470"/>
      <c r="R13" s="471"/>
      <c r="S13" s="403"/>
      <c r="T13" s="400"/>
      <c r="U13" s="400"/>
      <c r="V13" s="400"/>
      <c r="W13" s="400"/>
      <c r="X13" s="400"/>
    </row>
    <row r="14" spans="1:24" ht="21.75" customHeight="1">
      <c r="A14" s="400"/>
      <c r="B14" s="400"/>
      <c r="C14" s="252">
        <f t="shared" si="0"/>
        <v>3</v>
      </c>
      <c r="D14" s="294" t="s">
        <v>283</v>
      </c>
      <c r="E14" s="390" t="s">
        <v>273</v>
      </c>
      <c r="F14" s="473"/>
      <c r="G14" s="291"/>
      <c r="H14" s="390">
        <v>-27674</v>
      </c>
      <c r="I14" s="291"/>
      <c r="J14" s="289">
        <f t="shared" ref="J14:J32" si="1">-G14/$K$83</f>
        <v>0</v>
      </c>
      <c r="K14" s="291">
        <f ca="1">+H14*$T$75/$K$83</f>
        <v>-3670.0675788634408</v>
      </c>
      <c r="L14" s="291">
        <f t="shared" ref="L14:L37" ca="1" si="2">+J14+K14</f>
        <v>-3670.0675788634408</v>
      </c>
      <c r="M14" s="262"/>
      <c r="N14" s="291"/>
      <c r="O14" s="416">
        <f>+'DPK-3 Restating Adj Sch 1.2 '!H78</f>
        <v>-27674</v>
      </c>
      <c r="P14" s="289">
        <f>+N14/$K$83</f>
        <v>0</v>
      </c>
      <c r="Q14" s="339">
        <f ca="1">+O14*$L$67/$K$83</f>
        <v>-3670.0675788634408</v>
      </c>
      <c r="R14" s="291">
        <f t="shared" ref="R14:R37" ca="1" si="3">+P14+Q14</f>
        <v>-3670.0675788634408</v>
      </c>
      <c r="S14" s="474">
        <f ca="1">+R14-L14</f>
        <v>0</v>
      </c>
      <c r="T14" s="400"/>
      <c r="U14" s="400"/>
      <c r="V14" s="400"/>
      <c r="W14" s="400"/>
      <c r="X14" s="400"/>
    </row>
    <row r="15" spans="1:24" ht="21.75" customHeight="1">
      <c r="A15" s="400"/>
      <c r="B15" s="400"/>
      <c r="C15" s="252">
        <f t="shared" si="0"/>
        <v>4</v>
      </c>
      <c r="D15" s="288" t="s">
        <v>284</v>
      </c>
      <c r="E15" s="390" t="s">
        <v>187</v>
      </c>
      <c r="F15" s="362"/>
      <c r="G15" s="291"/>
      <c r="H15" s="390">
        <v>-42</v>
      </c>
      <c r="I15" s="291"/>
      <c r="J15" s="289">
        <f t="shared" si="1"/>
        <v>0</v>
      </c>
      <c r="K15" s="291">
        <f ca="1">+H15*$T$75/$K$83</f>
        <v>-5.5699515181131938</v>
      </c>
      <c r="L15" s="291">
        <f t="shared" ca="1" si="2"/>
        <v>-5.5699515181131938</v>
      </c>
      <c r="M15" s="262"/>
      <c r="N15" s="291"/>
      <c r="O15" s="416">
        <f>+'DPK-3 Restating Adj Sch 1.2 '!I78</f>
        <v>-42</v>
      </c>
      <c r="P15" s="287">
        <f>+N15/$K$83</f>
        <v>0</v>
      </c>
      <c r="Q15" s="339">
        <f ca="1">+O15*$L$67/$K$83</f>
        <v>-5.5699515181131938</v>
      </c>
      <c r="R15" s="291">
        <f t="shared" ca="1" si="3"/>
        <v>-5.5699515181131938</v>
      </c>
      <c r="S15" s="474">
        <f t="shared" ref="S15:S37" ca="1" si="4">ROUND(+R15-L15,0)</f>
        <v>0</v>
      </c>
      <c r="T15" s="400"/>
      <c r="U15" s="400"/>
      <c r="V15" s="400"/>
      <c r="W15" s="400"/>
      <c r="X15" s="400"/>
    </row>
    <row r="16" spans="1:24" ht="21.75" customHeight="1">
      <c r="A16" s="400"/>
      <c r="B16" s="400"/>
      <c r="C16" s="252">
        <f t="shared" si="0"/>
        <v>5</v>
      </c>
      <c r="D16" s="288" t="s">
        <v>285</v>
      </c>
      <c r="E16" s="390" t="s">
        <v>188</v>
      </c>
      <c r="F16" s="362"/>
      <c r="G16" s="291"/>
      <c r="H16" s="390">
        <v>11064</v>
      </c>
      <c r="I16" s="291"/>
      <c r="J16" s="289">
        <f t="shared" si="1"/>
        <v>0</v>
      </c>
      <c r="K16" s="291">
        <f ca="1">+H16*$T$75/$K$83</f>
        <v>1467.2843713429613</v>
      </c>
      <c r="L16" s="291">
        <f t="shared" ca="1" si="2"/>
        <v>1467.2843713429613</v>
      </c>
      <c r="M16" s="262"/>
      <c r="N16" s="291"/>
      <c r="O16" s="416">
        <f>+'DPK-3 Restating Adj Sch 1.2 '!J78</f>
        <v>11064</v>
      </c>
      <c r="P16" s="287">
        <f>+N16/$K$83</f>
        <v>0</v>
      </c>
      <c r="Q16" s="339">
        <f ca="1">+O16*$L$67/$K$83</f>
        <v>1467.2843713429613</v>
      </c>
      <c r="R16" s="291">
        <f t="shared" ca="1" si="3"/>
        <v>1467.2843713429613</v>
      </c>
      <c r="S16" s="474">
        <f t="shared" ca="1" si="4"/>
        <v>0</v>
      </c>
      <c r="T16" s="400"/>
      <c r="U16" s="400"/>
      <c r="V16" s="400"/>
      <c r="W16" s="400"/>
      <c r="X16" s="400"/>
    </row>
    <row r="17" spans="1:24" ht="21.75" customHeight="1">
      <c r="A17" s="400"/>
      <c r="B17" s="400"/>
      <c r="C17" s="252">
        <f t="shared" si="0"/>
        <v>6</v>
      </c>
      <c r="D17" s="288" t="s">
        <v>286</v>
      </c>
      <c r="E17" s="390" t="s">
        <v>274</v>
      </c>
      <c r="F17" s="362"/>
      <c r="G17" s="291"/>
      <c r="H17" s="390">
        <v>0</v>
      </c>
      <c r="I17" s="291"/>
      <c r="J17" s="289">
        <f t="shared" si="1"/>
        <v>0</v>
      </c>
      <c r="K17" s="291">
        <f ca="1">+H17*$T$75/$K$83</f>
        <v>0</v>
      </c>
      <c r="L17" s="291">
        <f t="shared" ca="1" si="2"/>
        <v>0</v>
      </c>
      <c r="M17" s="262"/>
      <c r="N17" s="291"/>
      <c r="O17" s="416">
        <f>+'DPK-3 Restating Adj Sch 1.2 '!K78</f>
        <v>0</v>
      </c>
      <c r="P17" s="287">
        <f>+N17/$K$83</f>
        <v>0</v>
      </c>
      <c r="Q17" s="339">
        <f ca="1">+O17*$L$67/$K$83</f>
        <v>0</v>
      </c>
      <c r="R17" s="291">
        <f t="shared" ca="1" si="3"/>
        <v>0</v>
      </c>
      <c r="S17" s="474">
        <f t="shared" ca="1" si="4"/>
        <v>0</v>
      </c>
      <c r="T17" s="400"/>
      <c r="U17" s="400"/>
      <c r="V17" s="400"/>
      <c r="W17" s="400"/>
      <c r="X17" s="400"/>
    </row>
    <row r="18" spans="1:24" ht="21.75" customHeight="1">
      <c r="A18" s="400"/>
      <c r="B18" s="400"/>
      <c r="C18" s="309">
        <f t="shared" si="0"/>
        <v>7</v>
      </c>
      <c r="D18" s="288" t="s">
        <v>287</v>
      </c>
      <c r="E18" s="390" t="s">
        <v>225</v>
      </c>
      <c r="F18" s="362"/>
      <c r="G18" s="291"/>
      <c r="H18" s="390">
        <v>-52</v>
      </c>
      <c r="I18" s="291"/>
      <c r="J18" s="289">
        <f t="shared" si="1"/>
        <v>0</v>
      </c>
      <c r="K18" s="291">
        <f ca="1">+H18*$T$75/$K$83</f>
        <v>-6.8961304509972869</v>
      </c>
      <c r="L18" s="291">
        <f t="shared" ca="1" si="2"/>
        <v>-6.8961304509972869</v>
      </c>
      <c r="M18" s="262"/>
      <c r="N18" s="291"/>
      <c r="O18" s="416">
        <f>+'DPK-3 Restating Adj Sch 1.2 '!L78</f>
        <v>-52</v>
      </c>
      <c r="P18" s="287">
        <f>+N18/$K$83</f>
        <v>0</v>
      </c>
      <c r="Q18" s="339">
        <f ca="1">+O18*$L$67/$K$83</f>
        <v>-6.8961304509972869</v>
      </c>
      <c r="R18" s="291">
        <f t="shared" ca="1" si="3"/>
        <v>-6.8961304509972869</v>
      </c>
      <c r="S18" s="474">
        <f t="shared" ca="1" si="4"/>
        <v>0</v>
      </c>
      <c r="T18" s="400"/>
      <c r="U18" s="400"/>
      <c r="V18" s="400"/>
      <c r="W18" s="400"/>
      <c r="X18" s="400"/>
    </row>
    <row r="19" spans="1:24" ht="21.75" customHeight="1">
      <c r="A19" s="400"/>
      <c r="B19" s="400"/>
      <c r="C19" s="309">
        <f t="shared" si="0"/>
        <v>8</v>
      </c>
      <c r="D19" s="288" t="s">
        <v>288</v>
      </c>
      <c r="E19" s="390" t="s">
        <v>341</v>
      </c>
      <c r="F19" s="362"/>
      <c r="G19" s="291">
        <v>54</v>
      </c>
      <c r="H19" s="390"/>
      <c r="I19" s="291"/>
      <c r="J19" s="289">
        <f t="shared" si="1"/>
        <v>-86.804439243322491</v>
      </c>
      <c r="K19" s="291"/>
      <c r="L19" s="291">
        <f t="shared" si="2"/>
        <v>-86.804439243322491</v>
      </c>
      <c r="M19" s="262"/>
      <c r="N19" s="291">
        <f>+'DPK-3 Restating Adj Sch 1.2 '!$M$60</f>
        <v>54</v>
      </c>
      <c r="O19" s="416"/>
      <c r="P19" s="287">
        <f t="shared" ref="P19:P34" si="5">-N19/$K$83</f>
        <v>-86.804439243322491</v>
      </c>
      <c r="Q19" s="291"/>
      <c r="R19" s="291">
        <f t="shared" si="3"/>
        <v>-86.804439243322491</v>
      </c>
      <c r="S19" s="474">
        <f t="shared" si="4"/>
        <v>0</v>
      </c>
      <c r="T19" s="400"/>
      <c r="U19" s="400"/>
      <c r="V19" s="400"/>
      <c r="W19" s="400"/>
      <c r="X19" s="400"/>
    </row>
    <row r="20" spans="1:24" ht="21.75" customHeight="1">
      <c r="A20" s="400"/>
      <c r="B20" s="400"/>
      <c r="C20" s="309">
        <f t="shared" si="0"/>
        <v>9</v>
      </c>
      <c r="D20" s="288" t="s">
        <v>289</v>
      </c>
      <c r="E20" s="390" t="s">
        <v>275</v>
      </c>
      <c r="F20" s="362"/>
      <c r="G20" s="291">
        <v>3648</v>
      </c>
      <c r="H20" s="390"/>
      <c r="I20" s="291"/>
      <c r="J20" s="289">
        <f t="shared" si="1"/>
        <v>-5864.1221177711195</v>
      </c>
      <c r="K20" s="291"/>
      <c r="L20" s="291">
        <f t="shared" si="2"/>
        <v>-5864.1221177711195</v>
      </c>
      <c r="M20" s="262"/>
      <c r="N20" s="291">
        <f>+'DPK-3 Restating Adj Sch 1.2 '!$N$60</f>
        <v>3648</v>
      </c>
      <c r="O20" s="416"/>
      <c r="P20" s="287">
        <f t="shared" si="5"/>
        <v>-5864.1221177711195</v>
      </c>
      <c r="Q20" s="291"/>
      <c r="R20" s="291">
        <f t="shared" si="3"/>
        <v>-5864.1221177711195</v>
      </c>
      <c r="S20" s="474">
        <f t="shared" si="4"/>
        <v>0</v>
      </c>
      <c r="T20" s="400"/>
      <c r="U20" s="400"/>
      <c r="V20" s="400"/>
      <c r="W20" s="400"/>
      <c r="X20" s="400"/>
    </row>
    <row r="21" spans="1:24" ht="21.75" customHeight="1">
      <c r="A21" s="400"/>
      <c r="B21" s="400"/>
      <c r="C21" s="309">
        <f t="shared" si="0"/>
        <v>10</v>
      </c>
      <c r="D21" s="288" t="s">
        <v>290</v>
      </c>
      <c r="E21" s="390" t="s">
        <v>226</v>
      </c>
      <c r="F21" s="362"/>
      <c r="G21" s="291">
        <v>-4</v>
      </c>
      <c r="H21" s="390"/>
      <c r="I21" s="291"/>
      <c r="J21" s="289">
        <f t="shared" si="1"/>
        <v>6.429958462468333</v>
      </c>
      <c r="K21" s="291"/>
      <c r="L21" s="291">
        <f t="shared" si="2"/>
        <v>6.429958462468333</v>
      </c>
      <c r="M21" s="262"/>
      <c r="N21" s="291">
        <f>+'DPK-3 Restating Adj Sch 1.2 '!$O$60</f>
        <v>-4</v>
      </c>
      <c r="O21" s="416"/>
      <c r="P21" s="289">
        <f t="shared" si="5"/>
        <v>6.429958462468333</v>
      </c>
      <c r="Q21" s="291"/>
      <c r="R21" s="291">
        <f t="shared" si="3"/>
        <v>6.429958462468333</v>
      </c>
      <c r="S21" s="474">
        <f t="shared" si="4"/>
        <v>0</v>
      </c>
      <c r="T21" s="400"/>
      <c r="U21" s="400"/>
      <c r="V21" s="400"/>
      <c r="W21" s="400"/>
      <c r="X21" s="400"/>
    </row>
    <row r="22" spans="1:24" ht="21.75" customHeight="1">
      <c r="A22" s="400"/>
      <c r="B22" s="400"/>
      <c r="C22" s="309">
        <f t="shared" si="0"/>
        <v>11</v>
      </c>
      <c r="D22" s="288" t="s">
        <v>291</v>
      </c>
      <c r="E22" s="390" t="s">
        <v>227</v>
      </c>
      <c r="F22" s="362"/>
      <c r="G22" s="291">
        <v>486</v>
      </c>
      <c r="H22" s="390"/>
      <c r="I22" s="291"/>
      <c r="J22" s="289">
        <f t="shared" si="1"/>
        <v>-781.23995318990239</v>
      </c>
      <c r="K22" s="291"/>
      <c r="L22" s="291">
        <f t="shared" si="2"/>
        <v>-781.23995318990239</v>
      </c>
      <c r="M22" s="262"/>
      <c r="N22" s="291">
        <f>+'DPK-3 Restating Adj Sch 1.2 '!$P$60</f>
        <v>485.75599999999997</v>
      </c>
      <c r="O22" s="416"/>
      <c r="P22" s="289">
        <f t="shared" si="5"/>
        <v>-780.84772572369184</v>
      </c>
      <c r="Q22" s="291"/>
      <c r="R22" s="291">
        <f t="shared" si="3"/>
        <v>-780.84772572369184</v>
      </c>
      <c r="S22" s="474">
        <f t="shared" si="4"/>
        <v>0</v>
      </c>
      <c r="T22" s="400"/>
      <c r="U22" s="400"/>
      <c r="V22" s="400"/>
      <c r="W22" s="400"/>
      <c r="X22" s="400"/>
    </row>
    <row r="23" spans="1:24" ht="21.75" customHeight="1">
      <c r="A23" s="400"/>
      <c r="B23" s="400"/>
      <c r="C23" s="309">
        <f t="shared" si="0"/>
        <v>12</v>
      </c>
      <c r="D23" s="288" t="s">
        <v>292</v>
      </c>
      <c r="E23" s="390" t="s">
        <v>228</v>
      </c>
      <c r="F23" s="362"/>
      <c r="G23" s="291">
        <v>93</v>
      </c>
      <c r="H23" s="390"/>
      <c r="I23" s="291"/>
      <c r="J23" s="289">
        <f t="shared" si="1"/>
        <v>-149.49653425238873</v>
      </c>
      <c r="K23" s="291"/>
      <c r="L23" s="291">
        <f t="shared" si="2"/>
        <v>-149.49653425238873</v>
      </c>
      <c r="M23" s="262"/>
      <c r="N23" s="291">
        <f>+'DPK-3 Restating Adj Sch 1.2 '!$Q$60</f>
        <v>93</v>
      </c>
      <c r="O23" s="416"/>
      <c r="P23" s="289">
        <f t="shared" si="5"/>
        <v>-149.49653425238873</v>
      </c>
      <c r="Q23" s="291"/>
      <c r="R23" s="291">
        <f t="shared" si="3"/>
        <v>-149.49653425238873</v>
      </c>
      <c r="S23" s="474">
        <f t="shared" si="4"/>
        <v>0</v>
      </c>
      <c r="T23" s="400"/>
      <c r="U23" s="400"/>
      <c r="V23" s="400"/>
      <c r="W23" s="400"/>
      <c r="X23" s="400"/>
    </row>
    <row r="24" spans="1:24" ht="21.75" customHeight="1">
      <c r="A24" s="400"/>
      <c r="B24" s="400"/>
      <c r="C24" s="309">
        <f t="shared" si="0"/>
        <v>13</v>
      </c>
      <c r="D24" s="288" t="s">
        <v>293</v>
      </c>
      <c r="E24" s="390" t="s">
        <v>229</v>
      </c>
      <c r="F24" s="362"/>
      <c r="G24" s="291">
        <v>-9</v>
      </c>
      <c r="H24" s="390"/>
      <c r="I24" s="291"/>
      <c r="J24" s="289">
        <f t="shared" si="1"/>
        <v>14.467406540553748</v>
      </c>
      <c r="K24" s="291"/>
      <c r="L24" s="291">
        <f t="shared" si="2"/>
        <v>14.467406540553748</v>
      </c>
      <c r="M24" s="262"/>
      <c r="N24" s="291">
        <f>+'DPK-3 Restating Adj Sch 1.2 '!$R$60</f>
        <v>-9</v>
      </c>
      <c r="O24" s="416"/>
      <c r="P24" s="289">
        <f t="shared" si="5"/>
        <v>14.467406540553748</v>
      </c>
      <c r="Q24" s="291"/>
      <c r="R24" s="291">
        <f t="shared" si="3"/>
        <v>14.467406540553748</v>
      </c>
      <c r="S24" s="474">
        <f t="shared" si="4"/>
        <v>0</v>
      </c>
      <c r="T24" s="400"/>
      <c r="U24" s="400"/>
      <c r="V24" s="400"/>
      <c r="W24" s="400"/>
      <c r="X24" s="400"/>
    </row>
    <row r="25" spans="1:24" ht="21.75" customHeight="1">
      <c r="A25" s="400"/>
      <c r="B25" s="400"/>
      <c r="C25" s="309">
        <f t="shared" si="0"/>
        <v>14</v>
      </c>
      <c r="D25" s="288" t="s">
        <v>294</v>
      </c>
      <c r="E25" s="390" t="s">
        <v>230</v>
      </c>
      <c r="F25" s="362"/>
      <c r="G25" s="291">
        <v>42</v>
      </c>
      <c r="H25" s="390"/>
      <c r="I25" s="291"/>
      <c r="J25" s="289">
        <f t="shared" si="1"/>
        <v>-67.514563855917487</v>
      </c>
      <c r="K25" s="291"/>
      <c r="L25" s="291">
        <f t="shared" si="2"/>
        <v>-67.514563855917487</v>
      </c>
      <c r="M25" s="262"/>
      <c r="N25" s="291">
        <f>+'DPK-3 Restating Adj Sch 1.2 '!$S$60</f>
        <v>42</v>
      </c>
      <c r="O25" s="416"/>
      <c r="P25" s="289">
        <f t="shared" si="5"/>
        <v>-67.514563855917487</v>
      </c>
      <c r="Q25" s="291"/>
      <c r="R25" s="291">
        <f t="shared" si="3"/>
        <v>-67.514563855917487</v>
      </c>
      <c r="S25" s="474">
        <f t="shared" si="4"/>
        <v>0</v>
      </c>
      <c r="T25" s="400"/>
      <c r="U25" s="400"/>
      <c r="V25" s="400"/>
      <c r="W25" s="400"/>
      <c r="X25" s="400"/>
    </row>
    <row r="26" spans="1:24" ht="21.75" customHeight="1">
      <c r="A26" s="400"/>
      <c r="B26" s="400"/>
      <c r="C26" s="309">
        <f t="shared" si="0"/>
        <v>15</v>
      </c>
      <c r="D26" s="288" t="s">
        <v>295</v>
      </c>
      <c r="E26" s="390" t="s">
        <v>197</v>
      </c>
      <c r="F26" s="362"/>
      <c r="G26" s="291">
        <v>-10</v>
      </c>
      <c r="H26" s="390"/>
      <c r="I26" s="291"/>
      <c r="J26" s="289">
        <f t="shared" si="1"/>
        <v>16.074896156170833</v>
      </c>
      <c r="K26" s="291"/>
      <c r="L26" s="291">
        <f t="shared" si="2"/>
        <v>16.074896156170833</v>
      </c>
      <c r="M26" s="262"/>
      <c r="N26" s="291">
        <f>+'DPK-3 Restating Adj Sch 1.2 '!$T$60</f>
        <v>-10</v>
      </c>
      <c r="O26" s="416"/>
      <c r="P26" s="289">
        <f t="shared" si="5"/>
        <v>16.074896156170833</v>
      </c>
      <c r="Q26" s="291"/>
      <c r="R26" s="291">
        <f t="shared" si="3"/>
        <v>16.074896156170833</v>
      </c>
      <c r="S26" s="474">
        <f t="shared" si="4"/>
        <v>0</v>
      </c>
      <c r="T26" s="400"/>
      <c r="U26" s="400"/>
      <c r="V26" s="400"/>
      <c r="W26" s="400"/>
      <c r="X26" s="400"/>
    </row>
    <row r="27" spans="1:24" ht="21.75" customHeight="1">
      <c r="A27" s="400"/>
      <c r="B27" s="400"/>
      <c r="C27" s="309">
        <f t="shared" si="0"/>
        <v>16</v>
      </c>
      <c r="D27" s="288" t="s">
        <v>296</v>
      </c>
      <c r="E27" s="390" t="s">
        <v>276</v>
      </c>
      <c r="F27" s="362"/>
      <c r="G27" s="291">
        <v>8</v>
      </c>
      <c r="H27" s="390"/>
      <c r="I27" s="291"/>
      <c r="J27" s="289">
        <f t="shared" si="1"/>
        <v>-12.859916924936666</v>
      </c>
      <c r="K27" s="291"/>
      <c r="L27" s="291">
        <f t="shared" si="2"/>
        <v>-12.859916924936666</v>
      </c>
      <c r="M27" s="262"/>
      <c r="N27" s="291">
        <f>+'DPK-3 Restating Adj Sch 1.2 '!$U$60</f>
        <v>8</v>
      </c>
      <c r="O27" s="416"/>
      <c r="P27" s="289">
        <f t="shared" si="5"/>
        <v>-12.859916924936666</v>
      </c>
      <c r="Q27" s="291"/>
      <c r="R27" s="291">
        <f t="shared" si="3"/>
        <v>-12.859916924936666</v>
      </c>
      <c r="S27" s="474">
        <f t="shared" si="4"/>
        <v>0</v>
      </c>
      <c r="T27" s="400">
        <f>+S27</f>
        <v>0</v>
      </c>
      <c r="U27" s="400"/>
      <c r="V27" s="400"/>
      <c r="W27" s="400"/>
      <c r="X27" s="400"/>
    </row>
    <row r="28" spans="1:24" ht="21.75" customHeight="1">
      <c r="A28" s="400"/>
      <c r="B28" s="400"/>
      <c r="C28" s="309">
        <f t="shared" si="0"/>
        <v>17</v>
      </c>
      <c r="D28" s="288" t="s">
        <v>297</v>
      </c>
      <c r="E28" s="390" t="s">
        <v>231</v>
      </c>
      <c r="F28" s="362"/>
      <c r="G28" s="291">
        <v>55</v>
      </c>
      <c r="H28" s="390"/>
      <c r="I28" s="291"/>
      <c r="J28" s="289">
        <f t="shared" si="1"/>
        <v>-88.411928858939575</v>
      </c>
      <c r="K28" s="291"/>
      <c r="L28" s="291">
        <f t="shared" si="2"/>
        <v>-88.411928858939575</v>
      </c>
      <c r="M28" s="262"/>
      <c r="N28" s="291">
        <f>+'DPK-3 Restating Adj Sch 1.2 '!$V$60</f>
        <v>55</v>
      </c>
      <c r="O28" s="416"/>
      <c r="P28" s="289">
        <f t="shared" si="5"/>
        <v>-88.411928858939575</v>
      </c>
      <c r="Q28" s="291"/>
      <c r="R28" s="291">
        <f t="shared" si="3"/>
        <v>-88.411928858939575</v>
      </c>
      <c r="S28" s="474">
        <f t="shared" si="4"/>
        <v>0</v>
      </c>
      <c r="T28" s="400"/>
      <c r="U28" s="400"/>
      <c r="V28" s="400"/>
      <c r="W28" s="400"/>
      <c r="X28" s="400"/>
    </row>
    <row r="29" spans="1:24" ht="21.75" customHeight="1">
      <c r="A29" s="400"/>
      <c r="B29" s="400"/>
      <c r="C29" s="309">
        <f t="shared" si="0"/>
        <v>18</v>
      </c>
      <c r="D29" s="288" t="s">
        <v>298</v>
      </c>
      <c r="E29" s="390" t="s">
        <v>277</v>
      </c>
      <c r="F29" s="362"/>
      <c r="G29" s="291">
        <v>1</v>
      </c>
      <c r="H29" s="390"/>
      <c r="I29" s="291"/>
      <c r="J29" s="289">
        <f t="shared" si="1"/>
        <v>-1.6074896156170833</v>
      </c>
      <c r="K29" s="291"/>
      <c r="L29" s="291">
        <f t="shared" si="2"/>
        <v>-1.6074896156170833</v>
      </c>
      <c r="M29" s="262"/>
      <c r="N29" s="291">
        <f>+'DPK-3 Restating Adj Sch 1.2 '!$W$60</f>
        <v>1</v>
      </c>
      <c r="O29" s="416"/>
      <c r="P29" s="289">
        <f t="shared" si="5"/>
        <v>-1.6074896156170833</v>
      </c>
      <c r="Q29" s="291"/>
      <c r="R29" s="291">
        <f t="shared" si="3"/>
        <v>-1.6074896156170833</v>
      </c>
      <c r="S29" s="474">
        <f t="shared" si="4"/>
        <v>0</v>
      </c>
      <c r="T29" s="400"/>
      <c r="U29" s="400"/>
      <c r="V29" s="400"/>
      <c r="W29" s="400"/>
      <c r="X29" s="400"/>
    </row>
    <row r="30" spans="1:24" ht="21.75" customHeight="1">
      <c r="A30" s="400"/>
      <c r="B30" s="400"/>
      <c r="C30" s="309">
        <f t="shared" si="0"/>
        <v>19</v>
      </c>
      <c r="D30" s="288" t="s">
        <v>299</v>
      </c>
      <c r="E30" s="390" t="s">
        <v>233</v>
      </c>
      <c r="F30" s="362"/>
      <c r="G30" s="291">
        <v>-51</v>
      </c>
      <c r="H30" s="390"/>
      <c r="I30" s="291"/>
      <c r="J30" s="289">
        <f t="shared" si="1"/>
        <v>81.98197039647124</v>
      </c>
      <c r="K30" s="291"/>
      <c r="L30" s="291">
        <f t="shared" si="2"/>
        <v>81.98197039647124</v>
      </c>
      <c r="M30" s="262"/>
      <c r="N30" s="291">
        <f>+'DPK-3 Restating Adj Sch 1.2 '!$X$60</f>
        <v>-51</v>
      </c>
      <c r="O30" s="416"/>
      <c r="P30" s="289">
        <f t="shared" si="5"/>
        <v>81.98197039647124</v>
      </c>
      <c r="Q30" s="291"/>
      <c r="R30" s="291">
        <f t="shared" si="3"/>
        <v>81.98197039647124</v>
      </c>
      <c r="S30" s="474">
        <f t="shared" si="4"/>
        <v>0</v>
      </c>
      <c r="T30" s="400"/>
      <c r="U30" s="400"/>
      <c r="V30" s="400"/>
      <c r="W30" s="400"/>
      <c r="X30" s="400"/>
    </row>
    <row r="31" spans="1:24" ht="21.75" customHeight="1">
      <c r="A31" s="400"/>
      <c r="B31" s="400"/>
      <c r="C31" s="309">
        <f t="shared" si="0"/>
        <v>20</v>
      </c>
      <c r="D31" s="288" t="s">
        <v>300</v>
      </c>
      <c r="E31" s="390" t="s">
        <v>377</v>
      </c>
      <c r="F31" s="362"/>
      <c r="G31" s="291">
        <v>97</v>
      </c>
      <c r="H31" s="390"/>
      <c r="I31" s="291"/>
      <c r="J31" s="289">
        <f t="shared" si="1"/>
        <v>-155.92649271485706</v>
      </c>
      <c r="K31" s="291"/>
      <c r="L31" s="291">
        <f t="shared" si="2"/>
        <v>-155.92649271485706</v>
      </c>
      <c r="M31" s="262"/>
      <c r="N31" s="291">
        <f>+'DPK-3 Restating Adj Sch 1.2 '!$Y$60</f>
        <v>56</v>
      </c>
      <c r="O31" s="416"/>
      <c r="P31" s="289">
        <f t="shared" si="5"/>
        <v>-90.019418474556659</v>
      </c>
      <c r="Q31" s="291"/>
      <c r="R31" s="291">
        <f t="shared" si="3"/>
        <v>-90.019418474556659</v>
      </c>
      <c r="S31" s="474">
        <f t="shared" si="4"/>
        <v>66</v>
      </c>
      <c r="T31" s="400"/>
      <c r="U31" s="400"/>
      <c r="V31" s="400"/>
      <c r="W31" s="400"/>
      <c r="X31" s="400"/>
    </row>
    <row r="32" spans="1:24" ht="21.75" customHeight="1">
      <c r="A32" s="400"/>
      <c r="B32" s="400"/>
      <c r="C32" s="309">
        <f t="shared" si="0"/>
        <v>21</v>
      </c>
      <c r="D32" s="288" t="s">
        <v>342</v>
      </c>
      <c r="E32" s="390" t="s">
        <v>312</v>
      </c>
      <c r="F32" s="362"/>
      <c r="G32" s="291">
        <v>187</v>
      </c>
      <c r="H32" s="416"/>
      <c r="I32" s="291"/>
      <c r="J32" s="289">
        <f t="shared" si="1"/>
        <v>-300.60055812039457</v>
      </c>
      <c r="K32" s="291"/>
      <c r="L32" s="291">
        <f t="shared" si="2"/>
        <v>-300.60055812039457</v>
      </c>
      <c r="M32" s="262"/>
      <c r="N32" s="291">
        <f ca="1">+'DPK-3 Restating Adj Sch 1.2 '!$Z$60</f>
        <v>79.918358940000189</v>
      </c>
      <c r="O32" s="292">
        <f>+'DPK-3 Restating Adj Sch 1.2 '!Z78</f>
        <v>0</v>
      </c>
      <c r="P32" s="289">
        <f t="shared" ca="1" si="5"/>
        <v>-128.46793209320899</v>
      </c>
      <c r="Q32" s="339">
        <f ca="1">+O32*$L$67/$K$83</f>
        <v>0</v>
      </c>
      <c r="R32" s="291">
        <f t="shared" ca="1" si="3"/>
        <v>-128.46793209320899</v>
      </c>
      <c r="S32" s="474">
        <f t="shared" ca="1" si="4"/>
        <v>172</v>
      </c>
      <c r="T32" s="366"/>
      <c r="U32" s="400"/>
      <c r="V32" s="400"/>
      <c r="W32" s="400"/>
      <c r="X32" s="400"/>
    </row>
    <row r="33" spans="1:24" ht="21.75" customHeight="1">
      <c r="A33" s="400"/>
      <c r="B33" s="400"/>
      <c r="C33" s="309">
        <f t="shared" si="0"/>
        <v>22</v>
      </c>
      <c r="D33" s="288" t="s">
        <v>234</v>
      </c>
      <c r="E33" s="475" t="s">
        <v>359</v>
      </c>
      <c r="F33" s="362" t="s">
        <v>387</v>
      </c>
      <c r="G33" s="291"/>
      <c r="H33" s="476"/>
      <c r="I33" s="291"/>
      <c r="J33" s="477"/>
      <c r="K33" s="291"/>
      <c r="L33" s="291">
        <f t="shared" ref="L33" si="6">+J33+K33</f>
        <v>0</v>
      </c>
      <c r="M33" s="478"/>
      <c r="N33" s="291">
        <f>+'DPK-3 Restating Adj Sch 1.2 '!$AA$60</f>
        <v>-3.681</v>
      </c>
      <c r="O33" s="413">
        <f>+'DPK-3 Restating Adj Sch 1.2 '!AA78</f>
        <v>-1352.7159999999999</v>
      </c>
      <c r="P33" s="289">
        <f t="shared" si="5"/>
        <v>5.9171692750864828</v>
      </c>
      <c r="Q33" s="339">
        <f ca="1">+O33*$L$67/$K$83</f>
        <v>-179.39434613752397</v>
      </c>
      <c r="R33" s="291">
        <f t="shared" ca="1" si="3"/>
        <v>-173.47717686243749</v>
      </c>
      <c r="S33" s="474">
        <f t="shared" ca="1" si="4"/>
        <v>-173</v>
      </c>
      <c r="T33" s="400"/>
      <c r="U33" s="400"/>
      <c r="V33" s="400"/>
      <c r="W33" s="400"/>
      <c r="X33" s="400"/>
    </row>
    <row r="34" spans="1:24" ht="21.75" customHeight="1">
      <c r="A34" s="400"/>
      <c r="B34" s="400"/>
      <c r="C34" s="309">
        <f t="shared" si="0"/>
        <v>23</v>
      </c>
      <c r="D34" s="288" t="s">
        <v>235</v>
      </c>
      <c r="E34" s="479" t="s">
        <v>384</v>
      </c>
      <c r="F34" s="362" t="s">
        <v>387</v>
      </c>
      <c r="G34" s="291"/>
      <c r="H34" s="476"/>
      <c r="I34" s="291"/>
      <c r="J34" s="477"/>
      <c r="K34" s="291"/>
      <c r="L34" s="291">
        <f t="shared" si="2"/>
        <v>0</v>
      </c>
      <c r="M34" s="262"/>
      <c r="N34" s="291">
        <f>+'DPK-3 Restating Adj Sch 1.2 '!$AB$60</f>
        <v>4</v>
      </c>
      <c r="O34" s="413">
        <f>+'DPK-3 Restating Adj Sch 1.2 '!AB78</f>
        <v>0</v>
      </c>
      <c r="P34" s="289">
        <f t="shared" si="5"/>
        <v>-6.429958462468333</v>
      </c>
      <c r="Q34" s="339">
        <f ca="1">+O34*$L$67/$K$83</f>
        <v>0</v>
      </c>
      <c r="R34" s="291">
        <f t="shared" ca="1" si="3"/>
        <v>-6.429958462468333</v>
      </c>
      <c r="S34" s="474">
        <f t="shared" ca="1" si="4"/>
        <v>-6</v>
      </c>
      <c r="T34" s="400"/>
      <c r="U34" s="400"/>
      <c r="V34" s="400"/>
      <c r="W34" s="400"/>
      <c r="X34" s="400"/>
    </row>
    <row r="35" spans="1:24" ht="21.75" hidden="1" customHeight="1">
      <c r="A35" s="400"/>
      <c r="B35" s="286" t="s">
        <v>281</v>
      </c>
      <c r="C35" s="309">
        <f t="shared" si="0"/>
        <v>24</v>
      </c>
      <c r="D35" s="288" t="s">
        <v>236</v>
      </c>
      <c r="E35" s="390"/>
      <c r="F35" s="362"/>
      <c r="G35" s="291"/>
      <c r="H35" s="476"/>
      <c r="I35" s="291"/>
      <c r="J35" s="477"/>
      <c r="K35" s="480"/>
      <c r="L35" s="291">
        <f t="shared" si="2"/>
        <v>0</v>
      </c>
      <c r="M35" s="262"/>
      <c r="N35" s="291"/>
      <c r="O35" s="416"/>
      <c r="P35" s="477"/>
      <c r="Q35" s="480"/>
      <c r="R35" s="291">
        <f t="shared" si="3"/>
        <v>0</v>
      </c>
      <c r="S35" s="474">
        <f t="shared" si="4"/>
        <v>0</v>
      </c>
      <c r="T35" s="400"/>
      <c r="U35" s="400"/>
      <c r="V35" s="400"/>
      <c r="W35" s="400"/>
      <c r="X35" s="400"/>
    </row>
    <row r="36" spans="1:24" ht="21.75" hidden="1" customHeight="1">
      <c r="A36" s="400"/>
      <c r="B36" s="286"/>
      <c r="C36" s="309">
        <f t="shared" si="0"/>
        <v>25</v>
      </c>
      <c r="D36" s="288" t="s">
        <v>237</v>
      </c>
      <c r="E36" s="390"/>
      <c r="F36" s="362"/>
      <c r="G36" s="291"/>
      <c r="H36" s="476"/>
      <c r="I36" s="291"/>
      <c r="J36" s="477"/>
      <c r="K36" s="480"/>
      <c r="L36" s="291">
        <f t="shared" si="2"/>
        <v>0</v>
      </c>
      <c r="M36" s="262"/>
      <c r="N36" s="291"/>
      <c r="O36" s="416"/>
      <c r="P36" s="474"/>
      <c r="Q36" s="480"/>
      <c r="R36" s="291">
        <f t="shared" si="3"/>
        <v>0</v>
      </c>
      <c r="S36" s="474">
        <f t="shared" si="4"/>
        <v>0</v>
      </c>
      <c r="T36" s="400"/>
      <c r="U36" s="400"/>
      <c r="V36" s="400"/>
      <c r="W36" s="400"/>
      <c r="X36" s="400"/>
    </row>
    <row r="37" spans="1:24" ht="21.75" hidden="1" customHeight="1">
      <c r="A37" s="400"/>
      <c r="B37" s="286"/>
      <c r="C37" s="309">
        <f t="shared" si="0"/>
        <v>26</v>
      </c>
      <c r="D37" s="288" t="s">
        <v>238</v>
      </c>
      <c r="E37" s="390"/>
      <c r="F37" s="362"/>
      <c r="G37" s="291"/>
      <c r="H37" s="476"/>
      <c r="I37" s="295"/>
      <c r="J37" s="477"/>
      <c r="K37" s="481"/>
      <c r="L37" s="291">
        <f t="shared" si="2"/>
        <v>0</v>
      </c>
      <c r="M37" s="262"/>
      <c r="N37" s="295"/>
      <c r="O37" s="416"/>
      <c r="P37" s="474"/>
      <c r="Q37" s="481"/>
      <c r="R37" s="291">
        <f t="shared" si="3"/>
        <v>0</v>
      </c>
      <c r="S37" s="474">
        <f t="shared" si="4"/>
        <v>0</v>
      </c>
      <c r="T37" s="400"/>
      <c r="U37" s="400"/>
      <c r="V37" s="400"/>
      <c r="W37" s="400"/>
      <c r="X37" s="400"/>
    </row>
    <row r="38" spans="1:24" ht="21.75" customHeight="1">
      <c r="A38" s="400"/>
      <c r="B38" s="286"/>
      <c r="C38" s="309">
        <f t="shared" si="0"/>
        <v>27</v>
      </c>
      <c r="D38" s="390"/>
      <c r="E38" s="308" t="s">
        <v>239</v>
      </c>
      <c r="F38" s="362"/>
      <c r="G38" s="357">
        <f>SUM(G14:G37)</f>
        <v>4597</v>
      </c>
      <c r="H38" s="357">
        <f>SUM(H14:H37)</f>
        <v>-16704</v>
      </c>
      <c r="I38" s="482"/>
      <c r="J38" s="290">
        <f>SUM(J13:J37)</f>
        <v>-7389.6297629917308</v>
      </c>
      <c r="K38" s="295">
        <f ca="1">SUM(K13:K37)</f>
        <v>-2215.24928948959</v>
      </c>
      <c r="L38" s="290">
        <f ca="1">SUM(L13:L37)</f>
        <v>-9604.8790524813212</v>
      </c>
      <c r="M38" s="262"/>
      <c r="N38" s="295">
        <f ca="1">SUM(N14:N37)</f>
        <v>4448.9933589400007</v>
      </c>
      <c r="O38" s="357">
        <f>SUM(O14:O37)</f>
        <v>-18056.716</v>
      </c>
      <c r="P38" s="290">
        <f ca="1">SUM(P13:P37)</f>
        <v>-7151.7106244454171</v>
      </c>
      <c r="Q38" s="295">
        <f ca="1">SUM(Q13:Q37)</f>
        <v>-2394.6436356271138</v>
      </c>
      <c r="R38" s="290">
        <f ca="1">SUM(R13:R37)</f>
        <v>-9546.3542600725268</v>
      </c>
      <c r="S38" s="483">
        <f ca="1">SUM(S14:S37)</f>
        <v>59</v>
      </c>
      <c r="T38" s="400"/>
      <c r="U38" s="400"/>
      <c r="V38" s="400"/>
      <c r="W38" s="400"/>
      <c r="X38" s="400"/>
    </row>
    <row r="39" spans="1:24" ht="21.75" customHeight="1">
      <c r="A39" s="400"/>
      <c r="B39" s="286"/>
      <c r="C39" s="309">
        <f t="shared" si="0"/>
        <v>28</v>
      </c>
      <c r="D39" s="390"/>
      <c r="E39" s="390"/>
      <c r="F39" s="362"/>
      <c r="G39" s="291"/>
      <c r="H39" s="390"/>
      <c r="I39" s="390"/>
      <c r="J39" s="390"/>
      <c r="K39" s="390"/>
      <c r="L39" s="291"/>
      <c r="M39" s="262"/>
      <c r="N39" s="291"/>
      <c r="O39" s="416"/>
      <c r="P39" s="476"/>
      <c r="Q39" s="390"/>
      <c r="R39" s="291"/>
      <c r="S39" s="390"/>
      <c r="T39" s="400"/>
      <c r="U39" s="400"/>
      <c r="V39" s="400"/>
      <c r="W39" s="400"/>
      <c r="X39" s="400"/>
    </row>
    <row r="40" spans="1:24" ht="21.75" customHeight="1">
      <c r="A40" s="400"/>
      <c r="B40" s="286"/>
      <c r="C40" s="309">
        <f t="shared" si="0"/>
        <v>29</v>
      </c>
      <c r="D40" s="390"/>
      <c r="E40" s="308" t="s">
        <v>240</v>
      </c>
      <c r="F40" s="362"/>
      <c r="G40" s="482">
        <f>+G12+G38</f>
        <v>16601</v>
      </c>
      <c r="H40" s="482">
        <f>+H12+H38</f>
        <v>162013</v>
      </c>
      <c r="I40" s="483"/>
      <c r="J40" s="290">
        <f ca="1">+J12+SUM(J13:J37)</f>
        <v>-2984.8630740345407</v>
      </c>
      <c r="K40" s="290">
        <f ca="1">+K12+SUM(K13:K37)</f>
        <v>-2215.24928948959</v>
      </c>
      <c r="L40" s="290">
        <f ca="1">+L12+SUM(L13:L37)</f>
        <v>-5200.1123635241311</v>
      </c>
      <c r="M40" s="262"/>
      <c r="N40" s="290">
        <f ca="1">+N12+N38</f>
        <v>16452.993358940003</v>
      </c>
      <c r="O40" s="482">
        <f>+O12+O38</f>
        <v>160660.28399999999</v>
      </c>
      <c r="P40" s="290">
        <f ca="1">+P12+SUM(P13:P37)</f>
        <v>-2746.943935488227</v>
      </c>
      <c r="Q40" s="290">
        <f ca="1">+Q12+SUM(Q13:Q37)</f>
        <v>-2394.6436356271138</v>
      </c>
      <c r="R40" s="290">
        <f ca="1">+R12+SUM(R13:R37)</f>
        <v>-5141.5875711153367</v>
      </c>
      <c r="S40" s="290"/>
      <c r="T40" s="400"/>
      <c r="U40" s="400"/>
      <c r="V40" s="400"/>
      <c r="W40" s="400"/>
      <c r="X40" s="400"/>
    </row>
    <row r="41" spans="1:24" ht="21.75" customHeight="1">
      <c r="A41" s="400"/>
      <c r="B41" s="286"/>
      <c r="C41" s="309">
        <f t="shared" si="0"/>
        <v>30</v>
      </c>
      <c r="D41" s="390"/>
      <c r="E41" s="390"/>
      <c r="F41" s="362"/>
      <c r="G41" s="291"/>
      <c r="H41" s="390"/>
      <c r="I41" s="484"/>
      <c r="J41" s="485"/>
      <c r="K41" s="484"/>
      <c r="L41" s="485"/>
      <c r="M41" s="262"/>
      <c r="N41" s="271"/>
      <c r="O41" s="485"/>
      <c r="P41" s="476"/>
      <c r="Q41" s="484"/>
      <c r="R41" s="484"/>
      <c r="S41" s="484"/>
      <c r="T41" s="400"/>
      <c r="U41" s="400"/>
      <c r="V41" s="400"/>
      <c r="W41" s="400"/>
      <c r="X41" s="400"/>
    </row>
    <row r="42" spans="1:24" ht="21.75" customHeight="1">
      <c r="A42" s="400"/>
      <c r="B42" s="286"/>
      <c r="C42" s="309">
        <f>+C38+1</f>
        <v>28</v>
      </c>
      <c r="D42" s="533" t="s">
        <v>241</v>
      </c>
      <c r="E42" s="534"/>
      <c r="F42" s="363"/>
      <c r="G42" s="291"/>
      <c r="H42" s="476"/>
      <c r="I42" s="291"/>
      <c r="J42" s="291"/>
      <c r="K42" s="271"/>
      <c r="L42" s="291"/>
      <c r="M42" s="262"/>
      <c r="N42" s="271"/>
      <c r="O42" s="291"/>
      <c r="P42" s="271"/>
      <c r="Q42" s="271"/>
      <c r="R42" s="271"/>
      <c r="S42" s="271"/>
      <c r="T42" s="400"/>
      <c r="U42" s="400"/>
      <c r="V42" s="400"/>
      <c r="W42" s="400"/>
      <c r="X42" s="400"/>
    </row>
    <row r="43" spans="1:24" ht="21.75" customHeight="1">
      <c r="A43" s="400"/>
      <c r="B43" s="400"/>
      <c r="C43" s="309">
        <f>+C31+1</f>
        <v>21</v>
      </c>
      <c r="D43" s="256" t="s">
        <v>242</v>
      </c>
      <c r="E43" s="390" t="s">
        <v>280</v>
      </c>
      <c r="F43" s="362" t="s">
        <v>387</v>
      </c>
      <c r="G43" s="291">
        <v>-406</v>
      </c>
      <c r="H43" s="291"/>
      <c r="I43" s="480"/>
      <c r="J43" s="289">
        <f t="shared" ref="J43:J51" si="7">-G43/$K$83</f>
        <v>652.64078394053581</v>
      </c>
      <c r="K43" s="414">
        <f t="shared" ref="K43:K52" ca="1" si="8">+H43*$T$75/$K$83</f>
        <v>0</v>
      </c>
      <c r="L43" s="474">
        <f t="shared" ref="L43:L53" ca="1" si="9">+J43+K43</f>
        <v>652.64078394053581</v>
      </c>
      <c r="M43" s="262"/>
      <c r="N43" s="406">
        <f>+'DPK-3 Pro Forma Adj Sch 1.3 '!$H$59</f>
        <v>-296.97720000000004</v>
      </c>
      <c r="O43" s="293"/>
      <c r="P43" s="289">
        <f t="shared" ref="P43:P52" si="10">-N43/$K$83</f>
        <v>477.38776507503769</v>
      </c>
      <c r="Q43" s="407">
        <f t="shared" ref="Q43:Q48" ca="1" si="11">+O43*$L$67/$K$83</f>
        <v>0</v>
      </c>
      <c r="R43" s="474">
        <f t="shared" ref="R43:R53" ca="1" si="12">+P43+Q43</f>
        <v>477.38776507503769</v>
      </c>
      <c r="S43" s="474">
        <f t="shared" ref="S43:S48" ca="1" si="13">ROUND(+R43-L43,0)</f>
        <v>-175</v>
      </c>
      <c r="T43" s="400"/>
      <c r="U43" s="400"/>
      <c r="V43" s="400"/>
      <c r="W43" s="400"/>
      <c r="X43" s="400"/>
    </row>
    <row r="44" spans="1:24" ht="21.75" customHeight="1">
      <c r="A44" s="400"/>
      <c r="B44" s="400"/>
      <c r="C44" s="309">
        <f t="shared" ref="C44:C53" si="14">+C43+1</f>
        <v>22</v>
      </c>
      <c r="D44" s="256" t="s">
        <v>243</v>
      </c>
      <c r="E44" s="390" t="s">
        <v>279</v>
      </c>
      <c r="F44" s="362" t="s">
        <v>387</v>
      </c>
      <c r="G44" s="291">
        <v>-34</v>
      </c>
      <c r="H44" s="291"/>
      <c r="I44" s="474"/>
      <c r="J44" s="415">
        <f t="shared" si="7"/>
        <v>54.654646930980832</v>
      </c>
      <c r="K44" s="414">
        <f t="shared" ca="1" si="8"/>
        <v>0</v>
      </c>
      <c r="L44" s="474">
        <f t="shared" ca="1" si="9"/>
        <v>54.654646930980832</v>
      </c>
      <c r="M44" s="262"/>
      <c r="N44" s="406">
        <f>+'DPK-3 Pro Forma Adj Sch 1.3 '!$I$59</f>
        <v>-26.557700000000004</v>
      </c>
      <c r="O44" s="293"/>
      <c r="P44" s="289">
        <f t="shared" si="10"/>
        <v>42.691226964673817</v>
      </c>
      <c r="Q44" s="407">
        <f t="shared" ca="1" si="11"/>
        <v>0</v>
      </c>
      <c r="R44" s="474">
        <f t="shared" ca="1" si="12"/>
        <v>42.691226964673817</v>
      </c>
      <c r="S44" s="474">
        <f t="shared" ca="1" si="13"/>
        <v>-12</v>
      </c>
      <c r="T44" s="400"/>
      <c r="U44" s="400"/>
      <c r="V44" s="400"/>
      <c r="W44" s="400"/>
      <c r="X44" s="400"/>
    </row>
    <row r="45" spans="1:24" ht="21.75" customHeight="1">
      <c r="A45" s="400"/>
      <c r="B45" s="400"/>
      <c r="C45" s="309">
        <f t="shared" si="14"/>
        <v>23</v>
      </c>
      <c r="D45" s="256" t="s">
        <v>244</v>
      </c>
      <c r="E45" s="390" t="s">
        <v>339</v>
      </c>
      <c r="F45" s="362"/>
      <c r="G45" s="291">
        <v>-1777.75</v>
      </c>
      <c r="H45" s="291">
        <v>8922</v>
      </c>
      <c r="I45" s="480"/>
      <c r="J45" s="289">
        <f t="shared" si="7"/>
        <v>2857.7146641632698</v>
      </c>
      <c r="K45" s="404">
        <f t="shared" ca="1" si="8"/>
        <v>1183.2168439191885</v>
      </c>
      <c r="L45" s="474">
        <f t="shared" ca="1" si="9"/>
        <v>4040.9315080824581</v>
      </c>
      <c r="M45" s="262"/>
      <c r="N45" s="406">
        <f>+'DPK-3 Pro Forma Adj Sch 1.3 '!$J$59</f>
        <v>-1777.75</v>
      </c>
      <c r="O45" s="293">
        <f>+'DPK-3 Pro Forma Adj Sch 1.3 '!$J$76</f>
        <v>8922</v>
      </c>
      <c r="P45" s="289">
        <f t="shared" si="10"/>
        <v>2857.7146641632698</v>
      </c>
      <c r="Q45" s="407">
        <f t="shared" ca="1" si="11"/>
        <v>1183.2168439191885</v>
      </c>
      <c r="R45" s="474">
        <f t="shared" ca="1" si="12"/>
        <v>4040.9315080824581</v>
      </c>
      <c r="S45" s="474">
        <f t="shared" ca="1" si="13"/>
        <v>0</v>
      </c>
      <c r="T45" s="400"/>
      <c r="U45" s="400"/>
      <c r="V45" s="400"/>
      <c r="W45" s="400"/>
      <c r="X45" s="400"/>
    </row>
    <row r="46" spans="1:24" ht="21.75" customHeight="1">
      <c r="A46" s="400"/>
      <c r="B46" s="400"/>
      <c r="C46" s="309">
        <f t="shared" si="14"/>
        <v>24</v>
      </c>
      <c r="D46" s="256" t="s">
        <v>245</v>
      </c>
      <c r="E46" s="390" t="s">
        <v>353</v>
      </c>
      <c r="F46" s="362" t="s">
        <v>387</v>
      </c>
      <c r="G46" s="291">
        <v>294.45000000000005</v>
      </c>
      <c r="H46" s="291">
        <v>1234</v>
      </c>
      <c r="I46" s="480"/>
      <c r="J46" s="289">
        <f t="shared" si="7"/>
        <v>-473.32531731845023</v>
      </c>
      <c r="K46" s="404">
        <f t="shared" ca="1" si="8"/>
        <v>163.65048031789718</v>
      </c>
      <c r="L46" s="474">
        <f t="shared" ca="1" si="9"/>
        <v>-309.67483700055305</v>
      </c>
      <c r="M46" s="262"/>
      <c r="N46" s="406">
        <f>+'DPK-3 Pro Forma Adj Sch 1.3 '!$K$59</f>
        <v>0</v>
      </c>
      <c r="O46" s="293">
        <f>+'DPK-3 Pro Forma Adj Sch 1.3 '!$K$76</f>
        <v>0</v>
      </c>
      <c r="P46" s="289">
        <f t="shared" si="10"/>
        <v>0</v>
      </c>
      <c r="Q46" s="407">
        <f t="shared" ca="1" si="11"/>
        <v>0</v>
      </c>
      <c r="R46" s="474">
        <f t="shared" ca="1" si="12"/>
        <v>0</v>
      </c>
      <c r="S46" s="474">
        <f t="shared" ca="1" si="13"/>
        <v>310</v>
      </c>
      <c r="T46" s="400"/>
      <c r="U46" s="400"/>
      <c r="V46" s="400"/>
      <c r="W46" s="400"/>
      <c r="X46" s="400"/>
    </row>
    <row r="47" spans="1:24" ht="21.75" customHeight="1">
      <c r="A47" s="400"/>
      <c r="B47" s="400"/>
      <c r="C47" s="309">
        <f t="shared" si="14"/>
        <v>25</v>
      </c>
      <c r="D47" s="256" t="s">
        <v>246</v>
      </c>
      <c r="E47" s="390" t="s">
        <v>378</v>
      </c>
      <c r="F47" s="362" t="s">
        <v>387</v>
      </c>
      <c r="G47" s="291">
        <v>-596.04999999999995</v>
      </c>
      <c r="H47" s="416">
        <v>6094</v>
      </c>
      <c r="I47" s="480"/>
      <c r="J47" s="289">
        <f t="shared" si="7"/>
        <v>958.14418538856239</v>
      </c>
      <c r="K47" s="404">
        <f t="shared" ca="1" si="8"/>
        <v>808.17344169956664</v>
      </c>
      <c r="L47" s="474">
        <f t="shared" ca="1" si="9"/>
        <v>1766.317627088129</v>
      </c>
      <c r="M47" s="262"/>
      <c r="N47" s="406">
        <f>+'DPK-3 Pro Forma Adj Sch 1.3 '!$L$59</f>
        <v>0</v>
      </c>
      <c r="O47" s="293">
        <f>+'DPK-3 Pro Forma Adj Sch 1.3 '!$L$76</f>
        <v>0</v>
      </c>
      <c r="P47" s="289">
        <f t="shared" si="10"/>
        <v>0</v>
      </c>
      <c r="Q47" s="407">
        <f t="shared" ca="1" si="11"/>
        <v>0</v>
      </c>
      <c r="R47" s="474">
        <f t="shared" ca="1" si="12"/>
        <v>0</v>
      </c>
      <c r="S47" s="474">
        <f t="shared" ca="1" si="13"/>
        <v>-1766</v>
      </c>
      <c r="T47" s="400"/>
      <c r="U47" s="400"/>
      <c r="V47" s="400"/>
      <c r="W47" s="400"/>
      <c r="X47" s="400"/>
    </row>
    <row r="48" spans="1:24" ht="21.75" customHeight="1">
      <c r="A48" s="400"/>
      <c r="B48" s="400"/>
      <c r="C48" s="309">
        <f t="shared" si="14"/>
        <v>26</v>
      </c>
      <c r="D48" s="256" t="s">
        <v>358</v>
      </c>
      <c r="E48" s="390" t="s">
        <v>375</v>
      </c>
      <c r="F48" s="362" t="s">
        <v>387</v>
      </c>
      <c r="G48" s="480">
        <v>-57</v>
      </c>
      <c r="H48" s="390"/>
      <c r="I48" s="480"/>
      <c r="J48" s="289">
        <f t="shared" si="7"/>
        <v>91.626908090173742</v>
      </c>
      <c r="K48" s="404">
        <f t="shared" ca="1" si="8"/>
        <v>0</v>
      </c>
      <c r="L48" s="474">
        <f t="shared" ca="1" si="9"/>
        <v>91.626908090173742</v>
      </c>
      <c r="M48" s="262"/>
      <c r="N48" s="417">
        <f>+'DPK-3 Pro Forma Adj Sch 1.3 '!$M$59</f>
        <v>0</v>
      </c>
      <c r="O48" s="486"/>
      <c r="P48" s="289">
        <f t="shared" si="10"/>
        <v>0</v>
      </c>
      <c r="Q48" s="407">
        <f t="shared" ca="1" si="11"/>
        <v>0</v>
      </c>
      <c r="R48" s="474">
        <f t="shared" ca="1" si="12"/>
        <v>0</v>
      </c>
      <c r="S48" s="474">
        <f t="shared" ca="1" si="13"/>
        <v>-92</v>
      </c>
      <c r="T48" s="400"/>
      <c r="U48" s="400"/>
      <c r="V48" s="400"/>
      <c r="W48" s="400"/>
      <c r="X48" s="400"/>
    </row>
    <row r="49" spans="1:24" ht="21.75" customHeight="1">
      <c r="A49" s="400"/>
      <c r="B49" s="286"/>
      <c r="C49" s="309">
        <f t="shared" si="14"/>
        <v>27</v>
      </c>
      <c r="D49" s="256" t="s">
        <v>247</v>
      </c>
      <c r="E49" s="390" t="s">
        <v>89</v>
      </c>
      <c r="F49" s="362" t="s">
        <v>387</v>
      </c>
      <c r="G49" s="486">
        <v>-98.800000000000011</v>
      </c>
      <c r="H49" s="390"/>
      <c r="I49" s="480"/>
      <c r="J49" s="289">
        <f t="shared" si="7"/>
        <v>158.81997402296784</v>
      </c>
      <c r="K49" s="404">
        <f t="shared" ca="1" si="8"/>
        <v>0</v>
      </c>
      <c r="L49" s="474">
        <f t="shared" ca="1" si="9"/>
        <v>158.81997402296784</v>
      </c>
      <c r="M49" s="262"/>
      <c r="N49" s="487">
        <f>+'DPK-3 Pro Forma Adj Sch 1.3 '!N59</f>
        <v>3.12845</v>
      </c>
      <c r="O49" s="291"/>
      <c r="P49" s="289">
        <f t="shared" si="10"/>
        <v>-5.0289508879772642</v>
      </c>
      <c r="Q49" s="407">
        <f t="shared" ref="Q49:Q52" ca="1" si="15">+O49*$L$67/$K$83</f>
        <v>0</v>
      </c>
      <c r="R49" s="474">
        <f t="shared" ca="1" si="12"/>
        <v>-5.0289508879772642</v>
      </c>
      <c r="S49" s="474">
        <f>+P49-J49</f>
        <v>-163.8489249109451</v>
      </c>
      <c r="T49" s="400"/>
      <c r="U49" s="400"/>
      <c r="V49" s="400"/>
      <c r="W49" s="400"/>
      <c r="X49" s="400"/>
    </row>
    <row r="50" spans="1:24" ht="21.75" customHeight="1">
      <c r="A50" s="400"/>
      <c r="B50" s="286"/>
      <c r="C50" s="309">
        <f t="shared" si="14"/>
        <v>28</v>
      </c>
      <c r="D50" s="256" t="s">
        <v>248</v>
      </c>
      <c r="E50" s="390" t="s">
        <v>379</v>
      </c>
      <c r="F50" s="362" t="s">
        <v>387</v>
      </c>
      <c r="G50" s="291">
        <v>-179</v>
      </c>
      <c r="H50" s="390"/>
      <c r="I50" s="480"/>
      <c r="J50" s="289">
        <f t="shared" si="7"/>
        <v>287.7406411954579</v>
      </c>
      <c r="K50" s="404">
        <f t="shared" ca="1" si="8"/>
        <v>0</v>
      </c>
      <c r="L50" s="474">
        <f t="shared" ca="1" si="9"/>
        <v>287.7406411954579</v>
      </c>
      <c r="M50" s="262"/>
      <c r="N50" s="487">
        <f>+'DPK-3 Pro Forma Adj Sch 1.3 '!$O$59</f>
        <v>0</v>
      </c>
      <c r="O50" s="291"/>
      <c r="P50" s="289">
        <f t="shared" si="10"/>
        <v>0</v>
      </c>
      <c r="Q50" s="407">
        <f t="shared" ca="1" si="15"/>
        <v>0</v>
      </c>
      <c r="R50" s="474">
        <f t="shared" ca="1" si="12"/>
        <v>0</v>
      </c>
      <c r="S50" s="474">
        <f>+P50-J50</f>
        <v>-287.7406411954579</v>
      </c>
      <c r="T50" s="400"/>
      <c r="U50" s="400"/>
      <c r="V50" s="400"/>
      <c r="W50" s="400"/>
      <c r="X50" s="400"/>
    </row>
    <row r="51" spans="1:24" ht="21.75" customHeight="1">
      <c r="A51" s="400"/>
      <c r="B51" s="286"/>
      <c r="C51" s="309">
        <f t="shared" si="14"/>
        <v>29</v>
      </c>
      <c r="D51" s="256" t="s">
        <v>249</v>
      </c>
      <c r="E51" s="390" t="s">
        <v>376</v>
      </c>
      <c r="F51" s="362" t="s">
        <v>387</v>
      </c>
      <c r="G51" s="291">
        <v>-772</v>
      </c>
      <c r="H51" s="390"/>
      <c r="I51" s="480"/>
      <c r="J51" s="289">
        <f t="shared" si="7"/>
        <v>1240.9819832563883</v>
      </c>
      <c r="K51" s="404">
        <f t="shared" ca="1" si="8"/>
        <v>0</v>
      </c>
      <c r="L51" s="474">
        <f t="shared" ca="1" si="9"/>
        <v>1240.9819832563883</v>
      </c>
      <c r="M51" s="262"/>
      <c r="N51" s="487">
        <f>+'DPK-3 Pro Forma Adj Sch 1.3 '!$P$59</f>
        <v>-771.21004999999991</v>
      </c>
      <c r="O51" s="291"/>
      <c r="P51" s="289">
        <f t="shared" si="10"/>
        <v>1239.7121468345313</v>
      </c>
      <c r="Q51" s="407">
        <f t="shared" ca="1" si="15"/>
        <v>0</v>
      </c>
      <c r="R51" s="474">
        <f t="shared" ca="1" si="12"/>
        <v>1239.7121468345313</v>
      </c>
      <c r="S51" s="474">
        <f>+P51-J51</f>
        <v>-1.2698364218570077</v>
      </c>
      <c r="T51" s="400"/>
      <c r="U51" s="400"/>
      <c r="V51" s="400"/>
      <c r="W51" s="400"/>
      <c r="X51" s="400"/>
    </row>
    <row r="52" spans="1:24" ht="21.75" customHeight="1">
      <c r="A52" s="400"/>
      <c r="B52" s="286"/>
      <c r="C52" s="309">
        <f t="shared" si="14"/>
        <v>30</v>
      </c>
      <c r="D52" s="256" t="s">
        <v>250</v>
      </c>
      <c r="E52" s="390" t="s">
        <v>370</v>
      </c>
      <c r="F52" s="362" t="s">
        <v>387</v>
      </c>
      <c r="G52" s="291">
        <v>-39</v>
      </c>
      <c r="H52" s="390"/>
      <c r="I52" s="480"/>
      <c r="J52" s="289">
        <f>-G52/$K$83</f>
        <v>62.692095009066243</v>
      </c>
      <c r="K52" s="404">
        <f t="shared" ca="1" si="8"/>
        <v>0</v>
      </c>
      <c r="L52" s="474">
        <f t="shared" ca="1" si="9"/>
        <v>62.692095009066243</v>
      </c>
      <c r="M52" s="262"/>
      <c r="N52" s="487">
        <f>+'DPK-3 Pro Forma Adj Sch 1.3 '!$Q$59</f>
        <v>12.3123</v>
      </c>
      <c r="O52" s="291"/>
      <c r="P52" s="289">
        <f t="shared" si="10"/>
        <v>-19.791894394362213</v>
      </c>
      <c r="Q52" s="407">
        <f t="shared" ca="1" si="15"/>
        <v>0</v>
      </c>
      <c r="R52" s="474">
        <f t="shared" ca="1" si="12"/>
        <v>-19.791894394362213</v>
      </c>
      <c r="S52" s="474">
        <f>+P52-J52</f>
        <v>-82.483989403428453</v>
      </c>
      <c r="T52" s="400"/>
      <c r="U52" s="400"/>
      <c r="V52" s="400"/>
      <c r="W52" s="400"/>
      <c r="X52" s="400"/>
    </row>
    <row r="53" spans="1:24" ht="21.75" customHeight="1">
      <c r="A53" s="400"/>
      <c r="B53" s="286"/>
      <c r="C53" s="309">
        <f t="shared" si="14"/>
        <v>31</v>
      </c>
      <c r="D53" s="256"/>
      <c r="E53" s="390"/>
      <c r="F53" s="390"/>
      <c r="G53" s="403"/>
      <c r="H53" s="481"/>
      <c r="I53" s="481"/>
      <c r="J53" s="289">
        <f>-G53/$K$83</f>
        <v>0</v>
      </c>
      <c r="K53" s="405">
        <f t="shared" ref="K53" ca="1" si="16">+H53*$T$75/$K$83</f>
        <v>0</v>
      </c>
      <c r="L53" s="474">
        <f t="shared" ca="1" si="9"/>
        <v>0</v>
      </c>
      <c r="M53" s="262"/>
      <c r="N53" s="476"/>
      <c r="O53" s="295"/>
      <c r="P53" s="488"/>
      <c r="Q53" s="488"/>
      <c r="R53" s="474">
        <f t="shared" si="12"/>
        <v>0</v>
      </c>
      <c r="S53" s="474">
        <f>+P53-J53</f>
        <v>0</v>
      </c>
      <c r="T53" s="400"/>
      <c r="U53" s="400"/>
      <c r="V53" s="400"/>
      <c r="W53" s="400"/>
      <c r="X53" s="400"/>
    </row>
    <row r="54" spans="1:24" ht="26.25" customHeight="1">
      <c r="A54" s="400"/>
      <c r="B54" s="286"/>
      <c r="C54" s="309">
        <f>+C48+1</f>
        <v>27</v>
      </c>
      <c r="D54" s="390"/>
      <c r="E54" s="392" t="s">
        <v>251</v>
      </c>
      <c r="F54" s="392"/>
      <c r="G54" s="468">
        <f>SUM(G43:G53)</f>
        <v>-3665.15</v>
      </c>
      <c r="H54" s="466">
        <f>SUM(H43:H53)</f>
        <v>16250</v>
      </c>
      <c r="I54" s="467"/>
      <c r="J54" s="465">
        <f>SUM(J43:J53)</f>
        <v>5891.6905646789519</v>
      </c>
      <c r="K54" s="465">
        <f ca="1">SUM(K43:K53)</f>
        <v>2155.040765936652</v>
      </c>
      <c r="L54" s="465">
        <f ca="1">SUM(L43:L53)</f>
        <v>8046.7313306156029</v>
      </c>
      <c r="M54" s="262"/>
      <c r="N54" s="467">
        <f t="shared" ref="N54:S54" si="17">SUM(N43:N53)</f>
        <v>-2857.0542</v>
      </c>
      <c r="O54" s="465">
        <f t="shared" si="17"/>
        <v>8922</v>
      </c>
      <c r="P54" s="465">
        <f t="shared" si="17"/>
        <v>4592.6849577551729</v>
      </c>
      <c r="Q54" s="465">
        <f t="shared" ca="1" si="17"/>
        <v>1183.2168439191885</v>
      </c>
      <c r="R54" s="465">
        <f t="shared" ca="1" si="17"/>
        <v>5775.9018016743612</v>
      </c>
      <c r="S54" s="465">
        <f t="shared" ca="1" si="17"/>
        <v>-2270.3433919316885</v>
      </c>
      <c r="T54" s="400"/>
      <c r="U54" s="400"/>
      <c r="V54" s="400"/>
      <c r="W54" s="400"/>
      <c r="X54" s="400"/>
    </row>
    <row r="55" spans="1:24" s="272" customFormat="1" ht="15" customHeight="1">
      <c r="A55" s="270"/>
      <c r="B55" s="270"/>
      <c r="C55" s="309">
        <f t="shared" ref="C55:C70" si="18">+C54+1</f>
        <v>28</v>
      </c>
      <c r="D55" s="271"/>
      <c r="E55" s="273"/>
      <c r="F55" s="273"/>
      <c r="G55" s="391" t="s">
        <v>221</v>
      </c>
      <c r="H55" s="401" t="s">
        <v>361</v>
      </c>
      <c r="J55" s="465"/>
      <c r="K55" s="467"/>
      <c r="L55" s="467"/>
      <c r="M55" s="262"/>
      <c r="N55" s="391" t="s">
        <v>221</v>
      </c>
      <c r="O55" s="401" t="s">
        <v>361</v>
      </c>
      <c r="Q55" s="467"/>
      <c r="R55" s="467"/>
      <c r="S55" s="398"/>
      <c r="T55" s="270"/>
      <c r="U55" s="400"/>
      <c r="V55" s="270"/>
      <c r="W55" s="270"/>
      <c r="X55" s="270"/>
    </row>
    <row r="56" spans="1:24" ht="21.75" customHeight="1">
      <c r="A56" s="400"/>
      <c r="B56" s="400"/>
      <c r="C56" s="309">
        <f t="shared" si="18"/>
        <v>29</v>
      </c>
      <c r="D56" s="390"/>
      <c r="E56" s="392" t="s">
        <v>252</v>
      </c>
      <c r="F56" s="392"/>
      <c r="G56" s="483">
        <f>+G40+G54</f>
        <v>12935.85</v>
      </c>
      <c r="H56" s="290">
        <f>+H40+H54</f>
        <v>178263</v>
      </c>
      <c r="I56" s="483"/>
      <c r="J56" s="290">
        <f ca="1">+J54+J40</f>
        <v>2906.8274906444112</v>
      </c>
      <c r="K56" s="290">
        <f ca="1">+K54+K40</f>
        <v>-60.208523552938004</v>
      </c>
      <c r="L56" s="290">
        <f ca="1">+L54+L40</f>
        <v>2846.6189670914719</v>
      </c>
      <c r="M56" s="262"/>
      <c r="N56" s="357">
        <f ca="1">+N40+N54</f>
        <v>13595.939158940002</v>
      </c>
      <c r="O56" s="290">
        <f>+O40+O54</f>
        <v>169582.28399999999</v>
      </c>
      <c r="P56" s="290">
        <f ca="1">+P54+P40</f>
        <v>1845.7410222669459</v>
      </c>
      <c r="Q56" s="290">
        <f ca="1">+Q54+Q40</f>
        <v>-1211.4267917079253</v>
      </c>
      <c r="R56" s="290">
        <f ca="1">+R54+R40</f>
        <v>634.31423055902451</v>
      </c>
      <c r="S56" s="483">
        <f ca="1">+S54+S38</f>
        <v>-2211.3433919316885</v>
      </c>
      <c r="T56" s="400"/>
      <c r="U56" s="400"/>
      <c r="V56" s="400"/>
      <c r="W56" s="400"/>
      <c r="X56" s="400"/>
    </row>
    <row r="57" spans="1:24" ht="21.75" customHeight="1">
      <c r="A57" s="400"/>
      <c r="B57" s="400"/>
      <c r="C57" s="309">
        <f t="shared" si="18"/>
        <v>30</v>
      </c>
      <c r="L57" s="390"/>
      <c r="M57" s="306"/>
      <c r="N57" s="307"/>
      <c r="O57" s="308" t="s">
        <v>265</v>
      </c>
      <c r="P57" s="390"/>
      <c r="Q57" s="390"/>
      <c r="R57" s="489">
        <f ca="1">+T80</f>
        <v>0</v>
      </c>
      <c r="S57" s="290">
        <f ca="1">+R57</f>
        <v>0</v>
      </c>
      <c r="T57" s="400"/>
      <c r="U57" s="400"/>
      <c r="V57" s="400"/>
      <c r="W57" s="400"/>
      <c r="X57" s="400"/>
    </row>
    <row r="58" spans="1:24" ht="21.75" customHeight="1">
      <c r="A58" s="400"/>
      <c r="B58" s="400"/>
      <c r="C58" s="309">
        <f t="shared" si="18"/>
        <v>31</v>
      </c>
      <c r="E58" s="514" t="s">
        <v>403</v>
      </c>
      <c r="L58" s="392"/>
      <c r="N58" s="272"/>
      <c r="O58" s="392" t="s">
        <v>266</v>
      </c>
      <c r="Q58" s="273" t="s">
        <v>219</v>
      </c>
      <c r="R58" s="468">
        <f ca="1">+R56+R57</f>
        <v>634.31423055902451</v>
      </c>
      <c r="S58" s="468">
        <f ca="1">+S56+S57</f>
        <v>-2211.3433919316885</v>
      </c>
      <c r="T58" s="400"/>
      <c r="U58" s="400"/>
      <c r="V58" s="400"/>
      <c r="W58" s="400"/>
      <c r="X58" s="400"/>
    </row>
    <row r="59" spans="1:24" ht="21.75" customHeight="1">
      <c r="A59" s="400"/>
      <c r="B59" s="400"/>
      <c r="C59" s="309">
        <f t="shared" si="18"/>
        <v>32</v>
      </c>
      <c r="M59" s="274"/>
      <c r="T59" s="400"/>
      <c r="U59" s="400"/>
      <c r="V59" s="400"/>
      <c r="W59" s="400"/>
      <c r="X59" s="400"/>
    </row>
    <row r="60" spans="1:24" ht="21.75" customHeight="1">
      <c r="A60" s="400"/>
      <c r="B60" s="400"/>
      <c r="C60" s="309">
        <f t="shared" si="18"/>
        <v>33</v>
      </c>
      <c r="E60" s="515" t="s">
        <v>350</v>
      </c>
      <c r="F60" s="390"/>
      <c r="H60" s="394" t="s">
        <v>404</v>
      </c>
      <c r="R60" s="394" t="s">
        <v>405</v>
      </c>
      <c r="T60" s="400"/>
      <c r="U60" s="400"/>
      <c r="V60" s="400"/>
      <c r="W60" s="400"/>
      <c r="X60" s="400"/>
    </row>
    <row r="61" spans="1:24" ht="21.75" customHeight="1">
      <c r="A61" s="400"/>
      <c r="B61" s="400"/>
      <c r="C61" s="252">
        <f t="shared" si="18"/>
        <v>34</v>
      </c>
      <c r="T61" s="400"/>
      <c r="U61" s="400"/>
      <c r="V61" s="400"/>
      <c r="W61" s="400"/>
      <c r="X61" s="400"/>
    </row>
    <row r="62" spans="1:24" ht="21.75" customHeight="1">
      <c r="A62" s="400"/>
      <c r="B62" s="400"/>
      <c r="C62" s="252">
        <f t="shared" si="18"/>
        <v>35</v>
      </c>
      <c r="E62" s="490"/>
      <c r="F62" s="490"/>
      <c r="G62" s="139" t="s">
        <v>85</v>
      </c>
      <c r="H62" s="383"/>
      <c r="L62" s="139" t="s">
        <v>96</v>
      </c>
      <c r="O62" s="139" t="s">
        <v>85</v>
      </c>
      <c r="R62" s="383"/>
      <c r="S62" s="139" t="s">
        <v>96</v>
      </c>
      <c r="T62" s="400"/>
      <c r="U62" s="400"/>
      <c r="V62" s="400"/>
      <c r="W62" s="400"/>
      <c r="X62" s="400"/>
    </row>
    <row r="63" spans="1:24">
      <c r="A63" s="400"/>
      <c r="B63" s="400"/>
      <c r="C63" s="252">
        <f t="shared" si="18"/>
        <v>36</v>
      </c>
      <c r="E63" s="515" t="s">
        <v>351</v>
      </c>
      <c r="F63" s="390"/>
      <c r="G63" s="491" t="s">
        <v>173</v>
      </c>
      <c r="H63" s="275" t="s">
        <v>97</v>
      </c>
      <c r="L63" s="491" t="s">
        <v>97</v>
      </c>
      <c r="O63" s="491" t="s">
        <v>173</v>
      </c>
      <c r="R63" s="275" t="s">
        <v>97</v>
      </c>
      <c r="S63" s="491" t="s">
        <v>97</v>
      </c>
      <c r="T63" s="400"/>
      <c r="U63" s="400"/>
      <c r="V63" s="400"/>
      <c r="W63" s="400"/>
      <c r="X63" s="400"/>
    </row>
    <row r="64" spans="1:24">
      <c r="A64" s="400"/>
      <c r="B64" s="400"/>
      <c r="C64" s="252">
        <f t="shared" si="18"/>
        <v>37</v>
      </c>
      <c r="E64" s="276" t="s">
        <v>182</v>
      </c>
      <c r="F64" s="276"/>
      <c r="G64" s="140">
        <f ca="1">+O64</f>
        <v>0.53499999999999992</v>
      </c>
      <c r="H64" s="513">
        <f>+R64</f>
        <v>6.5699999999999995E-2</v>
      </c>
      <c r="L64" s="105">
        <f ca="1">ROUND(+G64*H64,4)</f>
        <v>3.5099999999999999E-2</v>
      </c>
      <c r="O64" s="140">
        <f ca="1">+'DPK-3 Captial Structure Sch 4'!F16</f>
        <v>0.53499999999999992</v>
      </c>
      <c r="R64" s="513">
        <f>+debt</f>
        <v>6.5699999999999995E-2</v>
      </c>
      <c r="S64" s="105">
        <f ca="1">ROUND(+O64*R64,4)</f>
        <v>3.5099999999999999E-2</v>
      </c>
      <c r="T64" s="400"/>
      <c r="U64" s="400"/>
      <c r="V64" s="400"/>
      <c r="W64" s="400"/>
      <c r="X64" s="400"/>
    </row>
    <row r="65" spans="1:24" ht="21.75" customHeight="1">
      <c r="A65" s="400"/>
      <c r="B65" s="400"/>
      <c r="C65" s="252">
        <f t="shared" si="18"/>
        <v>38</v>
      </c>
      <c r="E65" s="276" t="s">
        <v>180</v>
      </c>
      <c r="F65" s="276"/>
      <c r="G65" s="163">
        <v>0</v>
      </c>
      <c r="H65" s="277">
        <v>0</v>
      </c>
      <c r="L65" s="105">
        <f>+G65*H65</f>
        <v>0</v>
      </c>
      <c r="O65" s="163">
        <f>+'DPK-3 Captial Structure Sch 4'!F17</f>
        <v>0</v>
      </c>
      <c r="R65" s="277">
        <f>+'DPK-3 Captial Structure Sch 4'!G17</f>
        <v>0</v>
      </c>
      <c r="S65" s="105">
        <f>+O65*R65</f>
        <v>0</v>
      </c>
      <c r="T65" s="400"/>
      <c r="U65" s="400"/>
      <c r="V65" s="400"/>
      <c r="W65" s="400"/>
      <c r="X65" s="400"/>
    </row>
    <row r="66" spans="1:24" ht="21.75" customHeight="1">
      <c r="A66" s="400"/>
      <c r="B66" s="400"/>
      <c r="C66" s="252">
        <f t="shared" si="18"/>
        <v>39</v>
      </c>
      <c r="E66" s="276" t="s">
        <v>181</v>
      </c>
      <c r="F66" s="276"/>
      <c r="G66" s="508">
        <f>+O66</f>
        <v>0.46500000000000002</v>
      </c>
      <c r="H66" s="513">
        <f>+R66</f>
        <v>0.10199999999999999</v>
      </c>
      <c r="L66" s="105">
        <f>ROUND(+G66*H66,4)</f>
        <v>4.7399999999999998E-2</v>
      </c>
      <c r="O66" s="508">
        <f>+'DPK-3 Captial Structure Sch 4'!F18</f>
        <v>0.46500000000000002</v>
      </c>
      <c r="P66" s="512"/>
      <c r="Q66" s="512"/>
      <c r="R66" s="513">
        <f>+'DPK-3 Captial Structure Sch 4'!G18</f>
        <v>0.10199999999999999</v>
      </c>
      <c r="S66" s="105">
        <f>ROUND(+O66*R66,4)</f>
        <v>4.7399999999999998E-2</v>
      </c>
      <c r="T66" s="400"/>
      <c r="U66" s="400"/>
      <c r="V66" s="400"/>
      <c r="W66" s="400"/>
      <c r="X66" s="400"/>
    </row>
    <row r="67" spans="1:24" ht="21.75" customHeight="1">
      <c r="A67" s="400"/>
      <c r="B67" s="400"/>
      <c r="C67" s="252">
        <f t="shared" si="18"/>
        <v>40</v>
      </c>
      <c r="E67" s="144" t="s">
        <v>35</v>
      </c>
      <c r="F67" s="144"/>
      <c r="G67" s="145">
        <f ca="1">SUM(G64:G66)</f>
        <v>1</v>
      </c>
      <c r="H67" s="383"/>
      <c r="L67" s="278">
        <f ca="1">ROUND(SUM(L64:L66),4)</f>
        <v>8.2500000000000004E-2</v>
      </c>
      <c r="O67" s="145">
        <f ca="1">SUM(O64:O66)</f>
        <v>1</v>
      </c>
      <c r="R67" s="383"/>
      <c r="S67" s="278">
        <f ca="1">ROUND(SUM(S64:S66),4)</f>
        <v>8.2500000000000004E-2</v>
      </c>
      <c r="T67" s="400"/>
      <c r="U67" s="400"/>
      <c r="V67" s="400"/>
      <c r="W67" s="400"/>
      <c r="X67" s="400"/>
    </row>
    <row r="68" spans="1:24" ht="21.75" customHeight="1">
      <c r="A68" s="400"/>
      <c r="B68" s="400"/>
      <c r="C68" s="252">
        <f t="shared" si="18"/>
        <v>41</v>
      </c>
      <c r="E68" s="144"/>
      <c r="F68" s="144"/>
      <c r="G68" s="279"/>
      <c r="H68" s="383"/>
      <c r="L68" s="280"/>
      <c r="O68" s="279"/>
      <c r="R68" s="383"/>
      <c r="S68" s="280"/>
      <c r="T68" s="400"/>
      <c r="U68" s="400"/>
      <c r="V68" s="400"/>
      <c r="W68" s="400"/>
      <c r="X68" s="400"/>
    </row>
    <row r="69" spans="1:24" ht="21.75" customHeight="1">
      <c r="A69" s="400"/>
      <c r="B69" s="400"/>
      <c r="C69" s="252">
        <f t="shared" si="18"/>
        <v>42</v>
      </c>
      <c r="D69" s="281" t="s">
        <v>267</v>
      </c>
      <c r="J69" s="272"/>
      <c r="O69" s="279"/>
      <c r="R69" s="383"/>
      <c r="S69" s="280"/>
      <c r="T69" s="400"/>
      <c r="U69" s="400"/>
      <c r="V69" s="400"/>
      <c r="W69" s="400"/>
      <c r="X69" s="400"/>
    </row>
    <row r="70" spans="1:24" ht="21.75" customHeight="1">
      <c r="A70" s="400"/>
      <c r="B70" s="400"/>
      <c r="C70" s="252">
        <f t="shared" si="18"/>
        <v>43</v>
      </c>
      <c r="D70" s="281" t="s">
        <v>313</v>
      </c>
      <c r="P70" s="272"/>
      <c r="T70" s="400"/>
      <c r="U70" s="400"/>
      <c r="V70" s="400"/>
      <c r="W70" s="400"/>
      <c r="X70" s="400"/>
    </row>
    <row r="71" spans="1:24">
      <c r="A71" s="400"/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27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</row>
    <row r="72" spans="1:24">
      <c r="A72" s="400"/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</row>
    <row r="73" spans="1:24">
      <c r="A73" s="400"/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282"/>
      <c r="T73" s="283" t="s">
        <v>253</v>
      </c>
      <c r="U73" s="400"/>
      <c r="V73" s="400"/>
      <c r="W73" s="400"/>
      <c r="X73" s="400"/>
    </row>
    <row r="74" spans="1:24">
      <c r="A74" s="400"/>
      <c r="B74" s="400"/>
      <c r="C74" s="400"/>
      <c r="D74" s="400"/>
      <c r="E74" s="400">
        <f>6587-2698</f>
        <v>3889</v>
      </c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272"/>
      <c r="S74" s="273" t="s">
        <v>268</v>
      </c>
      <c r="T74" s="274">
        <f ca="1">+S67</f>
        <v>8.2500000000000004E-2</v>
      </c>
      <c r="U74" s="400"/>
      <c r="V74" s="400"/>
      <c r="W74" s="400"/>
      <c r="X74" s="400"/>
    </row>
    <row r="75" spans="1:24">
      <c r="A75" s="400"/>
      <c r="B75" s="400"/>
      <c r="C75" s="400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272"/>
      <c r="S75" s="273" t="s">
        <v>269</v>
      </c>
      <c r="T75" s="284">
        <f ca="1">+L67</f>
        <v>8.2500000000000004E-2</v>
      </c>
      <c r="U75" s="400"/>
      <c r="V75" s="400"/>
      <c r="W75" s="400"/>
      <c r="X75" s="400"/>
    </row>
    <row r="76" spans="1:24">
      <c r="A76" s="400"/>
      <c r="B76" s="400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272"/>
      <c r="S76" s="273" t="s">
        <v>270</v>
      </c>
      <c r="T76" s="285">
        <f ca="1">+T74-T75</f>
        <v>0</v>
      </c>
      <c r="U76" s="400"/>
      <c r="V76" s="400"/>
      <c r="W76" s="400"/>
      <c r="X76" s="400"/>
    </row>
    <row r="77" spans="1:24">
      <c r="A77" s="400"/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S77" s="392" t="s">
        <v>271</v>
      </c>
      <c r="T77" s="265">
        <f>+O56</f>
        <v>169582.28399999999</v>
      </c>
      <c r="U77" s="400"/>
      <c r="V77" s="400"/>
      <c r="W77" s="400"/>
      <c r="X77" s="400"/>
    </row>
    <row r="78" spans="1:24">
      <c r="A78" s="400"/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S78" s="392" t="s">
        <v>357</v>
      </c>
      <c r="T78" s="255">
        <f ca="1">+T76*T77</f>
        <v>0</v>
      </c>
      <c r="U78" s="400"/>
      <c r="V78" s="400"/>
      <c r="W78" s="400"/>
      <c r="X78" s="400"/>
    </row>
    <row r="79" spans="1:24">
      <c r="A79" s="400"/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S79" s="392" t="s">
        <v>272</v>
      </c>
      <c r="T79" s="274">
        <f>+'DPK-3 Rev Conv Factor Sch 3 '!G25</f>
        <v>0.62208799999999997</v>
      </c>
      <c r="U79" s="400"/>
      <c r="V79" s="400"/>
      <c r="W79" s="400"/>
      <c r="X79" s="400"/>
    </row>
    <row r="80" spans="1:24" ht="16.5" thickBot="1">
      <c r="A80" s="400"/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S80" s="392" t="s">
        <v>220</v>
      </c>
      <c r="T80" s="492">
        <f ca="1">+T78/T79</f>
        <v>0</v>
      </c>
      <c r="U80" s="400"/>
      <c r="V80" s="400"/>
      <c r="W80" s="400"/>
      <c r="X80" s="400"/>
    </row>
    <row r="81" spans="1:24" ht="16.5" thickTop="1">
      <c r="A81" s="400"/>
      <c r="B81" s="400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</row>
    <row r="83" spans="1:24">
      <c r="J83" s="392" t="s">
        <v>254</v>
      </c>
      <c r="K83" s="254">
        <f>+T79</f>
        <v>0.62208799999999997</v>
      </c>
    </row>
    <row r="84" spans="1:24">
      <c r="H84" s="400" t="s">
        <v>255</v>
      </c>
      <c r="I84" s="400"/>
      <c r="J84" s="400" t="s">
        <v>256</v>
      </c>
      <c r="K84" s="400"/>
      <c r="L84" s="270" t="s">
        <v>257</v>
      </c>
      <c r="M84" s="400"/>
      <c r="N84" s="400"/>
    </row>
    <row r="85" spans="1:24">
      <c r="H85" s="400" t="s">
        <v>258</v>
      </c>
      <c r="I85" s="400"/>
      <c r="J85" s="400" t="s">
        <v>259</v>
      </c>
      <c r="K85" s="400"/>
      <c r="L85" s="270" t="s">
        <v>260</v>
      </c>
      <c r="M85" s="400"/>
      <c r="N85" s="400"/>
    </row>
  </sheetData>
  <mergeCells count="10">
    <mergeCell ref="P8:Q8"/>
    <mergeCell ref="I8:K8"/>
    <mergeCell ref="N9:R9"/>
    <mergeCell ref="D42:E42"/>
    <mergeCell ref="G10:H10"/>
    <mergeCell ref="D13:E13"/>
    <mergeCell ref="G9:L9"/>
    <mergeCell ref="N10:O10"/>
    <mergeCell ref="P10:R10"/>
    <mergeCell ref="I10:L10"/>
  </mergeCells>
  <phoneticPr fontId="29" type="noConversion"/>
  <pageMargins left="0.23" right="0.23" top="0.28999999999999998" bottom="0.37" header="0.17" footer="0.21"/>
  <pageSetup scale="58" orientation="portrait" r:id="rId1"/>
  <headerFooter>
    <oddHeader>&amp;RExhibit No. _____(DPK-3)
Docket UE-090134  UG-090135
Page &amp;P of &amp;N</oddHeader>
    <oddFooter>&amp;RRESPONSE TO BENCH REQUEST #2 supplemental
Revised for Settlement and Accepted Rebuttal Corrections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 enableFormatConditionsCalculation="0">
    <tabColor indexed="47"/>
  </sheetPr>
  <dimension ref="A1:O60"/>
  <sheetViews>
    <sheetView showGridLines="0" topLeftCell="A21" workbookViewId="0">
      <selection activeCell="F9" sqref="F9"/>
    </sheetView>
  </sheetViews>
  <sheetFormatPr defaultColWidth="13.5" defaultRowHeight="15.75"/>
  <cols>
    <col min="1" max="1" width="28.6640625" style="442" customWidth="1"/>
    <col min="2" max="2" width="5.5" style="442" customWidth="1"/>
    <col min="3" max="3" width="21.33203125" style="442" customWidth="1"/>
    <col min="4" max="4" width="13.5" style="442" customWidth="1"/>
    <col min="5" max="5" width="23.5" style="442" customWidth="1"/>
    <col min="6" max="6" width="3.1640625" style="442" customWidth="1"/>
    <col min="7" max="7" width="13.5" style="442" customWidth="1"/>
    <col min="8" max="8" width="2.6640625" style="442" customWidth="1"/>
    <col min="9" max="9" width="16.1640625" style="442" customWidth="1"/>
    <col min="10" max="10" width="12.5" style="442" customWidth="1"/>
    <col min="11" max="11" width="21.33203125" style="442" customWidth="1"/>
    <col min="12" max="16384" width="13.5" style="442"/>
  </cols>
  <sheetData>
    <row r="1" spans="1:15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5">
      <c r="A2" s="441"/>
      <c r="B2" s="441"/>
      <c r="C2" s="443" t="s">
        <v>151</v>
      </c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5">
      <c r="A3" s="441"/>
      <c r="B3" s="384" t="str">
        <f>+'DPK-3 Results Sch1.1'!B3</f>
        <v>Avista Corporation</v>
      </c>
      <c r="D3" s="108"/>
      <c r="E3" s="444"/>
      <c r="F3" s="444"/>
      <c r="G3" s="444"/>
      <c r="H3" s="444"/>
      <c r="J3" s="134"/>
      <c r="K3" s="441"/>
      <c r="L3" s="441"/>
      <c r="M3" s="441"/>
    </row>
    <row r="4" spans="1:15">
      <c r="A4" s="441"/>
      <c r="B4" s="384" t="s">
        <v>324</v>
      </c>
      <c r="D4" s="445"/>
      <c r="E4" s="444"/>
      <c r="F4" s="444"/>
      <c r="G4" s="444"/>
      <c r="H4" s="444"/>
      <c r="I4" s="444"/>
      <c r="J4" s="348"/>
      <c r="K4" s="441"/>
      <c r="L4" s="441"/>
      <c r="M4" s="441"/>
    </row>
    <row r="5" spans="1:15">
      <c r="A5" s="441"/>
      <c r="B5" s="1" t="s">
        <v>393</v>
      </c>
      <c r="D5" s="445"/>
      <c r="E5" s="444"/>
      <c r="F5" s="444"/>
      <c r="G5" s="444"/>
      <c r="H5" s="444"/>
      <c r="I5" s="444"/>
      <c r="J5" s="348"/>
      <c r="K5" s="441"/>
      <c r="L5" s="441"/>
      <c r="M5" s="441"/>
    </row>
    <row r="6" spans="1:15">
      <c r="A6" s="441"/>
      <c r="B6" s="1" t="s">
        <v>381</v>
      </c>
      <c r="D6" s="444"/>
      <c r="E6" s="444"/>
      <c r="F6" s="444"/>
      <c r="G6" s="444"/>
      <c r="H6" s="444"/>
      <c r="I6" s="444"/>
      <c r="J6" s="444"/>
      <c r="K6" s="441"/>
      <c r="L6" s="441"/>
      <c r="M6" s="441"/>
    </row>
    <row r="7" spans="1:15">
      <c r="A7" s="441"/>
      <c r="B7" s="169" t="s">
        <v>141</v>
      </c>
      <c r="D7" s="444"/>
      <c r="E7" s="111"/>
      <c r="F7" s="444"/>
      <c r="G7" s="444"/>
      <c r="H7" s="444"/>
      <c r="I7" s="444"/>
      <c r="J7" s="444"/>
      <c r="K7" s="441"/>
      <c r="L7" s="441"/>
      <c r="M7" s="441"/>
      <c r="O7" s="2"/>
    </row>
    <row r="8" spans="1:15">
      <c r="A8" s="441"/>
      <c r="B8" s="446"/>
      <c r="C8" s="445"/>
      <c r="D8" s="444"/>
      <c r="E8" s="111"/>
      <c r="F8" s="444"/>
      <c r="G8" s="444"/>
      <c r="H8" s="444"/>
      <c r="I8" s="444"/>
      <c r="J8" s="444"/>
      <c r="K8" s="441"/>
      <c r="L8" s="441"/>
      <c r="M8" s="441"/>
      <c r="O8" s="2"/>
    </row>
    <row r="9" spans="1:15">
      <c r="A9" s="441"/>
      <c r="B9" s="447" t="s">
        <v>6</v>
      </c>
      <c r="C9" s="447"/>
      <c r="D9" s="444"/>
      <c r="E9" s="444"/>
      <c r="F9" s="444"/>
      <c r="G9" s="444"/>
      <c r="H9" s="444"/>
      <c r="I9" s="444"/>
      <c r="J9" s="102"/>
      <c r="K9" s="441"/>
      <c r="L9" s="441"/>
      <c r="M9" s="441"/>
      <c r="O9" s="2"/>
    </row>
    <row r="10" spans="1:15">
      <c r="A10" s="441"/>
      <c r="B10" s="85" t="s">
        <v>21</v>
      </c>
      <c r="I10" s="448"/>
      <c r="J10" s="448"/>
      <c r="K10" s="441"/>
      <c r="L10" s="441"/>
      <c r="M10" s="441"/>
      <c r="O10" s="2"/>
    </row>
    <row r="11" spans="1:15">
      <c r="A11" s="441"/>
      <c r="B11" s="449">
        <v>1</v>
      </c>
      <c r="D11" s="541" t="s">
        <v>166</v>
      </c>
      <c r="E11" s="541"/>
      <c r="F11" s="541"/>
      <c r="G11" s="541"/>
      <c r="H11" s="411"/>
      <c r="I11" s="448"/>
      <c r="J11" s="448"/>
      <c r="K11" s="441"/>
      <c r="L11" s="441"/>
      <c r="M11" s="441"/>
      <c r="O11" s="2"/>
    </row>
    <row r="12" spans="1:15">
      <c r="A12" s="441"/>
      <c r="B12" s="449">
        <f t="shared" ref="B12:B40" si="0">+B11+1</f>
        <v>2</v>
      </c>
      <c r="D12" s="128"/>
      <c r="E12" s="128"/>
      <c r="F12" s="129"/>
      <c r="G12" s="130"/>
      <c r="H12" s="130"/>
      <c r="I12" s="448"/>
      <c r="J12" s="448"/>
      <c r="K12" s="441"/>
      <c r="L12" s="441"/>
      <c r="M12" s="441"/>
    </row>
    <row r="13" spans="1:15">
      <c r="A13" s="441"/>
      <c r="B13" s="449">
        <f t="shared" si="0"/>
        <v>3</v>
      </c>
      <c r="D13" s="128"/>
      <c r="E13" s="128"/>
      <c r="G13" s="116" t="s">
        <v>175</v>
      </c>
      <c r="H13" s="116"/>
      <c r="I13" s="429"/>
      <c r="J13" s="448"/>
      <c r="K13" s="441"/>
      <c r="L13" s="441"/>
      <c r="M13" s="441"/>
    </row>
    <row r="14" spans="1:15">
      <c r="A14" s="441"/>
      <c r="B14" s="449">
        <f t="shared" si="0"/>
        <v>4</v>
      </c>
      <c r="D14" s="128"/>
      <c r="E14" s="128"/>
      <c r="G14" s="103" t="s">
        <v>20</v>
      </c>
      <c r="H14" s="103"/>
      <c r="I14" s="429"/>
      <c r="J14" s="448"/>
      <c r="K14" s="441"/>
      <c r="L14" s="441"/>
      <c r="M14" s="441"/>
    </row>
    <row r="15" spans="1:15">
      <c r="A15" s="441"/>
      <c r="B15" s="449">
        <f t="shared" si="0"/>
        <v>5</v>
      </c>
      <c r="D15" s="128"/>
      <c r="E15" s="128"/>
      <c r="G15" s="104" t="s">
        <v>110</v>
      </c>
      <c r="H15" s="450"/>
      <c r="I15" s="438" t="s">
        <v>114</v>
      </c>
      <c r="J15" s="448"/>
      <c r="K15" s="441"/>
      <c r="L15" s="441"/>
      <c r="M15" s="441"/>
    </row>
    <row r="16" spans="1:15">
      <c r="A16" s="441"/>
      <c r="B16" s="449">
        <f t="shared" si="0"/>
        <v>6</v>
      </c>
      <c r="D16" s="451"/>
      <c r="E16" s="451"/>
      <c r="G16" s="451"/>
      <c r="H16" s="450"/>
      <c r="I16" s="435"/>
      <c r="J16" s="448"/>
      <c r="K16" s="441"/>
      <c r="L16" s="441"/>
      <c r="M16" s="441"/>
    </row>
    <row r="17" spans="1:13">
      <c r="A17" s="441"/>
      <c r="B17" s="449">
        <f t="shared" si="0"/>
        <v>7</v>
      </c>
      <c r="D17" s="452"/>
      <c r="E17" s="453" t="s">
        <v>321</v>
      </c>
      <c r="G17" s="450">
        <f>+'DPK-3 Results Sch1.1'!K78</f>
        <v>169582.28400000001</v>
      </c>
      <c r="H17" s="450"/>
      <c r="I17" s="436" t="s">
        <v>328</v>
      </c>
      <c r="J17" s="448"/>
      <c r="K17" s="441"/>
      <c r="L17" s="441"/>
      <c r="M17" s="441"/>
    </row>
    <row r="18" spans="1:13">
      <c r="A18" s="441"/>
      <c r="B18" s="449">
        <f t="shared" si="0"/>
        <v>8</v>
      </c>
      <c r="C18" s="454"/>
      <c r="D18" s="452"/>
      <c r="E18" s="453" t="s">
        <v>167</v>
      </c>
      <c r="G18" s="455">
        <f ca="1">+'DPK-3 Captial Structure Sch 4'!I19</f>
        <v>8.2500000000000004E-2</v>
      </c>
      <c r="H18" s="456"/>
      <c r="I18" s="436" t="s">
        <v>329</v>
      </c>
      <c r="J18" s="448"/>
      <c r="K18" s="441"/>
      <c r="L18" s="441"/>
      <c r="M18" s="441"/>
    </row>
    <row r="19" spans="1:13">
      <c r="A19" s="441"/>
      <c r="B19" s="449">
        <f t="shared" si="0"/>
        <v>9</v>
      </c>
      <c r="C19" s="454"/>
      <c r="D19" s="452"/>
      <c r="E19" s="453" t="s">
        <v>168</v>
      </c>
      <c r="G19" s="131">
        <f ca="1">+G17*G18</f>
        <v>13990.538430000002</v>
      </c>
      <c r="H19" s="358"/>
      <c r="I19" s="436" t="s">
        <v>169</v>
      </c>
      <c r="J19" s="448"/>
      <c r="K19" s="441"/>
      <c r="L19" s="441"/>
      <c r="M19" s="441"/>
    </row>
    <row r="20" spans="1:13">
      <c r="A20" s="441"/>
      <c r="B20" s="449">
        <f t="shared" si="0"/>
        <v>10</v>
      </c>
      <c r="C20" s="454"/>
      <c r="D20" s="452"/>
      <c r="E20" s="453"/>
      <c r="G20" s="113"/>
      <c r="H20" s="113"/>
      <c r="I20" s="436"/>
      <c r="J20" s="448"/>
      <c r="K20" s="441"/>
      <c r="L20" s="441"/>
      <c r="M20" s="441"/>
    </row>
    <row r="21" spans="1:13" ht="16.5" thickBot="1">
      <c r="A21" s="441"/>
      <c r="B21" s="449">
        <f t="shared" si="0"/>
        <v>11</v>
      </c>
      <c r="C21" s="454"/>
      <c r="D21" s="452"/>
      <c r="E21" s="453" t="s">
        <v>170</v>
      </c>
      <c r="G21" s="450">
        <f ca="1">+'DPK-3 Results Sch1.1'!K59</f>
        <v>13595.939158939989</v>
      </c>
      <c r="H21" s="450"/>
      <c r="I21" s="436" t="s">
        <v>332</v>
      </c>
      <c r="J21" s="448"/>
      <c r="K21" s="441"/>
      <c r="L21" s="441"/>
      <c r="M21" s="441"/>
    </row>
    <row r="22" spans="1:13" ht="16.5" thickBot="1">
      <c r="A22" s="441"/>
      <c r="B22" s="449">
        <f t="shared" si="0"/>
        <v>12</v>
      </c>
      <c r="C22" s="454"/>
      <c r="I22" s="430"/>
      <c r="J22" s="448"/>
      <c r="K22" s="457" t="s">
        <v>316</v>
      </c>
      <c r="L22" s="441"/>
      <c r="M22" s="441"/>
    </row>
    <row r="23" spans="1:13" ht="16.5" thickBot="1">
      <c r="A23" s="441"/>
      <c r="B23" s="449">
        <f t="shared" si="0"/>
        <v>13</v>
      </c>
      <c r="C23" s="454"/>
      <c r="D23" s="458"/>
      <c r="E23" s="453" t="s">
        <v>171</v>
      </c>
      <c r="G23" s="459">
        <f ca="1">+G19-G21</f>
        <v>394.59927106001305</v>
      </c>
      <c r="H23" s="459"/>
      <c r="I23" s="436" t="s">
        <v>322</v>
      </c>
      <c r="J23" s="448"/>
      <c r="K23" s="360">
        <f ca="1">+G23*1000</f>
        <v>394599.27106001304</v>
      </c>
      <c r="L23" s="441"/>
      <c r="M23" s="441"/>
    </row>
    <row r="24" spans="1:13">
      <c r="A24" s="441"/>
      <c r="B24" s="449">
        <f t="shared" si="0"/>
        <v>14</v>
      </c>
      <c r="C24" s="454"/>
      <c r="D24" s="458"/>
      <c r="E24" s="453"/>
      <c r="G24" s="113"/>
      <c r="H24" s="113"/>
      <c r="I24" s="436"/>
      <c r="J24" s="448"/>
      <c r="K24" s="441"/>
      <c r="L24" s="441"/>
      <c r="M24" s="441"/>
    </row>
    <row r="25" spans="1:13">
      <c r="A25" s="441"/>
      <c r="B25" s="449">
        <f t="shared" si="0"/>
        <v>15</v>
      </c>
      <c r="C25" s="454"/>
      <c r="D25" s="458"/>
      <c r="E25" s="453" t="s">
        <v>99</v>
      </c>
      <c r="G25" s="460">
        <f>+'DPK-3 Rev Conv Factor Sch 3 '!G25</f>
        <v>0.62208799999999997</v>
      </c>
      <c r="H25" s="460"/>
      <c r="I25" s="436" t="s">
        <v>330</v>
      </c>
      <c r="J25" s="448"/>
      <c r="K25" s="441"/>
      <c r="L25" s="441"/>
      <c r="M25" s="441"/>
    </row>
    <row r="26" spans="1:13">
      <c r="A26" s="441"/>
      <c r="B26" s="449">
        <f t="shared" si="0"/>
        <v>16</v>
      </c>
      <c r="C26" s="454"/>
      <c r="I26" s="430"/>
      <c r="K26" s="441"/>
      <c r="L26" s="441"/>
      <c r="M26" s="441"/>
    </row>
    <row r="27" spans="1:13">
      <c r="A27" s="441"/>
      <c r="B27" s="449">
        <f t="shared" si="0"/>
        <v>17</v>
      </c>
      <c r="C27" s="454"/>
      <c r="D27" s="458"/>
      <c r="E27" s="453" t="s">
        <v>172</v>
      </c>
      <c r="G27" s="340">
        <f ca="1">+G23/G25</f>
        <v>634.31423055904156</v>
      </c>
      <c r="H27" s="359"/>
      <c r="I27" s="436" t="s">
        <v>176</v>
      </c>
      <c r="K27" s="441"/>
      <c r="L27" s="441"/>
      <c r="M27" s="441"/>
    </row>
    <row r="28" spans="1:13" ht="21.75" customHeight="1">
      <c r="A28" s="441"/>
      <c r="B28" s="449">
        <f t="shared" si="0"/>
        <v>18</v>
      </c>
      <c r="C28" s="454"/>
      <c r="I28" s="430"/>
      <c r="K28" s="441"/>
      <c r="L28" s="441"/>
      <c r="M28" s="441"/>
    </row>
    <row r="29" spans="1:13">
      <c r="A29" s="441"/>
      <c r="B29" s="449">
        <f t="shared" si="0"/>
        <v>19</v>
      </c>
      <c r="C29" s="454"/>
      <c r="E29" s="453" t="s">
        <v>217</v>
      </c>
      <c r="G29" s="461">
        <v>4918</v>
      </c>
      <c r="H29" s="461"/>
      <c r="I29" s="437"/>
      <c r="K29" s="441"/>
      <c r="L29" s="441"/>
      <c r="M29" s="441"/>
    </row>
    <row r="30" spans="1:13" ht="16.5" thickBot="1">
      <c r="A30" s="441"/>
      <c r="B30" s="449">
        <f t="shared" si="0"/>
        <v>20</v>
      </c>
      <c r="C30" s="454"/>
      <c r="E30" s="453" t="s">
        <v>218</v>
      </c>
      <c r="G30" s="341">
        <f ca="1">+G27-G29</f>
        <v>-4283.6857694409582</v>
      </c>
      <c r="H30" s="359"/>
      <c r="I30" s="436" t="s">
        <v>331</v>
      </c>
      <c r="K30" s="441"/>
      <c r="L30" s="441"/>
      <c r="M30" s="441"/>
    </row>
    <row r="31" spans="1:13" ht="16.5" thickTop="1">
      <c r="A31" s="441"/>
      <c r="B31" s="449">
        <f t="shared" si="0"/>
        <v>21</v>
      </c>
      <c r="C31" s="462"/>
      <c r="I31" s="430"/>
      <c r="K31" s="441"/>
      <c r="L31" s="441"/>
      <c r="M31" s="441"/>
    </row>
    <row r="32" spans="1:13">
      <c r="A32" s="441"/>
      <c r="B32" s="449">
        <f t="shared" si="0"/>
        <v>22</v>
      </c>
      <c r="C32" s="462"/>
      <c r="I32" s="430"/>
      <c r="K32" s="441"/>
      <c r="L32" s="441"/>
      <c r="M32" s="441"/>
    </row>
    <row r="33" spans="1:13">
      <c r="A33" s="441"/>
      <c r="B33" s="449">
        <f t="shared" si="0"/>
        <v>23</v>
      </c>
      <c r="C33" s="462"/>
      <c r="K33" s="441"/>
      <c r="L33" s="441"/>
      <c r="M33" s="441"/>
    </row>
    <row r="34" spans="1:13">
      <c r="A34" s="441"/>
      <c r="B34" s="449">
        <f t="shared" si="0"/>
        <v>24</v>
      </c>
      <c r="C34" s="433"/>
      <c r="K34" s="441"/>
      <c r="L34" s="441"/>
      <c r="M34" s="441"/>
    </row>
    <row r="35" spans="1:13">
      <c r="A35" s="441"/>
      <c r="B35" s="449">
        <f t="shared" si="0"/>
        <v>25</v>
      </c>
      <c r="C35" s="462"/>
      <c r="K35" s="441"/>
      <c r="L35" s="441"/>
      <c r="M35" s="441"/>
    </row>
    <row r="36" spans="1:13">
      <c r="A36" s="441"/>
      <c r="B36" s="449">
        <f t="shared" si="0"/>
        <v>26</v>
      </c>
      <c r="C36" s="462"/>
      <c r="K36" s="441"/>
      <c r="L36" s="441"/>
      <c r="M36" s="441"/>
    </row>
    <row r="37" spans="1:13" ht="31.5" customHeight="1">
      <c r="A37" s="441"/>
      <c r="B37" s="449">
        <f t="shared" si="0"/>
        <v>27</v>
      </c>
      <c r="C37" s="462"/>
      <c r="K37" s="441"/>
      <c r="L37" s="441"/>
      <c r="M37" s="441"/>
    </row>
    <row r="38" spans="1:13" ht="25.5" customHeight="1">
      <c r="A38" s="441"/>
      <c r="B38" s="449">
        <f t="shared" si="0"/>
        <v>28</v>
      </c>
      <c r="C38" s="462"/>
      <c r="K38" s="441"/>
      <c r="L38" s="441"/>
      <c r="M38" s="441"/>
    </row>
    <row r="39" spans="1:13" ht="13.5" customHeight="1">
      <c r="A39" s="441"/>
      <c r="B39" s="449">
        <f t="shared" si="0"/>
        <v>29</v>
      </c>
      <c r="C39" s="462"/>
      <c r="K39" s="441"/>
      <c r="L39" s="441"/>
      <c r="M39" s="441"/>
    </row>
    <row r="40" spans="1:13">
      <c r="A40" s="441"/>
      <c r="B40" s="449">
        <f t="shared" si="0"/>
        <v>30</v>
      </c>
      <c r="C40" s="462"/>
      <c r="K40" s="441"/>
      <c r="L40" s="441"/>
      <c r="M40" s="441"/>
    </row>
    <row r="41" spans="1:13">
      <c r="A41" s="441"/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</row>
    <row r="42" spans="1:13">
      <c r="A42" s="441"/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</row>
    <row r="43" spans="1:13">
      <c r="A43" s="441"/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</row>
    <row r="44" spans="1:13">
      <c r="A44" s="441"/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</row>
    <row r="45" spans="1:13">
      <c r="A45" s="441"/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</row>
    <row r="47" spans="1:13">
      <c r="C47" s="454"/>
    </row>
    <row r="48" spans="1:13">
      <c r="C48" s="454"/>
    </row>
    <row r="49" spans="3:3">
      <c r="C49" s="454"/>
    </row>
    <row r="50" spans="3:3">
      <c r="C50" s="454"/>
    </row>
    <row r="51" spans="3:3">
      <c r="C51" s="454"/>
    </row>
    <row r="52" spans="3:3">
      <c r="C52" s="454"/>
    </row>
    <row r="53" spans="3:3">
      <c r="C53" s="454"/>
    </row>
    <row r="54" spans="3:3">
      <c r="C54" s="454"/>
    </row>
    <row r="55" spans="3:3">
      <c r="C55" s="454"/>
    </row>
    <row r="56" spans="3:3">
      <c r="C56" s="454"/>
    </row>
    <row r="57" spans="3:3">
      <c r="C57" s="454"/>
    </row>
    <row r="58" spans="3:3">
      <c r="C58" s="454"/>
    </row>
    <row r="59" spans="3:3">
      <c r="C59" s="454"/>
    </row>
    <row r="60" spans="3:3">
      <c r="C60" s="454"/>
    </row>
  </sheetData>
  <mergeCells count="1">
    <mergeCell ref="D11:G11"/>
  </mergeCells>
  <phoneticPr fontId="18" type="noConversion"/>
  <pageMargins left="0.4" right="0.25" top="1" bottom="1" header="0.5" footer="0.5"/>
  <pageSetup orientation="portrait" r:id="rId1"/>
  <headerFooter alignWithMargins="0">
    <oddHeader>&amp;RExhibit No. _____(DPK-3)
Docket UE-090134  UG-090135
Page &amp;P of &amp;N</oddHeader>
    <oddFooter>&amp;RRESPONSE TO BENCH REQUEST #2 supplemental
Revised for Settlement and Accepted Rebuttal Corrections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 enableFormatConditionsCalculation="0">
    <tabColor indexed="47"/>
  </sheetPr>
  <dimension ref="A1:M60"/>
  <sheetViews>
    <sheetView showGridLines="0" topLeftCell="B11" workbookViewId="0">
      <selection activeCell="F9" sqref="F9"/>
    </sheetView>
  </sheetViews>
  <sheetFormatPr defaultColWidth="13.5" defaultRowHeight="15.75"/>
  <cols>
    <col min="1" max="1" width="21.5" style="107" customWidth="1"/>
    <col min="2" max="2" width="5.5" style="107" customWidth="1"/>
    <col min="3" max="3" width="7.83203125" style="107" customWidth="1"/>
    <col min="4" max="4" width="13.5" style="107" customWidth="1"/>
    <col min="5" max="5" width="23.5" style="107" customWidth="1"/>
    <col min="6" max="6" width="16.83203125" style="107" customWidth="1"/>
    <col min="7" max="7" width="16.6640625" style="107" customWidth="1"/>
    <col min="8" max="8" width="11.5" style="107" customWidth="1"/>
    <col min="9" max="9" width="12.5" style="107" customWidth="1"/>
    <col min="10" max="10" width="9.33203125" style="107" customWidth="1"/>
    <col min="11" max="12" width="17.33203125" style="107" customWidth="1"/>
    <col min="13" max="13" width="22.83203125" style="107" customWidth="1"/>
    <col min="14" max="16384" width="13.5" style="107"/>
  </cols>
  <sheetData>
    <row r="1" spans="1:1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>
      <c r="A2" s="106"/>
      <c r="B2" s="106"/>
      <c r="C2" s="7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>
      <c r="A3" s="106"/>
      <c r="B3" s="349" t="str">
        <f>+'DPK-3 Results Sch1.1'!B3</f>
        <v>Avista Corporation</v>
      </c>
      <c r="D3" s="108"/>
      <c r="E3" s="109"/>
      <c r="F3" s="109"/>
      <c r="G3" s="109"/>
      <c r="I3" s="134"/>
      <c r="J3" s="165"/>
      <c r="K3" s="106"/>
      <c r="L3" s="106"/>
      <c r="M3" s="106"/>
    </row>
    <row r="4" spans="1:13">
      <c r="A4" s="106"/>
      <c r="B4" s="91" t="s">
        <v>324</v>
      </c>
      <c r="D4" s="110"/>
      <c r="E4" s="109"/>
      <c r="F4" s="109"/>
      <c r="G4" s="109"/>
      <c r="H4" s="109"/>
      <c r="I4" s="348"/>
      <c r="J4" s="165"/>
      <c r="K4" s="106"/>
      <c r="L4" s="106"/>
      <c r="M4" s="106"/>
    </row>
    <row r="5" spans="1:13">
      <c r="A5" s="106"/>
      <c r="B5" s="384" t="s">
        <v>394</v>
      </c>
      <c r="D5" s="110"/>
      <c r="E5" s="109"/>
      <c r="F5" s="109"/>
      <c r="G5" s="109"/>
      <c r="H5" s="348"/>
      <c r="I5" s="348"/>
      <c r="J5" s="165"/>
      <c r="K5" s="106"/>
      <c r="L5" s="106"/>
      <c r="M5" s="106"/>
    </row>
    <row r="6" spans="1:13">
      <c r="A6" s="106"/>
      <c r="B6" s="349" t="str">
        <f>+'DPK-3 Results Sch1.1'!B5</f>
        <v>Twelve Months Ended September 30, 2008</v>
      </c>
      <c r="C6" s="110"/>
      <c r="D6" s="109"/>
      <c r="E6" s="109"/>
      <c r="F6" s="109"/>
      <c r="G6" s="109"/>
      <c r="H6" s="109"/>
      <c r="I6" s="109"/>
      <c r="J6" s="165"/>
      <c r="K6" s="106"/>
      <c r="L6" s="106"/>
      <c r="M6" s="106"/>
    </row>
    <row r="7" spans="1:13">
      <c r="A7" s="106"/>
      <c r="B7" s="110"/>
      <c r="C7" s="110"/>
      <c r="D7" s="109"/>
      <c r="F7" s="109"/>
      <c r="G7" s="109"/>
      <c r="H7" s="109"/>
      <c r="I7" s="102"/>
      <c r="J7" s="165"/>
      <c r="K7" s="106"/>
      <c r="L7" s="106"/>
      <c r="M7" s="106"/>
    </row>
    <row r="8" spans="1:13">
      <c r="A8" s="106"/>
      <c r="B8" s="83" t="s">
        <v>6</v>
      </c>
      <c r="C8" s="83"/>
      <c r="D8" s="109"/>
      <c r="I8" s="109"/>
      <c r="J8" s="165"/>
      <c r="K8" s="106"/>
      <c r="L8" s="106"/>
      <c r="M8" s="106"/>
    </row>
    <row r="9" spans="1:13">
      <c r="A9" s="106"/>
      <c r="B9" s="85" t="s">
        <v>21</v>
      </c>
      <c r="D9" s="112"/>
      <c r="E9" s="119" t="s">
        <v>163</v>
      </c>
      <c r="I9" s="113"/>
      <c r="J9" s="166"/>
      <c r="K9" s="106"/>
      <c r="L9" s="106"/>
      <c r="M9" s="106"/>
    </row>
    <row r="10" spans="1:13">
      <c r="A10" s="106"/>
      <c r="B10" s="114">
        <v>1</v>
      </c>
      <c r="D10" s="111" t="s">
        <v>323</v>
      </c>
      <c r="E10" s="111"/>
      <c r="F10" s="109"/>
      <c r="G10" s="109"/>
      <c r="H10" s="109"/>
      <c r="I10" s="113"/>
      <c r="J10" s="422"/>
      <c r="K10" s="106"/>
      <c r="L10" s="106"/>
      <c r="M10" s="106"/>
    </row>
    <row r="11" spans="1:13">
      <c r="A11" s="106"/>
      <c r="B11" s="114">
        <f t="shared" ref="B11:B30" si="0">+B10+1</f>
        <v>2</v>
      </c>
      <c r="D11" s="112"/>
      <c r="E11" s="112"/>
      <c r="F11" s="113"/>
      <c r="G11" s="113"/>
      <c r="H11" s="113"/>
      <c r="I11" s="113"/>
      <c r="J11" s="423"/>
      <c r="K11" s="168" t="s">
        <v>320</v>
      </c>
      <c r="L11" s="106"/>
      <c r="M11" s="106"/>
    </row>
    <row r="12" spans="1:13" ht="16.5" thickBot="1">
      <c r="A12" s="106"/>
      <c r="B12" s="114">
        <f t="shared" si="0"/>
        <v>3</v>
      </c>
      <c r="D12" s="112"/>
      <c r="E12" s="112"/>
      <c r="F12" s="113"/>
      <c r="G12" s="113"/>
      <c r="H12" s="113"/>
      <c r="I12" s="113"/>
      <c r="J12" s="424"/>
      <c r="K12" s="168" t="s">
        <v>29</v>
      </c>
      <c r="L12" s="106"/>
      <c r="M12" s="106"/>
    </row>
    <row r="13" spans="1:13">
      <c r="A13" s="106"/>
      <c r="B13" s="114">
        <f t="shared" si="0"/>
        <v>4</v>
      </c>
      <c r="D13" s="115"/>
      <c r="E13" s="119" t="s">
        <v>100</v>
      </c>
      <c r="F13" s="158"/>
      <c r="G13" s="156">
        <v>1</v>
      </c>
      <c r="H13" s="113"/>
      <c r="J13" s="425"/>
      <c r="K13" s="350">
        <f ca="1">+'DPK-3 Results Sch1.1'!L15</f>
        <v>634.31423055904156</v>
      </c>
      <c r="L13" s="106"/>
      <c r="M13" s="106"/>
    </row>
    <row r="14" spans="1:13">
      <c r="A14" s="106"/>
      <c r="B14" s="114">
        <f t="shared" si="0"/>
        <v>5</v>
      </c>
      <c r="D14" s="117"/>
      <c r="E14" s="118"/>
      <c r="F14" s="117"/>
      <c r="G14" s="155"/>
      <c r="H14" s="113"/>
      <c r="J14" s="426"/>
      <c r="K14" s="351"/>
      <c r="L14" s="106"/>
      <c r="M14" s="106"/>
    </row>
    <row r="15" spans="1:13">
      <c r="A15" s="106"/>
      <c r="B15" s="114">
        <f t="shared" si="0"/>
        <v>6</v>
      </c>
      <c r="C15" s="88"/>
      <c r="D15" s="118"/>
      <c r="E15" s="119" t="s">
        <v>163</v>
      </c>
      <c r="F15" s="121"/>
      <c r="G15" s="506">
        <v>2.5179999999999998E-3</v>
      </c>
      <c r="J15" s="427"/>
      <c r="K15" s="351">
        <f ca="1">+$K$13*G15</f>
        <v>1.5972032325476666</v>
      </c>
      <c r="L15" s="106"/>
      <c r="M15" s="106"/>
    </row>
    <row r="16" spans="1:13">
      <c r="A16" s="106"/>
      <c r="B16" s="114">
        <f t="shared" si="0"/>
        <v>7</v>
      </c>
      <c r="C16" s="88"/>
      <c r="D16" s="118"/>
      <c r="E16" s="119" t="s">
        <v>162</v>
      </c>
      <c r="F16" s="121"/>
      <c r="G16" s="156">
        <v>2E-3</v>
      </c>
      <c r="J16" s="427"/>
      <c r="K16" s="351">
        <f ca="1">+$K$13*G16</f>
        <v>1.2686284611180831</v>
      </c>
      <c r="L16" s="368">
        <v>3.8519999999999999E-2</v>
      </c>
      <c r="M16" s="369" t="s">
        <v>343</v>
      </c>
    </row>
    <row r="17" spans="1:13">
      <c r="A17" s="106"/>
      <c r="B17" s="114">
        <f t="shared" si="0"/>
        <v>8</v>
      </c>
      <c r="C17" s="88"/>
      <c r="D17" s="118"/>
      <c r="E17" s="119" t="s">
        <v>174</v>
      </c>
      <c r="F17" s="121"/>
      <c r="G17" s="506">
        <v>3.8422999999999999E-2</v>
      </c>
      <c r="J17" s="427"/>
      <c r="K17" s="351">
        <f ca="1">+$K$13*G17</f>
        <v>24.372255680770053</v>
      </c>
      <c r="L17" s="368">
        <f>+G17</f>
        <v>3.8422999999999999E-2</v>
      </c>
      <c r="M17" s="369" t="s">
        <v>344</v>
      </c>
    </row>
    <row r="18" spans="1:13">
      <c r="A18" s="106"/>
      <c r="B18" s="114">
        <f t="shared" si="0"/>
        <v>9</v>
      </c>
      <c r="C18" s="433"/>
      <c r="D18" s="118"/>
      <c r="E18" s="123" t="s">
        <v>164</v>
      </c>
      <c r="F18" s="125" t="s">
        <v>212</v>
      </c>
      <c r="G18" s="157">
        <f>SUM(G15:G17)</f>
        <v>4.2941E-2</v>
      </c>
      <c r="J18" s="427"/>
      <c r="K18" s="352">
        <f ca="1">+$K$13*G18</f>
        <v>27.238087374435803</v>
      </c>
      <c r="L18" s="368">
        <f>+L16*L17</f>
        <v>1.4800539599999999E-3</v>
      </c>
      <c r="M18" s="369" t="s">
        <v>345</v>
      </c>
    </row>
    <row r="19" spans="1:13" ht="16.5" thickBot="1">
      <c r="A19" s="106"/>
      <c r="B19" s="114">
        <f t="shared" si="0"/>
        <v>10</v>
      </c>
      <c r="C19" s="432"/>
      <c r="D19" s="118"/>
      <c r="E19" s="123"/>
      <c r="F19" s="125"/>
      <c r="G19" s="156"/>
      <c r="J19" s="427"/>
      <c r="K19" s="352"/>
      <c r="L19" s="370">
        <f>+L16-L18</f>
        <v>3.7039946040000001E-2</v>
      </c>
      <c r="M19" s="369" t="s">
        <v>346</v>
      </c>
    </row>
    <row r="20" spans="1:13" ht="16.5" thickTop="1">
      <c r="A20" s="106"/>
      <c r="B20" s="114">
        <f t="shared" si="0"/>
        <v>11</v>
      </c>
      <c r="C20" s="432"/>
      <c r="D20" s="122"/>
      <c r="E20" s="119" t="s">
        <v>179</v>
      </c>
      <c r="F20" s="125" t="s">
        <v>213</v>
      </c>
      <c r="G20" s="156">
        <f>+G13-G18</f>
        <v>0.95705899999999999</v>
      </c>
      <c r="J20" s="427"/>
      <c r="K20" s="352">
        <f ca="1">+K13-K18</f>
        <v>607.07614318460571</v>
      </c>
      <c r="L20" s="106"/>
      <c r="M20" s="106"/>
    </row>
    <row r="21" spans="1:13">
      <c r="A21" s="106"/>
      <c r="B21" s="114">
        <f t="shared" si="0"/>
        <v>12</v>
      </c>
      <c r="C21" s="432"/>
      <c r="D21" s="122"/>
      <c r="E21" s="119"/>
      <c r="F21" s="159"/>
      <c r="G21" s="155"/>
      <c r="J21" s="427"/>
      <c r="K21" s="351"/>
      <c r="L21" s="106"/>
      <c r="M21" s="106"/>
    </row>
    <row r="22" spans="1:13">
      <c r="A22" s="106"/>
      <c r="B22" s="114">
        <f t="shared" si="0"/>
        <v>13</v>
      </c>
      <c r="C22" s="432"/>
      <c r="D22" s="122"/>
      <c r="E22" s="119" t="s">
        <v>178</v>
      </c>
      <c r="F22" s="125" t="s">
        <v>214</v>
      </c>
      <c r="G22" s="156">
        <f>+G20*0.35</f>
        <v>0.33497064999999998</v>
      </c>
      <c r="J22" s="427"/>
      <c r="K22" s="353"/>
      <c r="L22" s="106"/>
      <c r="M22" s="106"/>
    </row>
    <row r="23" spans="1:13" ht="16.5" thickBot="1">
      <c r="A23" s="106"/>
      <c r="B23" s="114">
        <f t="shared" si="0"/>
        <v>14</v>
      </c>
      <c r="C23" s="432"/>
      <c r="D23" s="122"/>
      <c r="E23" s="119" t="s">
        <v>165</v>
      </c>
      <c r="F23" s="125" t="s">
        <v>215</v>
      </c>
      <c r="G23" s="160">
        <f>+G18+G22</f>
        <v>0.37791164999999999</v>
      </c>
      <c r="J23" s="427"/>
      <c r="K23" s="352">
        <f ca="1">+K20*0.35</f>
        <v>212.476650114612</v>
      </c>
      <c r="L23" s="106"/>
      <c r="M23" s="106"/>
    </row>
    <row r="24" spans="1:13" ht="16.5" thickTop="1">
      <c r="A24" s="106"/>
      <c r="B24" s="114">
        <f t="shared" si="0"/>
        <v>15</v>
      </c>
      <c r="C24" s="432"/>
      <c r="D24" s="124"/>
      <c r="E24" s="117"/>
      <c r="F24" s="121"/>
      <c r="G24" s="155"/>
      <c r="J24" s="427"/>
      <c r="K24" s="354"/>
      <c r="L24" s="106"/>
      <c r="M24" s="106"/>
    </row>
    <row r="25" spans="1:13" ht="16.5" thickBot="1">
      <c r="A25" s="106"/>
      <c r="B25" s="114">
        <f t="shared" si="0"/>
        <v>16</v>
      </c>
      <c r="C25" s="432"/>
      <c r="D25" s="124"/>
      <c r="E25" s="123" t="s">
        <v>99</v>
      </c>
      <c r="F25" s="126" t="s">
        <v>216</v>
      </c>
      <c r="G25" s="157">
        <f>ROUND(1-(+G23/G13),6)</f>
        <v>0.62208799999999997</v>
      </c>
      <c r="J25" s="427"/>
      <c r="K25" s="355">
        <f ca="1">+K20-K23</f>
        <v>394.59949306999374</v>
      </c>
      <c r="L25" s="106"/>
      <c r="M25" s="106"/>
    </row>
    <row r="26" spans="1:13" ht="16.5" thickTop="1">
      <c r="A26" s="106"/>
      <c r="B26" s="114">
        <f t="shared" si="0"/>
        <v>17</v>
      </c>
      <c r="C26" s="432"/>
      <c r="D26" s="117"/>
      <c r="J26" s="427"/>
      <c r="K26" s="167"/>
      <c r="L26" s="106"/>
      <c r="M26" s="106"/>
    </row>
    <row r="27" spans="1:13">
      <c r="A27" s="106"/>
      <c r="B27" s="114">
        <f t="shared" si="0"/>
        <v>18</v>
      </c>
      <c r="C27" s="432"/>
      <c r="D27" s="117"/>
      <c r="J27" s="427"/>
      <c r="K27" s="167"/>
      <c r="L27" s="106"/>
      <c r="M27" s="106"/>
    </row>
    <row r="28" spans="1:13">
      <c r="A28" s="106"/>
      <c r="B28" s="114">
        <f t="shared" si="0"/>
        <v>19</v>
      </c>
      <c r="C28" s="432"/>
      <c r="D28" s="117"/>
      <c r="E28" s="117"/>
      <c r="F28" s="130"/>
      <c r="G28" s="117"/>
      <c r="H28" s="120"/>
      <c r="I28" s="117"/>
      <c r="J28" s="428"/>
      <c r="K28" s="106"/>
      <c r="L28" s="106"/>
      <c r="M28" s="106"/>
    </row>
    <row r="29" spans="1:13">
      <c r="A29" s="106"/>
      <c r="B29" s="114">
        <f t="shared" si="0"/>
        <v>20</v>
      </c>
      <c r="C29" s="432"/>
      <c r="F29" s="109"/>
      <c r="G29" s="127"/>
      <c r="H29" s="109"/>
      <c r="J29" s="422"/>
      <c r="K29" s="106"/>
      <c r="L29" s="106"/>
      <c r="M29" s="106"/>
    </row>
    <row r="30" spans="1:13">
      <c r="A30" s="106"/>
      <c r="B30" s="114">
        <f t="shared" si="0"/>
        <v>21</v>
      </c>
      <c r="C30" s="434"/>
      <c r="G30" s="510" t="s">
        <v>401</v>
      </c>
      <c r="J30" s="422"/>
      <c r="K30" s="106"/>
      <c r="L30" s="106"/>
      <c r="M30" s="106"/>
    </row>
    <row r="31" spans="1:13">
      <c r="A31" s="106"/>
      <c r="B31" s="88"/>
      <c r="C31" s="434"/>
      <c r="J31" s="422"/>
      <c r="K31" s="106"/>
      <c r="L31" s="106"/>
      <c r="M31" s="106"/>
    </row>
    <row r="32" spans="1:13">
      <c r="A32" s="106"/>
      <c r="B32" s="88"/>
      <c r="C32" s="434"/>
      <c r="J32" s="422"/>
      <c r="K32" s="106"/>
      <c r="L32" s="106"/>
      <c r="M32" s="106"/>
    </row>
    <row r="33" spans="1:13" ht="31.5" customHeight="1">
      <c r="A33" s="106"/>
      <c r="B33" s="88"/>
      <c r="C33" s="434"/>
      <c r="J33" s="422"/>
      <c r="K33" s="106"/>
      <c r="L33" s="106"/>
      <c r="M33" s="106"/>
    </row>
    <row r="34" spans="1:13">
      <c r="A34" s="106"/>
      <c r="B34" s="88"/>
      <c r="C34" s="434"/>
      <c r="J34" s="106"/>
      <c r="K34" s="106"/>
      <c r="L34" s="106"/>
      <c r="M34" s="106"/>
    </row>
    <row r="35" spans="1:13">
      <c r="A35" s="106"/>
      <c r="B35" s="88"/>
      <c r="C35" s="434"/>
      <c r="J35" s="106"/>
      <c r="K35" s="106"/>
      <c r="L35" s="106"/>
      <c r="M35" s="106"/>
    </row>
    <row r="36" spans="1:13">
      <c r="A36" s="106"/>
      <c r="B36" s="88"/>
      <c r="C36" s="434"/>
      <c r="J36" s="106"/>
      <c r="K36" s="106"/>
      <c r="L36" s="106"/>
      <c r="M36" s="106"/>
    </row>
    <row r="37" spans="1:13">
      <c r="A37" s="106"/>
      <c r="B37" s="88"/>
      <c r="C37" s="434"/>
      <c r="J37" s="106"/>
      <c r="K37" s="106"/>
      <c r="L37" s="106"/>
      <c r="M37" s="106"/>
    </row>
    <row r="38" spans="1:13">
      <c r="A38" s="106"/>
      <c r="B38" s="88"/>
      <c r="C38" s="434"/>
      <c r="J38" s="106"/>
      <c r="K38" s="106"/>
      <c r="L38" s="106"/>
      <c r="M38" s="106"/>
    </row>
    <row r="39" spans="1:13" ht="31.5" customHeight="1">
      <c r="A39" s="106"/>
      <c r="B39" s="88"/>
      <c r="C39" s="434"/>
      <c r="J39" s="106"/>
      <c r="K39" s="106"/>
      <c r="L39" s="106"/>
      <c r="M39" s="106"/>
    </row>
    <row r="40" spans="1:13" ht="25.5" customHeight="1">
      <c r="A40" s="106"/>
      <c r="B40" s="88"/>
      <c r="C40" s="434"/>
      <c r="J40" s="106"/>
      <c r="K40" s="106"/>
      <c r="L40" s="106"/>
      <c r="M40" s="106"/>
    </row>
    <row r="41" spans="1:13" ht="13.5" customHeight="1">
      <c r="A41" s="106"/>
      <c r="B41" s="88"/>
      <c r="C41" s="434"/>
      <c r="J41" s="106"/>
      <c r="K41" s="106"/>
      <c r="L41" s="106"/>
      <c r="M41" s="106"/>
    </row>
    <row r="42" spans="1:13">
      <c r="A42" s="106"/>
      <c r="B42" s="164"/>
      <c r="C42" s="434"/>
      <c r="D42" s="106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>
      <c r="A43" s="106"/>
      <c r="B43" s="164"/>
      <c r="C43" s="434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3">
      <c r="A44" s="106"/>
      <c r="B44" s="164"/>
      <c r="C44" s="434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>
      <c r="A45" s="106"/>
      <c r="B45" s="164"/>
      <c r="C45" s="434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3">
      <c r="A46" s="106"/>
      <c r="B46" s="106"/>
      <c r="C46" s="434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>
      <c r="A47" s="106"/>
      <c r="B47" s="106"/>
      <c r="C47" s="434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13">
      <c r="A48" s="106"/>
      <c r="B48" s="106"/>
      <c r="C48" s="434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1:13">
      <c r="A49" s="106"/>
      <c r="B49" s="106"/>
      <c r="C49" s="434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1:13">
      <c r="A50" s="106"/>
      <c r="B50" s="106"/>
      <c r="C50" s="434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>
      <c r="C51" s="434"/>
    </row>
    <row r="52" spans="1:13">
      <c r="C52" s="434"/>
    </row>
    <row r="53" spans="1:13">
      <c r="C53" s="434"/>
    </row>
    <row r="54" spans="1:13">
      <c r="C54" s="434"/>
    </row>
    <row r="55" spans="1:13">
      <c r="C55" s="434"/>
    </row>
    <row r="56" spans="1:13">
      <c r="C56" s="434"/>
    </row>
    <row r="57" spans="1:13">
      <c r="C57" s="434"/>
    </row>
    <row r="58" spans="1:13">
      <c r="C58" s="434"/>
    </row>
    <row r="59" spans="1:13">
      <c r="C59" s="434"/>
    </row>
    <row r="60" spans="1:13">
      <c r="C60" s="434"/>
    </row>
  </sheetData>
  <phoneticPr fontId="18" type="noConversion"/>
  <pageMargins left="0.4" right="0.25" top="1" bottom="1" header="0.5" footer="0.5"/>
  <pageSetup orientation="portrait" r:id="rId1"/>
  <headerFooter alignWithMargins="0">
    <oddHeader>&amp;RExhibit No. _____(DPK-3)
Docket UE-090134  UG-090135
Page &amp;P of &amp;N</oddHeader>
    <oddFooter>&amp;RRESPONSE TO BENCH REQUEST #2 supplemental
Revised for Settlement and Accepted Rebuttal Corrections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 enableFormatConditionsCalculation="0">
    <tabColor indexed="47"/>
  </sheetPr>
  <dimension ref="A1:T60"/>
  <sheetViews>
    <sheetView showGridLines="0" workbookViewId="0">
      <selection activeCell="F9" sqref="F9"/>
    </sheetView>
  </sheetViews>
  <sheetFormatPr defaultColWidth="10.33203125" defaultRowHeight="15.75"/>
  <cols>
    <col min="1" max="1" width="19.5" style="74" customWidth="1"/>
    <col min="2" max="2" width="5.5" style="74" customWidth="1"/>
    <col min="3" max="3" width="3.1640625" style="74" customWidth="1"/>
    <col min="4" max="4" width="11.33203125" style="97" customWidth="1"/>
    <col min="5" max="5" width="19.83203125" style="78" customWidth="1"/>
    <col min="6" max="6" width="22" style="78" customWidth="1"/>
    <col min="7" max="7" width="11.83203125" style="74" customWidth="1"/>
    <col min="8" max="8" width="2.5" style="74" customWidth="1"/>
    <col min="9" max="10" width="14" style="74" customWidth="1"/>
    <col min="11" max="11" width="11.83203125" style="74" customWidth="1"/>
    <col min="12" max="12" width="14.1640625" style="74" customWidth="1"/>
    <col min="13" max="14" width="11.1640625" style="74" customWidth="1"/>
    <col min="15" max="16384" width="10.33203125" style="74"/>
  </cols>
  <sheetData>
    <row r="1" spans="1:15">
      <c r="A1" s="73"/>
      <c r="B1" s="73"/>
      <c r="C1" s="73"/>
      <c r="D1" s="135"/>
      <c r="E1" s="76"/>
      <c r="F1" s="76"/>
      <c r="G1" s="76"/>
      <c r="H1" s="76"/>
      <c r="I1" s="76"/>
      <c r="J1" s="73"/>
      <c r="K1" s="73"/>
      <c r="L1" s="73"/>
      <c r="M1" s="73"/>
    </row>
    <row r="2" spans="1:15">
      <c r="A2" s="73"/>
      <c r="B2" s="77"/>
      <c r="C2" s="73"/>
      <c r="D2" s="135"/>
      <c r="E2" s="76"/>
      <c r="F2" s="76"/>
      <c r="G2" s="73"/>
      <c r="H2" s="73"/>
      <c r="I2" s="73"/>
      <c r="J2" s="73"/>
      <c r="K2" s="73"/>
      <c r="L2" s="73"/>
      <c r="M2" s="73"/>
    </row>
    <row r="3" spans="1:15">
      <c r="A3" s="73"/>
      <c r="B3" s="1" t="s">
        <v>186</v>
      </c>
      <c r="I3" s="81"/>
      <c r="J3" s="134"/>
      <c r="K3" s="73"/>
      <c r="L3" s="73"/>
      <c r="M3" s="73"/>
    </row>
    <row r="4" spans="1:15">
      <c r="A4" s="73"/>
      <c r="B4" s="1" t="s">
        <v>183</v>
      </c>
      <c r="J4" s="348"/>
      <c r="K4" s="73"/>
      <c r="L4" s="73"/>
      <c r="M4" s="73"/>
      <c r="N4" s="380"/>
      <c r="O4" s="380"/>
    </row>
    <row r="5" spans="1:15">
      <c r="A5" s="73"/>
      <c r="B5" s="1" t="s">
        <v>395</v>
      </c>
      <c r="J5" s="348"/>
      <c r="K5" s="73"/>
      <c r="L5" s="73"/>
      <c r="M5" s="73"/>
      <c r="N5" s="380"/>
      <c r="O5" s="380"/>
    </row>
    <row r="6" spans="1:15">
      <c r="A6" s="73"/>
      <c r="B6" s="1" t="s">
        <v>381</v>
      </c>
      <c r="K6" s="73"/>
      <c r="L6" s="73"/>
      <c r="M6" s="73"/>
      <c r="N6" s="380"/>
      <c r="O6" s="380"/>
    </row>
    <row r="7" spans="1:15">
      <c r="A7" s="73"/>
      <c r="B7" s="169" t="s">
        <v>141</v>
      </c>
      <c r="K7" s="73"/>
      <c r="L7" s="73"/>
      <c r="M7" s="73"/>
      <c r="N7" s="380"/>
      <c r="O7" s="380"/>
    </row>
    <row r="8" spans="1:15">
      <c r="A8" s="73"/>
      <c r="K8" s="73"/>
      <c r="L8" s="73"/>
      <c r="M8" s="73"/>
      <c r="N8" s="380"/>
      <c r="O8" s="380"/>
    </row>
    <row r="9" spans="1:15">
      <c r="A9" s="73"/>
      <c r="B9" s="83" t="s">
        <v>6</v>
      </c>
      <c r="C9" s="83"/>
      <c r="F9" s="136"/>
      <c r="K9" s="73"/>
      <c r="L9" s="73"/>
      <c r="M9" s="73"/>
      <c r="N9" s="380"/>
      <c r="O9" s="380"/>
    </row>
    <row r="10" spans="1:15">
      <c r="A10" s="73"/>
      <c r="B10" s="85" t="s">
        <v>21</v>
      </c>
      <c r="C10" s="85"/>
      <c r="E10" s="82" t="s">
        <v>325</v>
      </c>
      <c r="J10" s="418"/>
      <c r="K10" s="73"/>
      <c r="L10" s="73"/>
      <c r="M10" s="73"/>
      <c r="N10" s="380"/>
      <c r="O10" s="380"/>
    </row>
    <row r="11" spans="1:15">
      <c r="A11" s="73"/>
      <c r="B11" s="137">
        <v>1</v>
      </c>
      <c r="C11" s="88"/>
      <c r="E11" s="74"/>
      <c r="J11" s="418"/>
      <c r="K11" s="73"/>
      <c r="L11" s="73"/>
      <c r="M11" s="73"/>
      <c r="N11" s="380"/>
      <c r="O11" s="380"/>
    </row>
    <row r="12" spans="1:15">
      <c r="A12" s="73"/>
      <c r="B12" s="137">
        <f t="shared" ref="B12:B47" si="0">+B11+1</f>
        <v>2</v>
      </c>
      <c r="C12" s="88"/>
      <c r="E12" s="138"/>
      <c r="G12" s="99"/>
      <c r="H12" s="99"/>
      <c r="I12" s="99"/>
      <c r="J12" s="420"/>
      <c r="K12" s="73"/>
      <c r="L12" s="73"/>
      <c r="M12" s="73"/>
      <c r="N12" s="380"/>
      <c r="O12" s="380"/>
    </row>
    <row r="13" spans="1:15">
      <c r="A13" s="73"/>
      <c r="B13" s="137">
        <f t="shared" si="0"/>
        <v>3</v>
      </c>
      <c r="C13" s="88"/>
      <c r="D13" s="93"/>
      <c r="E13" s="276" t="s">
        <v>167</v>
      </c>
      <c r="H13" s="99"/>
      <c r="J13" s="418"/>
      <c r="K13" s="73"/>
      <c r="L13" s="73"/>
      <c r="M13" s="73"/>
      <c r="N13" s="380"/>
      <c r="O13" s="380"/>
    </row>
    <row r="14" spans="1:15">
      <c r="A14" s="73"/>
      <c r="B14" s="137">
        <f t="shared" si="0"/>
        <v>4</v>
      </c>
      <c r="C14" s="88"/>
      <c r="D14" s="161"/>
      <c r="E14" s="100"/>
      <c r="F14" s="139" t="s">
        <v>85</v>
      </c>
      <c r="H14" s="99"/>
      <c r="I14" s="140" t="s">
        <v>96</v>
      </c>
      <c r="J14" s="418"/>
      <c r="K14" s="73"/>
      <c r="L14" s="73"/>
      <c r="M14" s="73"/>
      <c r="N14" s="380"/>
      <c r="O14" s="380"/>
    </row>
    <row r="15" spans="1:15">
      <c r="A15" s="73"/>
      <c r="B15" s="137">
        <f t="shared" si="0"/>
        <v>5</v>
      </c>
      <c r="C15" s="88"/>
      <c r="D15" s="161"/>
      <c r="E15" s="95"/>
      <c r="F15" s="142" t="s">
        <v>173</v>
      </c>
      <c r="G15" s="141" t="s">
        <v>97</v>
      </c>
      <c r="H15" s="99"/>
      <c r="I15" s="142" t="s">
        <v>97</v>
      </c>
      <c r="J15" s="418"/>
      <c r="K15" s="73"/>
      <c r="L15" s="73"/>
      <c r="M15" s="73"/>
    </row>
    <row r="16" spans="1:15">
      <c r="A16" s="73"/>
      <c r="B16" s="137">
        <f t="shared" si="0"/>
        <v>6</v>
      </c>
      <c r="C16" s="88"/>
      <c r="D16" s="205"/>
      <c r="E16" s="162" t="s">
        <v>182</v>
      </c>
      <c r="F16" s="140">
        <f ca="1">+F19-F18-F17</f>
        <v>0.53499999999999992</v>
      </c>
      <c r="G16" s="503">
        <v>6.5699999999999995E-2</v>
      </c>
      <c r="H16" s="99"/>
      <c r="I16" s="143">
        <f ca="1">ROUND(+F16*G16,4)</f>
        <v>3.5099999999999999E-2</v>
      </c>
      <c r="J16" s="418"/>
      <c r="K16" s="73" t="s">
        <v>326</v>
      </c>
      <c r="L16" s="73"/>
      <c r="M16" s="73"/>
    </row>
    <row r="17" spans="1:15">
      <c r="A17" s="73"/>
      <c r="B17" s="137">
        <f t="shared" si="0"/>
        <v>7</v>
      </c>
      <c r="C17" s="88"/>
      <c r="D17" s="161"/>
      <c r="E17" s="162"/>
      <c r="F17" s="163"/>
      <c r="G17" s="503"/>
      <c r="H17" s="99"/>
      <c r="I17" s="143"/>
      <c r="J17" s="418"/>
      <c r="K17" s="73">
        <f ca="1">+'DPK-3 Revenue Require Sch 2 '!G27</f>
        <v>634.31423055904156</v>
      </c>
      <c r="L17" s="73"/>
      <c r="M17" s="73"/>
    </row>
    <row r="18" spans="1:15">
      <c r="A18" s="73"/>
      <c r="B18" s="137">
        <f t="shared" si="0"/>
        <v>8</v>
      </c>
      <c r="C18" s="432"/>
      <c r="D18" s="161"/>
      <c r="E18" s="162" t="s">
        <v>181</v>
      </c>
      <c r="F18" s="508">
        <v>0.46500000000000002</v>
      </c>
      <c r="G18" s="508">
        <v>0.10199999999999999</v>
      </c>
      <c r="H18" s="99"/>
      <c r="I18" s="143">
        <f>ROUND(+F18*G18,4)</f>
        <v>4.7399999999999998E-2</v>
      </c>
      <c r="J18" s="418"/>
      <c r="K18" s="73">
        <v>3172</v>
      </c>
      <c r="L18" s="73" t="s">
        <v>327</v>
      </c>
      <c r="M18" s="73"/>
      <c r="O18" s="380"/>
    </row>
    <row r="19" spans="1:15">
      <c r="A19" s="73"/>
      <c r="B19" s="137">
        <f t="shared" si="0"/>
        <v>9</v>
      </c>
      <c r="C19" s="432"/>
      <c r="D19" s="161"/>
      <c r="E19" s="144" t="s">
        <v>35</v>
      </c>
      <c r="F19" s="145">
        <f ca="1">SUM(F16:F18)</f>
        <v>1</v>
      </c>
      <c r="H19" s="99"/>
      <c r="I19" s="278">
        <f ca="1">ROUND(SUM(I16:I18),4)</f>
        <v>8.2500000000000004E-2</v>
      </c>
      <c r="J19" s="418"/>
      <c r="K19" s="73">
        <f ca="1">+K17-K18</f>
        <v>-2537.6857694409582</v>
      </c>
      <c r="L19" s="73">
        <v>108</v>
      </c>
      <c r="M19" s="73">
        <f ca="1">+L19+K19</f>
        <v>-2429.6857694409582</v>
      </c>
      <c r="O19" s="380"/>
    </row>
    <row r="20" spans="1:15">
      <c r="A20" s="73"/>
      <c r="B20" s="137">
        <f t="shared" si="0"/>
        <v>10</v>
      </c>
      <c r="C20" s="432"/>
      <c r="D20" s="161"/>
      <c r="J20" s="418"/>
      <c r="K20" s="73"/>
      <c r="L20" s="73"/>
      <c r="M20" s="73"/>
      <c r="O20" s="380"/>
    </row>
    <row r="21" spans="1:15">
      <c r="A21" s="73"/>
      <c r="B21" s="137">
        <f t="shared" si="0"/>
        <v>11</v>
      </c>
      <c r="C21" s="432"/>
      <c r="D21" s="205"/>
      <c r="J21" s="418"/>
      <c r="K21" s="73"/>
      <c r="L21" s="73"/>
      <c r="M21" s="73"/>
      <c r="O21" s="380"/>
    </row>
    <row r="22" spans="1:15">
      <c r="A22" s="73"/>
      <c r="B22" s="137">
        <f t="shared" si="0"/>
        <v>12</v>
      </c>
      <c r="C22" s="432"/>
      <c r="D22" s="96"/>
      <c r="F22" s="74"/>
      <c r="H22" s="99"/>
      <c r="J22" s="418"/>
      <c r="K22" s="73"/>
      <c r="L22" s="73"/>
      <c r="M22" s="73"/>
      <c r="O22" s="380"/>
    </row>
    <row r="23" spans="1:15">
      <c r="A23" s="73"/>
      <c r="B23" s="137">
        <f t="shared" si="0"/>
        <v>13</v>
      </c>
      <c r="C23" s="432"/>
      <c r="D23" s="96"/>
      <c r="F23" s="380"/>
      <c r="G23" s="380"/>
      <c r="H23" s="99"/>
      <c r="I23" s="380"/>
      <c r="J23" s="418"/>
      <c r="K23" s="73"/>
      <c r="L23" s="73"/>
      <c r="M23" s="73"/>
      <c r="O23" s="380"/>
    </row>
    <row r="24" spans="1:15">
      <c r="A24" s="73"/>
      <c r="B24" s="137">
        <f t="shared" si="0"/>
        <v>14</v>
      </c>
      <c r="C24" s="432"/>
      <c r="D24" s="96"/>
      <c r="F24" s="380"/>
      <c r="G24" s="380"/>
      <c r="H24" s="99"/>
      <c r="I24" s="380"/>
      <c r="J24" s="418"/>
      <c r="K24" s="73"/>
      <c r="L24" s="73"/>
      <c r="M24" s="73"/>
      <c r="O24" s="380"/>
    </row>
    <row r="25" spans="1:15">
      <c r="A25" s="73"/>
      <c r="B25" s="137">
        <f t="shared" si="0"/>
        <v>15</v>
      </c>
      <c r="C25" s="432"/>
      <c r="D25" s="96"/>
      <c r="F25" s="380"/>
      <c r="G25" s="380"/>
      <c r="H25" s="99"/>
      <c r="I25" s="380"/>
      <c r="J25" s="418"/>
      <c r="K25" s="73"/>
      <c r="L25" s="73"/>
      <c r="M25" s="73"/>
      <c r="O25" s="380"/>
    </row>
    <row r="26" spans="1:15">
      <c r="A26" s="73"/>
      <c r="B26" s="137">
        <f t="shared" si="0"/>
        <v>16</v>
      </c>
      <c r="C26" s="432"/>
      <c r="D26" s="96"/>
      <c r="E26" s="507" t="s">
        <v>398</v>
      </c>
      <c r="F26" s="380"/>
      <c r="G26" s="380"/>
      <c r="H26" s="99"/>
      <c r="I26" s="380"/>
      <c r="J26" s="418"/>
      <c r="K26" s="73"/>
      <c r="L26" s="73"/>
      <c r="M26" s="73"/>
      <c r="O26" s="380"/>
    </row>
    <row r="27" spans="1:15">
      <c r="A27" s="73"/>
      <c r="B27" s="137">
        <f t="shared" si="0"/>
        <v>17</v>
      </c>
      <c r="C27" s="432"/>
      <c r="D27" s="96"/>
      <c r="F27" s="380"/>
      <c r="G27" s="380"/>
      <c r="H27" s="99"/>
      <c r="I27" s="380"/>
      <c r="J27" s="418"/>
      <c r="K27" s="73"/>
      <c r="L27" s="73"/>
      <c r="M27" s="73"/>
    </row>
    <row r="28" spans="1:15">
      <c r="A28" s="73"/>
      <c r="B28" s="137">
        <f t="shared" si="0"/>
        <v>18</v>
      </c>
      <c r="C28" s="432"/>
      <c r="D28" s="96"/>
      <c r="F28" s="380"/>
      <c r="G28" s="380"/>
      <c r="H28" s="99"/>
      <c r="I28" s="380"/>
      <c r="J28" s="418"/>
      <c r="K28" s="73"/>
      <c r="L28" s="73"/>
      <c r="M28" s="73"/>
    </row>
    <row r="29" spans="1:15">
      <c r="A29" s="73"/>
      <c r="B29" s="137">
        <f t="shared" si="0"/>
        <v>19</v>
      </c>
      <c r="C29" s="432"/>
      <c r="D29" s="96"/>
      <c r="F29" s="380"/>
      <c r="G29" s="380"/>
      <c r="H29" s="99"/>
      <c r="I29" s="380"/>
      <c r="J29" s="418"/>
      <c r="K29" s="73"/>
      <c r="L29" s="73"/>
      <c r="M29" s="73"/>
    </row>
    <row r="30" spans="1:15">
      <c r="A30" s="73"/>
      <c r="B30" s="137">
        <f t="shared" si="0"/>
        <v>20</v>
      </c>
      <c r="C30" s="432"/>
      <c r="J30" s="418"/>
      <c r="K30" s="73"/>
      <c r="L30" s="73"/>
      <c r="M30" s="73"/>
    </row>
    <row r="31" spans="1:15">
      <c r="A31" s="73"/>
      <c r="B31" s="137">
        <f t="shared" si="0"/>
        <v>21</v>
      </c>
      <c r="C31" s="432"/>
      <c r="J31" s="418"/>
      <c r="K31" s="73"/>
      <c r="L31" s="73"/>
      <c r="M31" s="73"/>
    </row>
    <row r="32" spans="1:15">
      <c r="A32" s="73"/>
      <c r="B32" s="137">
        <f t="shared" si="0"/>
        <v>22</v>
      </c>
      <c r="C32" s="432"/>
      <c r="J32" s="421"/>
      <c r="K32" s="73"/>
      <c r="L32" s="73"/>
      <c r="M32" s="73"/>
    </row>
    <row r="33" spans="1:20">
      <c r="A33" s="73"/>
      <c r="B33" s="137">
        <f t="shared" si="0"/>
        <v>23</v>
      </c>
      <c r="C33" s="432"/>
      <c r="J33" s="421"/>
      <c r="K33" s="73"/>
      <c r="L33" s="73"/>
      <c r="M33" s="73"/>
    </row>
    <row r="34" spans="1:20">
      <c r="A34" s="73"/>
      <c r="B34" s="137">
        <f t="shared" si="0"/>
        <v>24</v>
      </c>
      <c r="C34" s="432"/>
      <c r="J34" s="97"/>
      <c r="K34" s="73"/>
      <c r="L34" s="73"/>
      <c r="M34" s="73"/>
    </row>
    <row r="35" spans="1:20">
      <c r="A35" s="73"/>
      <c r="B35" s="137">
        <f t="shared" si="0"/>
        <v>25</v>
      </c>
      <c r="C35" s="432"/>
      <c r="J35" s="97"/>
      <c r="K35" s="73"/>
      <c r="L35" s="73"/>
      <c r="M35" s="73"/>
    </row>
    <row r="36" spans="1:20">
      <c r="A36" s="73"/>
      <c r="B36" s="137">
        <f t="shared" si="0"/>
        <v>26</v>
      </c>
      <c r="C36" s="432"/>
      <c r="D36" s="146"/>
      <c r="J36" s="97"/>
      <c r="K36" s="73"/>
      <c r="L36" s="73"/>
      <c r="M36" s="73"/>
    </row>
    <row r="37" spans="1:20">
      <c r="A37" s="73"/>
      <c r="B37" s="137">
        <f t="shared" si="0"/>
        <v>27</v>
      </c>
      <c r="C37" s="432"/>
      <c r="J37" s="97"/>
      <c r="K37" s="73"/>
      <c r="L37" s="73"/>
      <c r="M37" s="73"/>
    </row>
    <row r="38" spans="1:20">
      <c r="A38" s="73"/>
      <c r="B38" s="137">
        <f t="shared" si="0"/>
        <v>28</v>
      </c>
      <c r="C38" s="432"/>
      <c r="J38" s="97"/>
      <c r="K38" s="73"/>
      <c r="L38" s="73"/>
      <c r="M38" s="73"/>
    </row>
    <row r="39" spans="1:20">
      <c r="A39" s="73"/>
      <c r="B39" s="137">
        <f t="shared" si="0"/>
        <v>29</v>
      </c>
      <c r="C39" s="432"/>
      <c r="J39" s="97"/>
      <c r="K39" s="73"/>
      <c r="L39" s="73"/>
      <c r="M39" s="73"/>
    </row>
    <row r="40" spans="1:20">
      <c r="A40" s="73"/>
      <c r="B40" s="137">
        <f t="shared" si="0"/>
        <v>30</v>
      </c>
      <c r="C40" s="432"/>
      <c r="J40" s="97"/>
      <c r="K40" s="73"/>
      <c r="L40" s="73"/>
      <c r="M40" s="73"/>
    </row>
    <row r="41" spans="1:20">
      <c r="A41" s="73"/>
      <c r="B41" s="137">
        <f t="shared" si="0"/>
        <v>31</v>
      </c>
      <c r="C41" s="432"/>
      <c r="E41" s="97"/>
      <c r="F41" s="97"/>
      <c r="G41" s="97"/>
      <c r="H41" s="97"/>
      <c r="I41" s="97"/>
      <c r="J41" s="97"/>
      <c r="K41" s="73"/>
      <c r="L41" s="73"/>
      <c r="M41" s="73"/>
      <c r="T41" s="147" t="e">
        <f>IF(tax_flag=1,"","No")</f>
        <v>#NAME?</v>
      </c>
    </row>
    <row r="42" spans="1:20" ht="16.5" thickBot="1">
      <c r="A42" s="73"/>
      <c r="B42" s="137">
        <f t="shared" si="0"/>
        <v>32</v>
      </c>
      <c r="C42" s="99"/>
      <c r="E42" s="97"/>
      <c r="F42" s="97"/>
      <c r="G42" s="97"/>
      <c r="H42" s="97"/>
      <c r="I42" s="97"/>
      <c r="J42" s="97"/>
      <c r="K42" s="73"/>
      <c r="L42" s="73"/>
      <c r="M42" s="73"/>
      <c r="T42" s="148"/>
    </row>
    <row r="43" spans="1:20">
      <c r="A43" s="73"/>
      <c r="B43" s="137">
        <f t="shared" si="0"/>
        <v>33</v>
      </c>
      <c r="C43" s="99"/>
      <c r="E43" s="97"/>
      <c r="F43" s="97"/>
      <c r="G43" s="97"/>
      <c r="H43" s="97"/>
      <c r="I43" s="97"/>
      <c r="J43" s="97"/>
      <c r="K43" s="73"/>
      <c r="L43" s="73"/>
      <c r="M43" s="73"/>
      <c r="T43" s="149"/>
    </row>
    <row r="44" spans="1:20" ht="16.5" thickBot="1">
      <c r="A44" s="73"/>
      <c r="B44" s="137">
        <f t="shared" si="0"/>
        <v>34</v>
      </c>
      <c r="C44" s="99"/>
      <c r="E44" s="97"/>
      <c r="F44" s="97"/>
      <c r="G44" s="97"/>
      <c r="H44" s="97"/>
      <c r="I44" s="97"/>
      <c r="J44" s="97"/>
      <c r="K44" s="73"/>
      <c r="L44" s="73"/>
      <c r="M44" s="73"/>
      <c r="T44" s="150">
        <v>0</v>
      </c>
    </row>
    <row r="45" spans="1:20">
      <c r="A45" s="73"/>
      <c r="B45" s="137">
        <f t="shared" si="0"/>
        <v>35</v>
      </c>
      <c r="C45" s="99"/>
      <c r="E45" s="97"/>
      <c r="F45" s="97"/>
      <c r="G45" s="97"/>
      <c r="H45" s="97"/>
      <c r="I45" s="97"/>
      <c r="J45" s="97"/>
      <c r="K45" s="73"/>
      <c r="L45" s="73"/>
      <c r="M45" s="73"/>
    </row>
    <row r="46" spans="1:20">
      <c r="A46" s="73"/>
      <c r="B46" s="137">
        <f t="shared" si="0"/>
        <v>36</v>
      </c>
      <c r="C46" s="99"/>
      <c r="E46" s="97"/>
      <c r="F46" s="97"/>
      <c r="G46" s="97"/>
      <c r="H46" s="97"/>
      <c r="I46" s="97"/>
      <c r="J46" s="97"/>
      <c r="K46" s="73"/>
      <c r="L46" s="73"/>
      <c r="M46" s="73"/>
    </row>
    <row r="47" spans="1:20">
      <c r="A47" s="73"/>
      <c r="B47" s="137">
        <f t="shared" si="0"/>
        <v>37</v>
      </c>
      <c r="C47" s="99"/>
      <c r="E47" s="97"/>
      <c r="F47" s="97"/>
      <c r="G47" s="97"/>
      <c r="H47" s="97"/>
      <c r="I47" s="97"/>
      <c r="J47" s="97"/>
      <c r="K47" s="73"/>
      <c r="L47" s="73"/>
      <c r="M47" s="73"/>
    </row>
    <row r="48" spans="1:20">
      <c r="A48" s="73"/>
      <c r="B48" s="73"/>
      <c r="C48" s="99"/>
      <c r="D48" s="135"/>
      <c r="E48" s="76"/>
      <c r="F48" s="76"/>
      <c r="G48" s="73"/>
      <c r="H48" s="73"/>
      <c r="I48" s="73"/>
      <c r="J48" s="73"/>
      <c r="K48" s="73"/>
      <c r="L48" s="73"/>
      <c r="M48" s="73"/>
    </row>
    <row r="49" spans="1:13">
      <c r="A49" s="73"/>
      <c r="B49" s="73"/>
      <c r="C49" s="99"/>
      <c r="D49" s="135"/>
      <c r="E49" s="76"/>
      <c r="F49" s="76"/>
      <c r="G49" s="73"/>
      <c r="H49" s="73"/>
      <c r="I49" s="73"/>
      <c r="J49" s="73"/>
      <c r="K49" s="73"/>
      <c r="L49" s="73"/>
      <c r="M49" s="73"/>
    </row>
    <row r="50" spans="1:13">
      <c r="A50" s="73"/>
      <c r="B50" s="73"/>
      <c r="C50" s="99"/>
      <c r="D50" s="135"/>
      <c r="E50" s="76"/>
      <c r="F50" s="76"/>
      <c r="G50" s="73"/>
      <c r="H50" s="73"/>
      <c r="I50" s="73"/>
      <c r="J50" s="73"/>
      <c r="K50" s="73"/>
      <c r="L50" s="73"/>
      <c r="M50" s="73"/>
    </row>
    <row r="51" spans="1:13">
      <c r="A51" s="73"/>
      <c r="B51" s="73"/>
      <c r="C51" s="99"/>
      <c r="D51" s="135"/>
      <c r="E51" s="76"/>
      <c r="F51" s="76"/>
      <c r="G51" s="73"/>
      <c r="H51" s="73"/>
      <c r="I51" s="73"/>
      <c r="J51" s="73"/>
      <c r="K51" s="73"/>
      <c r="L51" s="73"/>
      <c r="M51" s="73"/>
    </row>
    <row r="52" spans="1:13">
      <c r="A52" s="73"/>
      <c r="B52" s="73"/>
      <c r="C52" s="99"/>
      <c r="D52" s="135"/>
      <c r="E52" s="76"/>
      <c r="F52" s="76"/>
      <c r="G52" s="73"/>
      <c r="H52" s="73"/>
      <c r="I52" s="73"/>
      <c r="J52" s="73"/>
      <c r="K52" s="73"/>
      <c r="L52" s="73"/>
      <c r="M52" s="73"/>
    </row>
    <row r="53" spans="1:13">
      <c r="A53" s="73"/>
      <c r="B53" s="73"/>
      <c r="C53" s="99"/>
      <c r="D53" s="135"/>
      <c r="E53" s="76"/>
      <c r="F53" s="76"/>
      <c r="G53" s="73"/>
      <c r="H53" s="73"/>
      <c r="I53" s="73"/>
      <c r="J53" s="73"/>
      <c r="K53" s="73"/>
      <c r="L53" s="73"/>
      <c r="M53" s="73"/>
    </row>
    <row r="54" spans="1:13">
      <c r="C54" s="99"/>
    </row>
    <row r="55" spans="1:13">
      <c r="C55" s="99"/>
    </row>
    <row r="56" spans="1:13">
      <c r="C56" s="99"/>
    </row>
    <row r="57" spans="1:13">
      <c r="C57" s="99"/>
    </row>
    <row r="58" spans="1:13">
      <c r="C58" s="99"/>
    </row>
    <row r="59" spans="1:13">
      <c r="C59" s="99"/>
    </row>
    <row r="60" spans="1:13">
      <c r="C60" s="99"/>
    </row>
  </sheetData>
  <phoneticPr fontId="17" type="noConversion"/>
  <printOptions gridLinesSet="0"/>
  <pageMargins left="0.52" right="0.32" top="0.75" bottom="0.66" header="0.28000000000000003" footer="0.33"/>
  <pageSetup orientation="portrait" r:id="rId1"/>
  <headerFooter alignWithMargins="0">
    <oddHeader>&amp;RExhibit No. _____(DPK-3)
Docket UE-090134  UG-090135
Page &amp;P of &amp;N</oddHeader>
    <oddFooter>&amp;RRESPONSE TO BENCH REQUEST #2 supplemental
Revised for Settlement and Accepted Rebuttal Corrections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9" enableFormatConditionsCalculation="0">
    <tabColor indexed="50"/>
  </sheetPr>
  <dimension ref="A1:R60"/>
  <sheetViews>
    <sheetView showGridLines="0" tabSelected="1" workbookViewId="0">
      <selection activeCell="A13" sqref="A13"/>
    </sheetView>
  </sheetViews>
  <sheetFormatPr defaultRowHeight="15.75"/>
  <cols>
    <col min="1" max="1" width="29.83203125" style="74" customWidth="1"/>
    <col min="2" max="3" width="6" style="74" customWidth="1"/>
    <col min="4" max="4" width="3" style="74" customWidth="1"/>
    <col min="5" max="5" width="28.83203125" style="74" customWidth="1"/>
    <col min="6" max="6" width="3.1640625" style="74" customWidth="1"/>
    <col min="7" max="7" width="13.6640625" style="74" customWidth="1"/>
    <col min="8" max="8" width="11.6640625" style="74" customWidth="1"/>
    <col min="9" max="9" width="4" style="74" customWidth="1"/>
    <col min="10" max="10" width="18.33203125" style="74" customWidth="1"/>
    <col min="11" max="11" width="5.33203125" style="74" customWidth="1"/>
    <col min="12" max="12" width="13.83203125" style="74" customWidth="1"/>
    <col min="13" max="13" width="32.1640625" style="74" customWidth="1"/>
    <col min="14" max="14" width="12.33203125" style="74" customWidth="1"/>
    <col min="15" max="16384" width="9.33203125" style="74"/>
  </cols>
  <sheetData>
    <row r="1" spans="1: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73"/>
      <c r="B2" s="75" t="s">
        <v>151</v>
      </c>
      <c r="C2" s="75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>
      <c r="A3" s="73"/>
      <c r="B3" s="172" t="s">
        <v>186</v>
      </c>
      <c r="C3" s="172"/>
      <c r="D3" s="79"/>
      <c r="J3" s="134"/>
      <c r="K3" s="73"/>
      <c r="L3" s="73"/>
      <c r="M3" s="73"/>
      <c r="N3" s="73"/>
      <c r="O3" s="73"/>
    </row>
    <row r="4" spans="1:15">
      <c r="A4" s="73"/>
      <c r="B4" s="172" t="s">
        <v>354</v>
      </c>
      <c r="C4" s="172"/>
      <c r="J4" s="348"/>
      <c r="K4" s="73"/>
      <c r="L4" s="73"/>
      <c r="M4" s="73"/>
      <c r="N4" s="73"/>
      <c r="O4" s="73"/>
    </row>
    <row r="5" spans="1:15">
      <c r="A5" s="73"/>
      <c r="B5" s="172" t="s">
        <v>396</v>
      </c>
      <c r="C5" s="173"/>
      <c r="J5" s="134"/>
      <c r="K5" s="73"/>
      <c r="L5" s="73"/>
      <c r="M5" s="73"/>
      <c r="N5" s="73"/>
      <c r="O5" s="73"/>
    </row>
    <row r="6" spans="1:15">
      <c r="A6" s="73"/>
      <c r="B6" s="1" t="s">
        <v>381</v>
      </c>
      <c r="C6" s="173"/>
      <c r="G6" s="132"/>
      <c r="J6" s="80"/>
      <c r="K6" s="73"/>
      <c r="L6" s="73"/>
      <c r="M6" s="73"/>
      <c r="N6" s="73"/>
      <c r="O6" s="73"/>
    </row>
    <row r="7" spans="1:15">
      <c r="A7" s="73"/>
      <c r="B7" s="173" t="s">
        <v>189</v>
      </c>
      <c r="K7" s="73"/>
      <c r="L7" s="73"/>
      <c r="M7" s="73"/>
      <c r="N7" s="73"/>
      <c r="O7" s="73"/>
    </row>
    <row r="8" spans="1:15">
      <c r="A8" s="73"/>
      <c r="C8" s="79"/>
      <c r="D8" s="81"/>
      <c r="K8" s="73"/>
      <c r="L8" s="73"/>
      <c r="M8" s="73"/>
      <c r="N8" s="73"/>
      <c r="O8" s="73"/>
    </row>
    <row r="9" spans="1:15">
      <c r="A9" s="73"/>
      <c r="B9" s="79"/>
      <c r="C9" s="79"/>
      <c r="D9" s="81"/>
      <c r="K9" s="73"/>
      <c r="L9" s="73"/>
      <c r="M9" s="73"/>
      <c r="N9" s="73"/>
      <c r="O9" s="73"/>
    </row>
    <row r="10" spans="1:15">
      <c r="A10" s="73"/>
      <c r="B10" s="79"/>
      <c r="C10" s="79"/>
      <c r="D10" s="81"/>
      <c r="F10" s="387" t="s">
        <v>356</v>
      </c>
      <c r="J10" s="418"/>
      <c r="K10" s="73"/>
      <c r="L10" s="73"/>
      <c r="M10" s="73"/>
      <c r="N10" s="73"/>
      <c r="O10" s="73"/>
    </row>
    <row r="11" spans="1:15">
      <c r="A11" s="73"/>
      <c r="F11" s="365" t="s">
        <v>333</v>
      </c>
      <c r="J11" s="418"/>
      <c r="K11" s="73"/>
      <c r="L11" s="73"/>
      <c r="M11" s="73"/>
      <c r="N11" s="73"/>
      <c r="O11" s="73"/>
    </row>
    <row r="12" spans="1:15">
      <c r="A12" s="73"/>
      <c r="B12" s="83" t="s">
        <v>6</v>
      </c>
      <c r="C12" s="83"/>
      <c r="D12" s="83"/>
      <c r="I12" s="84"/>
      <c r="J12" s="418"/>
      <c r="K12" s="73"/>
      <c r="L12" s="73"/>
      <c r="M12" s="73"/>
      <c r="N12" s="73"/>
      <c r="O12" s="73"/>
    </row>
    <row r="13" spans="1:15">
      <c r="A13" s="73"/>
      <c r="B13" s="85" t="s">
        <v>21</v>
      </c>
      <c r="C13" s="85"/>
      <c r="D13" s="85"/>
      <c r="E13" s="86" t="s">
        <v>152</v>
      </c>
      <c r="F13" s="86"/>
      <c r="G13" s="86" t="s">
        <v>153</v>
      </c>
      <c r="H13" s="86" t="s">
        <v>154</v>
      </c>
      <c r="J13" s="419" t="s">
        <v>155</v>
      </c>
      <c r="K13" s="73"/>
      <c r="L13" s="73"/>
      <c r="M13" s="73"/>
      <c r="N13" s="73"/>
      <c r="O13" s="73"/>
    </row>
    <row r="14" spans="1:15">
      <c r="A14" s="73"/>
      <c r="B14" s="87">
        <v>1</v>
      </c>
      <c r="C14" s="364"/>
      <c r="D14" s="88"/>
      <c r="E14" s="89"/>
      <c r="F14" s="89"/>
      <c r="G14" s="90"/>
      <c r="I14" s="90"/>
      <c r="J14" s="418"/>
      <c r="K14" s="73"/>
      <c r="L14" s="73"/>
      <c r="M14" s="73"/>
      <c r="N14" s="73"/>
      <c r="O14" s="73"/>
    </row>
    <row r="15" spans="1:15">
      <c r="A15" s="73"/>
      <c r="B15" s="87">
        <f t="shared" ref="B15:B42" si="0">+B14+1</f>
        <v>2</v>
      </c>
      <c r="C15" s="364"/>
      <c r="D15" s="88"/>
      <c r="E15" s="86" t="s">
        <v>77</v>
      </c>
      <c r="F15" s="91"/>
      <c r="G15" s="86" t="s">
        <v>87</v>
      </c>
      <c r="H15" s="86" t="s">
        <v>28</v>
      </c>
      <c r="J15" s="494" t="s">
        <v>114</v>
      </c>
      <c r="K15" s="73"/>
      <c r="L15" s="92"/>
      <c r="M15" s="73"/>
      <c r="N15" s="73"/>
      <c r="O15" s="73"/>
    </row>
    <row r="16" spans="1:15">
      <c r="A16" s="73"/>
      <c r="B16" s="87">
        <f t="shared" si="0"/>
        <v>3</v>
      </c>
      <c r="C16" s="364"/>
      <c r="D16" s="88"/>
      <c r="E16" s="94"/>
      <c r="G16" s="94"/>
      <c r="J16" s="495"/>
      <c r="K16" s="73"/>
      <c r="L16" s="92"/>
      <c r="M16" s="73"/>
      <c r="N16" s="73"/>
      <c r="O16" s="73"/>
    </row>
    <row r="17" spans="1:15">
      <c r="A17" s="73"/>
      <c r="B17" s="87">
        <f t="shared" si="0"/>
        <v>4</v>
      </c>
      <c r="C17" s="364"/>
      <c r="D17" s="88"/>
      <c r="E17" s="386" t="s">
        <v>282</v>
      </c>
      <c r="F17" s="383"/>
      <c r="G17" s="132">
        <f>+'DPK-3 Results Sch1.1'!K78</f>
        <v>169582.28400000001</v>
      </c>
      <c r="J17" s="496" t="s">
        <v>334</v>
      </c>
      <c r="K17" s="73"/>
      <c r="L17" s="92"/>
      <c r="M17" s="73"/>
      <c r="N17" s="73"/>
      <c r="O17" s="73"/>
    </row>
    <row r="18" spans="1:15">
      <c r="A18" s="73"/>
      <c r="B18" s="87">
        <f t="shared" si="0"/>
        <v>5</v>
      </c>
      <c r="C18" s="431"/>
      <c r="D18" s="88"/>
      <c r="E18" s="383"/>
      <c r="F18" s="383"/>
      <c r="G18" s="384"/>
      <c r="J18" s="497"/>
      <c r="K18" s="73"/>
      <c r="L18" s="92"/>
      <c r="M18" s="73"/>
      <c r="N18" s="73"/>
      <c r="O18" s="73"/>
    </row>
    <row r="19" spans="1:15" ht="20.25" customHeight="1">
      <c r="A19" s="73"/>
      <c r="B19" s="87">
        <f t="shared" si="0"/>
        <v>6</v>
      </c>
      <c r="C19" s="431"/>
      <c r="D19" s="88"/>
      <c r="E19" s="386" t="s">
        <v>156</v>
      </c>
      <c r="F19" s="383"/>
      <c r="G19" s="133">
        <f ca="1">'DPK-3 Captial Structure Sch 4'!I17+'DPK-3 Captial Structure Sch 4'!I16</f>
        <v>3.5099999999999999E-2</v>
      </c>
      <c r="J19" s="496" t="s">
        <v>335</v>
      </c>
      <c r="K19" s="73"/>
      <c r="L19" s="92"/>
      <c r="M19" s="73"/>
      <c r="N19" s="73"/>
      <c r="O19" s="73"/>
    </row>
    <row r="20" spans="1:15">
      <c r="A20" s="73"/>
      <c r="B20" s="87">
        <f t="shared" si="0"/>
        <v>7</v>
      </c>
      <c r="C20" s="431"/>
      <c r="D20" s="88"/>
      <c r="E20" s="383"/>
      <c r="F20" s="383"/>
      <c r="G20" s="379"/>
      <c r="J20" s="498"/>
      <c r="K20" s="73"/>
      <c r="L20" s="92"/>
      <c r="M20" s="73"/>
      <c r="N20" s="73"/>
      <c r="O20" s="73"/>
    </row>
    <row r="21" spans="1:15" ht="16.5" thickBot="1">
      <c r="A21" s="73"/>
      <c r="B21" s="87">
        <f t="shared" si="0"/>
        <v>8</v>
      </c>
      <c r="C21" s="431"/>
      <c r="D21" s="88"/>
      <c r="E21" s="386" t="s">
        <v>158</v>
      </c>
      <c r="F21" s="383"/>
      <c r="G21" s="378">
        <f ca="1">+G19*G17</f>
        <v>5952.3381684000005</v>
      </c>
      <c r="H21" s="74">
        <f ca="1">+G21</f>
        <v>5952.3381684000005</v>
      </c>
      <c r="J21" s="497" t="s">
        <v>157</v>
      </c>
      <c r="K21" s="73"/>
      <c r="L21" s="92"/>
      <c r="M21" s="73"/>
      <c r="N21" s="73"/>
      <c r="O21" s="73"/>
    </row>
    <row r="22" spans="1:15" ht="16.5" thickTop="1">
      <c r="A22" s="73"/>
      <c r="B22" s="87">
        <f t="shared" si="0"/>
        <v>9</v>
      </c>
      <c r="C22" s="431"/>
      <c r="D22" s="88"/>
      <c r="E22" s="386"/>
      <c r="F22" s="383"/>
      <c r="G22" s="384"/>
      <c r="J22" s="497"/>
      <c r="K22" s="73"/>
      <c r="L22" s="92"/>
      <c r="M22" s="73"/>
      <c r="N22" s="73"/>
      <c r="O22" s="73"/>
    </row>
    <row r="23" spans="1:15">
      <c r="A23" s="73"/>
      <c r="B23" s="87">
        <f t="shared" si="0"/>
        <v>10</v>
      </c>
      <c r="C23" s="431"/>
      <c r="D23" s="88"/>
      <c r="E23" s="388"/>
      <c r="F23" s="377"/>
      <c r="G23" s="377"/>
      <c r="H23" s="385"/>
      <c r="J23" s="497" t="s">
        <v>355</v>
      </c>
      <c r="K23" s="73"/>
      <c r="L23" s="92"/>
      <c r="M23" s="73"/>
      <c r="N23" s="73"/>
      <c r="O23" s="73"/>
    </row>
    <row r="24" spans="1:15" ht="22.5" customHeight="1">
      <c r="A24" s="73"/>
      <c r="B24" s="87">
        <f t="shared" si="0"/>
        <v>11</v>
      </c>
      <c r="C24" s="431"/>
      <c r="D24" s="88"/>
      <c r="G24" s="381" t="s">
        <v>386</v>
      </c>
      <c r="H24" s="74">
        <f ca="1">+H21+H23</f>
        <v>5952.3381684000005</v>
      </c>
      <c r="J24" s="495"/>
      <c r="K24" s="73"/>
      <c r="L24" s="92"/>
      <c r="M24" s="73"/>
      <c r="N24" s="73"/>
      <c r="O24" s="73"/>
    </row>
    <row r="25" spans="1:15">
      <c r="A25" s="73"/>
      <c r="B25" s="87">
        <f t="shared" si="0"/>
        <v>12</v>
      </c>
      <c r="C25" s="431"/>
      <c r="D25" s="88"/>
      <c r="J25" s="495"/>
      <c r="K25" s="73"/>
      <c r="L25" s="92"/>
      <c r="M25" s="73"/>
      <c r="N25" s="73"/>
      <c r="O25" s="73"/>
    </row>
    <row r="26" spans="1:15">
      <c r="A26" s="73"/>
      <c r="B26" s="87">
        <f t="shared" si="0"/>
        <v>13</v>
      </c>
      <c r="C26" s="431"/>
      <c r="D26" s="88"/>
      <c r="J26" s="495"/>
      <c r="K26" s="73"/>
      <c r="L26" s="92"/>
      <c r="M26" s="73"/>
      <c r="N26" s="73"/>
      <c r="O26" s="73"/>
    </row>
    <row r="27" spans="1:15">
      <c r="A27" s="73"/>
      <c r="B27" s="87">
        <f t="shared" si="0"/>
        <v>14</v>
      </c>
      <c r="C27" s="431"/>
      <c r="D27" s="88"/>
      <c r="E27" s="382"/>
      <c r="F27" s="383"/>
      <c r="G27" s="376" t="s">
        <v>159</v>
      </c>
      <c r="H27" s="98">
        <v>5724</v>
      </c>
      <c r="J27" s="499" t="s">
        <v>388</v>
      </c>
      <c r="K27" s="73"/>
      <c r="L27" s="92"/>
      <c r="M27" s="73"/>
      <c r="N27" s="73"/>
      <c r="O27" s="73"/>
    </row>
    <row r="28" spans="1:15">
      <c r="A28" s="73"/>
      <c r="B28" s="87">
        <f t="shared" si="0"/>
        <v>15</v>
      </c>
      <c r="C28" s="431"/>
      <c r="D28" s="88"/>
      <c r="E28" s="375"/>
      <c r="F28" s="383"/>
      <c r="G28" s="374"/>
      <c r="J28" s="500"/>
      <c r="K28" s="73"/>
      <c r="L28" s="92"/>
      <c r="M28" s="73"/>
      <c r="N28" s="73"/>
      <c r="O28" s="73"/>
    </row>
    <row r="29" spans="1:15" ht="16.5" thickBot="1">
      <c r="A29" s="73"/>
      <c r="B29" s="87">
        <f t="shared" si="0"/>
        <v>16</v>
      </c>
      <c r="C29" s="431"/>
      <c r="D29" s="88"/>
      <c r="E29" s="382"/>
      <c r="F29" s="383"/>
      <c r="G29" s="373" t="s">
        <v>161</v>
      </c>
      <c r="H29" s="101">
        <f ca="1">+H24-H27</f>
        <v>228.33816840000054</v>
      </c>
      <c r="J29" s="501" t="s">
        <v>160</v>
      </c>
      <c r="K29" s="73"/>
      <c r="L29" s="73"/>
      <c r="M29" s="73"/>
      <c r="N29" s="73"/>
      <c r="O29" s="73"/>
    </row>
    <row r="30" spans="1:15" ht="16.5" thickTop="1">
      <c r="A30" s="73"/>
      <c r="B30" s="87">
        <f t="shared" si="0"/>
        <v>17</v>
      </c>
      <c r="C30" s="431"/>
      <c r="D30" s="88"/>
      <c r="E30" s="375"/>
      <c r="F30" s="383"/>
      <c r="G30" s="382"/>
      <c r="J30" s="498"/>
      <c r="K30" s="73"/>
      <c r="L30" s="73"/>
      <c r="M30" s="73"/>
      <c r="N30" s="73"/>
      <c r="O30" s="73"/>
    </row>
    <row r="31" spans="1:15" ht="16.5" thickBot="1">
      <c r="A31" s="73"/>
      <c r="B31" s="87">
        <f t="shared" si="0"/>
        <v>18</v>
      </c>
      <c r="C31" s="431"/>
      <c r="D31" s="88"/>
      <c r="E31" s="375"/>
      <c r="F31" s="383"/>
      <c r="G31" s="386" t="s">
        <v>184</v>
      </c>
      <c r="H31" s="101">
        <f ca="1">-H29*0.35</f>
        <v>-79.918358940000189</v>
      </c>
      <c r="J31" s="502" t="s">
        <v>185</v>
      </c>
      <c r="K31" s="73"/>
      <c r="L31" s="73"/>
      <c r="M31" s="73"/>
      <c r="N31" s="73"/>
      <c r="O31" s="73"/>
    </row>
    <row r="32" spans="1:15" ht="16.5" thickTop="1">
      <c r="A32" s="73"/>
      <c r="B32" s="87">
        <f t="shared" si="0"/>
        <v>19</v>
      </c>
      <c r="C32" s="431"/>
      <c r="D32" s="88"/>
      <c r="E32" s="134"/>
      <c r="J32" s="418"/>
      <c r="K32" s="73"/>
      <c r="L32" s="73"/>
      <c r="M32" s="73"/>
      <c r="N32" s="73"/>
      <c r="O32" s="73"/>
    </row>
    <row r="33" spans="1:18">
      <c r="A33" s="73"/>
      <c r="B33" s="87">
        <f t="shared" si="0"/>
        <v>20</v>
      </c>
      <c r="C33" s="431"/>
      <c r="D33" s="88"/>
      <c r="J33" s="418"/>
      <c r="K33" s="73"/>
      <c r="L33" s="73"/>
      <c r="M33" s="73"/>
      <c r="N33" s="73"/>
      <c r="O33" s="73"/>
    </row>
    <row r="34" spans="1:18">
      <c r="A34" s="73"/>
      <c r="B34" s="87">
        <f t="shared" si="0"/>
        <v>21</v>
      </c>
      <c r="C34" s="431"/>
      <c r="D34" s="88"/>
      <c r="K34" s="73"/>
      <c r="L34" s="73"/>
      <c r="M34" s="73"/>
      <c r="N34" s="73"/>
      <c r="O34" s="73"/>
    </row>
    <row r="35" spans="1:18">
      <c r="A35" s="73"/>
      <c r="B35" s="87">
        <f t="shared" si="0"/>
        <v>22</v>
      </c>
      <c r="C35" s="431"/>
      <c r="D35" s="88"/>
      <c r="K35" s="73"/>
      <c r="L35" s="73"/>
      <c r="M35" s="73"/>
      <c r="N35" s="73"/>
      <c r="O35" s="73"/>
    </row>
    <row r="36" spans="1:18">
      <c r="A36" s="73"/>
      <c r="B36" s="87">
        <f t="shared" si="0"/>
        <v>23</v>
      </c>
      <c r="C36" s="431"/>
      <c r="D36" s="88"/>
      <c r="K36" s="73"/>
      <c r="L36" s="73"/>
      <c r="M36" s="73"/>
      <c r="N36" s="73"/>
      <c r="O36" s="73"/>
    </row>
    <row r="37" spans="1:18">
      <c r="A37" s="73"/>
      <c r="B37" s="87">
        <f t="shared" si="0"/>
        <v>24</v>
      </c>
      <c r="C37" s="431"/>
      <c r="D37" s="88"/>
      <c r="K37" s="73"/>
      <c r="L37" s="73"/>
      <c r="M37" s="73"/>
      <c r="N37" s="73"/>
      <c r="O37" s="73"/>
    </row>
    <row r="38" spans="1:18">
      <c r="A38" s="73"/>
      <c r="B38" s="87">
        <f t="shared" si="0"/>
        <v>25</v>
      </c>
      <c r="C38" s="431"/>
      <c r="D38" s="88"/>
      <c r="K38" s="73"/>
      <c r="L38" s="73"/>
      <c r="M38" s="73"/>
      <c r="N38" s="73"/>
      <c r="O38" s="73"/>
    </row>
    <row r="39" spans="1:18">
      <c r="A39" s="73"/>
      <c r="B39" s="87">
        <f t="shared" si="0"/>
        <v>26</v>
      </c>
      <c r="C39" s="431"/>
      <c r="D39" s="88"/>
      <c r="K39" s="73"/>
      <c r="L39" s="73"/>
      <c r="M39" s="73"/>
      <c r="N39" s="73"/>
      <c r="O39" s="73"/>
    </row>
    <row r="40" spans="1:18">
      <c r="A40" s="73"/>
      <c r="B40" s="87">
        <f t="shared" si="0"/>
        <v>27</v>
      </c>
      <c r="C40" s="431"/>
      <c r="D40" s="88"/>
      <c r="K40" s="73"/>
      <c r="L40" s="73"/>
      <c r="M40" s="73"/>
      <c r="N40" s="73"/>
      <c r="O40" s="73"/>
    </row>
    <row r="41" spans="1:18">
      <c r="A41" s="73"/>
      <c r="B41" s="87">
        <f t="shared" si="0"/>
        <v>28</v>
      </c>
      <c r="C41" s="431"/>
      <c r="D41" s="88"/>
      <c r="K41" s="73"/>
      <c r="L41" s="73"/>
      <c r="M41" s="73"/>
      <c r="N41" s="73"/>
      <c r="O41" s="73"/>
    </row>
    <row r="42" spans="1:18">
      <c r="A42" s="73"/>
      <c r="B42" s="87">
        <f t="shared" si="0"/>
        <v>29</v>
      </c>
      <c r="C42" s="431"/>
      <c r="D42" s="88"/>
      <c r="K42" s="73"/>
      <c r="L42" s="73"/>
      <c r="M42" s="73"/>
      <c r="N42" s="73"/>
      <c r="O42" s="73"/>
    </row>
    <row r="43" spans="1:18">
      <c r="A43" s="73"/>
      <c r="B43" s="73"/>
      <c r="C43" s="99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8">
      <c r="A44" s="73"/>
      <c r="B44" s="73"/>
      <c r="C44" s="99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8">
      <c r="A45" s="73"/>
      <c r="B45" s="73"/>
      <c r="C45" s="99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R45" s="74">
        <f>+S45-P45</f>
        <v>0</v>
      </c>
    </row>
    <row r="46" spans="1:18">
      <c r="A46" s="73"/>
      <c r="B46" s="73"/>
      <c r="C46" s="99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8">
      <c r="A47" s="73"/>
      <c r="B47" s="73"/>
      <c r="C47" s="99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8">
      <c r="A48" s="73"/>
      <c r="B48" s="73"/>
      <c r="C48" s="99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>
      <c r="A49" s="73"/>
      <c r="B49" s="73"/>
      <c r="C49" s="99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>
      <c r="A50" s="73"/>
      <c r="B50" s="73"/>
      <c r="C50" s="99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1:15">
      <c r="A51" s="73"/>
      <c r="B51" s="73"/>
      <c r="C51" s="99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1:15">
      <c r="A52" s="73"/>
      <c r="B52" s="73"/>
      <c r="C52" s="99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>
      <c r="A53" s="73"/>
      <c r="B53" s="73"/>
      <c r="C53" s="99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>
      <c r="A54" s="73"/>
      <c r="B54" s="73"/>
      <c r="C54" s="99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>
      <c r="A55" s="73"/>
      <c r="B55" s="73"/>
      <c r="C55" s="99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>
      <c r="A56" s="73"/>
      <c r="B56" s="73"/>
      <c r="C56" s="99"/>
      <c r="D56" s="73"/>
      <c r="E56" s="73"/>
      <c r="F56" s="73"/>
      <c r="G56" s="73"/>
      <c r="H56" s="73"/>
      <c r="I56" s="73"/>
      <c r="K56" s="73"/>
      <c r="L56" s="73"/>
      <c r="M56" s="73"/>
      <c r="N56" s="73"/>
      <c r="O56" s="73"/>
    </row>
    <row r="57" spans="1:15">
      <c r="A57" s="73"/>
      <c r="B57" s="73"/>
      <c r="C57" s="99"/>
      <c r="D57" s="73"/>
      <c r="E57" s="73"/>
      <c r="F57" s="73"/>
      <c r="G57" s="73"/>
      <c r="H57" s="73"/>
      <c r="I57" s="73"/>
      <c r="K57" s="73"/>
      <c r="L57" s="73"/>
      <c r="M57" s="73"/>
      <c r="N57" s="73"/>
      <c r="O57" s="73"/>
    </row>
    <row r="58" spans="1:15">
      <c r="A58" s="73"/>
      <c r="B58" s="73"/>
      <c r="C58" s="99"/>
      <c r="D58" s="73"/>
    </row>
    <row r="59" spans="1:15">
      <c r="A59" s="73"/>
      <c r="B59" s="73"/>
      <c r="C59" s="99"/>
      <c r="D59" s="73"/>
    </row>
    <row r="60" spans="1:15">
      <c r="C60" s="99"/>
    </row>
  </sheetData>
  <phoneticPr fontId="17" type="noConversion"/>
  <printOptions gridLinesSet="0"/>
  <pageMargins left="0.75" right="0.19" top="1" bottom="1" header="0.5" footer="0.5"/>
  <pageSetup orientation="portrait" r:id="rId1"/>
  <headerFooter alignWithMargins="0">
    <oddHeader>&amp;RExhibit No. _____(DPK-5)
Docket UE-090134  UG-090135
Page &amp;P of &amp;N</oddHeader>
    <oddFooter>&amp;RRESPONSE TO BENCH REQUEST #2 supplemental
Revised for Settlement and Accepted Rebuttal Corrections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"/>
  <sheetViews>
    <sheetView workbookViewId="0"/>
  </sheetViews>
  <sheetFormatPr defaultRowHeight="12"/>
  <sheetData/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2009-10-05T07:00:00+00:00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96291-D1BB-41B9-9FF4-19242C74B38D}"/>
</file>

<file path=customXml/itemProps2.xml><?xml version="1.0" encoding="utf-8"?>
<ds:datastoreItem xmlns:ds="http://schemas.openxmlformats.org/officeDocument/2006/customXml" ds:itemID="{F3129606-BFB2-45C8-8AA6-662344FD2E41}"/>
</file>

<file path=customXml/itemProps3.xml><?xml version="1.0" encoding="utf-8"?>
<ds:datastoreItem xmlns:ds="http://schemas.openxmlformats.org/officeDocument/2006/customXml" ds:itemID="{E28698AF-DE6C-49DC-895B-26E66E0F85CD}"/>
</file>

<file path=customXml/itemProps4.xml><?xml version="1.0" encoding="utf-8"?>
<ds:datastoreItem xmlns:ds="http://schemas.openxmlformats.org/officeDocument/2006/customXml" ds:itemID="{0A0F3B63-0574-44AA-A0EB-81BAC814E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DPK-3 Results Sch1.1</vt:lpstr>
      <vt:lpstr>DPK-3 Restating Adj Sch 1.2 </vt:lpstr>
      <vt:lpstr>DPK-3 Pro Forma Adj Sch 1.3 </vt:lpstr>
      <vt:lpstr>DPK-3 Summary of Adj Sch 1.4</vt:lpstr>
      <vt:lpstr>DPK-3 Revenue Require Sch 2 </vt:lpstr>
      <vt:lpstr>DPK-3 Rev Conv Factor Sch 3 </vt:lpstr>
      <vt:lpstr>DPK-3 Captial Structure Sch 4</vt:lpstr>
      <vt:lpstr>DPK-5 Restated Debt Exh 5</vt:lpstr>
      <vt:lpstr>END</vt:lpstr>
      <vt:lpstr>Open</vt:lpstr>
      <vt:lpstr>debt</vt:lpstr>
      <vt:lpstr>'DPK-3 Captial Structure Sch 4'!Print_Area</vt:lpstr>
      <vt:lpstr>'DPK-3 Pro Forma Adj Sch 1.3 '!Print_Area</vt:lpstr>
      <vt:lpstr>'DPK-3 Restating Adj Sch 1.2 '!Print_Area</vt:lpstr>
      <vt:lpstr>'DPK-3 Results Sch1.1'!Print_Area</vt:lpstr>
      <vt:lpstr>'DPK-3 Rev Conv Factor Sch 3 '!Print_Area</vt:lpstr>
      <vt:lpstr>'DPK-3 Revenue Require Sch 2 '!Print_Area</vt:lpstr>
      <vt:lpstr>'DPK-3 Summary of Adj Sch 1.4'!Print_Area</vt:lpstr>
      <vt:lpstr>'DPK-5 Restated Debt Exh 5'!Print_Area</vt:lpstr>
      <vt:lpstr>'DPK-3 Pro Forma Adj Sch 1.3 '!Print_Titles</vt:lpstr>
      <vt:lpstr>'DPK-3 Restating Adj Sch 1.2 '!Print_Titles</vt:lpstr>
      <vt:lpstr>'DPK-3 Results Sch1.1'!Print_Titles</vt:lpstr>
      <vt:lpstr>roe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- Results of Operations </dc:title>
  <dc:subject>UG-090135</dc:subject>
  <dc:creator>Danny Kermode</dc:creator>
  <cp:keywords>Avista</cp:keywords>
  <cp:lastModifiedBy>BDeMarco</cp:lastModifiedBy>
  <cp:lastPrinted>2009-10-05T21:12:21Z</cp:lastPrinted>
  <dcterms:created xsi:type="dcterms:W3CDTF">1997-05-15T21:41:44Z</dcterms:created>
  <dcterms:modified xsi:type="dcterms:W3CDTF">2009-10-05T21:15:25Z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0x0101006E56B4D1795A2E4DB2F0B01679ED314A00ACEE90129439E84DA799E573E626D7C9</vt:lpwstr>
  </property>
  <property fmtid="{D5CDD505-2E9C-101B-9397-08002B2CF9AE}" pid="4" name="_docset_NoMedatataSyncRequired">
    <vt:lpwstr>False</vt:lpwstr>
  </property>
</Properties>
</file>