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comments5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155" yWindow="30" windowWidth="11685" windowHeight="12150" tabRatio="753" firstSheet="6" activeTab="8"/>
  </bookViews>
  <sheets>
    <sheet name="DPK-2 Results Sch1.1" sheetId="83" r:id="rId1"/>
    <sheet name="DPK-2 Restating Adj Sch 1.2" sheetId="1" r:id="rId2"/>
    <sheet name="DPK-2 Pro Forma Adj Sch 1.3" sheetId="84" r:id="rId3"/>
    <sheet name="DPK-2 Summary of Adj  Sch 1.4" sheetId="96" r:id="rId4"/>
    <sheet name="DPK-2 Revenue Requirement Sch 2" sheetId="87" r:id="rId5"/>
    <sheet name="DPK-2 Revenue Conv Factor Sch 3" sheetId="86" r:id="rId6"/>
    <sheet name="DPK-2 Capital Structure Sch 4 " sheetId="85" r:id="rId7"/>
    <sheet name="DPK-4 R-22 PF Debt" sheetId="89" r:id="rId8"/>
    <sheet name="DPK-6 PF-2 ProdFctrCalc" sheetId="82" r:id="rId9"/>
    <sheet name="END " sheetId="93" r:id="rId10"/>
    <sheet name="ResultSumEl" sheetId="5" r:id="rId11"/>
    <sheet name="not-used " sheetId="75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1" hidden="1">'DPK-2 Restating Adj Sch 1.2'!$F$6:$AD$6</definedName>
    <definedName name="ID_Elec" localSheetId="0">#REF!</definedName>
    <definedName name="ID_Elec" localSheetId="3">#REF!</definedName>
    <definedName name="ID_Elec" localSheetId="7">#REF!</definedName>
    <definedName name="ID_Elec">#REF!</definedName>
    <definedName name="ID_Gas" localSheetId="0">#REF!</definedName>
    <definedName name="ID_Gas" localSheetId="3">#REF!</definedName>
    <definedName name="ID_Gas" localSheetId="7">#REF!</definedName>
    <definedName name="ID_Gas">#REF!</definedName>
    <definedName name="inc_tax">#REF!</definedName>
    <definedName name="prime" localSheetId="3">'[1]R-13 PF Debt'!#REF!</definedName>
    <definedName name="prime" localSheetId="7">'DPK-4 R-22 PF Debt'!#REF!</definedName>
    <definedName name="prime">'[2]R-13 PF Debt'!#REF!</definedName>
    <definedName name="_xlnm.Print_Area" localSheetId="6">'DPK-2 Capital Structure Sch 4 '!$C$3:$I$44</definedName>
    <definedName name="_xlnm.Print_Area" localSheetId="2">'DPK-2 Pro Forma Adj Sch 1.3'!$G$13:$AA$72</definedName>
    <definedName name="_xlnm.Print_Area" localSheetId="1">'DPK-2 Restating Adj Sch 1.2'!$G$12:$AF$71</definedName>
    <definedName name="_xlnm.Print_Area" localSheetId="0">'DPK-2 Results Sch1.1'!$B$3:$M$73</definedName>
    <definedName name="_xlnm.Print_Area" localSheetId="5">'DPK-2 Revenue Conv Factor Sch 3'!$C$3:$J$40</definedName>
    <definedName name="_xlnm.Print_Area" localSheetId="4">'DPK-2 Revenue Requirement Sch 2'!$C$3:$J$44</definedName>
    <definedName name="_xlnm.Print_Area" localSheetId="3">'DPK-2 Summary of Adj  Sch 1.4'!$C$3:$U$82</definedName>
    <definedName name="_xlnm.Print_Area" localSheetId="7">'DPK-4 R-22 PF Debt'!$B$3:$I$41</definedName>
    <definedName name="_xlnm.Print_Area" localSheetId="8">'DPK-6 PF-2 ProdFctrCalc'!$C$4:$L$77</definedName>
    <definedName name="_xlnm.Print_Area" localSheetId="11">'not-used '!$A$1:$G$63</definedName>
    <definedName name="_xlnm.Print_Area" localSheetId="10">ResultSumEl!$A$1:$G$63</definedName>
    <definedName name="Print_for_CBReport" localSheetId="0">#REF!</definedName>
    <definedName name="Print_for_CBReport" localSheetId="3">#REF!</definedName>
    <definedName name="Print_for_CBReport" localSheetId="7">#REF!</definedName>
    <definedName name="Print_for_CBReport" localSheetId="8">'DPK-6 PF-2 ProdFctrCalc'!$C$4:$L$126</definedName>
    <definedName name="Print_for_CBReport">#REF!</definedName>
    <definedName name="Print_for_Checking" localSheetId="0">#REF!</definedName>
    <definedName name="Print_for_Checking" localSheetId="3">[3]PFRstmtSheet!$A$1:'[3]PFRstmtSheet'!$J$107</definedName>
    <definedName name="Print_for_Checking" localSheetId="7">#REF!</definedName>
    <definedName name="Print_for_Checking" localSheetId="8">'DPK-6 PF-2 ProdFctrCalc'!$C$5:'DPK-6 PF-2 ProdFctrCalc'!$N$126</definedName>
    <definedName name="Print_for_Checking">#REF!:#REF!</definedName>
    <definedName name="_xlnm.Print_Titles" localSheetId="2">'DPK-2 Pro Forma Adj Sch 1.3'!$B:$F,'DPK-2 Pro Forma Adj Sch 1.3'!$3:$12</definedName>
    <definedName name="_xlnm.Print_Titles" localSheetId="1">'DPK-2 Restating Adj Sch 1.2'!$B:$F,'DPK-2 Restating Adj Sch 1.2'!$3:$11</definedName>
    <definedName name="_xlnm.Print_Titles" localSheetId="0">'DPK-2 Results Sch1.1'!$B:$F,'DPK-2 Results Sch1.1'!$3:$12</definedName>
    <definedName name="Summary">#REF!</definedName>
    <definedName name="Test_Yr">[4]cover!$B$12</definedName>
    <definedName name="TR">#REF!</definedName>
    <definedName name="WA_Elec" localSheetId="0">#REF!</definedName>
    <definedName name="WA_Elec" localSheetId="3">#REF!</definedName>
    <definedName name="WA_Elec" localSheetId="7">#REF!</definedName>
    <definedName name="WA_Elec">#REF!</definedName>
    <definedName name="WA_Gas" localSheetId="0">#REF!</definedName>
    <definedName name="WA_Gas" localSheetId="3">#REF!</definedName>
    <definedName name="WA_Gas" localSheetId="7">#REF!</definedName>
    <definedName name="WA_Gas">#REF!</definedName>
    <definedName name="Z_5BE913A1_B14F_11D2_B0DC_0000832CDFF0_.wvu.Cols" localSheetId="0" hidden="1">'DPK-2 Results Sch1.1'!$J:$K</definedName>
    <definedName name="Z_5BE913A1_B14F_11D2_B0DC_0000832CDFF0_.wvu.PrintArea" localSheetId="0" hidden="1">'DPK-2 Results Sch1.1'!$G$13:$K$72</definedName>
    <definedName name="Z_5BE913A1_B14F_11D2_B0DC_0000832CDFF0_.wvu.PrintTitles" localSheetId="0" hidden="1">'DPK-2 Results Sch1.1'!$B:$F,'DPK-2 Results Sch1.1'!$3:$12</definedName>
    <definedName name="Z_6E1B8C45_B07F_11D2_B0DC_0000832CDFF0_.wvu.Cols" localSheetId="2" hidden="1">'DPK-2 Pro Forma Adj Sch 1.3'!#REF!,'DPK-2 Pro Forma Adj Sch 1.3'!$H:$AJ</definedName>
    <definedName name="Z_6E1B8C45_B07F_11D2_B0DC_0000832CDFF0_.wvu.Cols" localSheetId="1" hidden="1">'DPK-2 Restating Adj Sch 1.2'!#REF!,'DPK-2 Restating Adj Sch 1.2'!#REF!</definedName>
    <definedName name="Z_6E1B8C45_B07F_11D2_B0DC_0000832CDFF0_.wvu.PrintArea" localSheetId="2" hidden="1">'DPK-2 Pro Forma Adj Sch 1.3'!$G:$AA</definedName>
    <definedName name="Z_6E1B8C45_B07F_11D2_B0DC_0000832CDFF0_.wvu.PrintArea" localSheetId="1" hidden="1">'DPK-2 Restating Adj Sch 1.2'!$G:$AG</definedName>
    <definedName name="Z_6E1B8C45_B07F_11D2_B0DC_0000832CDFF0_.wvu.PrintArea" localSheetId="8" hidden="1">'DPK-6 PF-2 ProdFctrCalc'!$C$4:$M$115</definedName>
    <definedName name="Z_6E1B8C45_B07F_11D2_B0DC_0000832CDFF0_.wvu.PrintArea" localSheetId="11" hidden="1">'not-used '!$A$1:$G$63</definedName>
    <definedName name="Z_6E1B8C45_B07F_11D2_B0DC_0000832CDFF0_.wvu.PrintArea" localSheetId="10" hidden="1">ResultSumEl!$A$1:$G$63</definedName>
    <definedName name="Z_6E1B8C45_B07F_11D2_B0DC_0000832CDFF0_.wvu.PrintTitles" localSheetId="2" hidden="1">'DPK-2 Pro Forma Adj Sch 1.3'!$B:$F,'DPK-2 Pro Forma Adj Sch 1.3'!$3:$12</definedName>
    <definedName name="Z_6E1B8C45_B07F_11D2_B0DC_0000832CDFF0_.wvu.PrintTitles" localSheetId="1" hidden="1">'DPK-2 Restating Adj Sch 1.2'!$B:$F,'DPK-2 Restating Adj Sch 1.2'!$3:$11</definedName>
    <definedName name="Z_6E1B8C45_B07F_11D2_B0DC_0000832CDFF0_.wvu.Rows" localSheetId="8" hidden="1">'DPK-6 PF-2 ProdFctrCalc'!#REF!,'DPK-6 PF-2 ProdFctrCalc'!$36:$43,'DPK-6 PF-2 ProdFctrCalc'!$44:$44,'DPK-6 PF-2 ProdFctrCalc'!$49:$69,'DPK-6 PF-2 ProdFctrCalc'!$108:$108,'DPK-6 PF-2 ProdFctrCalc'!$110:$110,'DPK-6 PF-2 ProdFctrCalc'!$116:$126</definedName>
    <definedName name="Z_A15D1962_B049_11D2_8670_0000832CEEE8_.wvu.Cols" localSheetId="2" hidden="1">'DPK-2 Pro Forma Adj Sch 1.3'!$H:$AK</definedName>
    <definedName name="Z_A15D1962_B049_11D2_8670_0000832CEEE8_.wvu.Cols" localSheetId="1" hidden="1">'DPK-2 Restating Adj Sch 1.2'!#REF!</definedName>
    <definedName name="Z_A15D1962_B049_11D2_8670_0000832CEEE8_.wvu.Rows" localSheetId="8" hidden="1">'DPK-6 PF-2 ProdFctrCalc'!$49:$62,'DPK-6 PF-2 ProdFctrCalc'!$115:$126</definedName>
    <definedName name="Z_A15D1964_B049_11D2_8670_0000832CEEE8_.wvu.Cols" localSheetId="0" hidden="1">'DPK-2 Results Sch1.1'!$J:$K</definedName>
    <definedName name="Z_A15D1964_B049_11D2_8670_0000832CEEE8_.wvu.PrintArea" localSheetId="0" hidden="1">'DPK-2 Results Sch1.1'!$G$13:$K$72</definedName>
    <definedName name="Z_A15D1964_B049_11D2_8670_0000832CEEE8_.wvu.PrintTitles" localSheetId="0" hidden="1">'DPK-2 Results Sch1.1'!$B:$F,'DPK-2 Results Sch1.1'!$3:$12</definedName>
    <definedName name="Z_DBE9AC2E_288B_409B_9D2E_596C9640AC61_.wvu.Cols" localSheetId="3" hidden="1">'DPK-2 Summary of Adj  Sch 1.4'!$I:$K,'DPK-2 Summary of Adj  Sch 1.4'!$R:$S</definedName>
    <definedName name="Z_DBE9AC2E_288B_409B_9D2E_596C9640AC61_.wvu.PrintArea" localSheetId="3" hidden="1">'DPK-2 Summary of Adj  Sch 1.4'!$C$4:$U$75</definedName>
    <definedName name="Z_DBE9AC2E_288B_409B_9D2E_596C9640AC61_.wvu.Rows" localSheetId="3" hidden="1">'DPK-2 Summary of Adj  Sch 1.4'!$39:$43,'DPK-2 Summary of Adj  Sch 1.4'!$66:$66</definedName>
  </definedNames>
  <calcPr calcId="125725" iterate="1"/>
  <customWorkbookViews>
    <customWorkbookView name="Kathy Mitchell - Personal View" guid="{A15D1962-B049-11D2-8670-0000832CEEE8}" mergeInterval="0" personalView="1" maximized="1" windowWidth="796" windowHeight="436" tabRatio="768" activeSheetId="2"/>
    <customWorkbookView name="Don Falkner - Personal View" guid="{6E1B8C45-B07F-11D2-B0DC-0000832CDFF0}" mergeInterval="0" personalView="1" maximized="1" windowWidth="1020" windowHeight="604" tabRatio="768" activeSheetId="3"/>
  </customWorkbookViews>
</workbook>
</file>

<file path=xl/calcChain.xml><?xml version="1.0" encoding="utf-8"?>
<calcChain xmlns="http://schemas.openxmlformats.org/spreadsheetml/2006/main">
  <c r="K22" i="82"/>
  <c r="K24"/>
  <c r="L53"/>
  <c r="K53"/>
  <c r="J53"/>
  <c r="L20" l="1"/>
  <c r="H51"/>
  <c r="X41" i="84" l="1"/>
  <c r="X24"/>
  <c r="J52" i="82" l="1"/>
  <c r="N27" i="84" l="1"/>
  <c r="N61" l="1"/>
  <c r="N60"/>
  <c r="N59"/>
  <c r="N32"/>
  <c r="N26"/>
  <c r="M42"/>
  <c r="M26"/>
  <c r="L54" i="82" l="1"/>
  <c r="K54"/>
  <c r="J54"/>
  <c r="K27"/>
  <c r="J27"/>
  <c r="L24"/>
  <c r="G69" i="83" l="1"/>
  <c r="K18" i="82"/>
  <c r="L18"/>
  <c r="L57"/>
  <c r="K57"/>
  <c r="J57"/>
  <c r="L58"/>
  <c r="K58"/>
  <c r="J58"/>
  <c r="L59"/>
  <c r="J59"/>
  <c r="I57"/>
  <c r="I58"/>
  <c r="I59"/>
  <c r="L23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22"/>
  <c r="K23"/>
  <c r="K25"/>
  <c r="K26"/>
  <c r="K28"/>
  <c r="K29"/>
  <c r="K30"/>
  <c r="K31"/>
  <c r="K32"/>
  <c r="K33"/>
  <c r="K34"/>
  <c r="K35"/>
  <c r="K36"/>
  <c r="K37"/>
  <c r="K38"/>
  <c r="K39"/>
  <c r="K40"/>
  <c r="K41"/>
  <c r="K42"/>
  <c r="K43"/>
  <c r="K44"/>
  <c r="C19"/>
  <c r="C14"/>
  <c r="C15" s="1"/>
  <c r="C16" s="1"/>
  <c r="C17" s="1"/>
  <c r="C18" s="1"/>
  <c r="C85"/>
  <c r="C86" s="1"/>
  <c r="C87" s="1"/>
  <c r="C88" s="1"/>
  <c r="C89" s="1"/>
  <c r="C90" s="1"/>
  <c r="C91" s="1"/>
  <c r="C93" s="1"/>
  <c r="C94" s="1"/>
  <c r="G71"/>
  <c r="H21"/>
  <c r="I22"/>
  <c r="K66" l="1"/>
  <c r="L66"/>
  <c r="L45"/>
  <c r="K45"/>
  <c r="C20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96"/>
  <c r="C97" s="1"/>
  <c r="C99" s="1"/>
  <c r="C100" s="1"/>
  <c r="C101" s="1"/>
  <c r="C102" s="1"/>
  <c r="C103" s="1"/>
  <c r="C104" s="1"/>
  <c r="C105" s="1"/>
  <c r="D44"/>
  <c r="D43"/>
  <c r="E44"/>
  <c r="E43"/>
  <c r="C38" i="96"/>
  <c r="C39" s="1"/>
  <c r="C40" s="1"/>
  <c r="C41" s="1"/>
  <c r="C58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N65"/>
  <c r="N64"/>
  <c r="N63"/>
  <c r="O65"/>
  <c r="O64"/>
  <c r="O63"/>
  <c r="N62"/>
  <c r="N61"/>
  <c r="N59"/>
  <c r="N57"/>
  <c r="O62"/>
  <c r="O61"/>
  <c r="O60"/>
  <c r="O59"/>
  <c r="O58"/>
  <c r="O57"/>
  <c r="O56"/>
  <c r="H39"/>
  <c r="P41"/>
  <c r="Q41"/>
  <c r="Q39"/>
  <c r="P39"/>
  <c r="K67" i="82" l="1"/>
  <c r="K73" s="1"/>
  <c r="K75" s="1"/>
  <c r="I64" i="84" s="1"/>
  <c r="L67" i="82"/>
  <c r="L73" s="1"/>
  <c r="L75" s="1"/>
  <c r="K77" l="1"/>
  <c r="I69" i="84"/>
  <c r="G69" s="1"/>
  <c r="L77" i="82"/>
  <c r="R66" i="84"/>
  <c r="R63"/>
  <c r="R71" s="1"/>
  <c r="R44"/>
  <c r="R45" s="1"/>
  <c r="R47" s="1"/>
  <c r="R34"/>
  <c r="R28"/>
  <c r="O56" i="83" l="1"/>
  <c r="O68" i="82" l="1"/>
  <c r="I65"/>
  <c r="I64"/>
  <c r="N9" i="5"/>
  <c r="O9"/>
  <c r="N10"/>
  <c r="O10"/>
  <c r="N12"/>
  <c r="O12"/>
  <c r="N18"/>
  <c r="O18"/>
  <c r="N20"/>
  <c r="O20"/>
  <c r="N24"/>
  <c r="O24"/>
  <c r="N25"/>
  <c r="O25"/>
  <c r="N26"/>
  <c r="O26"/>
  <c r="N27"/>
  <c r="O27"/>
  <c r="N29"/>
  <c r="O29"/>
  <c r="N30"/>
  <c r="O30"/>
  <c r="N31"/>
  <c r="O31"/>
  <c r="N34"/>
  <c r="O34"/>
  <c r="N36"/>
  <c r="O36"/>
  <c r="N43"/>
  <c r="O43"/>
  <c r="N44"/>
  <c r="O44"/>
  <c r="N45"/>
  <c r="O45"/>
  <c r="N51"/>
  <c r="O51"/>
  <c r="N53"/>
  <c r="O53"/>
  <c r="N54"/>
  <c r="O54"/>
  <c r="N55"/>
  <c r="O55"/>
  <c r="N57"/>
  <c r="O57"/>
  <c r="N58"/>
  <c r="O58"/>
  <c r="N59"/>
  <c r="O59"/>
  <c r="N71"/>
  <c r="N8" s="1"/>
  <c r="N11" s="1"/>
  <c r="N13" s="1"/>
  <c r="O71"/>
  <c r="O8" s="1"/>
  <c r="O11" s="1"/>
  <c r="O13" s="1"/>
  <c r="N75"/>
  <c r="O75"/>
  <c r="N81"/>
  <c r="N17" s="1"/>
  <c r="O81"/>
  <c r="O17" s="1"/>
  <c r="N83"/>
  <c r="O83"/>
  <c r="N86"/>
  <c r="N19" s="1"/>
  <c r="O86"/>
  <c r="O19" s="1"/>
  <c r="N88"/>
  <c r="O88"/>
  <c r="N93"/>
  <c r="O93"/>
  <c r="N99"/>
  <c r="N35" s="1"/>
  <c r="N37" s="1"/>
  <c r="O99"/>
  <c r="O35" s="1"/>
  <c r="O37" s="1"/>
  <c r="N101"/>
  <c r="O101"/>
  <c r="N103"/>
  <c r="O103"/>
  <c r="N105"/>
  <c r="O105"/>
  <c r="N110"/>
  <c r="O110"/>
  <c r="N112"/>
  <c r="O112"/>
  <c r="N113"/>
  <c r="O113"/>
  <c r="N121"/>
  <c r="N52" s="1"/>
  <c r="N56" s="1"/>
  <c r="N63" s="1"/>
  <c r="O121"/>
  <c r="O52" s="1"/>
  <c r="O56" s="1"/>
  <c r="O63" s="1"/>
  <c r="N125"/>
  <c r="O125"/>
  <c r="N130"/>
  <c r="O130"/>
  <c r="N131"/>
  <c r="O131"/>
  <c r="M130"/>
  <c r="M128"/>
  <c r="M127"/>
  <c r="M125"/>
  <c r="M124"/>
  <c r="M123"/>
  <c r="M122"/>
  <c r="M121"/>
  <c r="M120"/>
  <c r="M119"/>
  <c r="M118"/>
  <c r="M116"/>
  <c r="M112"/>
  <c r="M110"/>
  <c r="M108"/>
  <c r="M107"/>
  <c r="M105"/>
  <c r="M103"/>
  <c r="M101"/>
  <c r="M99"/>
  <c r="M98"/>
  <c r="M96"/>
  <c r="M95"/>
  <c r="M94"/>
  <c r="M93"/>
  <c r="M92"/>
  <c r="M91"/>
  <c r="M90"/>
  <c r="M88"/>
  <c r="M87"/>
  <c r="M86"/>
  <c r="M85"/>
  <c r="M83"/>
  <c r="M82"/>
  <c r="M81"/>
  <c r="M80"/>
  <c r="M79"/>
  <c r="M78"/>
  <c r="M75"/>
  <c r="M74"/>
  <c r="M73"/>
  <c r="M72"/>
  <c r="M71"/>
  <c r="M67"/>
  <c r="M66"/>
  <c r="L58"/>
  <c r="K58"/>
  <c r="J58" s="1"/>
  <c r="L57"/>
  <c r="L59" s="1"/>
  <c r="K57"/>
  <c r="J57" s="1"/>
  <c r="J59" s="1"/>
  <c r="L55"/>
  <c r="K55"/>
  <c r="J55" s="1"/>
  <c r="L54"/>
  <c r="K54"/>
  <c r="J54" s="1"/>
  <c r="L53"/>
  <c r="K53"/>
  <c r="J53" s="1"/>
  <c r="L52"/>
  <c r="K52"/>
  <c r="J52" s="1"/>
  <c r="L51"/>
  <c r="L56" s="1"/>
  <c r="L63" s="1"/>
  <c r="K51"/>
  <c r="J51" s="1"/>
  <c r="J56" s="1"/>
  <c r="L45"/>
  <c r="K45"/>
  <c r="J45" s="1"/>
  <c r="L44"/>
  <c r="K44"/>
  <c r="J44" s="1"/>
  <c r="L43"/>
  <c r="K43"/>
  <c r="J43" s="1"/>
  <c r="L36"/>
  <c r="K36"/>
  <c r="L35"/>
  <c r="K35"/>
  <c r="L34"/>
  <c r="L37" s="1"/>
  <c r="K34"/>
  <c r="K37" s="1"/>
  <c r="L31"/>
  <c r="K31"/>
  <c r="L30"/>
  <c r="K30"/>
  <c r="L29"/>
  <c r="K29"/>
  <c r="L26"/>
  <c r="K26"/>
  <c r="L25"/>
  <c r="K25"/>
  <c r="L24"/>
  <c r="L27" s="1"/>
  <c r="K24"/>
  <c r="L20"/>
  <c r="K20"/>
  <c r="L19"/>
  <c r="K19"/>
  <c r="L18"/>
  <c r="K18"/>
  <c r="L17"/>
  <c r="L21" s="1"/>
  <c r="K17"/>
  <c r="L12"/>
  <c r="K12"/>
  <c r="L10"/>
  <c r="K10"/>
  <c r="L9"/>
  <c r="K9"/>
  <c r="L8"/>
  <c r="L11" s="1"/>
  <c r="L13" s="1"/>
  <c r="K8"/>
  <c r="Z92" i="84"/>
  <c r="Z86"/>
  <c r="Z76"/>
  <c r="Z66"/>
  <c r="Z44"/>
  <c r="Z34"/>
  <c r="Z28"/>
  <c r="Y92"/>
  <c r="Y86"/>
  <c r="Y76"/>
  <c r="Y44"/>
  <c r="Y34"/>
  <c r="Y28"/>
  <c r="AC86" i="1"/>
  <c r="AC92"/>
  <c r="AD17"/>
  <c r="AE17"/>
  <c r="AF17"/>
  <c r="AD19"/>
  <c r="AE19"/>
  <c r="AF19"/>
  <c r="AD27"/>
  <c r="I42" i="82" s="1"/>
  <c r="AE27" i="1"/>
  <c r="I43" i="82" s="1"/>
  <c r="AF27" i="1"/>
  <c r="I44" i="82" s="1"/>
  <c r="AD33" i="1"/>
  <c r="AE33"/>
  <c r="AF33"/>
  <c r="AD43"/>
  <c r="AD44" s="1"/>
  <c r="AE43"/>
  <c r="AF43"/>
  <c r="AF44" s="1"/>
  <c r="AE44"/>
  <c r="AE46" s="1"/>
  <c r="AD62"/>
  <c r="AD65"/>
  <c r="AD71"/>
  <c r="AE71"/>
  <c r="O37" i="96" s="1"/>
  <c r="AF71" i="1"/>
  <c r="AD76"/>
  <c r="AF78"/>
  <c r="AD86"/>
  <c r="AE86"/>
  <c r="AF86"/>
  <c r="AD92"/>
  <c r="AE92"/>
  <c r="AF92"/>
  <c r="AD46" l="1"/>
  <c r="AD77"/>
  <c r="J42" i="82"/>
  <c r="O36" i="96"/>
  <c r="J44" i="82"/>
  <c r="O38" i="96"/>
  <c r="AF46" i="1"/>
  <c r="AF77"/>
  <c r="AE77"/>
  <c r="AE79" s="1"/>
  <c r="AE94" s="1"/>
  <c r="Z63" i="84"/>
  <c r="Z71" s="1"/>
  <c r="J65" i="82" s="1"/>
  <c r="AF79" i="1"/>
  <c r="AF94" s="1"/>
  <c r="Y63" i="84"/>
  <c r="Y66"/>
  <c r="N21" i="5"/>
  <c r="N38" s="1"/>
  <c r="N40" s="1"/>
  <c r="N47" s="1"/>
  <c r="N64" s="1"/>
  <c r="O21"/>
  <c r="O38" s="1"/>
  <c r="O40" s="1"/>
  <c r="O47" s="1"/>
  <c r="O64" s="1"/>
  <c r="J8"/>
  <c r="J9"/>
  <c r="J10"/>
  <c r="J12"/>
  <c r="J17"/>
  <c r="J18"/>
  <c r="J19"/>
  <c r="J20"/>
  <c r="J24"/>
  <c r="J25"/>
  <c r="J26"/>
  <c r="J29"/>
  <c r="J30"/>
  <c r="J31"/>
  <c r="J35"/>
  <c r="J36"/>
  <c r="M43"/>
  <c r="L38"/>
  <c r="L40" s="1"/>
  <c r="L47" s="1"/>
  <c r="L64" s="1"/>
  <c r="M44"/>
  <c r="M8"/>
  <c r="M9"/>
  <c r="M10"/>
  <c r="K11"/>
  <c r="M12"/>
  <c r="M17"/>
  <c r="M18"/>
  <c r="M19"/>
  <c r="M20"/>
  <c r="K21"/>
  <c r="M24"/>
  <c r="M25"/>
  <c r="M26"/>
  <c r="K27"/>
  <c r="M29"/>
  <c r="M30"/>
  <c r="M31"/>
  <c r="M35"/>
  <c r="M51"/>
  <c r="M52"/>
  <c r="M53"/>
  <c r="M54"/>
  <c r="M55"/>
  <c r="K56"/>
  <c r="M57"/>
  <c r="M58"/>
  <c r="K59"/>
  <c r="M59" s="1"/>
  <c r="J34"/>
  <c r="J37" s="1"/>
  <c r="Z45" i="84"/>
  <c r="Y45"/>
  <c r="T76" i="96"/>
  <c r="H76" s="1"/>
  <c r="Y71" i="84" l="1"/>
  <c r="J64" i="82" s="1"/>
  <c r="J27" i="5"/>
  <c r="M27" s="1"/>
  <c r="J21"/>
  <c r="J38" s="1"/>
  <c r="J11"/>
  <c r="J13" s="1"/>
  <c r="K38"/>
  <c r="M21"/>
  <c r="K13"/>
  <c r="M11"/>
  <c r="M34"/>
  <c r="M37"/>
  <c r="K63"/>
  <c r="M56"/>
  <c r="Z77" i="84"/>
  <c r="Z47"/>
  <c r="Y77"/>
  <c r="Y47"/>
  <c r="N15" i="86"/>
  <c r="N17"/>
  <c r="J40" i="5" l="1"/>
  <c r="J47" s="1"/>
  <c r="M38"/>
  <c r="J63"/>
  <c r="J64" s="1"/>
  <c r="K40"/>
  <c r="M13"/>
  <c r="Z79" i="84"/>
  <c r="Z94"/>
  <c r="Y79"/>
  <c r="Y94"/>
  <c r="E61" i="75"/>
  <c r="H60"/>
  <c r="G59"/>
  <c r="F59"/>
  <c r="H58"/>
  <c r="E57"/>
  <c r="H57" s="1"/>
  <c r="G56"/>
  <c r="G63" s="1"/>
  <c r="F56"/>
  <c r="H55"/>
  <c r="H54"/>
  <c r="H53"/>
  <c r="E52"/>
  <c r="H52" s="1"/>
  <c r="H51"/>
  <c r="H45"/>
  <c r="H44"/>
  <c r="G37"/>
  <c r="F37"/>
  <c r="H36"/>
  <c r="H35"/>
  <c r="E34"/>
  <c r="H34" s="1"/>
  <c r="E31"/>
  <c r="H30" s="1"/>
  <c r="E30"/>
  <c r="E29"/>
  <c r="G27"/>
  <c r="F27"/>
  <c r="E26"/>
  <c r="H26" s="1"/>
  <c r="H25"/>
  <c r="E24"/>
  <c r="G21"/>
  <c r="G38" s="1"/>
  <c r="F21"/>
  <c r="F38" s="1"/>
  <c r="H20"/>
  <c r="E20"/>
  <c r="H19"/>
  <c r="E19"/>
  <c r="H18"/>
  <c r="E17"/>
  <c r="E21" s="1"/>
  <c r="H12"/>
  <c r="G11"/>
  <c r="F11"/>
  <c r="H10"/>
  <c r="H9"/>
  <c r="E8"/>
  <c r="H8" s="1"/>
  <c r="Q44" i="89"/>
  <c r="B15"/>
  <c r="H101" i="82"/>
  <c r="F63" i="75" l="1"/>
  <c r="E11"/>
  <c r="H21"/>
  <c r="H17"/>
  <c r="H24"/>
  <c r="E27"/>
  <c r="H27" s="1"/>
  <c r="H29"/>
  <c r="H31"/>
  <c r="E37"/>
  <c r="H37" s="1"/>
  <c r="E56"/>
  <c r="E59"/>
  <c r="H59" s="1"/>
  <c r="M40" i="5"/>
  <c r="K47"/>
  <c r="M63"/>
  <c r="H56" i="75" l="1"/>
  <c r="E63"/>
  <c r="E38"/>
  <c r="E13"/>
  <c r="H11"/>
  <c r="K64" i="5"/>
  <c r="M64" s="1"/>
  <c r="M47"/>
  <c r="E42" i="8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C7"/>
  <c r="E40" i="75" l="1"/>
  <c r="H61"/>
  <c r="H63"/>
  <c r="H18" i="85"/>
  <c r="H17"/>
  <c r="G26" s="1"/>
  <c r="C3"/>
  <c r="L30" i="86"/>
  <c r="C12" i="87"/>
  <c r="C6"/>
  <c r="C3"/>
  <c r="T78" i="96"/>
  <c r="H78" s="1"/>
  <c r="O78"/>
  <c r="G78" s="1"/>
  <c r="L78" s="1"/>
  <c r="T77"/>
  <c r="O77"/>
  <c r="L77"/>
  <c r="H38" i="75" l="1"/>
  <c r="U77" i="96"/>
  <c r="U78"/>
  <c r="H66" l="1"/>
  <c r="G66"/>
  <c r="H41" l="1"/>
  <c r="H68" s="1"/>
  <c r="C13" l="1"/>
  <c r="O12"/>
  <c r="N12"/>
  <c r="C14" l="1"/>
  <c r="P95" i="84" l="1"/>
  <c r="H95"/>
  <c r="G93"/>
  <c r="AA92"/>
  <c r="X92"/>
  <c r="W92"/>
  <c r="V92"/>
  <c r="U92"/>
  <c r="T92"/>
  <c r="S92"/>
  <c r="R92"/>
  <c r="Q92"/>
  <c r="P92"/>
  <c r="O92"/>
  <c r="N92"/>
  <c r="M92"/>
  <c r="L92"/>
  <c r="K92"/>
  <c r="J92"/>
  <c r="I92"/>
  <c r="H92"/>
  <c r="G92" s="1"/>
  <c r="G91"/>
  <c r="G90"/>
  <c r="G89"/>
  <c r="AA86"/>
  <c r="X86"/>
  <c r="W86"/>
  <c r="V86"/>
  <c r="U86"/>
  <c r="T86"/>
  <c r="S86"/>
  <c r="R86"/>
  <c r="Q86"/>
  <c r="P86"/>
  <c r="O86"/>
  <c r="N86"/>
  <c r="M86"/>
  <c r="L86"/>
  <c r="K86"/>
  <c r="J86"/>
  <c r="I86"/>
  <c r="H86"/>
  <c r="G84"/>
  <c r="G83"/>
  <c r="G82"/>
  <c r="G78"/>
  <c r="X76"/>
  <c r="T76"/>
  <c r="B75"/>
  <c r="G86" l="1"/>
  <c r="H97"/>
  <c r="O66"/>
  <c r="U66"/>
  <c r="G65"/>
  <c r="AA66"/>
  <c r="X66"/>
  <c r="W66"/>
  <c r="V66"/>
  <c r="Q66"/>
  <c r="L66"/>
  <c r="K66"/>
  <c r="J66"/>
  <c r="I66"/>
  <c r="H66"/>
  <c r="O63"/>
  <c r="N63"/>
  <c r="M63"/>
  <c r="M27" s="1"/>
  <c r="P66" l="1"/>
  <c r="T66"/>
  <c r="S66" s="1"/>
  <c r="G67"/>
  <c r="N66"/>
  <c r="M66" s="1"/>
  <c r="M71" s="1"/>
  <c r="G64"/>
  <c r="G62"/>
  <c r="G60"/>
  <c r="P63"/>
  <c r="AA63"/>
  <c r="AA71" s="1"/>
  <c r="X63"/>
  <c r="W63"/>
  <c r="W71" s="1"/>
  <c r="J62" i="82" s="1"/>
  <c r="V63" i="84"/>
  <c r="V71" s="1"/>
  <c r="U63"/>
  <c r="S63"/>
  <c r="Q63"/>
  <c r="Q71" s="1"/>
  <c r="L63"/>
  <c r="K63"/>
  <c r="K71" s="1"/>
  <c r="J63"/>
  <c r="H63"/>
  <c r="G52"/>
  <c r="P71" l="1"/>
  <c r="J61" i="82"/>
  <c r="G61" i="84"/>
  <c r="U71"/>
  <c r="J71"/>
  <c r="J50" i="82"/>
  <c r="O47" i="96"/>
  <c r="J56" i="82"/>
  <c r="O53" i="96"/>
  <c r="G58" i="84"/>
  <c r="T63"/>
  <c r="T71" s="1"/>
  <c r="X71"/>
  <c r="J63" i="82" s="1"/>
  <c r="G66" i="84"/>
  <c r="O71"/>
  <c r="N71" s="1"/>
  <c r="O50" i="96" s="1"/>
  <c r="J55" i="82"/>
  <c r="O52" i="96"/>
  <c r="L71" i="84"/>
  <c r="J51" i="82" s="1"/>
  <c r="O49" i="96"/>
  <c r="G49" i="84"/>
  <c r="G48"/>
  <c r="Q52" i="96" l="1"/>
  <c r="Q53"/>
  <c r="Q50"/>
  <c r="Q49"/>
  <c r="S71" i="84"/>
  <c r="Q57" i="96"/>
  <c r="J60" i="82"/>
  <c r="O48" i="96"/>
  <c r="J49" i="82"/>
  <c r="O46" i="96"/>
  <c r="AA44" i="84"/>
  <c r="V44"/>
  <c r="T44"/>
  <c r="M44"/>
  <c r="K44"/>
  <c r="X44"/>
  <c r="W44"/>
  <c r="S44"/>
  <c r="L44"/>
  <c r="G41"/>
  <c r="G40"/>
  <c r="G39"/>
  <c r="G37"/>
  <c r="G35"/>
  <c r="W34"/>
  <c r="T34"/>
  <c r="Q34"/>
  <c r="M34"/>
  <c r="N34"/>
  <c r="G30"/>
  <c r="G29"/>
  <c r="AA28"/>
  <c r="X28"/>
  <c r="I63" i="82" s="1"/>
  <c r="U28" i="84"/>
  <c r="I60" i="82" s="1"/>
  <c r="T28" i="84"/>
  <c r="Q28"/>
  <c r="I56" i="82" s="1"/>
  <c r="W28" i="84"/>
  <c r="I62" i="82" s="1"/>
  <c r="V28" i="84"/>
  <c r="I61" i="82" s="1"/>
  <c r="K28" i="84"/>
  <c r="I50" i="82" s="1"/>
  <c r="N28" i="84"/>
  <c r="I53" i="82" s="1"/>
  <c r="G23" i="84"/>
  <c r="G22"/>
  <c r="G21"/>
  <c r="O18"/>
  <c r="B16"/>
  <c r="W18"/>
  <c r="U18"/>
  <c r="R18"/>
  <c r="Q18" s="1"/>
  <c r="N18"/>
  <c r="M18"/>
  <c r="L18"/>
  <c r="K18"/>
  <c r="J18"/>
  <c r="H18"/>
  <c r="G15"/>
  <c r="H95" i="1"/>
  <c r="H97" s="1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0"/>
  <c r="G89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4"/>
  <c r="G83"/>
  <c r="G82"/>
  <c r="AG77"/>
  <c r="B75"/>
  <c r="G68"/>
  <c r="G67"/>
  <c r="G66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4"/>
  <c r="G63"/>
  <c r="AC62"/>
  <c r="AC71" s="1"/>
  <c r="AB62"/>
  <c r="AB71" s="1"/>
  <c r="AA62"/>
  <c r="AA71" s="1"/>
  <c r="Z62"/>
  <c r="Z71" s="1"/>
  <c r="Y62"/>
  <c r="Y71" s="1"/>
  <c r="X62"/>
  <c r="X71" s="1"/>
  <c r="W62"/>
  <c r="W71" s="1"/>
  <c r="V62"/>
  <c r="V71" s="1"/>
  <c r="U62"/>
  <c r="U71" s="1"/>
  <c r="T62"/>
  <c r="T71" s="1"/>
  <c r="S62"/>
  <c r="S71" s="1"/>
  <c r="R62"/>
  <c r="R71" s="1"/>
  <c r="Q62"/>
  <c r="Q71" s="1"/>
  <c r="P62"/>
  <c r="P71" s="1"/>
  <c r="O62"/>
  <c r="N62"/>
  <c r="N71" s="1"/>
  <c r="J26" i="82" s="1"/>
  <c r="M62" i="1"/>
  <c r="M71" s="1"/>
  <c r="O19" i="96" s="1"/>
  <c r="L62" i="1"/>
  <c r="J24" i="82" s="1"/>
  <c r="K62" i="1"/>
  <c r="J62"/>
  <c r="J22" i="82" s="1"/>
  <c r="I62" i="1"/>
  <c r="I71" s="1"/>
  <c r="O15" i="96" s="1"/>
  <c r="H62" i="1"/>
  <c r="H71" s="1"/>
  <c r="O14" i="96" s="1"/>
  <c r="G61" i="1"/>
  <c r="G60"/>
  <c r="G59"/>
  <c r="G58"/>
  <c r="G57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2"/>
  <c r="G41"/>
  <c r="G40"/>
  <c r="G37"/>
  <c r="G36"/>
  <c r="G35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K71" l="1"/>
  <c r="J23" i="82"/>
  <c r="J29"/>
  <c r="O23" i="96"/>
  <c r="J31" i="82"/>
  <c r="O25" i="96"/>
  <c r="J33" i="82"/>
  <c r="O27" i="96"/>
  <c r="J35" i="82"/>
  <c r="O29" i="96"/>
  <c r="J37" i="82"/>
  <c r="O31" i="96"/>
  <c r="J39" i="82"/>
  <c r="O33" i="96"/>
  <c r="J41" i="82"/>
  <c r="O35" i="96"/>
  <c r="J28" i="82"/>
  <c r="O22" i="96"/>
  <c r="J30" i="82"/>
  <c r="O24" i="96"/>
  <c r="J32" i="82"/>
  <c r="O26" i="96"/>
  <c r="J34" i="82"/>
  <c r="O28" i="96"/>
  <c r="J36" i="82"/>
  <c r="O30" i="96"/>
  <c r="J38" i="82"/>
  <c r="O32" i="96"/>
  <c r="J40" i="82"/>
  <c r="O34" i="96"/>
  <c r="O55"/>
  <c r="I44" i="84"/>
  <c r="O20" i="96"/>
  <c r="J71" i="1"/>
  <c r="O16" i="96" s="1"/>
  <c r="L71" i="1"/>
  <c r="L34" i="84"/>
  <c r="J34"/>
  <c r="P34"/>
  <c r="O34" s="1"/>
  <c r="O71" i="1"/>
  <c r="O21" i="96" s="1"/>
  <c r="B17" i="84"/>
  <c r="J28"/>
  <c r="L28"/>
  <c r="X34"/>
  <c r="G43"/>
  <c r="I34"/>
  <c r="G32"/>
  <c r="G42"/>
  <c r="G86" i="1"/>
  <c r="G43"/>
  <c r="O18" i="96"/>
  <c r="O17"/>
  <c r="G62" i="1"/>
  <c r="G65"/>
  <c r="G27" i="84"/>
  <c r="S34"/>
  <c r="G33"/>
  <c r="G31"/>
  <c r="P18"/>
  <c r="M28"/>
  <c r="I52" i="82" s="1"/>
  <c r="V34" i="84"/>
  <c r="U34" s="1"/>
  <c r="G36"/>
  <c r="G38"/>
  <c r="J44"/>
  <c r="G16"/>
  <c r="S18"/>
  <c r="V18"/>
  <c r="AA18"/>
  <c r="K34"/>
  <c r="G92" i="1"/>
  <c r="G97"/>
  <c r="H20" i="84"/>
  <c r="Q44"/>
  <c r="U44"/>
  <c r="V45"/>
  <c r="V77" s="1"/>
  <c r="L45"/>
  <c r="L77" s="1"/>
  <c r="X45"/>
  <c r="X47" s="1"/>
  <c r="K45"/>
  <c r="O54" i="96"/>
  <c r="P28" i="84"/>
  <c r="W45"/>
  <c r="W77" s="1"/>
  <c r="H34"/>
  <c r="AA34"/>
  <c r="AA45" s="1"/>
  <c r="AA77" s="1"/>
  <c r="H44"/>
  <c r="AA20"/>
  <c r="G26"/>
  <c r="S28"/>
  <c r="I49" i="82"/>
  <c r="I51"/>
  <c r="G32" i="1"/>
  <c r="G31"/>
  <c r="G30"/>
  <c r="AC27"/>
  <c r="AB27"/>
  <c r="I40" i="82" s="1"/>
  <c r="AA27" i="1"/>
  <c r="Z27"/>
  <c r="Y27"/>
  <c r="X27"/>
  <c r="W27"/>
  <c r="I35" i="82" s="1"/>
  <c r="V27" i="1"/>
  <c r="I34" i="82" s="1"/>
  <c r="U27" i="1"/>
  <c r="T27"/>
  <c r="S27"/>
  <c r="R27"/>
  <c r="Q27"/>
  <c r="I29" i="82" s="1"/>
  <c r="P27" i="1"/>
  <c r="O27"/>
  <c r="N27"/>
  <c r="I26" i="82" s="1"/>
  <c r="M27" i="1"/>
  <c r="L27"/>
  <c r="K27"/>
  <c r="I27"/>
  <c r="H27"/>
  <c r="G26"/>
  <c r="G25"/>
  <c r="G24"/>
  <c r="G23"/>
  <c r="G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6"/>
  <c r="G15"/>
  <c r="B15"/>
  <c r="G14"/>
  <c r="B6"/>
  <c r="B6" i="84" s="1"/>
  <c r="B5" i="1"/>
  <c r="B3"/>
  <c r="G135" i="83"/>
  <c r="G71" i="1" l="1"/>
  <c r="P44"/>
  <c r="P77" s="1"/>
  <c r="I28" i="82"/>
  <c r="R44" i="1"/>
  <c r="R77" s="1"/>
  <c r="I30" i="82"/>
  <c r="T44" i="1"/>
  <c r="T77" s="1"/>
  <c r="I32" i="82"/>
  <c r="X44" i="1"/>
  <c r="I36" i="82"/>
  <c r="Z44" i="1"/>
  <c r="Z77" s="1"/>
  <c r="I38" i="82"/>
  <c r="I44" i="1"/>
  <c r="I77" s="1"/>
  <c r="I21" i="82"/>
  <c r="L44" i="1"/>
  <c r="I24" i="82"/>
  <c r="H44" i="1"/>
  <c r="I20" i="82"/>
  <c r="K44" i="1"/>
  <c r="J44" s="1"/>
  <c r="I23" i="82"/>
  <c r="M44" i="1"/>
  <c r="M77" s="1"/>
  <c r="L77" s="1"/>
  <c r="I25" i="82"/>
  <c r="O44" i="1"/>
  <c r="I27" i="82"/>
  <c r="S44" i="1"/>
  <c r="I31" i="82"/>
  <c r="U44" i="1"/>
  <c r="I33" i="82"/>
  <c r="Y44" i="1"/>
  <c r="I37" i="82"/>
  <c r="AA44" i="1"/>
  <c r="I39" i="82"/>
  <c r="AC44" i="1"/>
  <c r="I41" i="82"/>
  <c r="O39" i="96"/>
  <c r="O41"/>
  <c r="U45" i="84"/>
  <c r="U77" s="1"/>
  <c r="X77" i="1"/>
  <c r="H77"/>
  <c r="O77"/>
  <c r="Y77"/>
  <c r="AC77"/>
  <c r="K77"/>
  <c r="W44"/>
  <c r="X77" i="84"/>
  <c r="X94" s="1"/>
  <c r="T45"/>
  <c r="T47" s="1"/>
  <c r="B16" i="1"/>
  <c r="AB44"/>
  <c r="AB77" s="1"/>
  <c r="V44"/>
  <c r="V77" s="1"/>
  <c r="U77" s="1"/>
  <c r="G17"/>
  <c r="B17" s="1"/>
  <c r="B18" s="1"/>
  <c r="S77"/>
  <c r="Q44"/>
  <c r="N44"/>
  <c r="G27"/>
  <c r="G33"/>
  <c r="AA77"/>
  <c r="AB19"/>
  <c r="X79" i="84"/>
  <c r="W20"/>
  <c r="AA47"/>
  <c r="J45"/>
  <c r="K77"/>
  <c r="S45"/>
  <c r="T77"/>
  <c r="P44"/>
  <c r="O44" s="1"/>
  <c r="N44" s="1"/>
  <c r="N45" s="1"/>
  <c r="Q45"/>
  <c r="H47" i="82"/>
  <c r="H76" i="84"/>
  <c r="A3" i="75"/>
  <c r="O28" i="84"/>
  <c r="I55" i="82"/>
  <c r="B5" i="84"/>
  <c r="B3" s="1"/>
  <c r="G34"/>
  <c r="G100" i="83"/>
  <c r="I98"/>
  <c r="H96"/>
  <c r="O45" i="84" l="1"/>
  <c r="I54" i="82"/>
  <c r="P45" i="84"/>
  <c r="W77" i="1"/>
  <c r="S77" i="84"/>
  <c r="R77" s="1"/>
  <c r="G44"/>
  <c r="Q77" i="1"/>
  <c r="N77"/>
  <c r="G44"/>
  <c r="AA19"/>
  <c r="AB46"/>
  <c r="AB76"/>
  <c r="V20" i="84"/>
  <c r="W76"/>
  <c r="W47"/>
  <c r="M45"/>
  <c r="N77"/>
  <c r="T94"/>
  <c r="T79"/>
  <c r="Q77"/>
  <c r="J77"/>
  <c r="L93" i="83"/>
  <c r="J93"/>
  <c r="G92"/>
  <c r="H91"/>
  <c r="I90"/>
  <c r="K90" s="1"/>
  <c r="L86"/>
  <c r="J86"/>
  <c r="G84"/>
  <c r="G86" s="1"/>
  <c r="I78"/>
  <c r="B75"/>
  <c r="G67"/>
  <c r="P77" i="84" l="1"/>
  <c r="O77" s="1"/>
  <c r="Z19" i="1"/>
  <c r="AA46"/>
  <c r="G93" i="83"/>
  <c r="M90"/>
  <c r="I92"/>
  <c r="U19" i="1"/>
  <c r="O19"/>
  <c r="G77"/>
  <c r="M77" i="84"/>
  <c r="B19" i="1"/>
  <c r="AA76"/>
  <c r="U20" i="84"/>
  <c r="U47" s="1"/>
  <c r="V47"/>
  <c r="V76"/>
  <c r="W94"/>
  <c r="W79"/>
  <c r="I91" i="83"/>
  <c r="N19" i="1" l="1"/>
  <c r="O46"/>
  <c r="Z76"/>
  <c r="Z79" s="1"/>
  <c r="AA79"/>
  <c r="T19"/>
  <c r="U76"/>
  <c r="U46"/>
  <c r="Y19"/>
  <c r="Z46"/>
  <c r="U79"/>
  <c r="O76"/>
  <c r="O79" s="1"/>
  <c r="S20" i="84"/>
  <c r="S47" s="1"/>
  <c r="U76"/>
  <c r="V94"/>
  <c r="V79"/>
  <c r="S19" i="1" l="1"/>
  <c r="T46"/>
  <c r="M19"/>
  <c r="N76"/>
  <c r="N46"/>
  <c r="X19"/>
  <c r="Y76"/>
  <c r="Y46"/>
  <c r="T76"/>
  <c r="R20" i="84"/>
  <c r="S76"/>
  <c r="U94"/>
  <c r="U79"/>
  <c r="W19" i="1" l="1"/>
  <c r="X46"/>
  <c r="L19"/>
  <c r="M46"/>
  <c r="R19"/>
  <c r="S46"/>
  <c r="S76"/>
  <c r="T79"/>
  <c r="T94" s="1"/>
  <c r="X76"/>
  <c r="X79" s="1"/>
  <c r="Y79"/>
  <c r="M76"/>
  <c r="M79" s="1"/>
  <c r="N79"/>
  <c r="N94" s="1"/>
  <c r="M94" s="1"/>
  <c r="Q20" i="84"/>
  <c r="R76"/>
  <c r="S94"/>
  <c r="S79"/>
  <c r="L28" i="83"/>
  <c r="B16"/>
  <c r="S132" i="5"/>
  <c r="R132"/>
  <c r="Q132"/>
  <c r="S131" s="1"/>
  <c r="R131" s="1"/>
  <c r="Q131"/>
  <c r="K131"/>
  <c r="S130"/>
  <c r="R130" s="1"/>
  <c r="Q130"/>
  <c r="H130"/>
  <c r="S129"/>
  <c r="R129"/>
  <c r="Q129"/>
  <c r="S128"/>
  <c r="R128"/>
  <c r="Q128" s="1"/>
  <c r="H128"/>
  <c r="S127"/>
  <c r="R127"/>
  <c r="Q127" s="1"/>
  <c r="H127"/>
  <c r="S126"/>
  <c r="R126"/>
  <c r="Q126"/>
  <c r="S125"/>
  <c r="R125" s="1"/>
  <c r="Q125"/>
  <c r="H125"/>
  <c r="S124"/>
  <c r="R124"/>
  <c r="Q124" s="1"/>
  <c r="H124"/>
  <c r="S123"/>
  <c r="R123"/>
  <c r="Q123" s="1"/>
  <c r="H123"/>
  <c r="S122"/>
  <c r="R122"/>
  <c r="Q122" s="1"/>
  <c r="H122"/>
  <c r="S121"/>
  <c r="R121" s="1"/>
  <c r="Q121"/>
  <c r="H121"/>
  <c r="S120"/>
  <c r="R120"/>
  <c r="Q120"/>
  <c r="H120"/>
  <c r="S119"/>
  <c r="R119"/>
  <c r="Q119"/>
  <c r="H119"/>
  <c r="S118"/>
  <c r="R118"/>
  <c r="Q118"/>
  <c r="H118"/>
  <c r="S117"/>
  <c r="R117"/>
  <c r="Q117"/>
  <c r="S116"/>
  <c r="R116"/>
  <c r="Q116" s="1"/>
  <c r="H116"/>
  <c r="S115"/>
  <c r="R115"/>
  <c r="Q115"/>
  <c r="S114"/>
  <c r="R114"/>
  <c r="Q114"/>
  <c r="S113" s="1"/>
  <c r="R113"/>
  <c r="Q113"/>
  <c r="S112"/>
  <c r="R112"/>
  <c r="Q112"/>
  <c r="H112"/>
  <c r="S111"/>
  <c r="R111"/>
  <c r="Q111"/>
  <c r="S110" s="1"/>
  <c r="R110" s="1"/>
  <c r="Q110"/>
  <c r="H110"/>
  <c r="S109"/>
  <c r="R109"/>
  <c r="Q109" s="1"/>
  <c r="S108"/>
  <c r="R108"/>
  <c r="Q108"/>
  <c r="H108"/>
  <c r="S107"/>
  <c r="R107"/>
  <c r="Q107" s="1"/>
  <c r="H107"/>
  <c r="S106"/>
  <c r="R106"/>
  <c r="Q106"/>
  <c r="S105"/>
  <c r="R105"/>
  <c r="Q105"/>
  <c r="H105"/>
  <c r="S104"/>
  <c r="R104"/>
  <c r="Q104"/>
  <c r="S103"/>
  <c r="R103"/>
  <c r="Q103"/>
  <c r="H103"/>
  <c r="S102"/>
  <c r="R102"/>
  <c r="Q102"/>
  <c r="S101" s="1"/>
  <c r="R101"/>
  <c r="Q101"/>
  <c r="H101"/>
  <c r="S100"/>
  <c r="R100"/>
  <c r="Q100" s="1"/>
  <c r="S99"/>
  <c r="R99"/>
  <c r="Q99"/>
  <c r="H99"/>
  <c r="S98"/>
  <c r="R98"/>
  <c r="Q98" s="1"/>
  <c r="H98"/>
  <c r="S97"/>
  <c r="R97"/>
  <c r="Q97"/>
  <c r="S96"/>
  <c r="R96"/>
  <c r="Q96" s="1"/>
  <c r="H96"/>
  <c r="S95"/>
  <c r="R95"/>
  <c r="Q95"/>
  <c r="H95"/>
  <c r="S94"/>
  <c r="R94"/>
  <c r="Q94" s="1"/>
  <c r="H94"/>
  <c r="S93"/>
  <c r="R93" s="1"/>
  <c r="Q93"/>
  <c r="H93"/>
  <c r="S92"/>
  <c r="R92"/>
  <c r="Q92" s="1"/>
  <c r="H92"/>
  <c r="S91"/>
  <c r="R91"/>
  <c r="Q91" s="1"/>
  <c r="H91"/>
  <c r="S90"/>
  <c r="R90"/>
  <c r="Q90" s="1"/>
  <c r="H90"/>
  <c r="S89"/>
  <c r="R89"/>
  <c r="Q89"/>
  <c r="S88"/>
  <c r="R88" s="1"/>
  <c r="Q88"/>
  <c r="H88"/>
  <c r="S87"/>
  <c r="R87"/>
  <c r="Q87" s="1"/>
  <c r="H87"/>
  <c r="S86"/>
  <c r="R86" s="1"/>
  <c r="Q86"/>
  <c r="H86"/>
  <c r="S85"/>
  <c r="R85"/>
  <c r="Q85"/>
  <c r="H85"/>
  <c r="S84"/>
  <c r="R84"/>
  <c r="Q84"/>
  <c r="S83"/>
  <c r="R83" s="1"/>
  <c r="Q83"/>
  <c r="H83"/>
  <c r="S82"/>
  <c r="R82"/>
  <c r="Q82" s="1"/>
  <c r="H82"/>
  <c r="S81"/>
  <c r="R81"/>
  <c r="Q81"/>
  <c r="H81"/>
  <c r="S80"/>
  <c r="R80"/>
  <c r="Q80" s="1"/>
  <c r="H80"/>
  <c r="S79"/>
  <c r="R79"/>
  <c r="Q79"/>
  <c r="H79"/>
  <c r="S78"/>
  <c r="R78"/>
  <c r="Q78" s="1"/>
  <c r="H78"/>
  <c r="S77"/>
  <c r="R77"/>
  <c r="Q77"/>
  <c r="S76"/>
  <c r="R76"/>
  <c r="Q76"/>
  <c r="S75" s="1"/>
  <c r="R75" s="1"/>
  <c r="Q75"/>
  <c r="H75"/>
  <c r="S74"/>
  <c r="R74"/>
  <c r="Q74" s="1"/>
  <c r="H74"/>
  <c r="S73"/>
  <c r="R73"/>
  <c r="Q73" s="1"/>
  <c r="R76" i="1" l="1"/>
  <c r="R79" s="1"/>
  <c r="R94" s="1"/>
  <c r="S79"/>
  <c r="S94" s="1"/>
  <c r="Q19"/>
  <c r="R46"/>
  <c r="K19"/>
  <c r="L76"/>
  <c r="L79" s="1"/>
  <c r="L46"/>
  <c r="V19"/>
  <c r="W46"/>
  <c r="W76"/>
  <c r="W79" s="1"/>
  <c r="L94"/>
  <c r="R94" i="84"/>
  <c r="R79"/>
  <c r="P20"/>
  <c r="Q76"/>
  <c r="Q47"/>
  <c r="B17" i="83"/>
  <c r="H73" i="5"/>
  <c r="S72"/>
  <c r="R72"/>
  <c r="Q72" s="1"/>
  <c r="H72"/>
  <c r="S71"/>
  <c r="R71"/>
  <c r="Q71"/>
  <c r="H71"/>
  <c r="S70"/>
  <c r="R70"/>
  <c r="Q70"/>
  <c r="S69"/>
  <c r="R69"/>
  <c r="Q69"/>
  <c r="S68"/>
  <c r="R68"/>
  <c r="Q68"/>
  <c r="S67"/>
  <c r="R67"/>
  <c r="Q67" s="1"/>
  <c r="H67"/>
  <c r="S66"/>
  <c r="R66"/>
  <c r="Q66"/>
  <c r="H66"/>
  <c r="S65"/>
  <c r="R65"/>
  <c r="Q65"/>
  <c r="J19" i="1" l="1"/>
  <c r="K76"/>
  <c r="K79" s="1"/>
  <c r="K46"/>
  <c r="P19"/>
  <c r="Q76"/>
  <c r="Q79" s="1"/>
  <c r="Q94" s="1"/>
  <c r="Q46"/>
  <c r="V76"/>
  <c r="V79" s="1"/>
  <c r="V94" s="1"/>
  <c r="U94" s="1"/>
  <c r="V46"/>
  <c r="Q94" i="84"/>
  <c r="Q79"/>
  <c r="O20"/>
  <c r="P76"/>
  <c r="P47"/>
  <c r="I19" i="1" l="1"/>
  <c r="J76"/>
  <c r="J46"/>
  <c r="N20" i="84"/>
  <c r="O47"/>
  <c r="P76" i="1"/>
  <c r="P79" s="1"/>
  <c r="P94" s="1"/>
  <c r="O94" s="1"/>
  <c r="P46"/>
  <c r="J79"/>
  <c r="J94" s="1"/>
  <c r="K94"/>
  <c r="M20" i="84"/>
  <c r="N76"/>
  <c r="N47"/>
  <c r="O76"/>
  <c r="P94"/>
  <c r="P96" s="1"/>
  <c r="P79"/>
  <c r="S62" i="5"/>
  <c r="R62"/>
  <c r="Q62"/>
  <c r="S61"/>
  <c r="R61"/>
  <c r="Q61"/>
  <c r="S60"/>
  <c r="R60"/>
  <c r="Q60"/>
  <c r="G58"/>
  <c r="F58"/>
  <c r="G65" i="83" s="1"/>
  <c r="G57" i="5"/>
  <c r="S57" s="1"/>
  <c r="F57"/>
  <c r="G64" i="83" s="1"/>
  <c r="E58" i="5" l="1"/>
  <c r="Q58" s="1"/>
  <c r="O94" i="84"/>
  <c r="O79"/>
  <c r="H19" i="1"/>
  <c r="I46"/>
  <c r="I76"/>
  <c r="I79" s="1"/>
  <c r="I94" s="1"/>
  <c r="E57" i="5"/>
  <c r="H57" s="1"/>
  <c r="R57"/>
  <c r="G66" i="83"/>
  <c r="H58" i="5"/>
  <c r="F59"/>
  <c r="T57"/>
  <c r="E59"/>
  <c r="M76" i="84"/>
  <c r="M79" s="1"/>
  <c r="N94"/>
  <c r="N79"/>
  <c r="L20"/>
  <c r="M47"/>
  <c r="G55" i="5"/>
  <c r="F55"/>
  <c r="G62" i="83" s="1"/>
  <c r="G54" i="5"/>
  <c r="F54"/>
  <c r="G61" i="83" s="1"/>
  <c r="G53" i="5"/>
  <c r="F53"/>
  <c r="G60" i="83" s="1"/>
  <c r="G52" i="5"/>
  <c r="S52" s="1"/>
  <c r="F52"/>
  <c r="G59" i="83" s="1"/>
  <c r="G51" i="5"/>
  <c r="G56" s="1"/>
  <c r="F51"/>
  <c r="G58" i="83" s="1"/>
  <c r="S50" i="5"/>
  <c r="R50"/>
  <c r="Q50"/>
  <c r="S49"/>
  <c r="R49"/>
  <c r="Q49"/>
  <c r="S48"/>
  <c r="R48"/>
  <c r="Q48"/>
  <c r="J13" i="82" l="1"/>
  <c r="J18" s="1"/>
  <c r="Q57" i="5"/>
  <c r="H76" i="1"/>
  <c r="H46"/>
  <c r="E54" i="5"/>
  <c r="Q54" s="1"/>
  <c r="E55"/>
  <c r="Q55" s="1"/>
  <c r="G63" i="83"/>
  <c r="G71" s="1"/>
  <c r="S56" i="5"/>
  <c r="H59"/>
  <c r="G59" s="1"/>
  <c r="G63" s="1"/>
  <c r="R59"/>
  <c r="E51"/>
  <c r="H51" s="1"/>
  <c r="E52"/>
  <c r="R52"/>
  <c r="E53"/>
  <c r="H54"/>
  <c r="H55"/>
  <c r="F56"/>
  <c r="H52"/>
  <c r="H53"/>
  <c r="K20" i="84"/>
  <c r="L76"/>
  <c r="L47"/>
  <c r="M94"/>
  <c r="S46" i="5"/>
  <c r="R46"/>
  <c r="Q46"/>
  <c r="G45"/>
  <c r="F45"/>
  <c r="G44"/>
  <c r="S44" s="1"/>
  <c r="F44"/>
  <c r="G43"/>
  <c r="F43"/>
  <c r="G50" i="83" s="1"/>
  <c r="S42" i="5"/>
  <c r="R42"/>
  <c r="Q42"/>
  <c r="S41"/>
  <c r="R41"/>
  <c r="Q41"/>
  <c r="S39"/>
  <c r="R39"/>
  <c r="Q39"/>
  <c r="G36"/>
  <c r="F36"/>
  <c r="G43" i="83" s="1"/>
  <c r="G35" i="5"/>
  <c r="F35"/>
  <c r="G42" i="83" s="1"/>
  <c r="G34" i="5"/>
  <c r="S34" s="1"/>
  <c r="F34"/>
  <c r="G41" i="83" s="1"/>
  <c r="S33" i="5"/>
  <c r="R33"/>
  <c r="Q33"/>
  <c r="S32"/>
  <c r="R32"/>
  <c r="Q32"/>
  <c r="G31"/>
  <c r="F31"/>
  <c r="G38" i="83" s="1"/>
  <c r="G30" i="5"/>
  <c r="F30"/>
  <c r="G37" i="83" s="1"/>
  <c r="G29" i="5"/>
  <c r="F29"/>
  <c r="G36" i="83" s="1"/>
  <c r="S28" i="5"/>
  <c r="R28"/>
  <c r="Q28"/>
  <c r="G26"/>
  <c r="F26"/>
  <c r="G25"/>
  <c r="F25"/>
  <c r="G32" i="83" s="1"/>
  <c r="G24" i="5"/>
  <c r="S24" s="1"/>
  <c r="F24"/>
  <c r="G31" i="83" s="1"/>
  <c r="S23" i="5"/>
  <c r="R23"/>
  <c r="Q23"/>
  <c r="S22"/>
  <c r="R22"/>
  <c r="Q22"/>
  <c r="G20"/>
  <c r="F20"/>
  <c r="G19"/>
  <c r="F19"/>
  <c r="G26" i="83" s="1"/>
  <c r="G18" i="5"/>
  <c r="F18"/>
  <c r="G25" i="83" s="1"/>
  <c r="G17" i="5"/>
  <c r="F17"/>
  <c r="G24" i="83" s="1"/>
  <c r="S16" i="5"/>
  <c r="R16"/>
  <c r="Q16"/>
  <c r="S15"/>
  <c r="R15"/>
  <c r="Q15"/>
  <c r="S14"/>
  <c r="R14"/>
  <c r="Q14"/>
  <c r="G12"/>
  <c r="F12"/>
  <c r="G19" i="83" s="1"/>
  <c r="G10" i="5"/>
  <c r="F10"/>
  <c r="G17" i="83" s="1"/>
  <c r="H18" i="82" s="1"/>
  <c r="H45" s="1"/>
  <c r="G9" i="5"/>
  <c r="F9"/>
  <c r="G16" i="83" s="1"/>
  <c r="G8" i="5"/>
  <c r="S8" s="1"/>
  <c r="F8"/>
  <c r="G15" i="83" s="1"/>
  <c r="A3" i="5"/>
  <c r="L31" i="86"/>
  <c r="L32" s="1"/>
  <c r="H16" s="1"/>
  <c r="J33" i="83"/>
  <c r="J69"/>
  <c r="H69"/>
  <c r="I69" s="1"/>
  <c r="I96"/>
  <c r="J96" s="1"/>
  <c r="K96" s="1"/>
  <c r="L96" s="1"/>
  <c r="M96" s="1"/>
  <c r="AA94" i="1"/>
  <c r="Z94"/>
  <c r="Y94"/>
  <c r="X94"/>
  <c r="W94"/>
  <c r="AB79"/>
  <c r="AB94" s="1"/>
  <c r="C13" i="87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I101" i="82"/>
  <c r="H18" i="86" l="1"/>
  <c r="N16"/>
  <c r="H79" i="1"/>
  <c r="H94" s="1"/>
  <c r="E24" i="5"/>
  <c r="R24"/>
  <c r="E25"/>
  <c r="E8"/>
  <c r="Q8" s="1"/>
  <c r="R8"/>
  <c r="E9"/>
  <c r="Q9" s="1"/>
  <c r="G21"/>
  <c r="E36"/>
  <c r="E45"/>
  <c r="G44" i="83"/>
  <c r="G18"/>
  <c r="B18" s="1"/>
  <c r="B19" s="1"/>
  <c r="E10" i="5"/>
  <c r="E19"/>
  <c r="E31"/>
  <c r="R34"/>
  <c r="E43"/>
  <c r="Q43" s="1"/>
  <c r="E44"/>
  <c r="S21"/>
  <c r="Q44"/>
  <c r="E20"/>
  <c r="G27" i="83"/>
  <c r="E26" i="5"/>
  <c r="G33" i="83"/>
  <c r="F63" i="5"/>
  <c r="R56"/>
  <c r="T56" s="1"/>
  <c r="E56"/>
  <c r="H56" s="1"/>
  <c r="Q51"/>
  <c r="Q59"/>
  <c r="T59"/>
  <c r="S59" s="1"/>
  <c r="H8"/>
  <c r="H9"/>
  <c r="H10"/>
  <c r="F11"/>
  <c r="E12"/>
  <c r="E17"/>
  <c r="E18"/>
  <c r="H19"/>
  <c r="H20"/>
  <c r="H24"/>
  <c r="H25"/>
  <c r="H26"/>
  <c r="R26"/>
  <c r="F27"/>
  <c r="E29"/>
  <c r="Q29" s="1"/>
  <c r="E30"/>
  <c r="H31"/>
  <c r="E34"/>
  <c r="E35"/>
  <c r="R35"/>
  <c r="R36"/>
  <c r="Q36" s="1"/>
  <c r="F37"/>
  <c r="R43"/>
  <c r="T43" s="1"/>
  <c r="S43" s="1"/>
  <c r="H44"/>
  <c r="R44"/>
  <c r="T44" s="1"/>
  <c r="S45"/>
  <c r="R45" s="1"/>
  <c r="Q45" s="1"/>
  <c r="G28" i="83"/>
  <c r="I13" i="82" s="1"/>
  <c r="I18" s="1"/>
  <c r="T52" i="5"/>
  <c r="Q53"/>
  <c r="Q52"/>
  <c r="T8"/>
  <c r="Q10"/>
  <c r="H12"/>
  <c r="H17"/>
  <c r="H18"/>
  <c r="Q19"/>
  <c r="R20"/>
  <c r="F21"/>
  <c r="Q24"/>
  <c r="T24"/>
  <c r="Q25"/>
  <c r="H29"/>
  <c r="R29"/>
  <c r="H30"/>
  <c r="Q31"/>
  <c r="H34"/>
  <c r="H35"/>
  <c r="T35"/>
  <c r="S35" s="1"/>
  <c r="H43"/>
  <c r="H20" i="86"/>
  <c r="H22" s="1"/>
  <c r="H23" s="1"/>
  <c r="L79" i="84"/>
  <c r="L94"/>
  <c r="J20"/>
  <c r="K76"/>
  <c r="K47"/>
  <c r="K69" i="83"/>
  <c r="H25" i="86" l="1"/>
  <c r="V91" i="96" s="1"/>
  <c r="K95" s="1"/>
  <c r="J38" s="1"/>
  <c r="L38" s="1"/>
  <c r="I45" i="82"/>
  <c r="E37" i="5"/>
  <c r="Q34"/>
  <c r="E11"/>
  <c r="H11"/>
  <c r="F13"/>
  <c r="E63"/>
  <c r="Q63" s="1"/>
  <c r="Q26"/>
  <c r="Q20"/>
  <c r="H37"/>
  <c r="G37" s="1"/>
  <c r="S37" s="1"/>
  <c r="R37" s="1"/>
  <c r="E21"/>
  <c r="H21" s="1"/>
  <c r="F38"/>
  <c r="R21"/>
  <c r="T21" s="1"/>
  <c r="T34"/>
  <c r="Q35"/>
  <c r="T29"/>
  <c r="S29" s="1"/>
  <c r="Q30"/>
  <c r="Q18"/>
  <c r="Q12"/>
  <c r="Q56"/>
  <c r="G34" i="83"/>
  <c r="E27" i="5"/>
  <c r="T26" s="1"/>
  <c r="S26" s="1"/>
  <c r="M35" i="86"/>
  <c r="G25" i="87"/>
  <c r="M25" s="1"/>
  <c r="J76" i="84"/>
  <c r="K94"/>
  <c r="K79"/>
  <c r="J47"/>
  <c r="M69" i="83"/>
  <c r="R63" i="96" l="1"/>
  <c r="R59"/>
  <c r="R62"/>
  <c r="R61"/>
  <c r="J46"/>
  <c r="J48"/>
  <c r="J50"/>
  <c r="J52"/>
  <c r="J54"/>
  <c r="J56"/>
  <c r="J58"/>
  <c r="L58" s="1"/>
  <c r="J60"/>
  <c r="L60" s="1"/>
  <c r="J62"/>
  <c r="L62" s="1"/>
  <c r="J44"/>
  <c r="L44" s="1"/>
  <c r="J45"/>
  <c r="J47"/>
  <c r="J49"/>
  <c r="J51"/>
  <c r="J53"/>
  <c r="J55"/>
  <c r="J57"/>
  <c r="L57" s="1"/>
  <c r="J59"/>
  <c r="L59" s="1"/>
  <c r="J61"/>
  <c r="L61" s="1"/>
  <c r="J63"/>
  <c r="L63" s="1"/>
  <c r="J18"/>
  <c r="J20"/>
  <c r="J22"/>
  <c r="L22" s="1"/>
  <c r="J24"/>
  <c r="L24" s="1"/>
  <c r="J26"/>
  <c r="L26" s="1"/>
  <c r="J28"/>
  <c r="L28" s="1"/>
  <c r="J30"/>
  <c r="L30" s="1"/>
  <c r="J32"/>
  <c r="L32" s="1"/>
  <c r="J34"/>
  <c r="L34" s="1"/>
  <c r="J36"/>
  <c r="L36" s="1"/>
  <c r="J17"/>
  <c r="J19"/>
  <c r="J21"/>
  <c r="J25"/>
  <c r="L25" s="1"/>
  <c r="J27"/>
  <c r="L27" s="1"/>
  <c r="J29"/>
  <c r="L29" s="1"/>
  <c r="J31"/>
  <c r="L31" s="1"/>
  <c r="J33"/>
  <c r="L33" s="1"/>
  <c r="J35"/>
  <c r="L35" s="1"/>
  <c r="J37"/>
  <c r="L37" s="1"/>
  <c r="J16"/>
  <c r="H63" i="5"/>
  <c r="F40"/>
  <c r="E13"/>
  <c r="Q11"/>
  <c r="S36"/>
  <c r="Q37"/>
  <c r="R38"/>
  <c r="T20"/>
  <c r="S20" s="1"/>
  <c r="E38"/>
  <c r="T37" s="1"/>
  <c r="Q21"/>
  <c r="G11"/>
  <c r="H27"/>
  <c r="G27" s="1"/>
  <c r="G38" s="1"/>
  <c r="S38" s="1"/>
  <c r="C15" i="96"/>
  <c r="J79" i="84"/>
  <c r="J94"/>
  <c r="G13" i="5" l="1"/>
  <c r="S11"/>
  <c r="R11" s="1"/>
  <c r="T11" s="1"/>
  <c r="F47"/>
  <c r="R40"/>
  <c r="H38"/>
  <c r="Q38"/>
  <c r="T38"/>
  <c r="E40"/>
  <c r="E47" s="1"/>
  <c r="E64" s="1"/>
  <c r="H13"/>
  <c r="H28" i="84"/>
  <c r="G25"/>
  <c r="J26" i="83"/>
  <c r="B16" i="89"/>
  <c r="B17" s="1"/>
  <c r="B18" s="1"/>
  <c r="B19" s="1"/>
  <c r="B20" s="1"/>
  <c r="B21" s="1"/>
  <c r="B22" s="1"/>
  <c r="B23" s="1"/>
  <c r="B24" s="1"/>
  <c r="B25" s="1"/>
  <c r="B26" s="1"/>
  <c r="B27" s="1"/>
  <c r="H59" i="83"/>
  <c r="I59" s="1"/>
  <c r="H45" i="84" l="1"/>
  <c r="H47" s="1"/>
  <c r="I47" i="82"/>
  <c r="Q40" i="5"/>
  <c r="T40"/>
  <c r="F64"/>
  <c r="H64" s="1"/>
  <c r="H47"/>
  <c r="R47"/>
  <c r="G40"/>
  <c r="S13"/>
  <c r="R13" s="1"/>
  <c r="Q64"/>
  <c r="H40"/>
  <c r="Q13" l="1"/>
  <c r="T13"/>
  <c r="Q47"/>
  <c r="T47"/>
  <c r="S40"/>
  <c r="G47"/>
  <c r="V53" i="1"/>
  <c r="N28" i="96" s="1"/>
  <c r="H26" i="83"/>
  <c r="I26" s="1"/>
  <c r="K26" s="1"/>
  <c r="M26" s="1"/>
  <c r="H77" i="84"/>
  <c r="H79" s="1"/>
  <c r="H94" s="1"/>
  <c r="H96" s="1"/>
  <c r="H98" s="1"/>
  <c r="H71"/>
  <c r="O44" i="96" s="1"/>
  <c r="J47" i="82"/>
  <c r="O51" i="96"/>
  <c r="AA76" i="84"/>
  <c r="AA94" s="1"/>
  <c r="J58" i="83"/>
  <c r="J60"/>
  <c r="J61"/>
  <c r="J62"/>
  <c r="H58"/>
  <c r="H60"/>
  <c r="H61"/>
  <c r="H62"/>
  <c r="J64"/>
  <c r="H64"/>
  <c r="I64" s="1"/>
  <c r="J65"/>
  <c r="H65"/>
  <c r="I65" s="1"/>
  <c r="J67"/>
  <c r="H67"/>
  <c r="I67" s="1"/>
  <c r="J16"/>
  <c r="J25"/>
  <c r="J27"/>
  <c r="J31"/>
  <c r="J32"/>
  <c r="J36"/>
  <c r="J37"/>
  <c r="J38"/>
  <c r="J41"/>
  <c r="J42"/>
  <c r="J43"/>
  <c r="H15"/>
  <c r="H16"/>
  <c r="H17"/>
  <c r="H19"/>
  <c r="H24"/>
  <c r="H25"/>
  <c r="I25" s="1"/>
  <c r="H27"/>
  <c r="I27" s="1"/>
  <c r="H31"/>
  <c r="H32"/>
  <c r="I32" s="1"/>
  <c r="H33"/>
  <c r="I33" s="1"/>
  <c r="K33" s="1"/>
  <c r="H36"/>
  <c r="H37"/>
  <c r="I37" s="1"/>
  <c r="H38"/>
  <c r="H41"/>
  <c r="H42"/>
  <c r="H43"/>
  <c r="G20"/>
  <c r="G76" s="1"/>
  <c r="H68"/>
  <c r="I68" s="1"/>
  <c r="K68" s="1"/>
  <c r="M68" s="1"/>
  <c r="G45"/>
  <c r="G77" s="1"/>
  <c r="H82"/>
  <c r="I82" s="1"/>
  <c r="K82" s="1"/>
  <c r="H83"/>
  <c r="I83" s="1"/>
  <c r="K83" s="1"/>
  <c r="M83" s="1"/>
  <c r="H89"/>
  <c r="I89" s="1"/>
  <c r="G51"/>
  <c r="G52" s="1"/>
  <c r="I15"/>
  <c r="K15" s="1"/>
  <c r="I16"/>
  <c r="I17"/>
  <c r="I19"/>
  <c r="I62"/>
  <c r="K62" s="1"/>
  <c r="M62" s="1"/>
  <c r="I36"/>
  <c r="H39"/>
  <c r="G39"/>
  <c r="I38"/>
  <c r="K38" s="1"/>
  <c r="M38" s="1"/>
  <c r="I42"/>
  <c r="I61"/>
  <c r="I60"/>
  <c r="K60" s="1"/>
  <c r="M60" s="1"/>
  <c r="I58"/>
  <c r="K58" s="1"/>
  <c r="M58" s="1"/>
  <c r="I43"/>
  <c r="I41"/>
  <c r="B20"/>
  <c r="A52"/>
  <c r="H66"/>
  <c r="H93"/>
  <c r="H86"/>
  <c r="B76"/>
  <c r="B77" s="1"/>
  <c r="B78" s="1"/>
  <c r="B79" s="1"/>
  <c r="B80" s="1"/>
  <c r="B81" s="1"/>
  <c r="B82" s="1"/>
  <c r="B83" s="1"/>
  <c r="B84" s="1"/>
  <c r="B19" i="84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76"/>
  <c r="B77" s="1"/>
  <c r="B78" s="1"/>
  <c r="B79" s="1"/>
  <c r="K16" i="83" l="1"/>
  <c r="M16" s="1"/>
  <c r="K41"/>
  <c r="K42"/>
  <c r="M42" s="1"/>
  <c r="K36"/>
  <c r="AA79" i="84"/>
  <c r="G47" i="83"/>
  <c r="J39"/>
  <c r="K67"/>
  <c r="M67" s="1"/>
  <c r="J34"/>
  <c r="U53" i="1"/>
  <c r="N27" i="96" s="1"/>
  <c r="G64" i="5"/>
  <c r="S64" s="1"/>
  <c r="R64" s="1"/>
  <c r="S47"/>
  <c r="K61" i="83"/>
  <c r="M61" s="1"/>
  <c r="K64"/>
  <c r="M64" s="1"/>
  <c r="K43"/>
  <c r="M43" s="1"/>
  <c r="G54"/>
  <c r="G72" s="1"/>
  <c r="I44"/>
  <c r="K32"/>
  <c r="M32" s="1"/>
  <c r="J66"/>
  <c r="H63"/>
  <c r="I63" s="1"/>
  <c r="H44"/>
  <c r="G95"/>
  <c r="G97" s="1"/>
  <c r="G99" s="1"/>
  <c r="G101" s="1"/>
  <c r="G79"/>
  <c r="H71"/>
  <c r="K37"/>
  <c r="M37" s="1"/>
  <c r="H28"/>
  <c r="H18"/>
  <c r="H76" s="1"/>
  <c r="K25"/>
  <c r="M25" s="1"/>
  <c r="K27"/>
  <c r="M27" s="1"/>
  <c r="J44"/>
  <c r="H34"/>
  <c r="M82"/>
  <c r="K65"/>
  <c r="M65" s="1"/>
  <c r="I66"/>
  <c r="I39"/>
  <c r="I18"/>
  <c r="I31"/>
  <c r="I24"/>
  <c r="I28" s="1"/>
  <c r="I93"/>
  <c r="K89"/>
  <c r="J45" i="82" l="1"/>
  <c r="H20" i="83"/>
  <c r="I20" s="1"/>
  <c r="H45"/>
  <c r="I45" s="1"/>
  <c r="I77" s="1"/>
  <c r="I71"/>
  <c r="K44"/>
  <c r="K39"/>
  <c r="G19" i="84"/>
  <c r="J19" i="83" s="1"/>
  <c r="M66"/>
  <c r="K31"/>
  <c r="I34"/>
  <c r="K66"/>
  <c r="M89"/>
  <c r="H50" i="84"/>
  <c r="H47" i="83" l="1"/>
  <c r="K19"/>
  <c r="M19" s="1"/>
  <c r="I76"/>
  <c r="I47"/>
  <c r="K34"/>
  <c r="M31"/>
  <c r="H54" i="84"/>
  <c r="I79" i="83" l="1"/>
  <c r="N44" i="96"/>
  <c r="H66" i="82" l="1"/>
  <c r="H67" s="1"/>
  <c r="H73" s="1"/>
  <c r="H75" s="1"/>
  <c r="H77" s="1"/>
  <c r="I17" i="84" l="1"/>
  <c r="I66" i="82"/>
  <c r="I67" s="1"/>
  <c r="I73" l="1"/>
  <c r="I93"/>
  <c r="I96" s="1"/>
  <c r="I18" i="84"/>
  <c r="G17"/>
  <c r="J17" i="83" s="1"/>
  <c r="I20" i="84" l="1"/>
  <c r="G18"/>
  <c r="B18" s="1"/>
  <c r="I75" i="82"/>
  <c r="I77" s="1"/>
  <c r="H93"/>
  <c r="H96" s="1"/>
  <c r="J18" i="83"/>
  <c r="K17"/>
  <c r="H104" i="96"/>
  <c r="J66" i="82" l="1"/>
  <c r="J67" s="1"/>
  <c r="J76" i="83"/>
  <c r="K76" s="1"/>
  <c r="J20"/>
  <c r="I24" i="84"/>
  <c r="I76"/>
  <c r="G20"/>
  <c r="K18" i="83"/>
  <c r="M17"/>
  <c r="R104" i="96"/>
  <c r="R27"/>
  <c r="T27" s="1"/>
  <c r="R28"/>
  <c r="T28" s="1"/>
  <c r="R44"/>
  <c r="I84" i="82" l="1"/>
  <c r="J73"/>
  <c r="G76" i="84"/>
  <c r="G24"/>
  <c r="I28"/>
  <c r="K20" i="83"/>
  <c r="J66" i="96"/>
  <c r="U28"/>
  <c r="C16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U27"/>
  <c r="J75" i="82" l="1"/>
  <c r="J77" s="1"/>
  <c r="H84"/>
  <c r="I45" i="84"/>
  <c r="G28"/>
  <c r="J24" i="83"/>
  <c r="C44" i="96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H96" i="1"/>
  <c r="H98" s="1"/>
  <c r="I59" i="84" l="1"/>
  <c r="I77"/>
  <c r="G45"/>
  <c r="I47"/>
  <c r="G47" s="1"/>
  <c r="J28" i="83"/>
  <c r="J45" s="1"/>
  <c r="K24"/>
  <c r="N18" i="86"/>
  <c r="N20" s="1"/>
  <c r="N22" s="1"/>
  <c r="N23" s="1"/>
  <c r="N25" s="1"/>
  <c r="I63" i="84" l="1"/>
  <c r="G59"/>
  <c r="J59" i="83" s="1"/>
  <c r="K28"/>
  <c r="M24"/>
  <c r="M28" s="1"/>
  <c r="G77" i="84"/>
  <c r="I94"/>
  <c r="I79"/>
  <c r="G79" s="1"/>
  <c r="G94" s="1"/>
  <c r="K45" i="83"/>
  <c r="K47" s="1"/>
  <c r="J47"/>
  <c r="C42" i="96"/>
  <c r="C43" s="1"/>
  <c r="R63" i="5"/>
  <c r="T63" s="1"/>
  <c r="S63"/>
  <c r="R12"/>
  <c r="T12" s="1"/>
  <c r="S12"/>
  <c r="R10"/>
  <c r="T10" s="1"/>
  <c r="S10"/>
  <c r="R55"/>
  <c r="T55" s="1"/>
  <c r="S55"/>
  <c r="R17"/>
  <c r="T17" s="1"/>
  <c r="S17"/>
  <c r="Q17"/>
  <c r="R19"/>
  <c r="T19" s="1"/>
  <c r="S19"/>
  <c r="R25"/>
  <c r="T25" s="1"/>
  <c r="S25"/>
  <c r="R9"/>
  <c r="T9" s="1"/>
  <c r="S9"/>
  <c r="R18"/>
  <c r="T18" s="1"/>
  <c r="S18"/>
  <c r="R30"/>
  <c r="T30" s="1"/>
  <c r="S30"/>
  <c r="R27"/>
  <c r="T27" s="1"/>
  <c r="S27"/>
  <c r="Q27"/>
  <c r="R51"/>
  <c r="T51" s="1"/>
  <c r="S51"/>
  <c r="R31"/>
  <c r="T31" s="1"/>
  <c r="S31"/>
  <c r="R58"/>
  <c r="T58" s="1"/>
  <c r="S58"/>
  <c r="R53"/>
  <c r="T53" s="1"/>
  <c r="S53"/>
  <c r="R54"/>
  <c r="T54" s="1"/>
  <c r="S54"/>
  <c r="G63" i="84" l="1"/>
  <c r="I71"/>
  <c r="K59" i="83"/>
  <c r="M59" s="1"/>
  <c r="J63"/>
  <c r="U74" i="5"/>
  <c r="I95" i="1"/>
  <c r="J95" s="1"/>
  <c r="AC19"/>
  <c r="AC46" s="1"/>
  <c r="I95" i="84"/>
  <c r="J95" s="1"/>
  <c r="P97"/>
  <c r="P98"/>
  <c r="P50" s="1"/>
  <c r="P54" s="1"/>
  <c r="N52" i="96" s="1"/>
  <c r="R52" s="1"/>
  <c r="H49" i="1"/>
  <c r="I96"/>
  <c r="I97"/>
  <c r="I96" i="84"/>
  <c r="I98" s="1"/>
  <c r="I50" s="1"/>
  <c r="I54" s="1"/>
  <c r="N45" i="96" s="1"/>
  <c r="R45" s="1"/>
  <c r="I97" i="84"/>
  <c r="B76" i="1"/>
  <c r="G19"/>
  <c r="G46" s="1"/>
  <c r="H53"/>
  <c r="N14" i="96" s="1"/>
  <c r="R14" s="1"/>
  <c r="K78" i="83"/>
  <c r="I84"/>
  <c r="K84"/>
  <c r="K86" s="1"/>
  <c r="K92"/>
  <c r="K93" s="1"/>
  <c r="I100"/>
  <c r="K100"/>
  <c r="I86"/>
  <c r="I95" s="1"/>
  <c r="I97" s="1"/>
  <c r="M84"/>
  <c r="M86" s="1"/>
  <c r="B55" i="84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81"/>
  <c r="B82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85" i="83"/>
  <c r="B86"/>
  <c r="B87" s="1"/>
  <c r="B88" s="1"/>
  <c r="B89" s="1"/>
  <c r="B90" s="1"/>
  <c r="B92" s="1"/>
  <c r="B93" s="1"/>
  <c r="B94" s="1"/>
  <c r="B95" s="1"/>
  <c r="B96" s="1"/>
  <c r="B97" s="1"/>
  <c r="B100" s="1"/>
  <c r="B101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20" i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7"/>
  <c r="B78" s="1"/>
  <c r="B79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M100" i="83"/>
  <c r="M78"/>
  <c r="F13" i="75"/>
  <c r="G13"/>
  <c r="H13"/>
  <c r="F40"/>
  <c r="F43"/>
  <c r="E43" s="1"/>
  <c r="G40"/>
  <c r="G43"/>
  <c r="F47"/>
  <c r="G47"/>
  <c r="B28" i="8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H40" i="75"/>
  <c r="AC76" i="1" l="1"/>
  <c r="J71" i="83"/>
  <c r="K63"/>
  <c r="O45" i="96"/>
  <c r="G71" i="84"/>
  <c r="I98" i="1"/>
  <c r="I49" s="1"/>
  <c r="I53" s="1"/>
  <c r="N15" i="96" s="1"/>
  <c r="R15" s="1"/>
  <c r="P52"/>
  <c r="P45"/>
  <c r="E47" i="75"/>
  <c r="H47" s="1"/>
  <c r="H43"/>
  <c r="I99" i="83"/>
  <c r="I101"/>
  <c r="M92"/>
  <c r="M93" s="1"/>
  <c r="Q95" i="84"/>
  <c r="J96"/>
  <c r="K95"/>
  <c r="J97"/>
  <c r="J96" i="1"/>
  <c r="K95"/>
  <c r="J97"/>
  <c r="AC79" l="1"/>
  <c r="AC94" s="1"/>
  <c r="G76"/>
  <c r="O66" i="96"/>
  <c r="O68" s="1"/>
  <c r="V89" s="1"/>
  <c r="Q45"/>
  <c r="M63" i="83"/>
  <c r="M71" s="1"/>
  <c r="K71"/>
  <c r="F17" i="89" s="1"/>
  <c r="L95" i="84"/>
  <c r="R95"/>
  <c r="K97"/>
  <c r="K96"/>
  <c r="K98" s="1"/>
  <c r="K50" s="1"/>
  <c r="K54" s="1"/>
  <c r="N47" i="96" s="1"/>
  <c r="R47" s="1"/>
  <c r="Q97" i="84"/>
  <c r="Q96"/>
  <c r="Q98" s="1"/>
  <c r="Q50" s="1"/>
  <c r="Q54" s="1"/>
  <c r="N53" i="96" s="1"/>
  <c r="K96" i="1"/>
  <c r="L95"/>
  <c r="K97"/>
  <c r="J98" i="84"/>
  <c r="J50" s="1"/>
  <c r="J98" i="1"/>
  <c r="J49" s="1"/>
  <c r="A17" i="89" l="1"/>
  <c r="K17"/>
  <c r="K21" s="1"/>
  <c r="G17" i="87"/>
  <c r="M17" s="1"/>
  <c r="M19" s="1"/>
  <c r="M23" s="1"/>
  <c r="M27" s="1"/>
  <c r="O68" i="83"/>
  <c r="O70" s="1"/>
  <c r="R53" i="96"/>
  <c r="P53"/>
  <c r="R97" i="84"/>
  <c r="S95"/>
  <c r="R96"/>
  <c r="R98" s="1"/>
  <c r="K98" i="1"/>
  <c r="K49" s="1"/>
  <c r="K53" s="1"/>
  <c r="N17" i="96" s="1"/>
  <c r="R17" s="1"/>
  <c r="J53" i="1"/>
  <c r="N16" i="96" s="1"/>
  <c r="J54" i="84"/>
  <c r="L96" i="1"/>
  <c r="M95"/>
  <c r="L97"/>
  <c r="L96" i="84"/>
  <c r="M95"/>
  <c r="L97"/>
  <c r="R50" l="1"/>
  <c r="R54" s="1"/>
  <c r="N54" i="96" s="1"/>
  <c r="R54" s="1"/>
  <c r="L98" i="84"/>
  <c r="L50" s="1"/>
  <c r="N46" i="96"/>
  <c r="R16"/>
  <c r="T95" i="84"/>
  <c r="S97"/>
  <c r="S96"/>
  <c r="S98" s="1"/>
  <c r="S50" s="1"/>
  <c r="S54" s="1"/>
  <c r="N55" i="96" s="1"/>
  <c r="R55" s="1"/>
  <c r="L98" i="1"/>
  <c r="L49" s="1"/>
  <c r="N95" i="84"/>
  <c r="M97"/>
  <c r="M96"/>
  <c r="M98" s="1"/>
  <c r="M51" s="1"/>
  <c r="M96" i="1"/>
  <c r="N95"/>
  <c r="M97"/>
  <c r="M54" i="84" l="1"/>
  <c r="N49" i="96" s="1"/>
  <c r="R49" s="1"/>
  <c r="N96" i="84"/>
  <c r="O95"/>
  <c r="N97"/>
  <c r="U55" i="96"/>
  <c r="T97" i="84"/>
  <c r="U95"/>
  <c r="T96"/>
  <c r="T98" s="1"/>
  <c r="T50" s="1"/>
  <c r="T54" s="1"/>
  <c r="N56" i="96" s="1"/>
  <c r="R56" s="1"/>
  <c r="L54" i="84"/>
  <c r="N96" i="1"/>
  <c r="O95"/>
  <c r="N97"/>
  <c r="L53"/>
  <c r="N18" i="96" s="1"/>
  <c r="R46"/>
  <c r="M98" i="1"/>
  <c r="M49" s="1"/>
  <c r="M53" s="1"/>
  <c r="N19" i="96" s="1"/>
  <c r="R19" s="1"/>
  <c r="P49" l="1"/>
  <c r="G50" i="1"/>
  <c r="H51" i="83" s="1"/>
  <c r="I51" s="1"/>
  <c r="N50" i="1"/>
  <c r="O96"/>
  <c r="P95"/>
  <c r="O97"/>
  <c r="U56" i="96"/>
  <c r="N98" i="84"/>
  <c r="N51" s="1"/>
  <c r="R18" i="96"/>
  <c r="N48"/>
  <c r="U96" i="84"/>
  <c r="U97"/>
  <c r="V95"/>
  <c r="O97"/>
  <c r="O98" s="1"/>
  <c r="O51" s="1"/>
  <c r="N98" i="1"/>
  <c r="N53" s="1"/>
  <c r="O54" i="84" l="1"/>
  <c r="N51" i="96" s="1"/>
  <c r="R51" s="1"/>
  <c r="G51" i="84"/>
  <c r="J51" i="83" s="1"/>
  <c r="K51" s="1"/>
  <c r="M51" s="1"/>
  <c r="N20" i="96"/>
  <c r="R20" s="1"/>
  <c r="V97" i="84"/>
  <c r="V96"/>
  <c r="W95"/>
  <c r="U98"/>
  <c r="U50" s="1"/>
  <c r="U54" s="1"/>
  <c r="N54"/>
  <c r="O98" i="1"/>
  <c r="O49" s="1"/>
  <c r="R48" i="96"/>
  <c r="P96" i="1"/>
  <c r="Q95"/>
  <c r="P97"/>
  <c r="O53" l="1"/>
  <c r="N21" i="96" s="1"/>
  <c r="R21" s="1"/>
  <c r="N50"/>
  <c r="W96" i="84"/>
  <c r="X95"/>
  <c r="W97"/>
  <c r="P98" i="1"/>
  <c r="P49" s="1"/>
  <c r="P53" s="1"/>
  <c r="N22" i="96" s="1"/>
  <c r="Q97" i="1"/>
  <c r="Q96"/>
  <c r="R95"/>
  <c r="R57" i="96"/>
  <c r="P57"/>
  <c r="V98" i="84"/>
  <c r="V50" s="1"/>
  <c r="V54" s="1"/>
  <c r="R65" i="96" l="1"/>
  <c r="N58"/>
  <c r="R58" s="1"/>
  <c r="R22"/>
  <c r="W98" i="84"/>
  <c r="W50" s="1"/>
  <c r="W54" s="1"/>
  <c r="R50" i="96"/>
  <c r="P50"/>
  <c r="Q98" i="1"/>
  <c r="Q49" s="1"/>
  <c r="Q53" s="1"/>
  <c r="R96"/>
  <c r="S95"/>
  <c r="R97"/>
  <c r="X97" i="84"/>
  <c r="X96"/>
  <c r="X98" s="1"/>
  <c r="X50" s="1"/>
  <c r="X54" s="1"/>
  <c r="N60" i="96" s="1"/>
  <c r="R60" s="1"/>
  <c r="Y95" i="84"/>
  <c r="AA95"/>
  <c r="N66" i="96" l="1"/>
  <c r="N23"/>
  <c r="AA96" i="84"/>
  <c r="AA97"/>
  <c r="Y96"/>
  <c r="Z95"/>
  <c r="Y97"/>
  <c r="T22" i="96"/>
  <c r="U22" s="1"/>
  <c r="R98" i="1"/>
  <c r="R49" s="1"/>
  <c r="R53" s="1"/>
  <c r="S97"/>
  <c r="S96"/>
  <c r="T95"/>
  <c r="R66" i="96"/>
  <c r="R23" l="1"/>
  <c r="T23" s="1"/>
  <c r="G23"/>
  <c r="N24"/>
  <c r="R24" s="1"/>
  <c r="T24" s="1"/>
  <c r="U24" s="1"/>
  <c r="AA98" i="84"/>
  <c r="AA50" s="1"/>
  <c r="S98" i="1"/>
  <c r="S49" s="1"/>
  <c r="S53" s="1"/>
  <c r="Y98" i="84"/>
  <c r="Y50" s="1"/>
  <c r="Y54" s="1"/>
  <c r="T96" i="1"/>
  <c r="U95"/>
  <c r="T97"/>
  <c r="Z97" i="84"/>
  <c r="Z96"/>
  <c r="G97"/>
  <c r="G39" i="96" l="1"/>
  <c r="G41"/>
  <c r="G68" s="1"/>
  <c r="J23"/>
  <c r="N25"/>
  <c r="R25" s="1"/>
  <c r="T25" s="1"/>
  <c r="U25" s="1"/>
  <c r="AA54" i="84"/>
  <c r="Z98"/>
  <c r="Z50" s="1"/>
  <c r="Z54" s="1"/>
  <c r="T98" i="1"/>
  <c r="T49" s="1"/>
  <c r="T53" s="1"/>
  <c r="V95"/>
  <c r="U97"/>
  <c r="U96"/>
  <c r="G96" i="84"/>
  <c r="L23" i="96" l="1"/>
  <c r="U23" s="1"/>
  <c r="J39"/>
  <c r="N26"/>
  <c r="R26" s="1"/>
  <c r="T26" s="1"/>
  <c r="U26" s="1"/>
  <c r="G54" i="84"/>
  <c r="G98"/>
  <c r="G101"/>
  <c r="W95" i="1"/>
  <c r="V96"/>
  <c r="V97"/>
  <c r="U98"/>
  <c r="G50" i="84"/>
  <c r="J50" i="83" s="1"/>
  <c r="V98" i="1" l="1"/>
  <c r="J52" i="83"/>
  <c r="J54" s="1"/>
  <c r="J77"/>
  <c r="W97" i="1"/>
  <c r="W96"/>
  <c r="X95"/>
  <c r="W98" l="1"/>
  <c r="W49" s="1"/>
  <c r="W53" s="1"/>
  <c r="N29" i="96" s="1"/>
  <c r="R29" s="1"/>
  <c r="T29" s="1"/>
  <c r="U29" s="1"/>
  <c r="X96" i="1"/>
  <c r="Y95"/>
  <c r="X97"/>
  <c r="K77" i="83"/>
  <c r="J95"/>
  <c r="J97" s="1"/>
  <c r="J101" s="1"/>
  <c r="J79"/>
  <c r="X98" i="1" l="1"/>
  <c r="X49" s="1"/>
  <c r="X53" s="1"/>
  <c r="K79" i="83"/>
  <c r="K95"/>
  <c r="K97" s="1"/>
  <c r="Y97" i="1"/>
  <c r="Y96"/>
  <c r="Y98" s="1"/>
  <c r="Y49" s="1"/>
  <c r="Y53" s="1"/>
  <c r="Z95"/>
  <c r="N30" i="96" l="1"/>
  <c r="R30" s="1"/>
  <c r="T30" s="1"/>
  <c r="U30" s="1"/>
  <c r="N31"/>
  <c r="R31" s="1"/>
  <c r="T31" s="1"/>
  <c r="U31" s="1"/>
  <c r="K101" i="83"/>
  <c r="K99"/>
  <c r="Z96" i="1"/>
  <c r="AA95"/>
  <c r="Z97"/>
  <c r="AA97" l="1"/>
  <c r="AA96"/>
  <c r="AB95"/>
  <c r="Z98"/>
  <c r="Z49" s="1"/>
  <c r="Z53" s="1"/>
  <c r="N32" i="96" l="1"/>
  <c r="R32" s="1"/>
  <c r="T32" s="1"/>
  <c r="U32" s="1"/>
  <c r="AB96" i="1"/>
  <c r="AB97"/>
  <c r="AC95"/>
  <c r="AA98"/>
  <c r="AA49" s="1"/>
  <c r="AA53" s="1"/>
  <c r="N33" i="96" l="1"/>
  <c r="R33" s="1"/>
  <c r="T33" s="1"/>
  <c r="U33" s="1"/>
  <c r="AD95" i="1"/>
  <c r="AC97"/>
  <c r="AC96"/>
  <c r="AB98"/>
  <c r="AB49" s="1"/>
  <c r="AB53" s="1"/>
  <c r="N34" i="96" l="1"/>
  <c r="R34" s="1"/>
  <c r="T34" s="1"/>
  <c r="U34" s="1"/>
  <c r="AE95" i="1"/>
  <c r="AD97"/>
  <c r="AC98"/>
  <c r="AC49" s="1"/>
  <c r="AC53" s="1"/>
  <c r="N35" i="96" l="1"/>
  <c r="R35" s="1"/>
  <c r="T35" s="1"/>
  <c r="U35" s="1"/>
  <c r="X35" s="1"/>
  <c r="X36" s="1"/>
  <c r="AE96" i="1"/>
  <c r="AE98" s="1"/>
  <c r="AE49" s="1"/>
  <c r="AE53" s="1"/>
  <c r="N37" i="96" s="1"/>
  <c r="AF95" i="1"/>
  <c r="AF97" l="1"/>
  <c r="AF96"/>
  <c r="AG95"/>
  <c r="R37" i="96"/>
  <c r="AF98" i="1" l="1"/>
  <c r="AF49" s="1"/>
  <c r="AF53"/>
  <c r="N38" i="96" s="1"/>
  <c r="R38" s="1"/>
  <c r="F16" i="85" l="1"/>
  <c r="H16" s="1"/>
  <c r="H19" s="1"/>
  <c r="O76" i="96" l="1"/>
  <c r="F19" i="89"/>
  <c r="G25" i="85"/>
  <c r="G27" s="1"/>
  <c r="J86" i="82"/>
  <c r="O79" i="96" l="1"/>
  <c r="G76"/>
  <c r="U76"/>
  <c r="H90" i="82"/>
  <c r="I90"/>
  <c r="G18" i="87"/>
  <c r="G19" s="1"/>
  <c r="H86" i="82"/>
  <c r="F21" i="89"/>
  <c r="U79" i="96" l="1"/>
  <c r="G79"/>
  <c r="L76"/>
  <c r="L79" s="1"/>
  <c r="G21" i="89"/>
  <c r="L21"/>
  <c r="L22" s="1"/>
  <c r="I86" i="82"/>
  <c r="I88" s="1"/>
  <c r="I99" s="1"/>
  <c r="I103" s="1"/>
  <c r="I105" s="1"/>
  <c r="H88"/>
  <c r="H99" s="1"/>
  <c r="H103" s="1"/>
  <c r="H105" s="1"/>
  <c r="V87" i="96" l="1"/>
  <c r="J12" s="1"/>
  <c r="S104"/>
  <c r="T104" s="1"/>
  <c r="S37"/>
  <c r="T37" s="1"/>
  <c r="U37" s="1"/>
  <c r="S59"/>
  <c r="T59" s="1"/>
  <c r="U59" s="1"/>
  <c r="S62"/>
  <c r="T62" s="1"/>
  <c r="U62" s="1"/>
  <c r="S63"/>
  <c r="T63" s="1"/>
  <c r="U63" s="1"/>
  <c r="S60"/>
  <c r="T60" s="1"/>
  <c r="U60" s="1"/>
  <c r="S47"/>
  <c r="T47" s="1"/>
  <c r="S53"/>
  <c r="T53" s="1"/>
  <c r="S49"/>
  <c r="T49" s="1"/>
  <c r="S46"/>
  <c r="T46" s="1"/>
  <c r="S14"/>
  <c r="S21"/>
  <c r="T21" s="1"/>
  <c r="S18"/>
  <c r="T18" s="1"/>
  <c r="S20"/>
  <c r="T20" s="1"/>
  <c r="S16"/>
  <c r="T16" s="1"/>
  <c r="K45"/>
  <c r="K55"/>
  <c r="L55" s="1"/>
  <c r="K54"/>
  <c r="L54" s="1"/>
  <c r="K46"/>
  <c r="L46" s="1"/>
  <c r="K56"/>
  <c r="L56" s="1"/>
  <c r="K48"/>
  <c r="L48" s="1"/>
  <c r="K17"/>
  <c r="L17" s="1"/>
  <c r="K21"/>
  <c r="L21" s="1"/>
  <c r="K18"/>
  <c r="L18" s="1"/>
  <c r="K14"/>
  <c r="S61"/>
  <c r="T61" s="1"/>
  <c r="U61" s="1"/>
  <c r="S58"/>
  <c r="T58" s="1"/>
  <c r="U58" s="1"/>
  <c r="S57"/>
  <c r="T57" s="1"/>
  <c r="U57" s="1"/>
  <c r="S56"/>
  <c r="T56" s="1"/>
  <c r="S38"/>
  <c r="T38" s="1"/>
  <c r="U38" s="1"/>
  <c r="S52"/>
  <c r="T52" s="1"/>
  <c r="S50"/>
  <c r="T50" s="1"/>
  <c r="S19"/>
  <c r="T19" s="1"/>
  <c r="S15"/>
  <c r="T15" s="1"/>
  <c r="S48"/>
  <c r="T48" s="1"/>
  <c r="U48" s="1"/>
  <c r="S55"/>
  <c r="T55" s="1"/>
  <c r="S17"/>
  <c r="T17" s="1"/>
  <c r="U17" s="1"/>
  <c r="S54"/>
  <c r="T54" s="1"/>
  <c r="U54" s="1"/>
  <c r="K49"/>
  <c r="L49" s="1"/>
  <c r="K53"/>
  <c r="L53" s="1"/>
  <c r="K47"/>
  <c r="L47" s="1"/>
  <c r="K50"/>
  <c r="L50" s="1"/>
  <c r="K51"/>
  <c r="L51" s="1"/>
  <c r="K52"/>
  <c r="L52" s="1"/>
  <c r="K15"/>
  <c r="L15" s="1"/>
  <c r="K19"/>
  <c r="L19" s="1"/>
  <c r="K16"/>
  <c r="L16" s="1"/>
  <c r="K20"/>
  <c r="L20" s="1"/>
  <c r="S44"/>
  <c r="S51"/>
  <c r="T51" s="1"/>
  <c r="U51" s="1"/>
  <c r="K104"/>
  <c r="L104" s="1"/>
  <c r="S45"/>
  <c r="T45" s="1"/>
  <c r="S65"/>
  <c r="T65" s="1"/>
  <c r="U65" s="1"/>
  <c r="V86"/>
  <c r="V88" s="1"/>
  <c r="V90" s="1"/>
  <c r="V92" s="1"/>
  <c r="S39"/>
  <c r="S41"/>
  <c r="T14"/>
  <c r="G23" i="89"/>
  <c r="J103" i="82"/>
  <c r="J105"/>
  <c r="L45" i="96" l="1"/>
  <c r="L66" s="1"/>
  <c r="K66"/>
  <c r="J41"/>
  <c r="J68" s="1"/>
  <c r="R12"/>
  <c r="T12" s="1"/>
  <c r="L12"/>
  <c r="U45"/>
  <c r="W45" s="1"/>
  <c r="U15"/>
  <c r="U50"/>
  <c r="U20"/>
  <c r="U21"/>
  <c r="U46"/>
  <c r="U53"/>
  <c r="T44"/>
  <c r="S66"/>
  <c r="S68" s="1"/>
  <c r="K39"/>
  <c r="L14"/>
  <c r="K41"/>
  <c r="U19"/>
  <c r="U52"/>
  <c r="U16"/>
  <c r="U18"/>
  <c r="U49"/>
  <c r="U47"/>
  <c r="U104"/>
  <c r="W104" s="1"/>
  <c r="G27" i="89"/>
  <c r="AD78" i="1" s="1"/>
  <c r="T66" i="96" l="1"/>
  <c r="U44"/>
  <c r="U66" s="1"/>
  <c r="L41"/>
  <c r="L68" s="1"/>
  <c r="L39"/>
  <c r="U14"/>
  <c r="K68"/>
  <c r="G29" i="89"/>
  <c r="G78" i="1"/>
  <c r="G79" s="1"/>
  <c r="G94" s="1"/>
  <c r="G96" s="1"/>
  <c r="G98" s="1"/>
  <c r="AD79"/>
  <c r="AD94" s="1"/>
  <c r="AD96" s="1"/>
  <c r="AD98" s="1"/>
  <c r="AD49" s="1"/>
  <c r="G49" l="1"/>
  <c r="H50" i="83" s="1"/>
  <c r="AD53" i="1"/>
  <c r="N36" i="96" s="1"/>
  <c r="N39" l="1"/>
  <c r="N41"/>
  <c r="N68" s="1"/>
  <c r="G53" i="1"/>
  <c r="O50" i="83"/>
  <c r="R36" i="96"/>
  <c r="R39" l="1"/>
  <c r="R41"/>
  <c r="R68" s="1"/>
  <c r="I50" i="83"/>
  <c r="H52"/>
  <c r="H54" s="1"/>
  <c r="I54" s="1"/>
  <c r="H77"/>
  <c r="T36" i="96"/>
  <c r="T39" l="1"/>
  <c r="T41"/>
  <c r="T68" s="1"/>
  <c r="U36"/>
  <c r="H79" i="83"/>
  <c r="H95"/>
  <c r="H97" s="1"/>
  <c r="H101" s="1"/>
  <c r="K50"/>
  <c r="K52" s="1"/>
  <c r="I52"/>
  <c r="K54"/>
  <c r="I72"/>
  <c r="U39" i="96" l="1"/>
  <c r="U68" s="1"/>
  <c r="G21" i="87"/>
  <c r="G23" s="1"/>
  <c r="K72" i="83"/>
  <c r="K23" i="87" l="1"/>
  <c r="G27"/>
  <c r="J16" i="85" l="1"/>
  <c r="J18" s="1"/>
  <c r="L15" i="83"/>
  <c r="G30" i="87"/>
  <c r="L13" i="86"/>
  <c r="L3" s="1"/>
  <c r="L7" l="1"/>
  <c r="M3"/>
  <c r="L15"/>
  <c r="L17"/>
  <c r="L36" i="83" s="1"/>
  <c r="L16" i="86"/>
  <c r="L33" i="83" s="1"/>
  <c r="L12"/>
  <c r="O12" s="1"/>
  <c r="O15"/>
  <c r="M15"/>
  <c r="L18"/>
  <c r="X69" i="96"/>
  <c r="T69" s="1"/>
  <c r="N3" i="86" l="1"/>
  <c r="N7" s="1"/>
  <c r="M5"/>
  <c r="M7" s="1"/>
  <c r="M18" i="83"/>
  <c r="L20"/>
  <c r="M20" s="1"/>
  <c r="L76"/>
  <c r="L41"/>
  <c r="L18" i="86"/>
  <c r="L20" s="1"/>
  <c r="L22" s="1"/>
  <c r="U69" i="96"/>
  <c r="U70" s="1"/>
  <c r="T70"/>
  <c r="M33" i="83"/>
  <c r="M34" s="1"/>
  <c r="L34"/>
  <c r="M36"/>
  <c r="M39" s="1"/>
  <c r="L39"/>
  <c r="L50" l="1"/>
  <c r="L23" i="86"/>
  <c r="L25" s="1"/>
  <c r="M76" i="83"/>
  <c r="M41"/>
  <c r="M44" s="1"/>
  <c r="M45" s="1"/>
  <c r="M47" s="1"/>
  <c r="L44"/>
  <c r="L45" s="1"/>
  <c r="L47" l="1"/>
  <c r="L77"/>
  <c r="M50"/>
  <c r="M52" s="1"/>
  <c r="L52" s="1"/>
  <c r="M77" l="1"/>
  <c r="L95"/>
  <c r="L97" s="1"/>
  <c r="L101" s="1"/>
  <c r="L79"/>
  <c r="M54"/>
  <c r="M72" s="1"/>
  <c r="L54"/>
  <c r="M95" l="1"/>
  <c r="M97" s="1"/>
  <c r="M79"/>
  <c r="M101" l="1"/>
  <c r="M99"/>
</calcChain>
</file>

<file path=xl/comments1.xml><?xml version="1.0" encoding="utf-8"?>
<comments xmlns="http://schemas.openxmlformats.org/spreadsheetml/2006/main">
  <authors>
    <author>dkermode</author>
  </authors>
  <commentList>
    <comment ref="AE36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Errata correction</t>
        </r>
      </text>
    </comment>
    <comment ref="AF40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Corrected From Rebuttal EMA-4T Page 31 Line 7 </t>
        </r>
      </text>
    </comment>
    <comment ref="AE67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Errata correction
</t>
        </r>
      </text>
    </comment>
  </commentList>
</comments>
</file>

<file path=xl/comments2.xml><?xml version="1.0" encoding="utf-8"?>
<comments xmlns="http://schemas.openxmlformats.org/spreadsheetml/2006/main">
  <authors>
    <author>dkermode</author>
  </authors>
  <commentList>
    <comment ref="O26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Defelice DBD-6
</t>
        </r>
      </text>
    </comment>
    <comment ref="O27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Defelice DBD-6</t>
        </r>
      </text>
    </comment>
    <comment ref="O59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Defelice DBD-6</t>
        </r>
      </text>
    </comment>
  </commentList>
</comments>
</file>

<file path=xl/comments3.xml><?xml version="1.0" encoding="utf-8"?>
<comments xmlns="http://schemas.openxmlformats.org/spreadsheetml/2006/main">
  <authors>
    <author>dkermode</author>
  </authors>
  <commentList>
    <comment ref="H15" authorId="0">
      <text>
        <r>
          <rPr>
            <b/>
            <sz val="8"/>
            <color indexed="81"/>
            <rFont val="Tahoma"/>
            <charset val="1"/>
          </rPr>
          <t>dkermode
EMA-6</t>
        </r>
      </text>
    </comment>
    <comment ref="H17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EMA-6</t>
        </r>
      </text>
    </comment>
  </commentList>
</comments>
</file>

<file path=xl/comments4.xml><?xml version="1.0" encoding="utf-8"?>
<comments xmlns="http://schemas.openxmlformats.org/spreadsheetml/2006/main">
  <authors>
    <author>dkermode</author>
  </authors>
  <commentList>
    <comment ref="H13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consistent with Knox testimony page 8 line 6-12</t>
        </r>
      </text>
    </comment>
    <comment ref="J13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errata - added transmission plant</t>
        </r>
      </text>
    </comment>
    <comment ref="K13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added acc depreciation related to transmission plant
</t>
        </r>
      </text>
    </comment>
    <comment ref="L13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removed deferred tax not in "per results"</t>
        </r>
      </text>
    </comment>
    <comment ref="L20" authorId="0">
      <text>
        <r>
          <rPr>
            <b/>
            <sz val="8"/>
            <color indexed="81"/>
            <rFont val="Tahoma"/>
            <charset val="1"/>
          </rPr>
          <t xml:space="preserve">tara knox page 9 line 7-11
</t>
        </r>
      </text>
    </comment>
    <comment ref="H51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Knox testimony pg 8 line 15-19</t>
        </r>
      </text>
    </comment>
    <comment ref="L52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knox testimony page 8 line 12-15</t>
        </r>
      </text>
    </comment>
    <comment ref="J53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Tara Knox Pg 9 line 21 to pg 10 line 2</t>
        </r>
      </text>
    </comment>
    <comment ref="K53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Tara Knox Pg 9 line 21 to pg 10 line 2</t>
        </r>
      </text>
    </comment>
    <comment ref="L53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Tara Knox Pg 9 line 21 to pg 10 line 2</t>
        </r>
      </text>
    </comment>
    <comment ref="I54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knox testimony page 8 lines 20 ending page 9 line 2</t>
        </r>
      </text>
    </comment>
    <comment ref="G69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Schoenbeck Workpapers</t>
        </r>
      </text>
    </comment>
  </commentList>
</comments>
</file>

<file path=xl/comments5.xml><?xml version="1.0" encoding="utf-8"?>
<comments xmlns="http://schemas.openxmlformats.org/spreadsheetml/2006/main">
  <authors>
    <author>rzk7kq</author>
  </authors>
  <commentList>
    <comment ref="F86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of $22, moved to General</t>
        </r>
      </text>
    </comment>
    <comment ref="K86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of $22, moved to General</t>
        </r>
      </text>
    </comment>
    <comment ref="N86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of $22, moved to General</t>
        </r>
      </text>
    </comment>
    <comment ref="F99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from Transmission Depr. of $22, moved to General</t>
        </r>
      </text>
    </comment>
    <comment ref="K99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from Transmission Depr. of $22, moved to General</t>
        </r>
      </text>
    </comment>
    <comment ref="N99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from Transmission Depr. of $22, moved to General</t>
        </r>
      </text>
    </comment>
  </commentList>
</comments>
</file>

<file path=xl/sharedStrings.xml><?xml version="1.0" encoding="utf-8"?>
<sst xmlns="http://schemas.openxmlformats.org/spreadsheetml/2006/main" count="1149" uniqueCount="655">
  <si>
    <t>(000'S OF DOLLARS)</t>
  </si>
  <si>
    <t xml:space="preserve">Deferred </t>
  </si>
  <si>
    <t>Colstrip 3</t>
  </si>
  <si>
    <t>Colstrip</t>
  </si>
  <si>
    <t>Kettle</t>
  </si>
  <si>
    <t>Settlement</t>
  </si>
  <si>
    <t>Eliminate</t>
  </si>
  <si>
    <t>Injuries</t>
  </si>
  <si>
    <t>Restate</t>
  </si>
  <si>
    <t>Office Space</t>
  </si>
  <si>
    <t>Pro Forma</t>
  </si>
  <si>
    <t>Line</t>
  </si>
  <si>
    <t>FIT</t>
  </si>
  <si>
    <t>on Office</t>
  </si>
  <si>
    <t>AFUDC</t>
  </si>
  <si>
    <t>Common</t>
  </si>
  <si>
    <t>Falls</t>
  </si>
  <si>
    <t>Customer</t>
  </si>
  <si>
    <t>Exchange</t>
  </si>
  <si>
    <t>Power</t>
  </si>
  <si>
    <t>B &amp; O</t>
  </si>
  <si>
    <t>Property</t>
  </si>
  <si>
    <t>Uncollect.</t>
  </si>
  <si>
    <t>Regulatory</t>
  </si>
  <si>
    <t xml:space="preserve">and </t>
  </si>
  <si>
    <t>Debt</t>
  </si>
  <si>
    <t>A/R</t>
  </si>
  <si>
    <t>Charges to</t>
  </si>
  <si>
    <t>Restated</t>
  </si>
  <si>
    <t>No.</t>
  </si>
  <si>
    <t>DESCRIPTION</t>
  </si>
  <si>
    <t>Rate Base</t>
  </si>
  <si>
    <t>Building</t>
  </si>
  <si>
    <t>Elimination</t>
  </si>
  <si>
    <t>Disallow.</t>
  </si>
  <si>
    <t>Advances</t>
  </si>
  <si>
    <t>Adjustment</t>
  </si>
  <si>
    <t>Supply</t>
  </si>
  <si>
    <t>Taxes</t>
  </si>
  <si>
    <t>Tax</t>
  </si>
  <si>
    <t>Expense</t>
  </si>
  <si>
    <t>Damages</t>
  </si>
  <si>
    <t xml:space="preserve">FIT </t>
  </si>
  <si>
    <t>Interest</t>
  </si>
  <si>
    <t>Revenues</t>
  </si>
  <si>
    <t>Expenses</t>
  </si>
  <si>
    <t>REVENUES</t>
  </si>
  <si>
    <t>Total General Business</t>
  </si>
  <si>
    <t>Interdepartmental Sales</t>
  </si>
  <si>
    <t>Sales for Resale</t>
  </si>
  <si>
    <t>Other Revenue</t>
  </si>
  <si>
    <t>EXPENSES</t>
  </si>
  <si>
    <t>Production and Transmission</t>
  </si>
  <si>
    <t>Purchased Power</t>
  </si>
  <si>
    <t>Distribution</t>
  </si>
  <si>
    <t>Depreciation</t>
  </si>
  <si>
    <t>Customer Accounting</t>
  </si>
  <si>
    <t>Customer Service &amp; Information</t>
  </si>
  <si>
    <t>Administrative &amp; General</t>
  </si>
  <si>
    <t>Total Electric Expenses</t>
  </si>
  <si>
    <t>SETTLEMENT EXCHANGE POWER</t>
  </si>
  <si>
    <t>NET OPERATING INCOME</t>
  </si>
  <si>
    <t>RATE BASE</t>
  </si>
  <si>
    <t>PLANT IN SERVICE</t>
  </si>
  <si>
    <t>Transmission</t>
  </si>
  <si>
    <t>ACCUMULATED DEPRECIATION</t>
  </si>
  <si>
    <t>ACCUM. PROVISION FOR AMORTIZATION</t>
  </si>
  <si>
    <t>GAIN ON SALE OF BUILDING</t>
  </si>
  <si>
    <t>DEFERRED TAXES</t>
  </si>
  <si>
    <t>TOTAL RATE BASE</t>
  </si>
  <si>
    <t>RATE OF RETURN</t>
  </si>
  <si>
    <t>Idaho</t>
  </si>
  <si>
    <t>Description</t>
  </si>
  <si>
    <t xml:space="preserve">     Restated Total</t>
  </si>
  <si>
    <t>ELECTRIC ADJUSTMENT SUMMARY</t>
  </si>
  <si>
    <t>OPERATIONS REPORTS</t>
  </si>
  <si>
    <t>ELECTRIC</t>
  </si>
  <si>
    <t xml:space="preserve"> No.</t>
  </si>
  <si>
    <t>System</t>
  </si>
  <si>
    <t>Washington</t>
  </si>
  <si>
    <t>Check</t>
  </si>
  <si>
    <t>Sales For Resale</t>
  </si>
  <si>
    <t xml:space="preserve">   Total Sales of Electricity</t>
  </si>
  <si>
    <t xml:space="preserve">   Total Electric Revenue</t>
  </si>
  <si>
    <t xml:space="preserve">   Operating Expenses</t>
  </si>
  <si>
    <t xml:space="preserve">   Purchased Power</t>
  </si>
  <si>
    <t xml:space="preserve">   Depreciation and Amortization</t>
  </si>
  <si>
    <t xml:space="preserve">   Taxes</t>
  </si>
  <si>
    <t xml:space="preserve">      Total Production &amp; Transmission</t>
  </si>
  <si>
    <t xml:space="preserve">   Depreciation</t>
  </si>
  <si>
    <t xml:space="preserve">      Total Distribution</t>
  </si>
  <si>
    <t>Marketing</t>
  </si>
  <si>
    <t xml:space="preserve">      Total Admin. &amp; General</t>
  </si>
  <si>
    <t>Operating Income before FIT</t>
  </si>
  <si>
    <t>Federal Income Taxes</t>
  </si>
  <si>
    <t xml:space="preserve">   Current Accrual </t>
  </si>
  <si>
    <t xml:space="preserve">   Deferred Income Taxes</t>
  </si>
  <si>
    <t xml:space="preserve">   Amortized ITC</t>
  </si>
  <si>
    <t xml:space="preserve">   Intangible</t>
  </si>
  <si>
    <t xml:space="preserve">   Production</t>
  </si>
  <si>
    <t xml:space="preserve">   Transmission</t>
  </si>
  <si>
    <t xml:space="preserve">   Distribution</t>
  </si>
  <si>
    <t xml:space="preserve">   General</t>
  </si>
  <si>
    <t xml:space="preserve">      Total Plant in Service</t>
  </si>
  <si>
    <t xml:space="preserve">   Total Accum. Depreciation &amp; Amort.</t>
  </si>
  <si>
    <t>INPUTS</t>
  </si>
  <si>
    <t>NET PLANT</t>
  </si>
  <si>
    <t>ELECTRIC NOI</t>
  </si>
  <si>
    <t>Sales to Ultimate Cust excl Interdprt.</t>
  </si>
  <si>
    <t>Interdepartmental</t>
  </si>
  <si>
    <t>Other Revenues</t>
  </si>
  <si>
    <t>TOTAL REVENUES</t>
  </si>
  <si>
    <t>POWER PRODUCTION EXPENSES</t>
  </si>
  <si>
    <t>Steam Power</t>
  </si>
  <si>
    <t>Hydro Power</t>
  </si>
  <si>
    <t>Other Power Generation</t>
  </si>
  <si>
    <t>Total Other Power Supply Expense</t>
  </si>
  <si>
    <t xml:space="preserve">    Total Production</t>
  </si>
  <si>
    <t>TRANSMISSION EXPENSES</t>
  </si>
  <si>
    <t>Transmission O&amp;M</t>
  </si>
  <si>
    <t>Depreciation &amp; Amortization</t>
  </si>
  <si>
    <t>Other Taxes</t>
  </si>
  <si>
    <t xml:space="preserve">     Total Production &amp; Transmission </t>
  </si>
  <si>
    <t>DISTRIBUTION EXPENSES</t>
  </si>
  <si>
    <t>Distribution O&amp;M</t>
  </si>
  <si>
    <t xml:space="preserve">     Total Distribution</t>
  </si>
  <si>
    <t>CUSTOMER ACCOUNTS</t>
  </si>
  <si>
    <t>CUSTOMER SERVICE &amp; INFO</t>
  </si>
  <si>
    <t>SALES</t>
  </si>
  <si>
    <t>ADMIN &amp; GENERAL</t>
  </si>
  <si>
    <t>Operating Expense</t>
  </si>
  <si>
    <t xml:space="preserve">     Total Admin &amp; General</t>
  </si>
  <si>
    <t>TOTAL EXPENSES</t>
  </si>
  <si>
    <t>NOI BEFORE FIT</t>
  </si>
  <si>
    <t>FIT-Current</t>
  </si>
  <si>
    <t>DFIT</t>
  </si>
  <si>
    <t>Amort ITC</t>
  </si>
  <si>
    <t xml:space="preserve">     Total FIT</t>
  </si>
  <si>
    <t>ELECTRIC UTILITY PLANT</t>
  </si>
  <si>
    <t>INTANGIBLE PLANT</t>
  </si>
  <si>
    <t>PRODUCTION PLANT</t>
  </si>
  <si>
    <t xml:space="preserve">  Steam</t>
  </si>
  <si>
    <t xml:space="preserve">  Hydro</t>
  </si>
  <si>
    <t xml:space="preserve">  Other</t>
  </si>
  <si>
    <t xml:space="preserve">     Total Production</t>
  </si>
  <si>
    <t>TRANSMISSION PLANT</t>
  </si>
  <si>
    <t>DISTRIBUTION PLANT</t>
  </si>
  <si>
    <t>GENERAL PLANT</t>
  </si>
  <si>
    <t>GROSS PLANT</t>
  </si>
  <si>
    <t>ACCUMULATED AMORTIZATION</t>
  </si>
  <si>
    <t>NET UTILITY PLANT</t>
  </si>
  <si>
    <t>ADJUSTMENT</t>
  </si>
  <si>
    <t>AVISTA UTILITIES</t>
  </si>
  <si>
    <t>Deferred Gain</t>
  </si>
  <si>
    <t>WA Power</t>
  </si>
  <si>
    <t>Cost Defer</t>
  </si>
  <si>
    <t>Nez Perce</t>
  </si>
  <si>
    <t>Weighted</t>
  </si>
  <si>
    <t>Cost</t>
  </si>
  <si>
    <t>Proposed Rate of Return</t>
  </si>
  <si>
    <t>Net Operating Income Requirement</t>
  </si>
  <si>
    <t>Total</t>
  </si>
  <si>
    <t>Conversion Factor</t>
  </si>
  <si>
    <t>Revenue Requirement</t>
  </si>
  <si>
    <t>Description of Adjustment</t>
  </si>
  <si>
    <t>Adjustments</t>
  </si>
  <si>
    <t>Percent</t>
  </si>
  <si>
    <t>Proposed</t>
  </si>
  <si>
    <t>Revenue Conversion Factor</t>
  </si>
  <si>
    <t>Pro Forma Rate Base</t>
  </si>
  <si>
    <t>Normalization</t>
  </si>
  <si>
    <t xml:space="preserve">    Pro Forma Total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</si>
  <si>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</si>
  <si>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</si>
  <si>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</si>
  <si>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</si>
  <si>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</si>
  <si>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</si>
  <si>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</si>
  <si>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</si>
  <si>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</si>
  <si>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</si>
  <si>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</si>
  <si>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</si>
  <si>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</si>
  <si>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</si>
  <si>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</si>
  <si>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</si>
  <si>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</si>
  <si>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</si>
  <si>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</si>
  <si>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</si>
  <si>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</si>
  <si>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</si>
  <si>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</si>
  <si>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</si>
  <si>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</si>
  <si>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</si>
  <si>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</si>
  <si>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</si>
  <si>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</si>
  <si>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</si>
  <si>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</si>
  <si>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</si>
  <si>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</si>
  <si>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</si>
  <si>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</si>
  <si>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</si>
  <si>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</si>
  <si>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TOTAL RATE BASE  </t>
  </si>
  <si>
    <t>ALLOCATION</t>
  </si>
  <si>
    <t>Revenue</t>
  </si>
  <si>
    <t>Labor</t>
  </si>
  <si>
    <t>NonExec</t>
  </si>
  <si>
    <t>Exec</t>
  </si>
  <si>
    <t>Rev/Exp</t>
  </si>
  <si>
    <t>Capital Add</t>
  </si>
  <si>
    <t>Net</t>
  </si>
  <si>
    <t>Gains/losses</t>
  </si>
  <si>
    <t>`</t>
  </si>
  <si>
    <t>Excise</t>
  </si>
  <si>
    <t>Adj</t>
  </si>
  <si>
    <t>Production Factor</t>
  </si>
  <si>
    <t>Proposed Production and Transmission Revenue Requirement</t>
  </si>
  <si>
    <t>Debt Cost</t>
  </si>
  <si>
    <t>Tax Effect</t>
  </si>
  <si>
    <t>(Rate Base x Debt Cost x -35%)</t>
  </si>
  <si>
    <t>Net Expense</t>
  </si>
  <si>
    <t>(Expense - Revenue)</t>
  </si>
  <si>
    <t>(Net Expense x -.35%)</t>
  </si>
  <si>
    <t>Total Prod/Trans</t>
  </si>
  <si>
    <t>Prod/Trans Rev Requirement per kWh</t>
  </si>
  <si>
    <t>Revenue Credit on Load Change</t>
  </si>
  <si>
    <t>Conversion Factor (Excl. Rev. Rel. Exp.)</t>
  </si>
  <si>
    <t>1 - Tax Rate</t>
  </si>
  <si>
    <t>Prod/Trans</t>
  </si>
  <si>
    <t>Calculation of Proposed Retail Revenue Credit Rate</t>
  </si>
  <si>
    <t xml:space="preserve">Pro Forma </t>
  </si>
  <si>
    <t>Prod Property</t>
  </si>
  <si>
    <t>Production Property Adjustment Calculation</t>
  </si>
  <si>
    <t>Total Debt</t>
  </si>
  <si>
    <t>RESULT OF OPERATIONS</t>
  </si>
  <si>
    <t>DEFERRED FIT</t>
  </si>
  <si>
    <t xml:space="preserve">Washington Pro Forma Results </t>
  </si>
  <si>
    <t>(000's of Dollars)</t>
  </si>
  <si>
    <t>(a)</t>
  </si>
  <si>
    <t>(b)</t>
  </si>
  <si>
    <t>(c)</t>
  </si>
  <si>
    <t>(e)</t>
  </si>
  <si>
    <t>(f)</t>
  </si>
  <si>
    <t>(g)</t>
  </si>
  <si>
    <t>(h)</t>
  </si>
  <si>
    <t>(i)</t>
  </si>
  <si>
    <t>Results</t>
  </si>
  <si>
    <t>Unadjusted</t>
  </si>
  <si>
    <t xml:space="preserve">Restating </t>
  </si>
  <si>
    <t>Staff</t>
  </si>
  <si>
    <t>at Staff</t>
  </si>
  <si>
    <t>Rates</t>
  </si>
  <si>
    <t>Source</t>
  </si>
  <si>
    <t>Schedule 1.2</t>
  </si>
  <si>
    <t>(b) + (c)</t>
  </si>
  <si>
    <t>Schedule 1.3</t>
  </si>
  <si>
    <t>(e) + (f)</t>
  </si>
  <si>
    <t>(g) + (h)</t>
  </si>
  <si>
    <t>INCOME TAX COMPUTATION</t>
  </si>
  <si>
    <t xml:space="preserve">  Revenues</t>
  </si>
  <si>
    <t xml:space="preserve">  Expenses</t>
  </si>
  <si>
    <t>Book Income before Income Taxes</t>
  </si>
  <si>
    <t>SCHEDULE M ADDITIONS</t>
  </si>
  <si>
    <t>Book Depreciation</t>
  </si>
  <si>
    <t>Other</t>
  </si>
  <si>
    <t xml:space="preserve">   Total Sch M Additions</t>
  </si>
  <si>
    <t>SCHEDULE M DEDUCTIONS</t>
  </si>
  <si>
    <t xml:space="preserve">  Tax Depreciation</t>
  </si>
  <si>
    <t xml:space="preserve">  Total Sch M Deductions</t>
  </si>
  <si>
    <t xml:space="preserve">   Tax Rate </t>
  </si>
  <si>
    <t>Federal Income Tax</t>
  </si>
  <si>
    <t>Deferred Tax</t>
  </si>
  <si>
    <t>Total Regulatory Federal Income Tax</t>
  </si>
  <si>
    <r>
      <t>Taxable Income (</t>
    </r>
    <r>
      <rPr>
        <sz val="8"/>
        <rFont val="Times New Roman"/>
        <family val="1"/>
      </rPr>
      <t>Ln 3 thru Ln 5)+ Ln 10 - Ln 15</t>
    </r>
  </si>
  <si>
    <t>Contributions in Aid of Construction</t>
  </si>
  <si>
    <t>Avista Corporation</t>
  </si>
  <si>
    <t>Twelve Months Ended December 31, 2006</t>
  </si>
  <si>
    <t>Total Income Taxes</t>
  </si>
  <si>
    <t>Deferred Power Costs</t>
  </si>
  <si>
    <t xml:space="preserve">  Interest Expense</t>
  </si>
  <si>
    <t>PF 6</t>
  </si>
  <si>
    <t>PF 1</t>
  </si>
  <si>
    <t>PF 2</t>
  </si>
  <si>
    <t>PF 3</t>
  </si>
  <si>
    <t>PF 4</t>
  </si>
  <si>
    <t>PF 5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</si>
  <si>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</si>
  <si>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</si>
  <si>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</si>
  <si>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</si>
  <si>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</si>
  <si>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</si>
  <si>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</si>
  <si>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</si>
  <si>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</si>
  <si>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</si>
  <si>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</si>
  <si>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</si>
  <si>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</si>
  <si>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</si>
  <si>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</si>
  <si>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</si>
  <si>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</si>
  <si>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</si>
  <si>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WUTC Regulatory Fee</t>
  </si>
  <si>
    <t>Uncollectables</t>
  </si>
  <si>
    <t>Total Revenue Sensitive Items</t>
  </si>
  <si>
    <t>Total adjustments</t>
  </si>
  <si>
    <t>of Total</t>
  </si>
  <si>
    <t>Utility Revenue Tax</t>
  </si>
  <si>
    <t>Effective Income Tax Rate at 35%</t>
  </si>
  <si>
    <t>Net Operating Income before FIT</t>
  </si>
  <si>
    <t>Preferred Stock</t>
  </si>
  <si>
    <t>Common Stock</t>
  </si>
  <si>
    <t>PF 7</t>
  </si>
  <si>
    <t>PF 8</t>
  </si>
  <si>
    <t>PF 9</t>
  </si>
  <si>
    <t>Ln 6 thru Ln 8</t>
  </si>
  <si>
    <t>Ln 4 - Ln 9</t>
  </si>
  <si>
    <t>35% * Ln 11</t>
  </si>
  <si>
    <t>Ln 9 + Ln 13</t>
  </si>
  <si>
    <t>1-(Ln 14 / Ln 4)</t>
  </si>
  <si>
    <t>Revenue Requirement Computation</t>
  </si>
  <si>
    <t>At</t>
  </si>
  <si>
    <t>Total Pro Forma Average Rate Base</t>
  </si>
  <si>
    <t>Weighted Cost of Capital</t>
  </si>
  <si>
    <t>Operating Income Requirement</t>
  </si>
  <si>
    <t>ln 3 * ln 2</t>
  </si>
  <si>
    <t>Pro Forma Net Operating Income (Loss)</t>
  </si>
  <si>
    <t>Operating Income Deficiency</t>
  </si>
  <si>
    <t>Additional Revenue Requirement</t>
  </si>
  <si>
    <t>ln 12 / ln 14</t>
  </si>
  <si>
    <t>Restating</t>
  </si>
  <si>
    <t>Results Schedule 1.1</t>
  </si>
  <si>
    <t>Scratch paper</t>
  </si>
  <si>
    <t>Source:</t>
  </si>
  <si>
    <t>(j)</t>
  </si>
  <si>
    <t>(k)</t>
  </si>
  <si>
    <t>(l)</t>
  </si>
  <si>
    <t>(m)</t>
  </si>
  <si>
    <t>(n)</t>
  </si>
  <si>
    <t>R-19</t>
  </si>
  <si>
    <t>R-20</t>
  </si>
  <si>
    <t>R-21</t>
  </si>
  <si>
    <t>R-22</t>
  </si>
  <si>
    <t>R-23</t>
  </si>
  <si>
    <t>Customer Advances</t>
  </si>
  <si>
    <t>Settlement Exchange Power</t>
  </si>
  <si>
    <t>Eliminate A/R Expenses</t>
  </si>
  <si>
    <t>Restate Excise Taxes</t>
  </si>
  <si>
    <t>Revenue Normalization</t>
  </si>
  <si>
    <t>Restating Adjustment R-22</t>
  </si>
  <si>
    <t>(Blue Text indicates Linked Cell)</t>
  </si>
  <si>
    <t xml:space="preserve">(000's of Dollars)   </t>
  </si>
  <si>
    <t>(A)</t>
  </si>
  <si>
    <t>(B)</t>
  </si>
  <si>
    <t>(C)</t>
  </si>
  <si>
    <t>(D)</t>
  </si>
  <si>
    <t>Amount</t>
  </si>
  <si>
    <t>Weighted Cost of Debt</t>
  </si>
  <si>
    <t>Ln 6 * Ln 9</t>
  </si>
  <si>
    <t>Pro Forma Interest Expense</t>
  </si>
  <si>
    <t>Interest Expense Per Books</t>
  </si>
  <si>
    <t>Ln 10 - Ln 12</t>
  </si>
  <si>
    <t>Adjustment to Interest Expense</t>
  </si>
  <si>
    <t>-Ln 12 * 35%</t>
  </si>
  <si>
    <t>Income Tax Effect</t>
  </si>
  <si>
    <t>PF 10</t>
  </si>
  <si>
    <t>PF 11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</si>
  <si>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</si>
  <si>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</si>
  <si>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</si>
  <si>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</si>
  <si>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</si>
  <si>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</si>
  <si>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</si>
  <si>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</si>
  <si>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</si>
  <si>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</si>
  <si>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</si>
  <si>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Sum (a) thru (y)</t>
  </si>
  <si>
    <t>Section 199 - Domestic Production Activites Deduction</t>
  </si>
  <si>
    <t>R-24</t>
  </si>
  <si>
    <t>Tax Depreciation</t>
  </si>
  <si>
    <t>Tax Credit</t>
  </si>
  <si>
    <t>Federal Income Tax net of credit</t>
  </si>
  <si>
    <t>NOI</t>
  </si>
  <si>
    <t>Net Rate Base</t>
  </si>
  <si>
    <t>Difference</t>
  </si>
  <si>
    <t>Colstrip Common AFUDC</t>
  </si>
  <si>
    <t>Kettle Falls Disallow.</t>
  </si>
  <si>
    <t>Eliminate B &amp; O Taxes</t>
  </si>
  <si>
    <t>Injuries and  Damages</t>
  </si>
  <si>
    <t>Eliminate WA Power Cost Defer</t>
  </si>
  <si>
    <t>Nez Perce Settlement Adjustment</t>
  </si>
  <si>
    <t>Property Tax</t>
  </si>
  <si>
    <t>Uncollect. Expense</t>
  </si>
  <si>
    <t>Regulatory Expense</t>
  </si>
  <si>
    <t>Net Gains/losses</t>
  </si>
  <si>
    <t xml:space="preserve">Federal Income Tax  </t>
  </si>
  <si>
    <t>Per Books</t>
  </si>
  <si>
    <t>Avista Adjustments</t>
  </si>
  <si>
    <t>Staff Adjustments</t>
  </si>
  <si>
    <t xml:space="preserve">Restated </t>
  </si>
  <si>
    <t>Adj. No.</t>
  </si>
  <si>
    <t>Pro Forma Adjustments</t>
  </si>
  <si>
    <t>Power Supply</t>
  </si>
  <si>
    <t>Prod Property Adj</t>
  </si>
  <si>
    <t>Labor NonExec</t>
  </si>
  <si>
    <t>Labor Exec</t>
  </si>
  <si>
    <t>Transmission Rev/Exp</t>
  </si>
  <si>
    <t>PF-1</t>
  </si>
  <si>
    <t>PF-2</t>
  </si>
  <si>
    <t>PF-3</t>
  </si>
  <si>
    <t>PF-4</t>
  </si>
  <si>
    <t>PF-5</t>
  </si>
  <si>
    <t>PF-6</t>
  </si>
  <si>
    <t>PF-7</t>
  </si>
  <si>
    <t>PF-8</t>
  </si>
  <si>
    <t>PF-9</t>
  </si>
  <si>
    <t>PF-10</t>
  </si>
  <si>
    <t>PF-11</t>
  </si>
  <si>
    <t>Total Pro Forma Adjustments</t>
  </si>
  <si>
    <t>Amount filed</t>
  </si>
  <si>
    <t>Revenue Requirment</t>
  </si>
  <si>
    <t>AQ(AP-SP)</t>
  </si>
  <si>
    <t>Co. RB(Co.ROR-SROR)</t>
  </si>
  <si>
    <t>Price Variance</t>
  </si>
  <si>
    <t>Vol Variance</t>
  </si>
  <si>
    <t>RCF</t>
  </si>
  <si>
    <t>SP(AQ-SQ)</t>
  </si>
  <si>
    <t>Staff ROR(CoRB-SRB)</t>
  </si>
  <si>
    <t>Pro Forma Results</t>
  </si>
  <si>
    <t>Revenue Requirement Impact</t>
  </si>
  <si>
    <t>Rate of Return / Capital Structure Impact</t>
  </si>
  <si>
    <t>Electric Operations</t>
  </si>
  <si>
    <t>R-1 (c)</t>
  </si>
  <si>
    <t>R-2 (d)</t>
  </si>
  <si>
    <t>R-3 (e)</t>
  </si>
  <si>
    <t>R-4 (f)</t>
  </si>
  <si>
    <t>R-5 (g)</t>
  </si>
  <si>
    <t>R-6 (h)</t>
  </si>
  <si>
    <t>R-7 (i)</t>
  </si>
  <si>
    <t>R-8 (j)</t>
  </si>
  <si>
    <t>R-9 (k)</t>
  </si>
  <si>
    <t>R-10 (l)</t>
  </si>
  <si>
    <t>R-11 (m)</t>
  </si>
  <si>
    <t>R-12 (n)</t>
  </si>
  <si>
    <t>R-13 (o)</t>
  </si>
  <si>
    <t>R-14 (p)</t>
  </si>
  <si>
    <t>R-15 (q)</t>
  </si>
  <si>
    <t>R-16 (r)</t>
  </si>
  <si>
    <t>R-17 (s)</t>
  </si>
  <si>
    <t>R-18 (t)</t>
  </si>
  <si>
    <t>R-19 (u)</t>
  </si>
  <si>
    <t>R-20 (v)</t>
  </si>
  <si>
    <t>R-21 (w)</t>
  </si>
  <si>
    <t>R-23 (y)</t>
  </si>
  <si>
    <t xml:space="preserve">R-24      </t>
  </si>
  <si>
    <t>Exhibit ___ (EMA-2)</t>
  </si>
  <si>
    <t>(d)</t>
  </si>
  <si>
    <t>Exhibit ___ (DPK-2)</t>
  </si>
  <si>
    <t>Deposit</t>
  </si>
  <si>
    <t>CUSTOMER DEPOSITS</t>
  </si>
  <si>
    <t>R-25</t>
  </si>
  <si>
    <t xml:space="preserve">R-25      </t>
  </si>
  <si>
    <t>Impact</t>
  </si>
  <si>
    <t>Impact *</t>
  </si>
  <si>
    <t>(g)-(d)</t>
  </si>
  <si>
    <t>Deferred Gain on Office Building</t>
  </si>
  <si>
    <t xml:space="preserve"> Impact of Change in Weighted Cost of Capital</t>
  </si>
  <si>
    <t>Adjusted Revenue Requirement</t>
  </si>
  <si>
    <t>Avista Filed Capital Structure</t>
  </si>
  <si>
    <t>Staff Adjusted Capital Structure</t>
  </si>
  <si>
    <t>Staff Weighted Cost of Capital</t>
  </si>
  <si>
    <t>Avista Filed Weighted Cost of Capital</t>
  </si>
  <si>
    <t>Reduction in Weighted Cost of Capital</t>
  </si>
  <si>
    <t>Staff Adjusted Rate Base</t>
  </si>
  <si>
    <t>hidden</t>
  </si>
  <si>
    <t>Deferred  FIT Rate Base</t>
  </si>
  <si>
    <t>Colstrip 3 AFUDC Elimination</t>
  </si>
  <si>
    <t>Office Space Charges to Subsidiaries</t>
  </si>
  <si>
    <t>** Pro Forma Debt is computed using Staff proposed debt rates and Staff Pro Forma Rate Base</t>
  </si>
  <si>
    <t>Restate Debt Interest **</t>
  </si>
  <si>
    <t>Linked Data</t>
  </si>
  <si>
    <t>Pro Forma Interest Adjustment</t>
  </si>
  <si>
    <t>Pro Forma adjustment PF-2</t>
  </si>
  <si>
    <t>S</t>
  </si>
  <si>
    <t>% Increase in Revenue</t>
  </si>
  <si>
    <t>$  Increase in Revenue</t>
  </si>
  <si>
    <t>Linked</t>
  </si>
  <si>
    <t>Schedule for the Computation of Revenue Conversion Factor</t>
  </si>
  <si>
    <t>Pro Forma Capital Structure and Cost of Captial</t>
  </si>
  <si>
    <t>Pg 9, Ln 9</t>
  </si>
  <si>
    <t>ln 9 - ln 11</t>
  </si>
  <si>
    <t>Pg 8, Ln 16</t>
  </si>
  <si>
    <t>ln 17 - ln 19</t>
  </si>
  <si>
    <t>Pg 1, Ln 57 Col (f)</t>
  </si>
  <si>
    <t>Pg 1, Ln 40 Col (f)</t>
  </si>
  <si>
    <t>Total Pro Forma Rate Base</t>
  </si>
  <si>
    <t>Exhibit ___ (DPK-2), Pg 14, Ln 17</t>
  </si>
  <si>
    <t>Exhibit ___(DPK-2), Pg 1, Ln 57 Col (f)</t>
  </si>
  <si>
    <t>YE Balance</t>
  </si>
  <si>
    <t>Andrews Workpapers Elec. - Sch. Y2</t>
  </si>
  <si>
    <t>True-up</t>
  </si>
  <si>
    <r>
      <t xml:space="preserve">Taxable Income </t>
    </r>
    <r>
      <rPr>
        <sz val="8"/>
        <rFont val="Times New Roman"/>
        <family val="1"/>
      </rPr>
      <t>Ln 5 + Ln 10 - Ln 15</t>
    </r>
  </si>
  <si>
    <t xml:space="preserve">Asset </t>
  </si>
  <si>
    <t>Management</t>
  </si>
  <si>
    <t>PF 12</t>
  </si>
  <si>
    <t>PF 13</t>
  </si>
  <si>
    <t>PF 14</t>
  </si>
  <si>
    <t>PF 15</t>
  </si>
  <si>
    <t>PF 16</t>
  </si>
  <si>
    <t>PF 17</t>
  </si>
  <si>
    <t>PF 18</t>
  </si>
  <si>
    <t>Spokane Rvr</t>
  </si>
  <si>
    <t>Relicensing</t>
  </si>
  <si>
    <t>CDA Tribe</t>
  </si>
  <si>
    <t>Colstrip Mercury</t>
  </si>
  <si>
    <t>Emiss O&amp;M</t>
  </si>
  <si>
    <t>Montana</t>
  </si>
  <si>
    <t>Lease</t>
  </si>
  <si>
    <t>Incentives</t>
  </si>
  <si>
    <t>PF-12</t>
  </si>
  <si>
    <t>PF-13</t>
  </si>
  <si>
    <t>PF-14</t>
  </si>
  <si>
    <t>Capital Additions 2008</t>
  </si>
  <si>
    <t>Asset Management</t>
  </si>
  <si>
    <t>Spokane River Relicensing</t>
  </si>
  <si>
    <t>CDA Tribe Settlements</t>
  </si>
  <si>
    <t>Montana Lease</t>
  </si>
  <si>
    <t>Colstrip Mercury Emiss., O&amp;M</t>
  </si>
  <si>
    <t>Pro Forma Spokane Rvr Relicensing</t>
  </si>
  <si>
    <t>Pro Forma CDA Tribe Settlement</t>
  </si>
  <si>
    <t>Pro Forma Montana Lease</t>
  </si>
  <si>
    <t>Pro Forma Colstrip Mercury Emiss. O&amp;M</t>
  </si>
  <si>
    <t>Pro Forma Incentives</t>
  </si>
  <si>
    <t>Subsidiaries</t>
  </si>
  <si>
    <t>2008 filing</t>
  </si>
  <si>
    <t>PER RESULTS OF 2007</t>
  </si>
  <si>
    <t>2007 Filing</t>
  </si>
  <si>
    <t>Change</t>
  </si>
  <si>
    <t>unadjusted</t>
  </si>
  <si>
    <t>Public Utility Tax Rate</t>
  </si>
  <si>
    <t>Uncollectable</t>
  </si>
  <si>
    <t>Uncollectable effect</t>
  </si>
  <si>
    <t>Net PU Tax Rate</t>
  </si>
  <si>
    <t>Company Proposed</t>
  </si>
  <si>
    <t>Staff Adjusted</t>
  </si>
  <si>
    <t>Staff addition</t>
  </si>
  <si>
    <t xml:space="preserve">Customer Deposits </t>
  </si>
  <si>
    <t>PF-15</t>
  </si>
  <si>
    <t>Company</t>
  </si>
  <si>
    <t>AFUDC deducted in filing but none in case</t>
  </si>
  <si>
    <t>Add: AFUDC interest deducted for taxes</t>
  </si>
  <si>
    <t>DR</t>
  </si>
  <si>
    <t>Avista Adjusted</t>
  </si>
  <si>
    <t>Revenue Req</t>
  </si>
  <si>
    <t>Schedule C1</t>
  </si>
  <si>
    <t>O.K.</t>
  </si>
  <si>
    <t>Miscellaneous</t>
  </si>
  <si>
    <t>Staff Proposed</t>
  </si>
  <si>
    <t>Twelve Months Ended September 30, 2008</t>
  </si>
  <si>
    <t>Noxon Gen</t>
  </si>
  <si>
    <t>Information</t>
  </si>
  <si>
    <t>Services</t>
  </si>
  <si>
    <t>O&amp;M Plant</t>
  </si>
  <si>
    <t>Employee</t>
  </si>
  <si>
    <t>Benefits</t>
  </si>
  <si>
    <t>PF 19</t>
  </si>
  <si>
    <t>INSERT</t>
  </si>
  <si>
    <t>do not use</t>
  </si>
  <si>
    <t>Insurance</t>
  </si>
  <si>
    <t>Clark Fork</t>
  </si>
  <si>
    <t>PM&amp;E</t>
  </si>
  <si>
    <t>Pro Forma Power Supply</t>
  </si>
  <si>
    <t>Pro Forma Prod Property Adj</t>
  </si>
  <si>
    <t>Pro Forma Labor Non-Exec</t>
  </si>
  <si>
    <t>Pro Forma Labor Exec</t>
  </si>
  <si>
    <t>Pro Forma Transmission Rev/Exp</t>
  </si>
  <si>
    <t>Pro Forma Capital Add 2008</t>
  </si>
  <si>
    <t>Pro Forma Capital Add 2009</t>
  </si>
  <si>
    <t>Pro Forma Asset Management</t>
  </si>
  <si>
    <t>Pro Forma O&amp;M Plant Expense</t>
  </si>
  <si>
    <t>Pro Forma Employee Benefits</t>
  </si>
  <si>
    <t>Pro Forma Insurance</t>
  </si>
  <si>
    <t>Pro Forma Clark Fork PM&amp;E</t>
  </si>
  <si>
    <t>Information Services</t>
  </si>
  <si>
    <t>2010 WA Retail Load in Power Supply</t>
  </si>
  <si>
    <t>Total Adjustments</t>
  </si>
  <si>
    <t>Per Results Report,</t>
  </si>
  <si>
    <t>12ME09 2008</t>
  </si>
  <si>
    <t>Kermode</t>
  </si>
  <si>
    <t>LaRue √</t>
  </si>
  <si>
    <t>DPK √</t>
  </si>
  <si>
    <t>Foisy √</t>
  </si>
  <si>
    <t>Buckley</t>
  </si>
  <si>
    <t xml:space="preserve">Board of Director </t>
  </si>
  <si>
    <t>Meeting Costs</t>
  </si>
  <si>
    <t>Depreciation True-up</t>
  </si>
  <si>
    <t>R-22 (x)</t>
  </si>
  <si>
    <t>Misc Restating</t>
  </si>
  <si>
    <t>Capital Additions 2009</t>
  </si>
  <si>
    <t>Capital Additions Noxon Gen 2010</t>
  </si>
  <si>
    <t>PF-16</t>
  </si>
  <si>
    <t>O&amp;M Plant Expense</t>
  </si>
  <si>
    <t>PF-17</t>
  </si>
  <si>
    <t>Employee Benefits</t>
  </si>
  <si>
    <t>PF-18</t>
  </si>
  <si>
    <t>PF-19</t>
  </si>
  <si>
    <t>Clark Fork PM&amp;E</t>
  </si>
  <si>
    <t>Board of Directors Meetings</t>
  </si>
  <si>
    <t xml:space="preserve">* Revenue Requirement Impact of adjustments based on company filed Weighted Cost of Capital </t>
  </si>
  <si>
    <t>Twelve Months Ended September 30, 2008 (AMA)</t>
  </si>
  <si>
    <t>Total Restating Adjustments</t>
  </si>
  <si>
    <t>Test Year WA Normalized Retail Load</t>
  </si>
  <si>
    <t>Acc Depreciation</t>
  </si>
  <si>
    <t>Production</t>
  </si>
  <si>
    <t>Plant</t>
  </si>
  <si>
    <t>Capital Add/EOP</t>
  </si>
  <si>
    <t>TY 2007/08</t>
  </si>
  <si>
    <t>2009/2010</t>
  </si>
  <si>
    <t>Load-Adjusted Production/Transmission Costs</t>
  </si>
  <si>
    <t>4th Qrt 2008/09</t>
  </si>
  <si>
    <t>C</t>
  </si>
  <si>
    <t>PER RESULTS OF Sept / 2008</t>
  </si>
  <si>
    <t>Electric - Results of Operations (Schedule 1.1)</t>
  </si>
  <si>
    <t>Electric - Schedule of Restating Adjustments (Schedule 1.2)</t>
  </si>
  <si>
    <t>Electric - Schedule of Pro Forma Adjustments (Schedule 1.3)</t>
  </si>
  <si>
    <t>Summary of Adjustments - Electric Operations (Schedule 1.4)</t>
  </si>
  <si>
    <t>Revenue Requirement Computation (Schedule 2.0)</t>
  </si>
  <si>
    <t>Revenue Conversion Factor (Schedule 3.0)</t>
  </si>
  <si>
    <t>Pro Forma Capital Structure (Schedule 4.0)</t>
  </si>
  <si>
    <t>-Includes Settlement -</t>
  </si>
  <si>
    <t>Common Stock *</t>
  </si>
  <si>
    <t>* Settlement</t>
  </si>
  <si>
    <t>Staff / Settlement Adjusted</t>
  </si>
  <si>
    <t>Corrected Production Property Adjustment</t>
  </si>
  <si>
    <t>Revised</t>
  </si>
  <si>
    <t>Originally filed</t>
  </si>
  <si>
    <t>Revised for Settlement and Accepted Rebuttal Corrections</t>
  </si>
  <si>
    <t>RESPONSE TO BENCH REQUEST #2 Supplemental</t>
  </si>
  <si>
    <t>RESPONSE BENCH REQUEST #2 Supplemental</t>
  </si>
  <si>
    <t xml:space="preserve">Revised for Settlement and Accepted Rebuttal Corrections </t>
  </si>
  <si>
    <t>RESPONSE TO BENCH REQUEST # 2 Supplemental</t>
  </si>
  <si>
    <t xml:space="preserve">S     </t>
  </si>
  <si>
    <t>Avista Corporation REBUTTAL</t>
  </si>
  <si>
    <t>Highlighted - Settlement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</si>
</sst>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,###_);\(#,###\)"/>
    <numFmt numFmtId="167" formatCode="_(&quot;$&quot;#,###_);_(&quot;$&quot;\ \(#,###\);_(* _);_(@_)"/>
    <numFmt numFmtId="168" formatCode="#,##0;\(#,##0\)"/>
    <numFmt numFmtId="169" formatCode="0.000000"/>
    <numFmt numFmtId="170" formatCode="#,##0\ ;\(#,##0\)"/>
    <numFmt numFmtId="171" formatCode="0.000%"/>
    <numFmt numFmtId="172" formatCode="_(* #,##0_);_(* \(#,##0\);_(* &quot;-&quot;??_);_(@_)"/>
    <numFmt numFmtId="173" formatCode="_(&quot;$&quot;* #,##0.00000_);_(&quot;$&quot;* \(#,##0.00000\);_(&quot;$&quot;* &quot;-&quot;??_);_(@_)"/>
    <numFmt numFmtId="174" formatCode="#,##0.000000"/>
    <numFmt numFmtId="175" formatCode="#,###_);\(#,###\)\,\ "/>
    <numFmt numFmtId="176" formatCode="0.0000%"/>
    <numFmt numFmtId="177" formatCode="0.00000"/>
    <numFmt numFmtId="178" formatCode="0.00%;\(0.00%\)"/>
    <numFmt numFmtId="179" formatCode="0.00000%"/>
    <numFmt numFmtId="180" formatCode="&quot;Increase of &quot;0.00%"/>
    <numFmt numFmtId="181" formatCode="_(&quot;$&quot;\ #,##0_);_(&quot;$&quot;\ \(#,##0\);_(&quot;$&quot;\ &quot;-&quot;??_);_(@_)"/>
    <numFmt numFmtId="182" formatCode="_(* #,##0.00_);_(* \(#,##0.00\);_(* &quot;-&quot;_);_(@_)"/>
  </numFmts>
  <fonts count="62">
    <font>
      <sz val="12"/>
      <name val="Times New Roman"/>
      <family val="1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Courier"/>
      <family val="3"/>
    </font>
    <font>
      <sz val="9"/>
      <color indexed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color indexed="12"/>
      <name val="Times New Roman"/>
      <family val="1"/>
    </font>
    <font>
      <b/>
      <sz val="9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9"/>
      <color indexed="47"/>
      <name val="Times New Roman"/>
      <family val="1"/>
    </font>
    <font>
      <u/>
      <sz val="12"/>
      <name val="Times New Roman"/>
      <family val="1"/>
    </font>
    <font>
      <b/>
      <sz val="12"/>
      <color indexed="12"/>
      <name val="Times New Roman"/>
      <family val="1"/>
    </font>
    <font>
      <b/>
      <sz val="9"/>
      <color theme="4" tint="0.79998168889431442"/>
      <name val="Times New Roman"/>
      <family val="1"/>
    </font>
    <font>
      <sz val="9"/>
      <color theme="4" tint="0.7999816888943144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color rgb="FF1317AD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2">
    <xf numFmtId="37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4" fillId="0" borderId="0"/>
    <xf numFmtId="37" fontId="36" fillId="0" borderId="0"/>
    <xf numFmtId="41" fontId="3" fillId="0" borderId="0"/>
    <xf numFmtId="0" fontId="42" fillId="0" borderId="0"/>
    <xf numFmtId="0" fontId="2" fillId="0" borderId="0"/>
    <xf numFmtId="0" fontId="2" fillId="0" borderId="0"/>
    <xf numFmtId="0" fontId="2" fillId="0" borderId="0"/>
    <xf numFmtId="41" fontId="34" fillId="0" borderId="0"/>
    <xf numFmtId="0" fontId="8" fillId="0" borderId="0"/>
    <xf numFmtId="0" fontId="42" fillId="0" borderId="0"/>
    <xf numFmtId="37" fontId="36" fillId="0" borderId="0"/>
    <xf numFmtId="0" fontId="2" fillId="0" borderId="0"/>
    <xf numFmtId="0" fontId="2" fillId="0" borderId="0"/>
    <xf numFmtId="175" fontId="2" fillId="0" borderId="0"/>
    <xf numFmtId="9" fontId="1" fillId="0" borderId="0" applyFont="0" applyFill="0" applyBorder="0" applyAlignment="0" applyProtection="0"/>
    <xf numFmtId="10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4" fontId="10" fillId="0" borderId="0"/>
    <xf numFmtId="41" fontId="10" fillId="0" borderId="0"/>
    <xf numFmtId="43" fontId="52" fillId="0" borderId="0" applyFont="0" applyFill="0" applyBorder="0" applyAlignment="0" applyProtection="0"/>
    <xf numFmtId="0" fontId="52" fillId="0" borderId="0"/>
    <xf numFmtId="0" fontId="54" fillId="0" borderId="0"/>
    <xf numFmtId="14" fontId="10" fillId="0" borderId="0"/>
    <xf numFmtId="14" fontId="1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91">
    <xf numFmtId="37" fontId="0" fillId="0" borderId="0" xfId="0"/>
    <xf numFmtId="0" fontId="3" fillId="0" borderId="0" xfId="16" applyNumberFormat="1" applyFont="1" applyAlignment="1">
      <alignment horizontal="left"/>
    </xf>
    <xf numFmtId="0" fontId="3" fillId="0" borderId="0" xfId="16" applyFont="1"/>
    <xf numFmtId="0" fontId="3" fillId="0" borderId="0" xfId="16" applyNumberFormat="1" applyFont="1" applyAlignment="1">
      <alignment horizontal="center"/>
    </xf>
    <xf numFmtId="3" fontId="3" fillId="0" borderId="0" xfId="16" applyNumberFormat="1" applyFont="1"/>
    <xf numFmtId="3" fontId="5" fillId="0" borderId="0" xfId="16" applyNumberFormat="1" applyFont="1" applyBorder="1" applyAlignment="1">
      <alignment horizontal="center"/>
    </xf>
    <xf numFmtId="0" fontId="5" fillId="0" borderId="0" xfId="16" applyNumberFormat="1" applyFont="1" applyAlignment="1">
      <alignment horizontal="center"/>
    </xf>
    <xf numFmtId="0" fontId="5" fillId="0" borderId="0" xfId="16" applyFont="1" applyAlignment="1">
      <alignment horizontal="center"/>
    </xf>
    <xf numFmtId="3" fontId="5" fillId="0" borderId="0" xfId="16" applyNumberFormat="1" applyFont="1" applyAlignment="1">
      <alignment horizontal="center"/>
    </xf>
    <xf numFmtId="0" fontId="5" fillId="0" borderId="1" xfId="16" applyNumberFormat="1" applyFont="1" applyBorder="1" applyAlignment="1">
      <alignment horizontal="center"/>
    </xf>
    <xf numFmtId="0" fontId="5" fillId="0" borderId="2" xfId="16" applyFont="1" applyBorder="1" applyAlignment="1">
      <alignment horizontal="center"/>
    </xf>
    <xf numFmtId="0" fontId="5" fillId="0" borderId="3" xfId="16" applyFont="1" applyBorder="1" applyAlignment="1">
      <alignment horizontal="center"/>
    </xf>
    <xf numFmtId="0" fontId="5" fillId="0" borderId="4" xfId="16" applyFont="1" applyBorder="1" applyAlignment="1">
      <alignment horizontal="center"/>
    </xf>
    <xf numFmtId="0" fontId="5" fillId="0" borderId="5" xfId="16" applyNumberFormat="1" applyFont="1" applyBorder="1" applyAlignment="1">
      <alignment horizontal="center"/>
    </xf>
    <xf numFmtId="0" fontId="5" fillId="0" borderId="6" xfId="16" applyFont="1" applyBorder="1" applyAlignment="1">
      <alignment horizontal="center"/>
    </xf>
    <xf numFmtId="0" fontId="5" fillId="0" borderId="0" xfId="16" applyFont="1" applyBorder="1" applyAlignment="1">
      <alignment horizontal="center"/>
    </xf>
    <xf numFmtId="0" fontId="5" fillId="0" borderId="7" xfId="16" applyFont="1" applyBorder="1" applyAlignment="1">
      <alignment horizontal="center"/>
    </xf>
    <xf numFmtId="3" fontId="5" fillId="0" borderId="5" xfId="16" applyNumberFormat="1" applyFont="1" applyBorder="1" applyAlignment="1">
      <alignment horizontal="center"/>
    </xf>
    <xf numFmtId="0" fontId="5" fillId="0" borderId="8" xfId="16" applyNumberFormat="1" applyFont="1" applyBorder="1" applyAlignment="1">
      <alignment horizontal="center"/>
    </xf>
    <xf numFmtId="0" fontId="5" fillId="0" borderId="9" xfId="16" applyFont="1" applyBorder="1" applyAlignment="1">
      <alignment horizontal="center"/>
    </xf>
    <xf numFmtId="0" fontId="5" fillId="0" borderId="10" xfId="16" applyFont="1" applyBorder="1" applyAlignment="1">
      <alignment horizontal="center"/>
    </xf>
    <xf numFmtId="0" fontId="5" fillId="0" borderId="11" xfId="16" applyFont="1" applyBorder="1" applyAlignment="1">
      <alignment horizontal="center"/>
    </xf>
    <xf numFmtId="3" fontId="5" fillId="0" borderId="8" xfId="16" applyNumberFormat="1" applyFont="1" applyBorder="1" applyAlignment="1">
      <alignment horizontal="center"/>
    </xf>
    <xf numFmtId="3" fontId="3" fillId="0" borderId="0" xfId="16" applyNumberFormat="1" applyFont="1" applyAlignment="1">
      <alignment horizontal="center"/>
    </xf>
    <xf numFmtId="37" fontId="3" fillId="0" borderId="0" xfId="16" applyNumberFormat="1" applyFont="1" applyAlignment="1">
      <alignment horizontal="center"/>
    </xf>
    <xf numFmtId="5" fontId="3" fillId="0" borderId="0" xfId="16" applyNumberFormat="1" applyFont="1"/>
    <xf numFmtId="37" fontId="3" fillId="0" borderId="0" xfId="16" applyNumberFormat="1" applyFont="1"/>
    <xf numFmtId="10" fontId="4" fillId="0" borderId="0" xfId="19" applyNumberFormat="1" applyFont="1"/>
    <xf numFmtId="10" fontId="3" fillId="0" borderId="0" xfId="19" applyNumberFormat="1" applyFont="1"/>
    <xf numFmtId="3" fontId="3" fillId="0" borderId="0" xfId="0" applyNumberFormat="1" applyFont="1" applyAlignment="1">
      <alignment horizontal="centerContinuous"/>
    </xf>
    <xf numFmtId="37" fontId="3" fillId="0" borderId="0" xfId="0" applyFont="1" applyAlignment="1">
      <alignment horizontal="centerContinuous"/>
    </xf>
    <xf numFmtId="3" fontId="3" fillId="0" borderId="0" xfId="0" applyNumberFormat="1" applyFont="1"/>
    <xf numFmtId="3" fontId="5" fillId="0" borderId="10" xfId="0" applyNumberFormat="1" applyFont="1" applyBorder="1" applyAlignment="1">
      <alignment horizontal="centerContinuous"/>
    </xf>
    <xf numFmtId="3" fontId="3" fillId="0" borderId="10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5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37" fontId="3" fillId="0" borderId="3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/>
    <xf numFmtId="37" fontId="3" fillId="0" borderId="10" xfId="0" applyNumberFormat="1" applyFont="1" applyBorder="1" applyProtection="1">
      <protection locked="0"/>
    </xf>
    <xf numFmtId="37" fontId="3" fillId="0" borderId="12" xfId="0" applyNumberFormat="1" applyFont="1" applyBorder="1"/>
    <xf numFmtId="37" fontId="3" fillId="0" borderId="10" xfId="0" applyNumberFormat="1" applyFont="1" applyBorder="1"/>
    <xf numFmtId="165" fontId="3" fillId="0" borderId="0" xfId="0" applyNumberFormat="1" applyFont="1"/>
    <xf numFmtId="5" fontId="3" fillId="0" borderId="13" xfId="0" applyNumberFormat="1" applyFont="1" applyBorder="1"/>
    <xf numFmtId="3" fontId="3" fillId="0" borderId="0" xfId="0" applyNumberFormat="1" applyFont="1" applyBorder="1" applyAlignment="1"/>
    <xf numFmtId="37" fontId="5" fillId="0" borderId="0" xfId="0" applyFont="1" applyBorder="1" applyAlignment="1"/>
    <xf numFmtId="37" fontId="3" fillId="0" borderId="0" xfId="0" applyFont="1" applyBorder="1" applyAlignment="1"/>
    <xf numFmtId="3" fontId="3" fillId="0" borderId="0" xfId="0" applyNumberFormat="1" applyFont="1" applyAlignment="1"/>
    <xf numFmtId="3" fontId="3" fillId="0" borderId="10" xfId="0" applyNumberFormat="1" applyFont="1" applyBorder="1" applyAlignment="1"/>
    <xf numFmtId="37" fontId="3" fillId="0" borderId="0" xfId="0" applyFont="1"/>
    <xf numFmtId="3" fontId="3" fillId="0" borderId="12" xfId="0" applyNumberFormat="1" applyFont="1" applyBorder="1" applyAlignment="1"/>
    <xf numFmtId="37" fontId="3" fillId="0" borderId="0" xfId="0" applyFont="1" applyAlignment="1"/>
    <xf numFmtId="3" fontId="3" fillId="0" borderId="14" xfId="0" applyNumberFormat="1" applyFont="1" applyBorder="1" applyAlignment="1"/>
    <xf numFmtId="3" fontId="3" fillId="0" borderId="0" xfId="0" applyNumberFormat="1" applyFont="1" applyBorder="1" applyAlignment="1">
      <alignment horizontal="center"/>
    </xf>
    <xf numFmtId="166" fontId="3" fillId="0" borderId="0" xfId="16" applyNumberFormat="1" applyFont="1"/>
    <xf numFmtId="166" fontId="3" fillId="0" borderId="10" xfId="16" applyNumberFormat="1" applyFont="1" applyBorder="1"/>
    <xf numFmtId="167" fontId="3" fillId="0" borderId="0" xfId="11" applyNumberFormat="1" applyFont="1" applyFill="1" applyBorder="1"/>
    <xf numFmtId="167" fontId="3" fillId="0" borderId="0" xfId="16" applyNumberFormat="1" applyFont="1"/>
    <xf numFmtId="5" fontId="3" fillId="0" borderId="13" xfId="16" applyNumberFormat="1" applyFont="1" applyBorder="1"/>
    <xf numFmtId="37" fontId="3" fillId="0" borderId="10" xfId="16" applyNumberFormat="1" applyFont="1" applyBorder="1"/>
    <xf numFmtId="3" fontId="13" fillId="0" borderId="14" xfId="0" applyNumberFormat="1" applyFont="1" applyBorder="1" applyAlignment="1"/>
    <xf numFmtId="0" fontId="4" fillId="0" borderId="0" xfId="16" applyFont="1" applyAlignment="1">
      <alignment horizontal="center"/>
    </xf>
    <xf numFmtId="3" fontId="3" fillId="0" borderId="0" xfId="9" applyNumberFormat="1" applyFont="1"/>
    <xf numFmtId="3" fontId="3" fillId="0" borderId="0" xfId="9" applyNumberFormat="1" applyFont="1" applyAlignment="1">
      <alignment horizontal="center"/>
    </xf>
    <xf numFmtId="3" fontId="3" fillId="0" borderId="0" xfId="9" applyNumberFormat="1" applyFont="1" applyAlignment="1">
      <alignment horizontal="left"/>
    </xf>
    <xf numFmtId="1" fontId="3" fillId="0" borderId="0" xfId="9" applyNumberFormat="1" applyFont="1" applyAlignment="1">
      <alignment horizontal="center"/>
    </xf>
    <xf numFmtId="164" fontId="3" fillId="0" borderId="0" xfId="9" applyNumberFormat="1" applyFont="1" applyAlignment="1">
      <alignment horizontal="left"/>
    </xf>
    <xf numFmtId="164" fontId="3" fillId="0" borderId="0" xfId="9" applyNumberFormat="1" applyFont="1"/>
    <xf numFmtId="37" fontId="3" fillId="0" borderId="0" xfId="9" applyNumberFormat="1" applyFont="1"/>
    <xf numFmtId="5" fontId="3" fillId="0" borderId="0" xfId="9" applyNumberFormat="1" applyFont="1"/>
    <xf numFmtId="37" fontId="10" fillId="0" borderId="0" xfId="0" applyFont="1"/>
    <xf numFmtId="3" fontId="5" fillId="0" borderId="10" xfId="0" applyNumberFormat="1" applyFont="1" applyBorder="1" applyAlignment="1">
      <alignment horizontal="center"/>
    </xf>
    <xf numFmtId="168" fontId="3" fillId="0" borderId="0" xfId="0" applyNumberFormat="1" applyFont="1"/>
    <xf numFmtId="170" fontId="3" fillId="0" borderId="0" xfId="0" applyNumberFormat="1" applyFont="1"/>
    <xf numFmtId="37" fontId="11" fillId="0" borderId="0" xfId="0" applyFont="1" applyAlignment="1">
      <alignment horizontal="center"/>
    </xf>
    <xf numFmtId="37" fontId="10" fillId="0" borderId="0" xfId="0" applyFont="1" applyBorder="1"/>
    <xf numFmtId="37" fontId="11" fillId="0" borderId="0" xfId="0" applyFont="1" applyBorder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applyFont="1" applyBorder="1" applyAlignment="1">
      <alignment horizontal="center"/>
    </xf>
    <xf numFmtId="37" fontId="12" fillId="0" borderId="0" xfId="0" applyFont="1" applyBorder="1" applyAlignment="1">
      <alignment horizontal="center"/>
    </xf>
    <xf numFmtId="37" fontId="10" fillId="0" borderId="10" xfId="0" applyFont="1" applyBorder="1" applyAlignment="1">
      <alignment horizontal="center"/>
    </xf>
    <xf numFmtId="5" fontId="10" fillId="0" borderId="0" xfId="0" applyNumberFormat="1" applyFont="1" applyBorder="1"/>
    <xf numFmtId="37" fontId="10" fillId="0" borderId="0" xfId="0" applyNumberFormat="1" applyFont="1" applyBorder="1"/>
    <xf numFmtId="3" fontId="10" fillId="0" borderId="0" xfId="0" applyNumberFormat="1" applyFont="1"/>
    <xf numFmtId="37" fontId="10" fillId="0" borderId="0" xfId="0" applyFont="1" applyFill="1" applyAlignment="1">
      <alignment horizontal="center"/>
    </xf>
    <xf numFmtId="3" fontId="10" fillId="0" borderId="0" xfId="0" applyNumberFormat="1" applyFont="1" applyBorder="1"/>
    <xf numFmtId="10" fontId="11" fillId="0" borderId="0" xfId="0" applyNumberFormat="1" applyFont="1" applyBorder="1"/>
    <xf numFmtId="37" fontId="4" fillId="0" borderId="0" xfId="0" applyFont="1"/>
    <xf numFmtId="37" fontId="17" fillId="0" borderId="0" xfId="0" applyFont="1"/>
    <xf numFmtId="37" fontId="18" fillId="0" borderId="0" xfId="0" applyFont="1" applyAlignment="1">
      <alignment horizontal="center"/>
    </xf>
    <xf numFmtId="37" fontId="17" fillId="0" borderId="0" xfId="0" applyFont="1" applyBorder="1"/>
    <xf numFmtId="37" fontId="17" fillId="0" borderId="0" xfId="0" applyNumberFormat="1" applyFont="1" applyBorder="1"/>
    <xf numFmtId="37" fontId="19" fillId="0" borderId="0" xfId="0" applyFont="1"/>
    <xf numFmtId="3" fontId="3" fillId="0" borderId="0" xfId="16" applyNumberFormat="1" applyFont="1" applyFill="1"/>
    <xf numFmtId="3" fontId="5" fillId="0" borderId="1" xfId="16" applyNumberFormat="1" applyFont="1" applyFill="1" applyBorder="1" applyAlignment="1">
      <alignment horizontal="center"/>
    </xf>
    <xf numFmtId="37" fontId="20" fillId="0" borderId="0" xfId="0" applyFont="1" applyAlignment="1">
      <alignment horizontal="centerContinuous"/>
    </xf>
    <xf numFmtId="37" fontId="21" fillId="0" borderId="0" xfId="0" applyFont="1"/>
    <xf numFmtId="37" fontId="21" fillId="0" borderId="0" xfId="0" applyFont="1" applyAlignment="1">
      <alignment horizontal="center"/>
    </xf>
    <xf numFmtId="5" fontId="21" fillId="0" borderId="0" xfId="0" applyNumberFormat="1" applyFont="1"/>
    <xf numFmtId="171" fontId="22" fillId="0" borderId="0" xfId="19" applyNumberFormat="1" applyFont="1" applyBorder="1"/>
    <xf numFmtId="37" fontId="22" fillId="0" borderId="0" xfId="0" applyFont="1" applyBorder="1"/>
    <xf numFmtId="37" fontId="22" fillId="0" borderId="0" xfId="16" applyNumberFormat="1" applyFont="1" applyBorder="1"/>
    <xf numFmtId="3" fontId="3" fillId="0" borderId="0" xfId="0" applyNumberFormat="1" applyFont="1" applyFill="1"/>
    <xf numFmtId="37" fontId="10" fillId="0" borderId="10" xfId="0" applyFont="1" applyBorder="1" applyAlignment="1">
      <alignment horizontal="left"/>
    </xf>
    <xf numFmtId="10" fontId="3" fillId="0" borderId="17" xfId="19" applyNumberFormat="1" applyFont="1" applyBorder="1"/>
    <xf numFmtId="172" fontId="10" fillId="0" borderId="0" xfId="1" applyNumberFormat="1" applyFont="1" applyBorder="1"/>
    <xf numFmtId="37" fontId="27" fillId="0" borderId="0" xfId="0" applyFont="1"/>
    <xf numFmtId="37" fontId="27" fillId="0" borderId="0" xfId="0" applyFont="1" applyBorder="1"/>
    <xf numFmtId="37" fontId="27" fillId="0" borderId="0" xfId="0" applyNumberFormat="1" applyFont="1" applyBorder="1"/>
    <xf numFmtId="37" fontId="28" fillId="0" borderId="0" xfId="0" applyFont="1" applyAlignment="1">
      <alignment horizontal="center"/>
    </xf>
    <xf numFmtId="37" fontId="19" fillId="0" borderId="0" xfId="0" applyNumberFormat="1" applyFont="1" applyBorder="1"/>
    <xf numFmtId="6" fontId="10" fillId="0" borderId="0" xfId="4" applyNumberFormat="1" applyFont="1" applyBorder="1"/>
    <xf numFmtId="37" fontId="0" fillId="0" borderId="10" xfId="0" applyBorder="1"/>
    <xf numFmtId="3" fontId="25" fillId="0" borderId="0" xfId="0" applyNumberFormat="1" applyFont="1" applyAlignment="1">
      <alignment horizontal="left"/>
    </xf>
    <xf numFmtId="37" fontId="9" fillId="0" borderId="0" xfId="13" applyNumberFormat="1" applyFont="1" applyProtection="1">
      <protection locked="0"/>
    </xf>
    <xf numFmtId="3" fontId="5" fillId="0" borderId="0" xfId="16" applyNumberFormat="1" applyFont="1" applyFill="1" applyAlignment="1">
      <alignment horizontal="center"/>
    </xf>
    <xf numFmtId="3" fontId="5" fillId="0" borderId="5" xfId="16" applyNumberFormat="1" applyFont="1" applyFill="1" applyBorder="1" applyAlignment="1">
      <alignment horizontal="center"/>
    </xf>
    <xf numFmtId="3" fontId="5" fillId="0" borderId="8" xfId="16" applyNumberFormat="1" applyFont="1" applyFill="1" applyBorder="1" applyAlignment="1">
      <alignment horizontal="center"/>
    </xf>
    <xf numFmtId="3" fontId="3" fillId="0" borderId="0" xfId="16" applyNumberFormat="1" applyFont="1" applyFill="1" applyAlignment="1">
      <alignment horizontal="center"/>
    </xf>
    <xf numFmtId="167" fontId="3" fillId="0" borderId="0" xfId="16" applyNumberFormat="1" applyFont="1" applyFill="1"/>
    <xf numFmtId="166" fontId="3" fillId="0" borderId="0" xfId="16" applyNumberFormat="1" applyFont="1" applyFill="1"/>
    <xf numFmtId="166" fontId="3" fillId="0" borderId="10" xfId="16" applyNumberFormat="1" applyFont="1" applyFill="1" applyBorder="1"/>
    <xf numFmtId="37" fontId="3" fillId="0" borderId="0" xfId="16" applyNumberFormat="1" applyFont="1" applyFill="1"/>
    <xf numFmtId="37" fontId="3" fillId="0" borderId="10" xfId="16" applyNumberFormat="1" applyFont="1" applyFill="1" applyBorder="1"/>
    <xf numFmtId="5" fontId="3" fillId="0" borderId="13" xfId="16" applyNumberFormat="1" applyFont="1" applyFill="1" applyBorder="1"/>
    <xf numFmtId="10" fontId="3" fillId="0" borderId="0" xfId="19" applyNumberFormat="1" applyFont="1" applyFill="1"/>
    <xf numFmtId="3" fontId="5" fillId="0" borderId="0" xfId="16" applyNumberFormat="1" applyFont="1" applyFill="1"/>
    <xf numFmtId="3" fontId="3" fillId="0" borderId="0" xfId="16" applyNumberFormat="1" applyFont="1" applyFill="1" applyBorder="1" applyAlignment="1">
      <alignment horizontal="center"/>
    </xf>
    <xf numFmtId="3" fontId="3" fillId="0" borderId="0" xfId="16" applyNumberFormat="1" applyFont="1" applyFill="1" applyBorder="1"/>
    <xf numFmtId="37" fontId="23" fillId="0" borderId="0" xfId="0" applyFont="1" applyBorder="1"/>
    <xf numFmtId="37" fontId="23" fillId="0" borderId="0" xfId="0" applyFont="1" applyAlignment="1">
      <alignment horizontal="center"/>
    </xf>
    <xf numFmtId="37" fontId="23" fillId="0" borderId="0" xfId="0" applyFont="1"/>
    <xf numFmtId="37" fontId="23" fillId="0" borderId="0" xfId="0" applyNumberFormat="1" applyFont="1" applyBorder="1"/>
    <xf numFmtId="37" fontId="33" fillId="0" borderId="0" xfId="0" applyFont="1" applyAlignment="1">
      <alignment horizontal="center"/>
    </xf>
    <xf numFmtId="37" fontId="19" fillId="0" borderId="0" xfId="0" applyFont="1" applyBorder="1"/>
    <xf numFmtId="37" fontId="16" fillId="0" borderId="0" xfId="0" applyFont="1" applyAlignment="1">
      <alignment horizontal="center"/>
    </xf>
    <xf numFmtId="37" fontId="26" fillId="0" borderId="0" xfId="0" applyFont="1"/>
    <xf numFmtId="172" fontId="19" fillId="0" borderId="0" xfId="1" applyNumberFormat="1" applyFont="1"/>
    <xf numFmtId="172" fontId="19" fillId="0" borderId="0" xfId="1" applyNumberFormat="1" applyFont="1" applyBorder="1"/>
    <xf numFmtId="172" fontId="10" fillId="0" borderId="3" xfId="4" applyNumberFormat="1" applyFont="1" applyBorder="1"/>
    <xf numFmtId="6" fontId="10" fillId="0" borderId="0" xfId="0" applyNumberFormat="1" applyFont="1" applyBorder="1"/>
    <xf numFmtId="37" fontId="10" fillId="0" borderId="0" xfId="0" applyFont="1" applyFill="1" applyBorder="1"/>
    <xf numFmtId="3" fontId="10" fillId="0" borderId="0" xfId="0" applyNumberFormat="1" applyFont="1" applyAlignment="1">
      <alignment horizontal="center"/>
    </xf>
    <xf numFmtId="174" fontId="3" fillId="0" borderId="0" xfId="16" applyNumberFormat="1" applyFont="1" applyFill="1"/>
    <xf numFmtId="10" fontId="3" fillId="0" borderId="10" xfId="19" applyNumberFormat="1" applyFont="1" applyBorder="1"/>
    <xf numFmtId="167" fontId="5" fillId="0" borderId="1" xfId="11" applyNumberFormat="1" applyFont="1" applyFill="1" applyBorder="1" applyAlignment="1">
      <alignment horizontal="center"/>
    </xf>
    <xf numFmtId="167" fontId="5" fillId="0" borderId="5" xfId="11" applyNumberFormat="1" applyFont="1" applyFill="1" applyBorder="1" applyAlignment="1">
      <alignment horizontal="center"/>
    </xf>
    <xf numFmtId="0" fontId="3" fillId="3" borderId="0" xfId="16" applyFont="1" applyFill="1"/>
    <xf numFmtId="0" fontId="3" fillId="3" borderId="0" xfId="16" applyNumberFormat="1" applyFont="1" applyFill="1" applyAlignment="1">
      <alignment horizontal="center"/>
    </xf>
    <xf numFmtId="3" fontId="3" fillId="3" borderId="0" xfId="16" applyNumberFormat="1" applyFont="1" applyFill="1"/>
    <xf numFmtId="0" fontId="5" fillId="3" borderId="0" xfId="16" applyFont="1" applyFill="1" applyAlignment="1">
      <alignment horizontal="center"/>
    </xf>
    <xf numFmtId="0" fontId="4" fillId="3" borderId="0" xfId="16" applyFont="1" applyFill="1" applyAlignment="1">
      <alignment horizontal="center"/>
    </xf>
    <xf numFmtId="5" fontId="3" fillId="3" borderId="0" xfId="16" applyNumberFormat="1" applyFont="1" applyFill="1"/>
    <xf numFmtId="37" fontId="3" fillId="3" borderId="0" xfId="16" applyNumberFormat="1" applyFont="1" applyFill="1"/>
    <xf numFmtId="175" fontId="3" fillId="4" borderId="0" xfId="18" applyFont="1" applyFill="1"/>
    <xf numFmtId="175" fontId="3" fillId="0" borderId="0" xfId="18" applyFont="1"/>
    <xf numFmtId="3" fontId="3" fillId="0" borderId="0" xfId="18" applyNumberFormat="1" applyFont="1"/>
    <xf numFmtId="175" fontId="2" fillId="0" borderId="0" xfId="18" applyFont="1"/>
    <xf numFmtId="175" fontId="5" fillId="0" borderId="0" xfId="18" applyFont="1" applyAlignment="1">
      <alignment horizontal="center"/>
    </xf>
    <xf numFmtId="175" fontId="3" fillId="0" borderId="0" xfId="18" applyFont="1" applyBorder="1"/>
    <xf numFmtId="175" fontId="3" fillId="0" borderId="0" xfId="18" applyFont="1" applyAlignment="1">
      <alignment horizontal="center"/>
    </xf>
    <xf numFmtId="0" fontId="3" fillId="0" borderId="7" xfId="18" applyNumberFormat="1" applyFont="1" applyBorder="1" applyAlignment="1">
      <alignment horizontal="center"/>
    </xf>
    <xf numFmtId="5" fontId="3" fillId="0" borderId="0" xfId="18" applyNumberFormat="1" applyFont="1"/>
    <xf numFmtId="5" fontId="3" fillId="0" borderId="0" xfId="11" applyNumberFormat="1" applyFont="1" applyFill="1"/>
    <xf numFmtId="41" fontId="3" fillId="0" borderId="0" xfId="2" applyFont="1" applyFill="1"/>
    <xf numFmtId="5" fontId="3" fillId="0" borderId="0" xfId="2" applyNumberFormat="1" applyFont="1" applyFill="1"/>
    <xf numFmtId="37" fontId="3" fillId="0" borderId="0" xfId="18" applyNumberFormat="1" applyFont="1"/>
    <xf numFmtId="41" fontId="3" fillId="0" borderId="10" xfId="2" applyFont="1" applyFill="1" applyBorder="1"/>
    <xf numFmtId="166" fontId="3" fillId="0" borderId="0" xfId="11" applyNumberFormat="1" applyFont="1" applyFill="1"/>
    <xf numFmtId="37" fontId="3" fillId="0" borderId="0" xfId="18" applyNumberFormat="1" applyFont="1" applyBorder="1"/>
    <xf numFmtId="175" fontId="3" fillId="0" borderId="0" xfId="18" applyFont="1" applyFill="1" applyBorder="1"/>
    <xf numFmtId="10" fontId="3" fillId="0" borderId="19" xfId="19" applyNumberFormat="1" applyFont="1" applyFill="1" applyBorder="1"/>
    <xf numFmtId="3" fontId="3" fillId="0" borderId="0" xfId="18" applyNumberFormat="1" applyFont="1" applyFill="1" applyBorder="1"/>
    <xf numFmtId="10" fontId="3" fillId="0" borderId="0" xfId="19" applyNumberFormat="1" applyFont="1" applyFill="1" applyBorder="1"/>
    <xf numFmtId="41" fontId="3" fillId="0" borderId="0" xfId="7" applyFont="1" applyBorder="1"/>
    <xf numFmtId="41" fontId="35" fillId="0" borderId="0" xfId="7" applyFont="1" applyBorder="1"/>
    <xf numFmtId="41" fontId="3" fillId="0" borderId="0" xfId="7" applyFont="1" applyFill="1" applyBorder="1" applyAlignment="1">
      <alignment horizontal="right"/>
    </xf>
    <xf numFmtId="175" fontId="3" fillId="0" borderId="0" xfId="18" applyFont="1" applyBorder="1" applyAlignment="1">
      <alignment horizontal="right"/>
    </xf>
    <xf numFmtId="41" fontId="3" fillId="0" borderId="12" xfId="7" applyNumberFormat="1" applyFont="1" applyFill="1" applyBorder="1"/>
    <xf numFmtId="41" fontId="3" fillId="0" borderId="0" xfId="7" applyNumberFormat="1" applyFont="1" applyFill="1" applyBorder="1"/>
    <xf numFmtId="41" fontId="3" fillId="0" borderId="0" xfId="7" applyFont="1" applyBorder="1" applyAlignment="1">
      <alignment horizontal="left"/>
    </xf>
    <xf numFmtId="41" fontId="3" fillId="0" borderId="0" xfId="7" applyNumberFormat="1" applyFont="1" applyFill="1" applyBorder="1" applyAlignment="1">
      <alignment horizontal="right"/>
    </xf>
    <xf numFmtId="175" fontId="3" fillId="0" borderId="0" xfId="7" applyNumberFormat="1" applyFont="1" applyFill="1" applyBorder="1" applyAlignment="1">
      <alignment horizontal="right"/>
    </xf>
    <xf numFmtId="175" fontId="3" fillId="0" borderId="0" xfId="7" applyNumberFormat="1" applyFont="1" applyFill="1" applyBorder="1"/>
    <xf numFmtId="41" fontId="3" fillId="0" borderId="0" xfId="7" applyFont="1" applyBorder="1" applyAlignment="1">
      <alignment horizontal="right"/>
    </xf>
    <xf numFmtId="37" fontId="3" fillId="0" borderId="12" xfId="7" applyNumberFormat="1" applyFont="1" applyFill="1" applyBorder="1"/>
    <xf numFmtId="41" fontId="3" fillId="0" borderId="3" xfId="7" applyNumberFormat="1" applyFont="1" applyFill="1" applyBorder="1" applyAlignment="1">
      <alignment horizontal="right"/>
    </xf>
    <xf numFmtId="166" fontId="3" fillId="0" borderId="0" xfId="7" applyNumberFormat="1" applyFont="1" applyFill="1" applyBorder="1"/>
    <xf numFmtId="43" fontId="3" fillId="0" borderId="10" xfId="7" applyNumberFormat="1" applyFont="1" applyFill="1" applyBorder="1" applyAlignment="1">
      <alignment horizontal="right"/>
    </xf>
    <xf numFmtId="37" fontId="3" fillId="0" borderId="10" xfId="7" applyNumberFormat="1" applyFont="1" applyFill="1" applyBorder="1"/>
    <xf numFmtId="166" fontId="3" fillId="0" borderId="10" xfId="7" applyNumberFormat="1" applyFont="1" applyFill="1" applyBorder="1"/>
    <xf numFmtId="41" fontId="5" fillId="0" borderId="0" xfId="7" applyFont="1" applyBorder="1"/>
    <xf numFmtId="41" fontId="35" fillId="0" borderId="7" xfId="7" applyFont="1" applyBorder="1"/>
    <xf numFmtId="0" fontId="3" fillId="0" borderId="0" xfId="18" applyNumberFormat="1" applyFont="1" applyAlignment="1">
      <alignment horizontal="center"/>
    </xf>
    <xf numFmtId="0" fontId="3" fillId="0" borderId="0" xfId="18" applyNumberFormat="1" applyFont="1" applyFill="1" applyBorder="1" applyAlignment="1">
      <alignment horizontal="center"/>
    </xf>
    <xf numFmtId="0" fontId="3" fillId="0" borderId="0" xfId="18" applyNumberFormat="1" applyFont="1" applyBorder="1" applyAlignment="1">
      <alignment horizontal="center"/>
    </xf>
    <xf numFmtId="41" fontId="3" fillId="0" borderId="0" xfId="7" applyFont="1" applyBorder="1" applyAlignment="1">
      <alignment horizontal="center"/>
    </xf>
    <xf numFmtId="166" fontId="3" fillId="0" borderId="0" xfId="11" applyNumberFormat="1" applyFont="1" applyFill="1" applyBorder="1"/>
    <xf numFmtId="175" fontId="3" fillId="3" borderId="0" xfId="18" applyFont="1" applyFill="1"/>
    <xf numFmtId="0" fontId="3" fillId="3" borderId="0" xfId="18" applyNumberFormat="1" applyFont="1" applyFill="1" applyAlignment="1">
      <alignment horizontal="center"/>
    </xf>
    <xf numFmtId="3" fontId="3" fillId="3" borderId="0" xfId="18" applyNumberFormat="1" applyFont="1" applyFill="1"/>
    <xf numFmtId="175" fontId="2" fillId="3" borderId="0" xfId="18" applyFont="1" applyFill="1"/>
    <xf numFmtId="175" fontId="5" fillId="3" borderId="0" xfId="18" applyFont="1" applyFill="1" applyAlignment="1">
      <alignment horizontal="center"/>
    </xf>
    <xf numFmtId="175" fontId="3" fillId="3" borderId="0" xfId="18" applyFont="1" applyFill="1" applyAlignment="1">
      <alignment horizontal="center"/>
    </xf>
    <xf numFmtId="5" fontId="3" fillId="3" borderId="0" xfId="18" applyNumberFormat="1" applyFont="1" applyFill="1"/>
    <xf numFmtId="175" fontId="3" fillId="3" borderId="0" xfId="18" applyFont="1" applyFill="1" applyBorder="1"/>
    <xf numFmtId="37" fontId="3" fillId="0" borderId="17" xfId="18" applyNumberFormat="1" applyFont="1" applyBorder="1"/>
    <xf numFmtId="166" fontId="3" fillId="0" borderId="0" xfId="16" applyNumberFormat="1" applyFont="1" applyFill="1" applyBorder="1"/>
    <xf numFmtId="175" fontId="3" fillId="0" borderId="0" xfId="18" applyFont="1" applyFill="1" applyBorder="1" applyAlignment="1"/>
    <xf numFmtId="10" fontId="3" fillId="0" borderId="10" xfId="19" applyNumberFormat="1" applyFont="1" applyFill="1" applyBorder="1" applyAlignment="1">
      <alignment horizontal="right"/>
    </xf>
    <xf numFmtId="41" fontId="3" fillId="0" borderId="0" xfId="7"/>
    <xf numFmtId="37" fontId="0" fillId="3" borderId="0" xfId="0" applyFill="1"/>
    <xf numFmtId="42" fontId="3" fillId="0" borderId="13" xfId="16" applyNumberFormat="1" applyFont="1" applyFill="1" applyBorder="1" applyAlignment="1">
      <alignment horizontal="right"/>
    </xf>
    <xf numFmtId="0" fontId="25" fillId="0" borderId="0" xfId="16" applyNumberFormat="1" applyFont="1" applyAlignment="1">
      <alignment horizontal="left"/>
    </xf>
    <xf numFmtId="41" fontId="5" fillId="0" borderId="0" xfId="12" applyFont="1" applyFill="1" applyAlignment="1">
      <alignment horizontal="center"/>
    </xf>
    <xf numFmtId="0" fontId="6" fillId="0" borderId="0" xfId="16" applyFont="1" applyAlignment="1">
      <alignment horizontal="right"/>
    </xf>
    <xf numFmtId="41" fontId="3" fillId="0" borderId="17" xfId="2" applyFont="1" applyFill="1" applyBorder="1"/>
    <xf numFmtId="37" fontId="36" fillId="0" borderId="0" xfId="15"/>
    <xf numFmtId="37" fontId="36" fillId="0" borderId="0" xfId="15" applyAlignment="1">
      <alignment horizontal="right"/>
    </xf>
    <xf numFmtId="172" fontId="36" fillId="0" borderId="0" xfId="3" applyNumberFormat="1" applyFont="1"/>
    <xf numFmtId="0" fontId="45" fillId="0" borderId="0" xfId="0" applyNumberFormat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/>
    <xf numFmtId="37" fontId="30" fillId="0" borderId="0" xfId="15" applyFont="1"/>
    <xf numFmtId="41" fontId="34" fillId="0" borderId="0" xfId="12"/>
    <xf numFmtId="37" fontId="11" fillId="0" borderId="0" xfId="15" applyFont="1" applyAlignment="1">
      <alignment horizontal="center"/>
    </xf>
    <xf numFmtId="41" fontId="12" fillId="0" borderId="0" xfId="12" applyFont="1"/>
    <xf numFmtId="1" fontId="34" fillId="0" borderId="7" xfId="12" applyNumberFormat="1" applyBorder="1" applyAlignment="1">
      <alignment horizontal="center"/>
    </xf>
    <xf numFmtId="41" fontId="34" fillId="0" borderId="0" xfId="12" applyBorder="1" applyAlignment="1">
      <alignment horizontal="center"/>
    </xf>
    <xf numFmtId="37" fontId="38" fillId="0" borderId="0" xfId="15" applyFont="1" applyAlignment="1">
      <alignment horizontal="center"/>
    </xf>
    <xf numFmtId="37" fontId="36" fillId="0" borderId="0" xfId="15" applyFill="1"/>
    <xf numFmtId="37" fontId="39" fillId="0" borderId="0" xfId="15" applyFont="1" applyFill="1" applyAlignment="1">
      <alignment horizontal="right"/>
    </xf>
    <xf numFmtId="172" fontId="40" fillId="0" borderId="0" xfId="3" applyNumberFormat="1" applyFont="1" applyBorder="1"/>
    <xf numFmtId="10" fontId="36" fillId="0" borderId="0" xfId="20" applyFont="1" applyFill="1" applyAlignment="1">
      <alignment horizontal="center"/>
    </xf>
    <xf numFmtId="10" fontId="36" fillId="0" borderId="0" xfId="20" applyFont="1" applyFill="1"/>
    <xf numFmtId="37" fontId="39" fillId="0" borderId="0" xfId="15" applyFont="1" applyAlignment="1">
      <alignment horizontal="right"/>
    </xf>
    <xf numFmtId="37" fontId="36" fillId="0" borderId="10" xfId="15" applyBorder="1" applyAlignment="1">
      <alignment horizontal="center"/>
    </xf>
    <xf numFmtId="172" fontId="39" fillId="0" borderId="0" xfId="3" applyNumberFormat="1" applyFont="1" applyFill="1" applyAlignment="1">
      <alignment horizontal="left"/>
    </xf>
    <xf numFmtId="10" fontId="36" fillId="0" borderId="0" xfId="20" applyFont="1"/>
    <xf numFmtId="10" fontId="36" fillId="0" borderId="0" xfId="19" applyNumberFormat="1" applyFont="1"/>
    <xf numFmtId="10" fontId="36" fillId="0" borderId="0" xfId="20" applyNumberFormat="1" applyFont="1"/>
    <xf numFmtId="172" fontId="39" fillId="0" borderId="0" xfId="3" applyNumberFormat="1" applyFont="1" applyAlignment="1">
      <alignment horizontal="right"/>
    </xf>
    <xf numFmtId="10" fontId="36" fillId="0" borderId="12" xfId="20" applyFont="1" applyBorder="1"/>
    <xf numFmtId="37" fontId="10" fillId="0" borderId="0" xfId="15" applyFont="1" applyBorder="1"/>
    <xf numFmtId="37" fontId="36" fillId="0" borderId="0" xfId="15" applyBorder="1"/>
    <xf numFmtId="0" fontId="42" fillId="0" borderId="0" xfId="8"/>
    <xf numFmtId="41" fontId="11" fillId="0" borderId="0" xfId="12" applyFont="1"/>
    <xf numFmtId="0" fontId="42" fillId="0" borderId="0" xfId="14"/>
    <xf numFmtId="41" fontId="30" fillId="0" borderId="0" xfId="12" applyFont="1"/>
    <xf numFmtId="0" fontId="43" fillId="0" borderId="0" xfId="8" applyFont="1" applyBorder="1" applyAlignment="1">
      <alignment horizontal="left"/>
    </xf>
    <xf numFmtId="0" fontId="36" fillId="0" borderId="0" xfId="8" applyFont="1" applyBorder="1" applyAlignment="1"/>
    <xf numFmtId="41" fontId="34" fillId="0" borderId="7" xfId="12" applyBorder="1" applyAlignment="1">
      <alignment horizontal="center"/>
    </xf>
    <xf numFmtId="37" fontId="39" fillId="0" borderId="0" xfId="15" applyFont="1" applyAlignment="1">
      <alignment horizontal="left"/>
    </xf>
    <xf numFmtId="0" fontId="42" fillId="0" borderId="0" xfId="8" applyBorder="1"/>
    <xf numFmtId="0" fontId="44" fillId="0" borderId="0" xfId="14" applyFont="1" applyFill="1" applyBorder="1" applyAlignment="1">
      <alignment horizontal="right"/>
    </xf>
    <xf numFmtId="0" fontId="11" fillId="0" borderId="0" xfId="14" applyFont="1" applyFill="1" applyBorder="1" applyAlignment="1">
      <alignment horizontal="center"/>
    </xf>
    <xf numFmtId="176" fontId="36" fillId="0" borderId="0" xfId="19" applyNumberFormat="1" applyFont="1" applyFill="1" applyBorder="1" applyAlignment="1"/>
    <xf numFmtId="0" fontId="36" fillId="0" borderId="0" xfId="14" applyFont="1" applyFill="1" applyBorder="1" applyAlignment="1"/>
    <xf numFmtId="0" fontId="44" fillId="0" borderId="0" xfId="14" applyFont="1" applyFill="1" applyBorder="1" applyAlignment="1">
      <alignment horizontal="left"/>
    </xf>
    <xf numFmtId="169" fontId="36" fillId="0" borderId="0" xfId="14" applyNumberFormat="1" applyFont="1" applyFill="1" applyBorder="1" applyAlignment="1"/>
    <xf numFmtId="0" fontId="36" fillId="0" borderId="0" xfId="14" applyFont="1" applyFill="1" applyBorder="1" applyAlignment="1">
      <alignment horizontal="center"/>
    </xf>
    <xf numFmtId="0" fontId="39" fillId="0" borderId="0" xfId="14" applyFont="1" applyFill="1" applyBorder="1" applyAlignment="1">
      <alignment horizontal="right"/>
    </xf>
    <xf numFmtId="176" fontId="36" fillId="0" borderId="12" xfId="19" applyNumberFormat="1" applyFont="1" applyFill="1" applyBorder="1" applyAlignment="1"/>
    <xf numFmtId="0" fontId="45" fillId="0" borderId="0" xfId="14" applyFont="1" applyFill="1" applyBorder="1" applyAlignment="1">
      <alignment horizontal="left"/>
    </xf>
    <xf numFmtId="176" fontId="36" fillId="0" borderId="17" xfId="19" applyNumberFormat="1" applyFont="1" applyFill="1" applyBorder="1" applyAlignment="1"/>
    <xf numFmtId="0" fontId="43" fillId="0" borderId="0" xfId="14" applyFont="1" applyFill="1" applyBorder="1" applyAlignment="1">
      <alignment horizontal="left"/>
    </xf>
    <xf numFmtId="0" fontId="36" fillId="0" borderId="0" xfId="14" applyFont="1" applyFill="1" applyBorder="1" applyAlignment="1">
      <alignment horizontal="right"/>
    </xf>
    <xf numFmtId="177" fontId="36" fillId="0" borderId="0" xfId="14" applyNumberFormat="1" applyFont="1" applyFill="1" applyBorder="1" applyAlignment="1"/>
    <xf numFmtId="177" fontId="42" fillId="0" borderId="0" xfId="14" applyNumberFormat="1"/>
    <xf numFmtId="37" fontId="11" fillId="0" borderId="0" xfId="15" applyFont="1"/>
    <xf numFmtId="0" fontId="42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/>
    <xf numFmtId="41" fontId="30" fillId="0" borderId="0" xfId="0" applyNumberFormat="1" applyFont="1" applyFill="1" applyBorder="1" applyAlignment="1" applyProtection="1"/>
    <xf numFmtId="37" fontId="39" fillId="0" borderId="0" xfId="0" applyNumberFormat="1" applyFont="1" applyFill="1" applyBorder="1" applyAlignment="1" applyProtection="1">
      <alignment horizontal="left"/>
    </xf>
    <xf numFmtId="41" fontId="34" fillId="0" borderId="0" xfId="0" applyNumberFormat="1" applyFont="1" applyFill="1" applyBorder="1" applyAlignment="1" applyProtection="1"/>
    <xf numFmtId="41" fontId="12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right"/>
    </xf>
    <xf numFmtId="0" fontId="39" fillId="0" borderId="0" xfId="0" applyNumberFormat="1" applyFont="1" applyFill="1" applyBorder="1" applyAlignment="1" applyProtection="1">
      <alignment horizontal="center"/>
    </xf>
    <xf numFmtId="0" fontId="39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right"/>
    </xf>
    <xf numFmtId="41" fontId="39" fillId="0" borderId="0" xfId="0" applyNumberFormat="1" applyFont="1" applyFill="1" applyBorder="1" applyAlignment="1" applyProtection="1">
      <alignment horizontal="centerContinuous"/>
    </xf>
    <xf numFmtId="41" fontId="39" fillId="0" borderId="10" xfId="0" applyNumberFormat="1" applyFont="1" applyFill="1" applyBorder="1" applyAlignment="1" applyProtection="1">
      <alignment horizontal="center"/>
    </xf>
    <xf numFmtId="0" fontId="44" fillId="0" borderId="0" xfId="0" applyNumberFormat="1" applyFont="1" applyFill="1" applyBorder="1" applyAlignment="1" applyProtection="1">
      <alignment horizontal="left"/>
    </xf>
    <xf numFmtId="0" fontId="44" fillId="0" borderId="0" xfId="0" applyNumberFormat="1" applyFont="1" applyFill="1" applyBorder="1" applyAlignment="1" applyProtection="1">
      <alignment horizontal="right"/>
    </xf>
    <xf numFmtId="10" fontId="40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>
      <alignment horizontal="left"/>
    </xf>
    <xf numFmtId="172" fontId="36" fillId="0" borderId="12" xfId="0" applyNumberFormat="1" applyFont="1" applyFill="1" applyBorder="1" applyAlignment="1" applyProtection="1"/>
    <xf numFmtId="5" fontId="40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>
      <alignment horizontal="left"/>
    </xf>
    <xf numFmtId="41" fontId="40" fillId="0" borderId="0" xfId="0" applyNumberFormat="1" applyFont="1" applyFill="1" applyBorder="1" applyAlignment="1" applyProtection="1"/>
    <xf numFmtId="176" fontId="40" fillId="0" borderId="0" xfId="0" applyNumberFormat="1" applyFont="1" applyFill="1" applyBorder="1" applyAlignment="1" applyProtection="1"/>
    <xf numFmtId="41" fontId="34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37" fontId="3" fillId="0" borderId="13" xfId="16" applyNumberFormat="1" applyFont="1" applyBorder="1"/>
    <xf numFmtId="37" fontId="3" fillId="0" borderId="13" xfId="16" applyNumberFormat="1" applyFont="1" applyFill="1" applyBorder="1"/>
    <xf numFmtId="37" fontId="3" fillId="0" borderId="12" xfId="16" applyNumberFormat="1" applyFont="1" applyFill="1" applyBorder="1"/>
    <xf numFmtId="0" fontId="3" fillId="0" borderId="0" xfId="18" applyNumberFormat="1" applyFont="1" applyFill="1" applyAlignment="1">
      <alignment horizontal="left"/>
    </xf>
    <xf numFmtId="175" fontId="3" fillId="0" borderId="0" xfId="18" applyFont="1" applyFill="1"/>
    <xf numFmtId="3" fontId="5" fillId="0" borderId="0" xfId="18" applyNumberFormat="1" applyFont="1" applyFill="1"/>
    <xf numFmtId="3" fontId="3" fillId="0" borderId="0" xfId="18" applyNumberFormat="1" applyFont="1" applyFill="1"/>
    <xf numFmtId="175" fontId="2" fillId="0" borderId="0" xfId="18" applyFont="1" applyFill="1"/>
    <xf numFmtId="175" fontId="3" fillId="0" borderId="0" xfId="18" applyFont="1" applyFill="1" applyAlignment="1">
      <alignment horizontal="right"/>
    </xf>
    <xf numFmtId="0" fontId="25" fillId="0" borderId="0" xfId="18" applyNumberFormat="1" applyFont="1" applyFill="1" applyAlignment="1">
      <alignment horizontal="left"/>
    </xf>
    <xf numFmtId="0" fontId="5" fillId="0" borderId="0" xfId="18" applyNumberFormat="1" applyFont="1" applyFill="1" applyAlignment="1">
      <alignment horizontal="center"/>
    </xf>
    <xf numFmtId="175" fontId="5" fillId="0" borderId="0" xfId="18" applyFont="1" applyFill="1" applyAlignment="1">
      <alignment horizontal="center"/>
    </xf>
    <xf numFmtId="0" fontId="5" fillId="0" borderId="0" xfId="18" applyNumberFormat="1" applyFont="1" applyFill="1" applyBorder="1" applyAlignment="1">
      <alignment horizontal="center"/>
    </xf>
    <xf numFmtId="175" fontId="5" fillId="0" borderId="0" xfId="18" applyFont="1" applyFill="1" applyBorder="1" applyAlignment="1">
      <alignment horizontal="center"/>
    </xf>
    <xf numFmtId="3" fontId="5" fillId="0" borderId="0" xfId="18" applyNumberFormat="1" applyFont="1" applyFill="1" applyBorder="1" applyAlignment="1">
      <alignment horizontal="center"/>
    </xf>
    <xf numFmtId="0" fontId="5" fillId="0" borderId="10" xfId="18" applyNumberFormat="1" applyFont="1" applyFill="1" applyBorder="1" applyAlignment="1">
      <alignment horizontal="center"/>
    </xf>
    <xf numFmtId="175" fontId="5" fillId="0" borderId="10" xfId="18" applyFont="1" applyFill="1" applyBorder="1" applyAlignment="1">
      <alignment horizontal="center"/>
    </xf>
    <xf numFmtId="3" fontId="5" fillId="0" borderId="10" xfId="18" applyNumberFormat="1" applyFont="1" applyFill="1" applyBorder="1" applyAlignment="1">
      <alignment horizontal="center"/>
    </xf>
    <xf numFmtId="0" fontId="3" fillId="0" borderId="4" xfId="18" applyNumberFormat="1" applyFont="1" applyFill="1" applyBorder="1" applyAlignment="1">
      <alignment horizontal="center"/>
    </xf>
    <xf numFmtId="175" fontId="3" fillId="0" borderId="12" xfId="18" applyFont="1" applyFill="1" applyBorder="1" applyAlignment="1">
      <alignment horizontal="center"/>
    </xf>
    <xf numFmtId="0" fontId="3" fillId="0" borderId="7" xfId="18" applyNumberFormat="1" applyFont="1" applyFill="1" applyBorder="1" applyAlignment="1">
      <alignment horizontal="center"/>
    </xf>
    <xf numFmtId="0" fontId="3" fillId="0" borderId="0" xfId="16" applyFont="1" applyFill="1"/>
    <xf numFmtId="5" fontId="3" fillId="0" borderId="0" xfId="16" applyNumberFormat="1" applyFont="1" applyFill="1"/>
    <xf numFmtId="5" fontId="3" fillId="0" borderId="0" xfId="18" applyNumberFormat="1" applyFont="1" applyFill="1"/>
    <xf numFmtId="5" fontId="3" fillId="0" borderId="0" xfId="0" applyNumberFormat="1" applyFont="1" applyFill="1" applyProtection="1">
      <protection locked="0"/>
    </xf>
    <xf numFmtId="37" fontId="3" fillId="0" borderId="0" xfId="18" applyNumberFormat="1" applyFont="1" applyFill="1"/>
    <xf numFmtId="37" fontId="3" fillId="0" borderId="0" xfId="0" applyNumberFormat="1" applyFont="1" applyFill="1" applyProtection="1">
      <protection locked="0"/>
    </xf>
    <xf numFmtId="37" fontId="3" fillId="0" borderId="10" xfId="18" applyNumberFormat="1" applyFont="1" applyFill="1" applyBorder="1"/>
    <xf numFmtId="37" fontId="3" fillId="0" borderId="3" xfId="0" applyNumberFormat="1" applyFont="1" applyFill="1" applyBorder="1"/>
    <xf numFmtId="37" fontId="3" fillId="0" borderId="0" xfId="0" applyNumberFormat="1" applyFont="1" applyFill="1"/>
    <xf numFmtId="37" fontId="3" fillId="0" borderId="12" xfId="0" applyNumberFormat="1" applyFont="1" applyFill="1" applyBorder="1"/>
    <xf numFmtId="37" fontId="3" fillId="0" borderId="10" xfId="0" applyNumberFormat="1" applyFont="1" applyFill="1" applyBorder="1"/>
    <xf numFmtId="41" fontId="3" fillId="0" borderId="0" xfId="2" applyFont="1" applyFill="1" applyBorder="1"/>
    <xf numFmtId="37" fontId="3" fillId="0" borderId="0" xfId="18" applyNumberFormat="1" applyFont="1" applyFill="1" applyBorder="1"/>
    <xf numFmtId="37" fontId="3" fillId="0" borderId="17" xfId="18" applyNumberFormat="1" applyFont="1" applyFill="1" applyBorder="1"/>
    <xf numFmtId="37" fontId="3" fillId="0" borderId="10" xfId="0" applyNumberFormat="1" applyFont="1" applyFill="1" applyBorder="1" applyProtection="1">
      <protection locked="0"/>
    </xf>
    <xf numFmtId="41" fontId="3" fillId="0" borderId="3" xfId="2" applyFont="1" applyFill="1" applyBorder="1"/>
    <xf numFmtId="37" fontId="3" fillId="0" borderId="0" xfId="0" applyNumberFormat="1" applyFont="1" applyFill="1" applyBorder="1" applyProtection="1">
      <protection locked="0"/>
    </xf>
    <xf numFmtId="3" fontId="3" fillId="0" borderId="17" xfId="18" applyNumberFormat="1" applyFont="1" applyFill="1" applyBorder="1"/>
    <xf numFmtId="10" fontId="3" fillId="0" borderId="13" xfId="19" applyNumberFormat="1" applyFont="1" applyFill="1" applyBorder="1"/>
    <xf numFmtId="41" fontId="3" fillId="0" borderId="0" xfId="7" applyFont="1" applyFill="1" applyBorder="1" applyAlignment="1">
      <alignment horizontal="left"/>
    </xf>
    <xf numFmtId="41" fontId="3" fillId="0" borderId="0" xfId="7" applyFont="1" applyFill="1" applyBorder="1"/>
    <xf numFmtId="41" fontId="35" fillId="0" borderId="0" xfId="7" applyFont="1" applyFill="1" applyBorder="1"/>
    <xf numFmtId="175" fontId="3" fillId="0" borderId="0" xfId="18" applyFont="1" applyFill="1" applyBorder="1" applyAlignment="1">
      <alignment horizontal="right"/>
    </xf>
    <xf numFmtId="37" fontId="3" fillId="0" borderId="12" xfId="18" applyNumberFormat="1" applyFont="1" applyFill="1" applyBorder="1"/>
    <xf numFmtId="41" fontId="5" fillId="0" borderId="0" xfId="7" applyFont="1" applyFill="1" applyBorder="1"/>
    <xf numFmtId="41" fontId="35" fillId="0" borderId="7" xfId="7" applyFont="1" applyFill="1" applyBorder="1"/>
    <xf numFmtId="175" fontId="46" fillId="3" borderId="0" xfId="18" applyFont="1" applyFill="1"/>
    <xf numFmtId="0" fontId="5" fillId="0" borderId="0" xfId="18" applyNumberFormat="1" applyFont="1" applyAlignment="1">
      <alignment horizontal="left"/>
    </xf>
    <xf numFmtId="37" fontId="3" fillId="0" borderId="0" xfId="18" applyNumberFormat="1" applyFont="1" applyBorder="1" applyAlignment="1">
      <alignment horizontal="center"/>
    </xf>
    <xf numFmtId="3" fontId="25" fillId="0" borderId="0" xfId="16" applyNumberFormat="1" applyFont="1" applyFill="1" applyAlignment="1">
      <alignment horizontal="center"/>
    </xf>
    <xf numFmtId="3" fontId="29" fillId="0" borderId="0" xfId="16" applyNumberFormat="1" applyFont="1" applyFill="1" applyAlignment="1">
      <alignment horizontal="center"/>
    </xf>
    <xf numFmtId="37" fontId="10" fillId="4" borderId="0" xfId="0" applyFont="1" applyFill="1"/>
    <xf numFmtId="37" fontId="10" fillId="4" borderId="0" xfId="0" applyFont="1" applyFill="1" applyAlignment="1">
      <alignment horizontal="center"/>
    </xf>
    <xf numFmtId="37" fontId="23" fillId="4" borderId="0" xfId="0" applyFont="1" applyFill="1" applyAlignment="1">
      <alignment horizontal="center"/>
    </xf>
    <xf numFmtId="37" fontId="19" fillId="4" borderId="0" xfId="0" applyFont="1" applyFill="1"/>
    <xf numFmtId="37" fontId="17" fillId="4" borderId="0" xfId="0" applyFont="1" applyFill="1"/>
    <xf numFmtId="37" fontId="23" fillId="4" borderId="0" xfId="0" applyFont="1" applyFill="1"/>
    <xf numFmtId="37" fontId="27" fillId="4" borderId="0" xfId="0" applyFont="1" applyFill="1"/>
    <xf numFmtId="37" fontId="23" fillId="4" borderId="0" xfId="0" applyFont="1" applyFill="1" applyBorder="1" applyAlignment="1">
      <alignment horizontal="center"/>
    </xf>
    <xf numFmtId="37" fontId="10" fillId="4" borderId="0" xfId="0" applyFont="1" applyFill="1" applyBorder="1"/>
    <xf numFmtId="37" fontId="10" fillId="4" borderId="0" xfId="0" applyFont="1" applyFill="1" applyBorder="1" applyAlignment="1">
      <alignment horizontal="center"/>
    </xf>
    <xf numFmtId="37" fontId="23" fillId="4" borderId="0" xfId="0" applyFont="1" applyFill="1" applyBorder="1"/>
    <xf numFmtId="37" fontId="23" fillId="4" borderId="0" xfId="0" applyFont="1" applyFill="1" applyBorder="1" applyAlignment="1">
      <alignment horizontal="left"/>
    </xf>
    <xf numFmtId="10" fontId="10" fillId="4" borderId="0" xfId="0" applyNumberFormat="1" applyFont="1" applyFill="1" applyBorder="1"/>
    <xf numFmtId="10" fontId="11" fillId="4" borderId="0" xfId="0" applyNumberFormat="1" applyFont="1" applyFill="1" applyBorder="1" applyAlignment="1">
      <alignment horizontal="center"/>
    </xf>
    <xf numFmtId="9" fontId="10" fillId="4" borderId="0" xfId="0" applyNumberFormat="1" applyFont="1" applyFill="1" applyBorder="1" applyAlignment="1">
      <alignment horizontal="center"/>
    </xf>
    <xf numFmtId="172" fontId="3" fillId="0" borderId="0" xfId="1" applyNumberFormat="1" applyFont="1"/>
    <xf numFmtId="37" fontId="36" fillId="8" borderId="0" xfId="15" applyFill="1"/>
    <xf numFmtId="41" fontId="40" fillId="8" borderId="0" xfId="12" applyFont="1" applyFill="1"/>
    <xf numFmtId="175" fontId="25" fillId="0" borderId="0" xfId="18" applyFont="1" applyBorder="1"/>
    <xf numFmtId="41" fontId="25" fillId="0" borderId="0" xfId="7" applyFont="1" applyBorder="1"/>
    <xf numFmtId="37" fontId="16" fillId="0" borderId="0" xfId="15" applyFont="1" applyAlignment="1"/>
    <xf numFmtId="0" fontId="3" fillId="0" borderId="0" xfId="10" applyFont="1" applyAlignment="1">
      <alignment horizontal="left"/>
    </xf>
    <xf numFmtId="37" fontId="36" fillId="0" borderId="0" xfId="15" applyFont="1"/>
    <xf numFmtId="41" fontId="30" fillId="0" borderId="0" xfId="12" applyFont="1" applyAlignment="1">
      <alignment horizontal="left"/>
    </xf>
    <xf numFmtId="0" fontId="25" fillId="0" borderId="0" xfId="10" applyFont="1" applyAlignment="1">
      <alignment horizontal="left"/>
    </xf>
    <xf numFmtId="14" fontId="36" fillId="0" borderId="0" xfId="15" applyNumberFormat="1"/>
    <xf numFmtId="41" fontId="11" fillId="0" borderId="0" xfId="12" applyFont="1" applyAlignment="1">
      <alignment horizontal="center"/>
    </xf>
    <xf numFmtId="37" fontId="34" fillId="0" borderId="7" xfId="12" applyNumberFormat="1" applyBorder="1" applyAlignment="1">
      <alignment horizontal="center"/>
    </xf>
    <xf numFmtId="41" fontId="42" fillId="0" borderId="0" xfId="12" applyFont="1"/>
    <xf numFmtId="37" fontId="10" fillId="0" borderId="0" xfId="15" applyFont="1"/>
    <xf numFmtId="41" fontId="39" fillId="0" borderId="0" xfId="12" applyFont="1" applyAlignment="1">
      <alignment horizontal="center"/>
    </xf>
    <xf numFmtId="10" fontId="40" fillId="0" borderId="0" xfId="20" applyFont="1" applyBorder="1"/>
    <xf numFmtId="37" fontId="36" fillId="0" borderId="10" xfId="15" applyBorder="1"/>
    <xf numFmtId="37" fontId="36" fillId="0" borderId="17" xfId="15" applyBorder="1"/>
    <xf numFmtId="37" fontId="39" fillId="0" borderId="6" xfId="15" applyFont="1" applyFill="1" applyBorder="1" applyAlignment="1">
      <alignment horizontal="right"/>
    </xf>
    <xf numFmtId="37" fontId="40" fillId="0" borderId="10" xfId="15" applyFont="1" applyFill="1" applyBorder="1"/>
    <xf numFmtId="37" fontId="36" fillId="0" borderId="0" xfId="15" applyBorder="1" applyAlignment="1">
      <alignment horizontal="right"/>
    </xf>
    <xf numFmtId="37" fontId="39" fillId="0" borderId="0" xfId="15" applyFont="1" applyFill="1"/>
    <xf numFmtId="37" fontId="36" fillId="0" borderId="13" xfId="15" applyBorder="1"/>
    <xf numFmtId="37" fontId="36" fillId="0" borderId="0" xfId="15" applyBorder="1" applyAlignment="1">
      <alignment horizontal="center"/>
    </xf>
    <xf numFmtId="37" fontId="39" fillId="0" borderId="0" xfId="15" applyFont="1" applyBorder="1"/>
    <xf numFmtId="37" fontId="10" fillId="0" borderId="0" xfId="15" applyFont="1" applyAlignment="1">
      <alignment horizontal="right"/>
    </xf>
    <xf numFmtId="172" fontId="3" fillId="0" borderId="0" xfId="1" applyNumberFormat="1" applyFont="1" applyBorder="1"/>
    <xf numFmtId="172" fontId="3" fillId="0" borderId="0" xfId="1" applyNumberFormat="1" applyFont="1" applyFill="1"/>
    <xf numFmtId="41" fontId="3" fillId="0" borderId="12" xfId="7" applyNumberFormat="1" applyFont="1" applyFill="1" applyBorder="1" applyAlignment="1">
      <alignment horizontal="right"/>
    </xf>
    <xf numFmtId="37" fontId="48" fillId="0" borderId="0" xfId="15" applyFont="1" applyAlignment="1">
      <alignment horizontal="right"/>
    </xf>
    <xf numFmtId="37" fontId="48" fillId="0" borderId="0" xfId="15" applyFont="1" applyAlignment="1"/>
    <xf numFmtId="0" fontId="36" fillId="0" borderId="0" xfId="10" applyFont="1" applyAlignment="1">
      <alignment horizontal="left"/>
    </xf>
    <xf numFmtId="170" fontId="36" fillId="0" borderId="0" xfId="10" applyNumberFormat="1" applyFont="1" applyAlignment="1">
      <alignment horizontal="center"/>
    </xf>
    <xf numFmtId="41" fontId="39" fillId="0" borderId="0" xfId="12" applyFont="1" applyAlignment="1">
      <alignment horizontal="left"/>
    </xf>
    <xf numFmtId="41" fontId="36" fillId="0" borderId="0" xfId="12" applyFont="1"/>
    <xf numFmtId="41" fontId="36" fillId="0" borderId="10" xfId="12" applyFont="1" applyBorder="1"/>
    <xf numFmtId="37" fontId="36" fillId="0" borderId="7" xfId="12" applyNumberFormat="1" applyFont="1" applyBorder="1" applyAlignment="1">
      <alignment horizontal="center"/>
    </xf>
    <xf numFmtId="166" fontId="3" fillId="0" borderId="0" xfId="16" applyNumberFormat="1" applyFont="1" applyBorder="1"/>
    <xf numFmtId="3" fontId="36" fillId="0" borderId="15" xfId="16" applyNumberFormat="1" applyFont="1" applyFill="1" applyBorder="1"/>
    <xf numFmtId="172" fontId="42" fillId="0" borderId="0" xfId="1" applyNumberFormat="1" applyFont="1" applyFill="1" applyBorder="1" applyAlignment="1" applyProtection="1"/>
    <xf numFmtId="172" fontId="42" fillId="0" borderId="17" xfId="1" applyNumberFormat="1" applyFont="1" applyFill="1" applyBorder="1" applyAlignment="1" applyProtection="1"/>
    <xf numFmtId="37" fontId="0" fillId="3" borderId="0" xfId="0" applyFill="1" applyAlignment="1"/>
    <xf numFmtId="37" fontId="0" fillId="0" borderId="0" xfId="0" applyAlignment="1"/>
    <xf numFmtId="1" fontId="34" fillId="0" borderId="7" xfId="0" applyNumberFormat="1" applyFont="1" applyFill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41" fontId="10" fillId="0" borderId="0" xfId="0" applyNumberFormat="1" applyFont="1" applyFill="1" applyBorder="1" applyAlignment="1" applyProtection="1">
      <alignment horizontal="center"/>
    </xf>
    <xf numFmtId="37" fontId="10" fillId="0" borderId="0" xfId="0" applyFont="1" applyFill="1"/>
    <xf numFmtId="37" fontId="3" fillId="0" borderId="0" xfId="0" applyFont="1" applyFill="1"/>
    <xf numFmtId="5" fontId="3" fillId="0" borderId="0" xfId="0" applyNumberFormat="1" applyFont="1" applyFill="1"/>
    <xf numFmtId="171" fontId="3" fillId="0" borderId="10" xfId="19" applyNumberFormat="1" applyFont="1" applyFill="1" applyBorder="1"/>
    <xf numFmtId="10" fontId="10" fillId="0" borderId="0" xfId="19" applyNumberFormat="1" applyFont="1" applyFill="1"/>
    <xf numFmtId="171" fontId="3" fillId="0" borderId="0" xfId="19" applyNumberFormat="1" applyFont="1" applyFill="1" applyBorder="1"/>
    <xf numFmtId="5" fontId="3" fillId="0" borderId="0" xfId="0" applyNumberFormat="1" applyFont="1" applyFill="1" applyBorder="1"/>
    <xf numFmtId="5" fontId="3" fillId="0" borderId="18" xfId="0" applyNumberFormat="1" applyFont="1" applyFill="1" applyBorder="1"/>
    <xf numFmtId="5" fontId="10" fillId="0" borderId="0" xfId="0" applyNumberFormat="1" applyFont="1" applyFill="1"/>
    <xf numFmtId="172" fontId="10" fillId="0" borderId="0" xfId="0" applyNumberFormat="1" applyFont="1" applyFill="1"/>
    <xf numFmtId="3" fontId="10" fillId="0" borderId="0" xfId="0" applyNumberFormat="1" applyFont="1" applyAlignment="1">
      <alignment horizontal="right"/>
    </xf>
    <xf numFmtId="1" fontId="10" fillId="0" borderId="0" xfId="0" applyNumberFormat="1" applyFont="1" applyFill="1" applyAlignment="1">
      <alignment horizontal="center"/>
    </xf>
    <xf numFmtId="37" fontId="36" fillId="0" borderId="5" xfId="15" applyFont="1" applyBorder="1"/>
    <xf numFmtId="37" fontId="10" fillId="0" borderId="0" xfId="15" applyFont="1" applyAlignment="1">
      <alignment horizontal="center"/>
    </xf>
    <xf numFmtId="37" fontId="10" fillId="0" borderId="10" xfId="15" applyFont="1" applyBorder="1" applyAlignment="1">
      <alignment horizontal="center"/>
    </xf>
    <xf numFmtId="10" fontId="36" fillId="0" borderId="12" xfId="20" applyNumberFormat="1" applyFont="1" applyBorder="1"/>
    <xf numFmtId="171" fontId="36" fillId="0" borderId="0" xfId="20" applyNumberFormat="1" applyFont="1" applyFill="1"/>
    <xf numFmtId="10" fontId="36" fillId="0" borderId="0" xfId="19" applyNumberFormat="1" applyFont="1" applyAlignment="1">
      <alignment horizontal="left"/>
    </xf>
    <xf numFmtId="4" fontId="3" fillId="0" borderId="0" xfId="16" applyNumberFormat="1" applyFont="1"/>
    <xf numFmtId="41" fontId="0" fillId="0" borderId="0" xfId="0" applyNumberFormat="1" applyFill="1" applyBorder="1"/>
    <xf numFmtId="41" fontId="0" fillId="0" borderId="6" xfId="0" applyNumberFormat="1" applyFill="1" applyBorder="1"/>
    <xf numFmtId="3" fontId="25" fillId="0" borderId="15" xfId="18" applyNumberFormat="1" applyFont="1" applyFill="1" applyBorder="1" applyAlignment="1">
      <alignment horizontal="center" shrinkToFit="1"/>
    </xf>
    <xf numFmtId="175" fontId="25" fillId="0" borderId="12" xfId="18" applyFont="1" applyFill="1" applyBorder="1" applyAlignment="1">
      <alignment horizontal="right"/>
    </xf>
    <xf numFmtId="3" fontId="25" fillId="0" borderId="12" xfId="18" applyNumberFormat="1" applyFont="1" applyFill="1" applyBorder="1" applyAlignment="1">
      <alignment horizontal="center"/>
    </xf>
    <xf numFmtId="175" fontId="2" fillId="0" borderId="20" xfId="18" applyFont="1" applyFill="1" applyBorder="1"/>
    <xf numFmtId="175" fontId="3" fillId="0" borderId="21" xfId="18" applyFont="1" applyFill="1" applyBorder="1"/>
    <xf numFmtId="37" fontId="36" fillId="0" borderId="0" xfId="15" applyFont="1" applyAlignment="1">
      <alignment horizontal="right"/>
    </xf>
    <xf numFmtId="0" fontId="3" fillId="3" borderId="0" xfId="18" applyNumberFormat="1" applyFont="1" applyFill="1" applyBorder="1" applyAlignment="1">
      <alignment horizontal="center"/>
    </xf>
    <xf numFmtId="10" fontId="3" fillId="3" borderId="0" xfId="19" applyNumberFormat="1" applyFont="1" applyFill="1"/>
    <xf numFmtId="37" fontId="36" fillId="8" borderId="0" xfId="6" applyFont="1" applyFill="1"/>
    <xf numFmtId="37" fontId="36" fillId="0" borderId="0" xfId="6" applyFont="1"/>
    <xf numFmtId="37" fontId="36" fillId="0" borderId="0" xfId="6"/>
    <xf numFmtId="37" fontId="36" fillId="0" borderId="0" xfId="6" applyFont="1" applyFill="1"/>
    <xf numFmtId="37" fontId="36" fillId="0" borderId="0" xfId="6" applyFont="1" applyFill="1" applyAlignment="1">
      <alignment horizontal="center"/>
    </xf>
    <xf numFmtId="37" fontId="36" fillId="0" borderId="0" xfId="15" applyFont="1" applyAlignment="1">
      <alignment horizontal="center"/>
    </xf>
    <xf numFmtId="37" fontId="36" fillId="0" borderId="0" xfId="15" applyFont="1" applyBorder="1" applyAlignment="1">
      <alignment horizontal="center"/>
    </xf>
    <xf numFmtId="37" fontId="36" fillId="0" borderId="0" xfId="6" applyFont="1" applyFill="1" applyBorder="1" applyAlignment="1">
      <alignment horizontal="center"/>
    </xf>
    <xf numFmtId="37" fontId="36" fillId="0" borderId="0" xfId="6" applyAlignment="1">
      <alignment horizontal="center"/>
    </xf>
    <xf numFmtId="37" fontId="47" fillId="0" borderId="0" xfId="6" applyFont="1" applyFill="1" applyAlignment="1">
      <alignment horizontal="right"/>
    </xf>
    <xf numFmtId="37" fontId="36" fillId="0" borderId="1" xfId="6" applyFont="1" applyFill="1" applyBorder="1" applyAlignment="1">
      <alignment horizontal="center"/>
    </xf>
    <xf numFmtId="37" fontId="36" fillId="7" borderId="15" xfId="6" applyFont="1" applyFill="1" applyBorder="1" applyAlignment="1">
      <alignment horizontal="center"/>
    </xf>
    <xf numFmtId="37" fontId="36" fillId="7" borderId="12" xfId="6" applyFont="1" applyFill="1" applyBorder="1" applyAlignment="1">
      <alignment horizontal="center"/>
    </xf>
    <xf numFmtId="37" fontId="36" fillId="0" borderId="4" xfId="6" applyFont="1" applyFill="1" applyBorder="1" applyAlignment="1">
      <alignment horizontal="center"/>
    </xf>
    <xf numFmtId="37" fontId="36" fillId="0" borderId="5" xfId="6" applyFont="1" applyFill="1" applyBorder="1" applyAlignment="1"/>
    <xf numFmtId="37" fontId="36" fillId="0" borderId="12" xfId="6" applyFont="1" applyFill="1" applyBorder="1" applyAlignment="1">
      <alignment horizontal="center"/>
    </xf>
    <xf numFmtId="37" fontId="36" fillId="7" borderId="15" xfId="6" applyFont="1" applyFill="1" applyBorder="1" applyAlignment="1"/>
    <xf numFmtId="37" fontId="36" fillId="7" borderId="12" xfId="6" applyFont="1" applyFill="1" applyBorder="1" applyAlignment="1"/>
    <xf numFmtId="37" fontId="36" fillId="0" borderId="5" xfId="6" applyFont="1" applyFill="1" applyBorder="1" applyAlignment="1">
      <alignment horizontal="center"/>
    </xf>
    <xf numFmtId="37" fontId="36" fillId="0" borderId="10" xfId="6" applyFont="1" applyFill="1" applyBorder="1" applyAlignment="1">
      <alignment horizontal="center"/>
    </xf>
    <xf numFmtId="37" fontId="36" fillId="0" borderId="10" xfId="6" applyFont="1" applyBorder="1"/>
    <xf numFmtId="37" fontId="36" fillId="0" borderId="14" xfId="6" applyFont="1" applyFill="1" applyBorder="1" applyAlignment="1">
      <alignment horizontal="center"/>
    </xf>
    <xf numFmtId="37" fontId="36" fillId="0" borderId="11" xfId="6" applyFont="1" applyFill="1" applyBorder="1" applyAlignment="1">
      <alignment horizontal="center"/>
    </xf>
    <xf numFmtId="37" fontId="36" fillId="0" borderId="9" xfId="6" applyFont="1" applyFill="1" applyBorder="1" applyAlignment="1">
      <alignment horizontal="center"/>
    </xf>
    <xf numFmtId="37" fontId="36" fillId="0" borderId="8" xfId="6" applyFont="1" applyFill="1" applyBorder="1" applyAlignment="1">
      <alignment horizontal="center"/>
    </xf>
    <xf numFmtId="37" fontId="36" fillId="0" borderId="8" xfId="6" applyFont="1" applyBorder="1" applyAlignment="1">
      <alignment horizontal="center"/>
    </xf>
    <xf numFmtId="37" fontId="36" fillId="0" borderId="12" xfId="6" applyFont="1" applyBorder="1" applyAlignment="1">
      <alignment horizontal="right"/>
    </xf>
    <xf numFmtId="37" fontId="36" fillId="0" borderId="15" xfId="6" applyBorder="1"/>
    <xf numFmtId="37" fontId="36" fillId="0" borderId="16" xfId="6" applyBorder="1"/>
    <xf numFmtId="37" fontId="36" fillId="0" borderId="12" xfId="6" applyBorder="1"/>
    <xf numFmtId="37" fontId="36" fillId="0" borderId="14" xfId="6" applyBorder="1"/>
    <xf numFmtId="37" fontId="36" fillId="7" borderId="14" xfId="6" applyFont="1" applyFill="1" applyBorder="1" applyAlignment="1">
      <alignment horizontal="center"/>
    </xf>
    <xf numFmtId="37" fontId="36" fillId="0" borderId="14" xfId="6" applyFill="1" applyBorder="1"/>
    <xf numFmtId="37" fontId="36" fillId="7" borderId="14" xfId="6" applyFill="1" applyBorder="1"/>
    <xf numFmtId="37" fontId="36" fillId="0" borderId="14" xfId="6" applyFont="1" applyBorder="1" applyAlignment="1">
      <alignment horizontal="center"/>
    </xf>
    <xf numFmtId="37" fontId="36" fillId="0" borderId="0" xfId="6" applyBorder="1"/>
    <xf numFmtId="37" fontId="36" fillId="0" borderId="5" xfId="6" applyBorder="1"/>
    <xf numFmtId="37" fontId="36" fillId="0" borderId="7" xfId="6" applyBorder="1"/>
    <xf numFmtId="37" fontId="36" fillId="7" borderId="0" xfId="6" applyFont="1" applyFill="1"/>
    <xf numFmtId="37" fontId="36" fillId="0" borderId="0" xfId="6" applyFill="1"/>
    <xf numFmtId="37" fontId="36" fillId="0" borderId="5" xfId="6" applyFont="1" applyFill="1" applyBorder="1"/>
    <xf numFmtId="37" fontId="36" fillId="0" borderId="5" xfId="6" applyFill="1" applyBorder="1"/>
    <xf numFmtId="37" fontId="36" fillId="0" borderId="7" xfId="6" applyFill="1" applyBorder="1"/>
    <xf numFmtId="37" fontId="36" fillId="0" borderId="0" xfId="6" applyFill="1" applyBorder="1"/>
    <xf numFmtId="41" fontId="36" fillId="0" borderId="0" xfId="6" applyNumberFormat="1" applyFill="1" applyBorder="1"/>
    <xf numFmtId="37" fontId="36" fillId="0" borderId="0" xfId="6" applyFill="1" applyAlignment="1">
      <alignment horizontal="right"/>
    </xf>
    <xf numFmtId="37" fontId="36" fillId="0" borderId="14" xfId="6" applyFont="1" applyFill="1" applyBorder="1"/>
    <xf numFmtId="41" fontId="36" fillId="0" borderId="0" xfId="6" applyNumberFormat="1" applyFill="1"/>
    <xf numFmtId="41" fontId="36" fillId="0" borderId="9" xfId="6" applyNumberFormat="1" applyFill="1" applyBorder="1"/>
    <xf numFmtId="37" fontId="36" fillId="0" borderId="0" xfId="6" applyAlignment="1">
      <alignment horizontal="right"/>
    </xf>
    <xf numFmtId="37" fontId="36" fillId="8" borderId="0" xfId="6" applyFont="1" applyFill="1" applyBorder="1"/>
    <xf numFmtId="37" fontId="36" fillId="0" borderId="6" xfId="6" applyFont="1" applyFill="1" applyBorder="1"/>
    <xf numFmtId="37" fontId="36" fillId="0" borderId="0" xfId="6" applyBorder="1" applyAlignment="1">
      <alignment horizontal="right"/>
    </xf>
    <xf numFmtId="37" fontId="36" fillId="0" borderId="0" xfId="6" applyFont="1" applyBorder="1"/>
    <xf numFmtId="37" fontId="36" fillId="0" borderId="0" xfId="6" applyFont="1" applyAlignment="1">
      <alignment horizontal="right"/>
    </xf>
    <xf numFmtId="10" fontId="36" fillId="0" borderId="0" xfId="19" applyNumberFormat="1" applyFont="1" applyBorder="1"/>
    <xf numFmtId="172" fontId="39" fillId="0" borderId="0" xfId="3" applyNumberFormat="1" applyFont="1" applyFill="1" applyAlignment="1">
      <alignment horizontal="right"/>
    </xf>
    <xf numFmtId="10" fontId="36" fillId="0" borderId="0" xfId="20" applyFont="1" applyBorder="1"/>
    <xf numFmtId="10" fontId="36" fillId="0" borderId="0" xfId="20" applyNumberFormat="1" applyFont="1" applyBorder="1"/>
    <xf numFmtId="37" fontId="10" fillId="0" borderId="0" xfId="6" applyFont="1"/>
    <xf numFmtId="37" fontId="39" fillId="0" borderId="0" xfId="6" applyFont="1" applyBorder="1"/>
    <xf numFmtId="37" fontId="38" fillId="0" borderId="0" xfId="6" applyFont="1" applyAlignment="1">
      <alignment horizontal="right"/>
    </xf>
    <xf numFmtId="10" fontId="36" fillId="0" borderId="10" xfId="19" applyNumberFormat="1" applyFont="1" applyBorder="1"/>
    <xf numFmtId="178" fontId="36" fillId="0" borderId="0" xfId="19" applyNumberFormat="1" applyFont="1" applyBorder="1"/>
    <xf numFmtId="37" fontId="36" fillId="0" borderId="17" xfId="6" applyBorder="1"/>
    <xf numFmtId="179" fontId="36" fillId="7" borderId="0" xfId="19" applyNumberFormat="1" applyFont="1" applyFill="1" applyBorder="1"/>
    <xf numFmtId="37" fontId="36" fillId="7" borderId="0" xfId="15" applyFont="1" applyFill="1" applyAlignment="1">
      <alignment horizontal="center"/>
    </xf>
    <xf numFmtId="37" fontId="36" fillId="7" borderId="0" xfId="6" applyFill="1" applyAlignment="1">
      <alignment horizontal="center"/>
    </xf>
    <xf numFmtId="41" fontId="0" fillId="0" borderId="9" xfId="0" applyNumberFormat="1" applyFill="1" applyBorder="1"/>
    <xf numFmtId="41" fontId="0" fillId="0" borderId="5" xfId="0" applyNumberFormat="1" applyFill="1" applyBorder="1"/>
    <xf numFmtId="37" fontId="36" fillId="0" borderId="0" xfId="6" applyFont="1" applyFill="1" applyBorder="1" applyAlignment="1"/>
    <xf numFmtId="37" fontId="36" fillId="0" borderId="3" xfId="6" applyFont="1" applyFill="1" applyBorder="1"/>
    <xf numFmtId="37" fontId="36" fillId="0" borderId="0" xfId="6" applyFont="1" applyFill="1" applyAlignment="1">
      <alignment horizontal="right"/>
    </xf>
    <xf numFmtId="41" fontId="36" fillId="0" borderId="14" xfId="6" applyNumberFormat="1" applyFill="1" applyBorder="1"/>
    <xf numFmtId="3" fontId="3" fillId="0" borderId="0" xfId="18" applyNumberFormat="1" applyFont="1" applyFill="1" applyAlignment="1">
      <alignment horizontal="right"/>
    </xf>
    <xf numFmtId="41" fontId="40" fillId="0" borderId="0" xfId="12" applyNumberFormat="1" applyFont="1" applyBorder="1" applyAlignment="1">
      <alignment horizontal="center"/>
    </xf>
    <xf numFmtId="180" fontId="3" fillId="0" borderId="14" xfId="19" applyNumberFormat="1" applyFont="1" applyFill="1" applyBorder="1" applyAlignment="1">
      <alignment horizontal="center" shrinkToFit="1"/>
    </xf>
    <xf numFmtId="37" fontId="36" fillId="0" borderId="7" xfId="12" applyNumberFormat="1" applyFont="1" applyFill="1" applyBorder="1" applyAlignment="1">
      <alignment horizontal="center"/>
    </xf>
    <xf numFmtId="172" fontId="10" fillId="0" borderId="0" xfId="1" applyNumberFormat="1" applyFont="1" applyFill="1" applyBorder="1"/>
    <xf numFmtId="37" fontId="11" fillId="0" borderId="0" xfId="0" applyFont="1" applyBorder="1" applyAlignment="1">
      <alignment horizontal="right"/>
    </xf>
    <xf numFmtId="175" fontId="2" fillId="0" borderId="15" xfId="18" applyFont="1" applyFill="1" applyBorder="1"/>
    <xf numFmtId="37" fontId="36" fillId="0" borderId="16" xfId="6" applyFont="1" applyFill="1" applyBorder="1"/>
    <xf numFmtId="181" fontId="40" fillId="0" borderId="0" xfId="4" applyNumberFormat="1" applyFont="1" applyFill="1" applyBorder="1" applyAlignment="1" applyProtection="1"/>
    <xf numFmtId="37" fontId="37" fillId="0" borderId="0" xfId="15" applyFont="1" applyAlignment="1">
      <alignment horizontal="center"/>
    </xf>
    <xf numFmtId="175" fontId="5" fillId="6" borderId="22" xfId="18" applyFont="1" applyFill="1" applyBorder="1" applyAlignment="1">
      <alignment horizontal="center"/>
    </xf>
    <xf numFmtId="37" fontId="36" fillId="0" borderId="16" xfId="6" applyFill="1" applyBorder="1"/>
    <xf numFmtId="41" fontId="0" fillId="0" borderId="10" xfId="0" applyNumberFormat="1" applyFill="1" applyBorder="1"/>
    <xf numFmtId="175" fontId="5" fillId="6" borderId="23" xfId="18" applyFont="1" applyFill="1" applyBorder="1" applyAlignment="1">
      <alignment horizontal="center"/>
    </xf>
    <xf numFmtId="175" fontId="3" fillId="6" borderId="23" xfId="18" applyFont="1" applyFill="1" applyBorder="1"/>
    <xf numFmtId="175" fontId="3" fillId="6" borderId="24" xfId="18" applyFont="1" applyFill="1" applyBorder="1"/>
    <xf numFmtId="37" fontId="36" fillId="0" borderId="16" xfId="6" applyFont="1" applyFill="1" applyBorder="1" applyAlignment="1">
      <alignment horizontal="center"/>
    </xf>
    <xf numFmtId="10" fontId="5" fillId="6" borderId="23" xfId="19" applyNumberFormat="1" applyFont="1" applyFill="1" applyBorder="1" applyAlignment="1">
      <alignment horizontal="center"/>
    </xf>
    <xf numFmtId="5" fontId="5" fillId="6" borderId="23" xfId="18" applyNumberFormat="1" applyFont="1" applyFill="1" applyBorder="1" applyAlignment="1">
      <alignment horizontal="center"/>
    </xf>
    <xf numFmtId="175" fontId="5" fillId="2" borderId="25" xfId="18" applyFont="1" applyFill="1" applyBorder="1" applyAlignment="1">
      <alignment horizontal="center"/>
    </xf>
    <xf numFmtId="37" fontId="36" fillId="0" borderId="12" xfId="6" applyFill="1" applyBorder="1"/>
    <xf numFmtId="37" fontId="36" fillId="0" borderId="1" xfId="6" applyBorder="1"/>
    <xf numFmtId="41" fontId="36" fillId="0" borderId="5" xfId="6" applyNumberFormat="1" applyFill="1" applyBorder="1"/>
    <xf numFmtId="37" fontId="36" fillId="0" borderId="7" xfId="6" applyFont="1" applyFill="1" applyBorder="1"/>
    <xf numFmtId="37" fontId="36" fillId="0" borderId="11" xfId="0" applyFont="1" applyFill="1" applyBorder="1" applyAlignment="1">
      <alignment horizontal="center"/>
    </xf>
    <xf numFmtId="37" fontId="3" fillId="0" borderId="7" xfId="16" applyNumberFormat="1" applyFont="1" applyBorder="1" applyAlignment="1">
      <alignment horizontal="center"/>
    </xf>
    <xf numFmtId="0" fontId="3" fillId="0" borderId="7" xfId="16" applyNumberFormat="1" applyFont="1" applyFill="1" applyBorder="1" applyAlignment="1">
      <alignment horizontal="center"/>
    </xf>
    <xf numFmtId="37" fontId="3" fillId="0" borderId="7" xfId="16" applyNumberFormat="1" applyFont="1" applyFill="1" applyBorder="1" applyAlignment="1">
      <alignment horizontal="center"/>
    </xf>
    <xf numFmtId="0" fontId="4" fillId="0" borderId="4" xfId="16" applyNumberFormat="1" applyFont="1" applyBorder="1" applyAlignment="1">
      <alignment horizontal="center"/>
    </xf>
    <xf numFmtId="0" fontId="3" fillId="0" borderId="7" xfId="16" applyNumberFormat="1" applyFont="1" applyBorder="1" applyAlignment="1">
      <alignment horizontal="center"/>
    </xf>
    <xf numFmtId="175" fontId="3" fillId="6" borderId="22" xfId="18" applyFont="1" applyFill="1" applyBorder="1"/>
    <xf numFmtId="175" fontId="10" fillId="0" borderId="0" xfId="18" applyFont="1" applyFill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right"/>
    </xf>
    <xf numFmtId="0" fontId="10" fillId="0" borderId="0" xfId="8" applyFont="1"/>
    <xf numFmtId="0" fontId="47" fillId="5" borderId="22" xfId="8" applyFont="1" applyFill="1" applyBorder="1" applyAlignment="1"/>
    <xf numFmtId="172" fontId="36" fillId="5" borderId="23" xfId="1" applyNumberFormat="1" applyFont="1" applyFill="1" applyBorder="1" applyAlignment="1"/>
    <xf numFmtId="172" fontId="42" fillId="5" borderId="23" xfId="1" applyNumberFormat="1" applyFont="1" applyFill="1" applyBorder="1"/>
    <xf numFmtId="172" fontId="42" fillId="5" borderId="25" xfId="1" applyNumberFormat="1" applyFont="1" applyFill="1" applyBorder="1"/>
    <xf numFmtId="172" fontId="42" fillId="5" borderId="26" xfId="1" applyNumberFormat="1" applyFont="1" applyFill="1" applyBorder="1"/>
    <xf numFmtId="172" fontId="42" fillId="5" borderId="27" xfId="1" applyNumberFormat="1" applyFont="1" applyFill="1" applyBorder="1"/>
    <xf numFmtId="172" fontId="42" fillId="5" borderId="28" xfId="1" applyNumberFormat="1" applyFont="1" applyFill="1" applyBorder="1"/>
    <xf numFmtId="10" fontId="36" fillId="0" borderId="17" xfId="19" applyNumberFormat="1" applyFont="1" applyBorder="1"/>
    <xf numFmtId="172" fontId="36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37" fontId="39" fillId="5" borderId="22" xfId="0" applyFont="1" applyFill="1" applyBorder="1" applyAlignment="1">
      <alignment horizontal="center"/>
    </xf>
    <xf numFmtId="37" fontId="39" fillId="5" borderId="24" xfId="0" applyFont="1" applyFill="1" applyBorder="1" applyAlignment="1">
      <alignment horizontal="center"/>
    </xf>
    <xf numFmtId="37" fontId="0" fillId="3" borderId="18" xfId="0" applyFill="1" applyBorder="1"/>
    <xf numFmtId="5" fontId="3" fillId="0" borderId="18" xfId="2" applyNumberFormat="1" applyFont="1" applyFill="1" applyBorder="1"/>
    <xf numFmtId="37" fontId="39" fillId="0" borderId="16" xfId="6" applyFont="1" applyBorder="1" applyAlignment="1">
      <alignment horizontal="center"/>
    </xf>
    <xf numFmtId="41" fontId="36" fillId="0" borderId="15" xfId="12" applyFont="1" applyFill="1" applyBorder="1" applyAlignment="1">
      <alignment horizontal="center"/>
    </xf>
    <xf numFmtId="37" fontId="36" fillId="0" borderId="16" xfId="6" applyFill="1" applyBorder="1" applyAlignment="1">
      <alignment horizontal="center"/>
    </xf>
    <xf numFmtId="41" fontId="36" fillId="0" borderId="12" xfId="6" applyNumberFormat="1" applyFill="1" applyBorder="1"/>
    <xf numFmtId="41" fontId="0" fillId="0" borderId="12" xfId="0" applyNumberFormat="1" applyFill="1" applyBorder="1"/>
    <xf numFmtId="37" fontId="36" fillId="0" borderId="14" xfId="6" applyFont="1" applyFill="1" applyBorder="1" applyAlignment="1"/>
    <xf numFmtId="37" fontId="36" fillId="5" borderId="14" xfId="6" applyFont="1" applyFill="1" applyBorder="1"/>
    <xf numFmtId="10" fontId="0" fillId="3" borderId="0" xfId="19" applyNumberFormat="1" applyFont="1" applyFill="1"/>
    <xf numFmtId="37" fontId="36" fillId="0" borderId="10" xfId="0" applyFont="1" applyFill="1" applyBorder="1"/>
    <xf numFmtId="0" fontId="5" fillId="0" borderId="0" xfId="18" applyNumberFormat="1" applyFont="1" applyFill="1" applyAlignment="1">
      <alignment horizontal="left"/>
    </xf>
    <xf numFmtId="37" fontId="39" fillId="3" borderId="0" xfId="0" applyFont="1" applyFill="1"/>
    <xf numFmtId="37" fontId="39" fillId="8" borderId="0" xfId="6" applyFont="1" applyFill="1"/>
    <xf numFmtId="0" fontId="5" fillId="0" borderId="0" xfId="16" applyNumberFormat="1" applyFont="1" applyAlignment="1">
      <alignment horizontal="left"/>
    </xf>
    <xf numFmtId="0" fontId="39" fillId="0" borderId="0" xfId="10" applyFont="1" applyAlignment="1">
      <alignment horizontal="left"/>
    </xf>
    <xf numFmtId="0" fontId="11" fillId="0" borderId="0" xfId="8" applyFont="1"/>
    <xf numFmtId="0" fontId="10" fillId="0" borderId="0" xfId="10" applyFont="1" applyAlignment="1">
      <alignment horizontal="left"/>
    </xf>
    <xf numFmtId="37" fontId="10" fillId="0" borderId="0" xfId="15" applyFont="1" applyAlignment="1">
      <alignment horizontal="left"/>
    </xf>
    <xf numFmtId="3" fontId="3" fillId="9" borderId="0" xfId="16" applyNumberFormat="1" applyFont="1" applyFill="1" applyAlignment="1">
      <alignment horizontal="center"/>
    </xf>
    <xf numFmtId="39" fontId="3" fillId="0" borderId="0" xfId="16" applyNumberFormat="1" applyFont="1"/>
    <xf numFmtId="182" fontId="3" fillId="0" borderId="10" xfId="19" applyNumberFormat="1" applyFont="1" applyFill="1" applyBorder="1" applyAlignment="1">
      <alignment horizontal="right"/>
    </xf>
    <xf numFmtId="182" fontId="3" fillId="0" borderId="3" xfId="7" applyNumberFormat="1" applyFont="1" applyFill="1" applyBorder="1" applyAlignment="1">
      <alignment horizontal="right"/>
    </xf>
    <xf numFmtId="182" fontId="3" fillId="0" borderId="0" xfId="7" applyNumberFormat="1"/>
    <xf numFmtId="182" fontId="3" fillId="0" borderId="17" xfId="18" applyNumberFormat="1" applyFont="1" applyBorder="1"/>
    <xf numFmtId="3" fontId="3" fillId="11" borderId="0" xfId="0" applyNumberFormat="1" applyFont="1" applyFill="1" applyAlignment="1">
      <alignment horizontal="centerContinuous"/>
    </xf>
    <xf numFmtId="3" fontId="5" fillId="11" borderId="10" xfId="0" applyNumberFormat="1" applyFont="1" applyFill="1" applyBorder="1" applyAlignment="1">
      <alignment horizontal="centerContinuous"/>
    </xf>
    <xf numFmtId="3" fontId="3" fillId="11" borderId="10" xfId="0" applyNumberFormat="1" applyFont="1" applyFill="1" applyBorder="1" applyAlignment="1">
      <alignment horizontal="centerContinuous"/>
    </xf>
    <xf numFmtId="3" fontId="3" fillId="11" borderId="0" xfId="0" applyNumberFormat="1" applyFont="1" applyFill="1"/>
    <xf numFmtId="3" fontId="3" fillId="11" borderId="10" xfId="0" applyNumberFormat="1" applyFont="1" applyFill="1" applyBorder="1" applyAlignment="1">
      <alignment horizontal="center"/>
    </xf>
    <xf numFmtId="5" fontId="3" fillId="11" borderId="0" xfId="0" applyNumberFormat="1" applyFont="1" applyFill="1" applyProtection="1">
      <protection locked="0"/>
    </xf>
    <xf numFmtId="37" fontId="3" fillId="11" borderId="0" xfId="0" applyNumberFormat="1" applyFont="1" applyFill="1" applyProtection="1">
      <protection locked="0"/>
    </xf>
    <xf numFmtId="37" fontId="3" fillId="11" borderId="0" xfId="0" applyNumberFormat="1" applyFont="1" applyFill="1" applyBorder="1"/>
    <xf numFmtId="37" fontId="3" fillId="11" borderId="0" xfId="0" applyNumberFormat="1" applyFont="1" applyFill="1"/>
    <xf numFmtId="37" fontId="3" fillId="11" borderId="10" xfId="0" applyNumberFormat="1" applyFont="1" applyFill="1" applyBorder="1" applyProtection="1">
      <protection locked="0"/>
    </xf>
    <xf numFmtId="37" fontId="3" fillId="11" borderId="12" xfId="0" applyNumberFormat="1" applyFont="1" applyFill="1" applyBorder="1"/>
    <xf numFmtId="37" fontId="3" fillId="11" borderId="10" xfId="0" applyNumberFormat="1" applyFont="1" applyFill="1" applyBorder="1"/>
    <xf numFmtId="5" fontId="3" fillId="11" borderId="13" xfId="0" applyNumberFormat="1" applyFont="1" applyFill="1" applyBorder="1"/>
    <xf numFmtId="10" fontId="4" fillId="11" borderId="0" xfId="19" applyNumberFormat="1" applyFont="1" applyFill="1"/>
    <xf numFmtId="3" fontId="3" fillId="11" borderId="0" xfId="0" applyNumberFormat="1" applyFont="1" applyFill="1" applyBorder="1" applyAlignment="1"/>
    <xf numFmtId="3" fontId="3" fillId="11" borderId="10" xfId="0" applyNumberFormat="1" applyFont="1" applyFill="1" applyBorder="1" applyAlignment="1"/>
    <xf numFmtId="3" fontId="3" fillId="11" borderId="0" xfId="0" applyNumberFormat="1" applyFont="1" applyFill="1" applyBorder="1" applyAlignment="1">
      <alignment horizontal="right"/>
    </xf>
    <xf numFmtId="3" fontId="3" fillId="11" borderId="12" xfId="0" applyNumberFormat="1" applyFont="1" applyFill="1" applyBorder="1" applyAlignment="1"/>
    <xf numFmtId="3" fontId="3" fillId="11" borderId="14" xfId="0" applyNumberFormat="1" applyFont="1" applyFill="1" applyBorder="1" applyAlignment="1"/>
    <xf numFmtId="3" fontId="3" fillId="11" borderId="0" xfId="0" applyNumberFormat="1" applyFont="1" applyFill="1" applyBorder="1" applyAlignment="1">
      <alignment horizontal="center"/>
    </xf>
    <xf numFmtId="3" fontId="13" fillId="11" borderId="14" xfId="0" applyNumberFormat="1" applyFont="1" applyFill="1" applyBorder="1" applyAlignment="1"/>
    <xf numFmtId="37" fontId="3" fillId="11" borderId="0" xfId="0" applyFont="1" applyFill="1"/>
    <xf numFmtId="0" fontId="3" fillId="11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/>
    <xf numFmtId="37" fontId="3" fillId="11" borderId="0" xfId="0" applyNumberFormat="1" applyFont="1" applyFill="1" applyBorder="1" applyProtection="1">
      <protection locked="0"/>
    </xf>
    <xf numFmtId="5" fontId="3" fillId="11" borderId="17" xfId="0" applyNumberFormat="1" applyFont="1" applyFill="1" applyBorder="1"/>
    <xf numFmtId="10" fontId="3" fillId="0" borderId="13" xfId="19" applyNumberFormat="1" applyFont="1" applyBorder="1"/>
    <xf numFmtId="3" fontId="49" fillId="12" borderId="15" xfId="0" applyNumberFormat="1" applyFont="1" applyFill="1" applyBorder="1" applyAlignment="1">
      <alignment horizontal="centerContinuous"/>
    </xf>
    <xf numFmtId="3" fontId="50" fillId="12" borderId="12" xfId="0" applyNumberFormat="1" applyFont="1" applyFill="1" applyBorder="1" applyAlignment="1">
      <alignment horizontal="centerContinuous"/>
    </xf>
    <xf numFmtId="3" fontId="50" fillId="12" borderId="16" xfId="0" applyNumberFormat="1" applyFont="1" applyFill="1" applyBorder="1" applyAlignment="1">
      <alignment horizontal="centerContinuous"/>
    </xf>
    <xf numFmtId="10" fontId="50" fillId="12" borderId="0" xfId="19" applyNumberFormat="1" applyFont="1" applyFill="1"/>
    <xf numFmtId="3" fontId="3" fillId="11" borderId="0" xfId="0" applyNumberFormat="1" applyFont="1" applyFill="1" applyAlignment="1">
      <alignment horizontal="center"/>
    </xf>
    <xf numFmtId="3" fontId="3" fillId="11" borderId="0" xfId="0" applyNumberFormat="1" applyFont="1" applyFill="1" applyAlignment="1">
      <alignment horizontal="left"/>
    </xf>
    <xf numFmtId="10" fontId="3" fillId="11" borderId="0" xfId="19" applyNumberFormat="1" applyFont="1" applyFill="1"/>
    <xf numFmtId="172" fontId="19" fillId="0" borderId="10" xfId="1" applyNumberFormat="1" applyFont="1" applyBorder="1"/>
    <xf numFmtId="172" fontId="10" fillId="0" borderId="10" xfId="1" applyNumberFormat="1" applyFont="1" applyBorder="1"/>
    <xf numFmtId="3" fontId="3" fillId="9" borderId="0" xfId="16" applyNumberFormat="1" applyFont="1" applyFill="1"/>
    <xf numFmtId="3" fontId="3" fillId="0" borderId="0" xfId="0" applyNumberFormat="1" applyFont="1" applyAlignment="1">
      <alignment horizontal="center"/>
    </xf>
    <xf numFmtId="3" fontId="3" fillId="11" borderId="15" xfId="0" applyNumberFormat="1" applyFont="1" applyFill="1" applyBorder="1" applyAlignment="1"/>
    <xf numFmtId="3" fontId="13" fillId="11" borderId="15" xfId="0" applyNumberFormat="1" applyFont="1" applyFill="1" applyBorder="1" applyAlignment="1"/>
    <xf numFmtId="3" fontId="3" fillId="12" borderId="23" xfId="0" applyNumberFormat="1" applyFont="1" applyFill="1" applyBorder="1"/>
    <xf numFmtId="3" fontId="3" fillId="12" borderId="23" xfId="0" applyNumberFormat="1" applyFont="1" applyFill="1" applyBorder="1" applyAlignment="1">
      <alignment horizontal="center"/>
    </xf>
    <xf numFmtId="5" fontId="3" fillId="12" borderId="23" xfId="0" applyNumberFormat="1" applyFont="1" applyFill="1" applyBorder="1" applyProtection="1">
      <protection locked="0"/>
    </xf>
    <xf numFmtId="37" fontId="3" fillId="12" borderId="23" xfId="0" applyNumberFormat="1" applyFont="1" applyFill="1" applyBorder="1" applyProtection="1">
      <protection locked="0"/>
    </xf>
    <xf numFmtId="37" fontId="3" fillId="12" borderId="26" xfId="0" applyNumberFormat="1" applyFont="1" applyFill="1" applyBorder="1" applyProtection="1">
      <protection locked="0"/>
    </xf>
    <xf numFmtId="37" fontId="3" fillId="12" borderId="23" xfId="0" applyNumberFormat="1" applyFont="1" applyFill="1" applyBorder="1"/>
    <xf numFmtId="5" fontId="3" fillId="12" borderId="27" xfId="0" applyNumberFormat="1" applyFont="1" applyFill="1" applyBorder="1"/>
    <xf numFmtId="5" fontId="3" fillId="12" borderId="29" xfId="0" applyNumberFormat="1" applyFont="1" applyFill="1" applyBorder="1"/>
    <xf numFmtId="10" fontId="4" fillId="12" borderId="23" xfId="19" applyNumberFormat="1" applyFont="1" applyFill="1" applyBorder="1"/>
    <xf numFmtId="3" fontId="50" fillId="12" borderId="23" xfId="0" applyNumberFormat="1" applyFont="1" applyFill="1" applyBorder="1" applyAlignment="1">
      <alignment horizontal="centerContinuous"/>
    </xf>
    <xf numFmtId="3" fontId="3" fillId="12" borderId="23" xfId="0" applyNumberFormat="1" applyFont="1" applyFill="1" applyBorder="1" applyAlignment="1"/>
    <xf numFmtId="3" fontId="13" fillId="12" borderId="23" xfId="0" applyNumberFormat="1" applyFont="1" applyFill="1" applyBorder="1" applyAlignment="1"/>
    <xf numFmtId="3" fontId="3" fillId="9" borderId="10" xfId="0" applyNumberFormat="1" applyFont="1" applyFill="1" applyBorder="1" applyAlignment="1"/>
    <xf numFmtId="3" fontId="3" fillId="9" borderId="0" xfId="0" applyNumberFormat="1" applyFont="1" applyFill="1" applyBorder="1" applyAlignment="1"/>
    <xf numFmtId="3" fontId="3" fillId="11" borderId="3" xfId="0" applyNumberFormat="1" applyFont="1" applyFill="1" applyBorder="1" applyAlignment="1"/>
    <xf numFmtId="3" fontId="3" fillId="11" borderId="30" xfId="0" applyNumberFormat="1" applyFont="1" applyFill="1" applyBorder="1" applyAlignment="1"/>
    <xf numFmtId="3" fontId="3" fillId="0" borderId="3" xfId="0" applyNumberFormat="1" applyFont="1" applyBorder="1" applyAlignment="1"/>
    <xf numFmtId="37" fontId="3" fillId="9" borderId="0" xfId="0" applyNumberFormat="1" applyFont="1" applyFill="1" applyProtection="1">
      <protection locked="0"/>
    </xf>
    <xf numFmtId="10" fontId="3" fillId="9" borderId="10" xfId="19" applyNumberFormat="1" applyFont="1" applyFill="1" applyBorder="1"/>
    <xf numFmtId="37" fontId="3" fillId="9" borderId="10" xfId="0" applyNumberFormat="1" applyFont="1" applyFill="1" applyBorder="1" applyProtection="1">
      <protection locked="0"/>
    </xf>
    <xf numFmtId="9" fontId="3" fillId="0" borderId="0" xfId="19" applyFont="1"/>
    <xf numFmtId="9" fontId="3" fillId="9" borderId="0" xfId="19" applyFont="1" applyFill="1"/>
    <xf numFmtId="176" fontId="42" fillId="5" borderId="23" xfId="19" applyNumberFormat="1" applyFont="1" applyFill="1" applyBorder="1"/>
    <xf numFmtId="0" fontId="47" fillId="5" borderId="31" xfId="8" applyFont="1" applyFill="1" applyBorder="1" applyAlignment="1"/>
    <xf numFmtId="0" fontId="47" fillId="5" borderId="32" xfId="8" applyFont="1" applyFill="1" applyBorder="1" applyAlignment="1"/>
    <xf numFmtId="172" fontId="36" fillId="5" borderId="33" xfId="1" applyNumberFormat="1" applyFont="1" applyFill="1" applyBorder="1" applyAlignment="1"/>
    <xf numFmtId="172" fontId="36" fillId="5" borderId="34" xfId="1" applyNumberFormat="1" applyFont="1" applyFill="1" applyBorder="1" applyAlignment="1"/>
    <xf numFmtId="172" fontId="42" fillId="5" borderId="33" xfId="1" applyNumberFormat="1" applyFont="1" applyFill="1" applyBorder="1"/>
    <xf numFmtId="172" fontId="42" fillId="5" borderId="34" xfId="1" applyNumberFormat="1" applyFont="1" applyFill="1" applyBorder="1"/>
    <xf numFmtId="172" fontId="42" fillId="5" borderId="35" xfId="1" applyNumberFormat="1" applyFont="1" applyFill="1" applyBorder="1"/>
    <xf numFmtId="172" fontId="42" fillId="5" borderId="36" xfId="1" applyNumberFormat="1" applyFont="1" applyFill="1" applyBorder="1"/>
    <xf numFmtId="176" fontId="42" fillId="5" borderId="28" xfId="19" applyNumberFormat="1" applyFont="1" applyFill="1" applyBorder="1"/>
    <xf numFmtId="3" fontId="3" fillId="9" borderId="0" xfId="0" applyNumberFormat="1" applyFont="1" applyFill="1" applyAlignment="1">
      <alignment horizontal="left"/>
    </xf>
    <xf numFmtId="3" fontId="3" fillId="9" borderId="0" xfId="0" applyNumberFormat="1" applyFont="1" applyFill="1"/>
    <xf numFmtId="166" fontId="3" fillId="3" borderId="0" xfId="18" applyNumberFormat="1" applyFont="1" applyFill="1"/>
    <xf numFmtId="3" fontId="5" fillId="9" borderId="0" xfId="16" applyNumberFormat="1" applyFont="1" applyFill="1" applyAlignment="1">
      <alignment horizontal="center"/>
    </xf>
    <xf numFmtId="176" fontId="36" fillId="5" borderId="26" xfId="19" applyNumberFormat="1" applyFont="1" applyFill="1" applyBorder="1" applyAlignment="1"/>
    <xf numFmtId="176" fontId="36" fillId="5" borderId="25" xfId="19" applyNumberFormat="1" applyFont="1" applyFill="1" applyBorder="1" applyAlignment="1"/>
    <xf numFmtId="41" fontId="36" fillId="0" borderId="10" xfId="6" applyNumberFormat="1" applyFill="1" applyBorder="1"/>
    <xf numFmtId="37" fontId="36" fillId="0" borderId="12" xfId="6" applyFont="1" applyFill="1" applyBorder="1" applyAlignment="1">
      <alignment horizontal="center"/>
    </xf>
    <xf numFmtId="37" fontId="37" fillId="0" borderId="0" xfId="15" applyFont="1" applyAlignment="1">
      <alignment horizontal="center"/>
    </xf>
    <xf numFmtId="37" fontId="36" fillId="0" borderId="0" xfId="15" applyAlignment="1">
      <alignment horizontal="left"/>
    </xf>
    <xf numFmtId="37" fontId="36" fillId="0" borderId="0" xfId="15" applyFont="1" applyAlignment="1">
      <alignment horizontal="left"/>
    </xf>
    <xf numFmtId="37" fontId="38" fillId="0" borderId="0" xfId="6" applyFont="1"/>
    <xf numFmtId="41" fontId="0" fillId="0" borderId="11" xfId="0" applyNumberFormat="1" applyFill="1" applyBorder="1"/>
    <xf numFmtId="166" fontId="3" fillId="0" borderId="0" xfId="16" applyNumberFormat="1" applyFont="1"/>
    <xf numFmtId="37" fontId="36" fillId="0" borderId="12" xfId="6" applyFont="1" applyFill="1" applyBorder="1" applyAlignment="1">
      <alignment horizontal="center"/>
    </xf>
    <xf numFmtId="37" fontId="36" fillId="0" borderId="4" xfId="6" applyBorder="1"/>
    <xf numFmtId="10" fontId="36" fillId="8" borderId="0" xfId="19" applyNumberFormat="1" applyFont="1" applyFill="1"/>
    <xf numFmtId="172" fontId="36" fillId="8" borderId="0" xfId="1" applyNumberFormat="1" applyFont="1" applyFill="1"/>
    <xf numFmtId="3" fontId="3" fillId="0" borderId="0" xfId="22" applyNumberFormat="1" applyFont="1" applyBorder="1" applyAlignment="1"/>
    <xf numFmtId="3" fontId="3" fillId="0" borderId="10" xfId="22" applyNumberFormat="1" applyFont="1" applyBorder="1" applyAlignment="1"/>
    <xf numFmtId="0" fontId="3" fillId="0" borderId="0" xfId="22" applyFont="1"/>
    <xf numFmtId="3" fontId="3" fillId="0" borderId="12" xfId="22" applyNumberFormat="1" applyFont="1" applyBorder="1" applyAlignment="1"/>
    <xf numFmtId="3" fontId="3" fillId="0" borderId="14" xfId="22" applyNumberFormat="1" applyFont="1" applyBorder="1" applyAlignment="1"/>
    <xf numFmtId="3" fontId="3" fillId="0" borderId="0" xfId="22" applyNumberFormat="1" applyFont="1" applyBorder="1" applyAlignment="1">
      <alignment horizontal="center"/>
    </xf>
    <xf numFmtId="3" fontId="13" fillId="0" borderId="14" xfId="22" applyNumberFormat="1" applyFont="1" applyBorder="1" applyAlignment="1"/>
    <xf numFmtId="3" fontId="3" fillId="0" borderId="0" xfId="22" applyNumberFormat="1" applyFont="1" applyBorder="1" applyAlignment="1">
      <alignment horizontal="right"/>
    </xf>
    <xf numFmtId="3" fontId="14" fillId="0" borderId="0" xfId="22" applyNumberFormat="1" applyFont="1" applyBorder="1" applyAlignment="1"/>
    <xf numFmtId="3" fontId="3" fillId="0" borderId="10" xfId="22" applyNumberFormat="1" applyFont="1" applyFill="1" applyBorder="1" applyAlignment="1"/>
    <xf numFmtId="3" fontId="3" fillId="0" borderId="0" xfId="22" applyNumberFormat="1" applyFont="1" applyFill="1" applyBorder="1" applyAlignment="1"/>
    <xf numFmtId="3" fontId="3" fillId="0" borderId="0" xfId="23" applyNumberFormat="1" applyFont="1"/>
    <xf numFmtId="3" fontId="3" fillId="0" borderId="0" xfId="23" applyNumberFormat="1" applyFont="1" applyBorder="1" applyAlignment="1"/>
    <xf numFmtId="3" fontId="3" fillId="0" borderId="0" xfId="23" applyNumberFormat="1" applyFont="1" applyFill="1"/>
    <xf numFmtId="3" fontId="3" fillId="0" borderId="0" xfId="0" applyNumberFormat="1" applyFont="1" applyAlignment="1">
      <alignment horizontal="center"/>
    </xf>
    <xf numFmtId="0" fontId="5" fillId="0" borderId="0" xfId="16" applyFont="1" applyFill="1" applyAlignment="1">
      <alignment horizontal="center"/>
    </xf>
    <xf numFmtId="172" fontId="3" fillId="0" borderId="0" xfId="1" applyNumberFormat="1" applyFont="1" applyFill="1" applyBorder="1"/>
    <xf numFmtId="41" fontId="3" fillId="0" borderId="0" xfId="7" applyFill="1"/>
    <xf numFmtId="10" fontId="3" fillId="9" borderId="0" xfId="19" applyNumberFormat="1" applyFont="1" applyFill="1" applyBorder="1"/>
    <xf numFmtId="3" fontId="10" fillId="0" borderId="0" xfId="0" applyNumberFormat="1" applyFont="1" applyFill="1" applyAlignment="1">
      <alignment horizontal="center"/>
    </xf>
    <xf numFmtId="37" fontId="19" fillId="0" borderId="0" xfId="0" applyFont="1" applyFill="1"/>
    <xf numFmtId="3" fontId="10" fillId="0" borderId="0" xfId="0" applyNumberFormat="1" applyFont="1" applyFill="1" applyBorder="1"/>
    <xf numFmtId="3" fontId="10" fillId="0" borderId="0" xfId="24" applyNumberFormat="1" applyFont="1"/>
    <xf numFmtId="3" fontId="10" fillId="0" borderId="0" xfId="24" applyNumberFormat="1" applyFont="1" applyFill="1"/>
    <xf numFmtId="172" fontId="10" fillId="0" borderId="0" xfId="4" applyNumberFormat="1" applyFont="1" applyBorder="1"/>
    <xf numFmtId="172" fontId="10" fillId="0" borderId="12" xfId="4" applyNumberFormat="1" applyFont="1" applyBorder="1"/>
    <xf numFmtId="172" fontId="10" fillId="0" borderId="17" xfId="4" applyNumberFormat="1" applyFont="1" applyBorder="1"/>
    <xf numFmtId="172" fontId="3" fillId="0" borderId="0" xfId="0" applyNumberFormat="1" applyFont="1" applyFill="1" applyBorder="1"/>
    <xf numFmtId="3" fontId="3" fillId="10" borderId="0" xfId="16" applyNumberFormat="1" applyFont="1" applyFill="1" applyAlignment="1">
      <alignment horizontal="center"/>
    </xf>
    <xf numFmtId="3" fontId="3" fillId="3" borderId="0" xfId="16" applyNumberFormat="1" applyFont="1" applyFill="1" applyAlignment="1">
      <alignment horizontal="center"/>
    </xf>
    <xf numFmtId="3" fontId="5" fillId="3" borderId="0" xfId="16" applyNumberFormat="1" applyFont="1" applyFill="1" applyAlignment="1">
      <alignment horizontal="center"/>
    </xf>
    <xf numFmtId="3" fontId="5" fillId="13" borderId="0" xfId="16" applyNumberFormat="1" applyFont="1" applyFill="1" applyAlignment="1">
      <alignment horizontal="center"/>
    </xf>
    <xf numFmtId="3" fontId="24" fillId="0" borderId="0" xfId="17" applyNumberFormat="1" applyFont="1" applyFill="1" applyAlignment="1">
      <alignment horizontal="center"/>
    </xf>
    <xf numFmtId="41" fontId="5" fillId="0" borderId="0" xfId="12" applyFont="1" applyFill="1" applyBorder="1" applyAlignment="1">
      <alignment horizontal="center"/>
    </xf>
    <xf numFmtId="3" fontId="5" fillId="0" borderId="1" xfId="17" applyNumberFormat="1" applyFont="1" applyFill="1" applyBorder="1" applyAlignment="1">
      <alignment horizontal="center"/>
    </xf>
    <xf numFmtId="3" fontId="5" fillId="0" borderId="5" xfId="17" applyNumberFormat="1" applyFont="1" applyFill="1" applyBorder="1" applyAlignment="1">
      <alignment horizontal="center"/>
    </xf>
    <xf numFmtId="3" fontId="5" fillId="0" borderId="8" xfId="17" applyNumberFormat="1" applyFont="1" applyFill="1" applyBorder="1" applyAlignment="1">
      <alignment horizontal="center"/>
    </xf>
    <xf numFmtId="3" fontId="3" fillId="14" borderId="0" xfId="16" applyNumberFormat="1" applyFont="1" applyFill="1" applyAlignment="1">
      <alignment horizontal="center"/>
    </xf>
    <xf numFmtId="4" fontId="3" fillId="3" borderId="0" xfId="16" applyNumberFormat="1" applyFont="1" applyFill="1"/>
    <xf numFmtId="37" fontId="10" fillId="9" borderId="0" xfId="0" applyFont="1" applyFill="1"/>
    <xf numFmtId="173" fontId="10" fillId="9" borderId="0" xfId="4" applyNumberFormat="1" applyFont="1" applyFill="1"/>
    <xf numFmtId="172" fontId="10" fillId="9" borderId="0" xfId="0" applyNumberFormat="1" applyFont="1" applyFill="1"/>
    <xf numFmtId="41" fontId="0" fillId="0" borderId="7" xfId="0" applyNumberFormat="1" applyFill="1" applyBorder="1"/>
    <xf numFmtId="37" fontId="36" fillId="0" borderId="7" xfId="0" applyFont="1" applyFill="1" applyBorder="1" applyAlignment="1">
      <alignment horizontal="center"/>
    </xf>
    <xf numFmtId="37" fontId="36" fillId="0" borderId="0" xfId="0" applyFont="1" applyFill="1" applyBorder="1"/>
    <xf numFmtId="41" fontId="36" fillId="0" borderId="0" xfId="26" applyFont="1" applyFill="1" applyBorder="1" applyAlignment="1">
      <alignment horizontal="center"/>
    </xf>
    <xf numFmtId="41" fontId="0" fillId="0" borderId="0" xfId="0" applyNumberFormat="1" applyFill="1" applyBorder="1"/>
    <xf numFmtId="41" fontId="0" fillId="0" borderId="6" xfId="0" applyNumberFormat="1" applyFill="1" applyBorder="1"/>
    <xf numFmtId="37" fontId="36" fillId="8" borderId="0" xfId="6" applyFont="1" applyFill="1"/>
    <xf numFmtId="37" fontId="36" fillId="0" borderId="0" xfId="6" applyFont="1"/>
    <xf numFmtId="37" fontId="36" fillId="0" borderId="0" xfId="6" applyFont="1" applyFill="1"/>
    <xf numFmtId="37" fontId="36" fillId="0" borderId="0" xfId="6" applyFont="1" applyFill="1" applyAlignment="1">
      <alignment horizontal="center"/>
    </xf>
    <xf numFmtId="37" fontId="36" fillId="0" borderId="5" xfId="6" applyFont="1" applyFill="1" applyBorder="1" applyAlignment="1"/>
    <xf numFmtId="37" fontId="36" fillId="0" borderId="14" xfId="6" applyFill="1" applyBorder="1"/>
    <xf numFmtId="41" fontId="36" fillId="0" borderId="0" xfId="26" applyFont="1" applyFill="1" applyAlignment="1">
      <alignment horizontal="center"/>
    </xf>
    <xf numFmtId="37" fontId="36" fillId="0" borderId="0" xfId="6" applyFill="1"/>
    <xf numFmtId="37" fontId="36" fillId="0" borderId="5" xfId="6" applyFill="1" applyBorder="1"/>
    <xf numFmtId="37" fontId="36" fillId="0" borderId="7" xfId="6" applyFill="1" applyBorder="1"/>
    <xf numFmtId="41" fontId="36" fillId="0" borderId="6" xfId="6" applyNumberFormat="1" applyFill="1" applyBorder="1"/>
    <xf numFmtId="37" fontId="36" fillId="0" borderId="0" xfId="6" applyFill="1" applyBorder="1"/>
    <xf numFmtId="41" fontId="36" fillId="0" borderId="0" xfId="6" applyNumberFormat="1" applyFill="1" applyBorder="1"/>
    <xf numFmtId="37" fontId="36" fillId="0" borderId="15" xfId="6" applyFill="1" applyBorder="1"/>
    <xf numFmtId="41" fontId="36" fillId="0" borderId="7" xfId="6" applyNumberFormat="1" applyFill="1" applyBorder="1"/>
    <xf numFmtId="41" fontId="36" fillId="0" borderId="0" xfId="6" applyNumberFormat="1" applyFill="1"/>
    <xf numFmtId="37" fontId="10" fillId="0" borderId="0" xfId="6" applyFont="1"/>
    <xf numFmtId="172" fontId="36" fillId="0" borderId="0" xfId="1" applyNumberFormat="1" applyFont="1" applyFill="1"/>
    <xf numFmtId="37" fontId="36" fillId="0" borderId="1" xfId="6" applyBorder="1"/>
    <xf numFmtId="41" fontId="36" fillId="0" borderId="5" xfId="6" applyNumberFormat="1" applyFill="1" applyBorder="1"/>
    <xf numFmtId="37" fontId="36" fillId="0" borderId="4" xfId="6" applyFill="1" applyBorder="1" applyAlignment="1">
      <alignment horizontal="center"/>
    </xf>
    <xf numFmtId="37" fontId="36" fillId="0" borderId="7" xfId="6" applyFill="1" applyBorder="1" applyAlignment="1">
      <alignment horizontal="center"/>
    </xf>
    <xf numFmtId="37" fontId="36" fillId="0" borderId="7" xfId="6" applyFont="1" applyFill="1" applyBorder="1" applyAlignment="1">
      <alignment horizontal="center"/>
    </xf>
    <xf numFmtId="37" fontId="0" fillId="0" borderId="7" xfId="0" applyFill="1" applyBorder="1" applyAlignment="1">
      <alignment horizontal="center"/>
    </xf>
    <xf numFmtId="37" fontId="0" fillId="0" borderId="5" xfId="0" applyFill="1" applyBorder="1"/>
    <xf numFmtId="10" fontId="36" fillId="0" borderId="12" xfId="19" applyNumberFormat="1" applyFont="1" applyBorder="1"/>
    <xf numFmtId="172" fontId="40" fillId="0" borderId="0" xfId="3" applyNumberFormat="1" applyFont="1" applyFill="1" applyBorder="1"/>
    <xf numFmtId="37" fontId="38" fillId="0" borderId="0" xfId="6" applyFont="1" applyFill="1"/>
    <xf numFmtId="37" fontId="0" fillId="0" borderId="0" xfId="0" applyFill="1" applyAlignment="1">
      <alignment horizontal="right"/>
    </xf>
    <xf numFmtId="171" fontId="10" fillId="0" borderId="17" xfId="19" applyNumberFormat="1" applyFont="1" applyBorder="1"/>
    <xf numFmtId="37" fontId="10" fillId="0" borderId="10" xfId="0" applyFont="1" applyBorder="1"/>
    <xf numFmtId="37" fontId="11" fillId="0" borderId="10" xfId="0" applyFont="1" applyBorder="1" applyAlignment="1">
      <alignment horizontal="center"/>
    </xf>
    <xf numFmtId="5" fontId="10" fillId="0" borderId="13" xfId="0" applyNumberFormat="1" applyFont="1" applyFill="1" applyBorder="1"/>
    <xf numFmtId="6" fontId="10" fillId="0" borderId="12" xfId="0" applyNumberFormat="1" applyFont="1" applyBorder="1"/>
    <xf numFmtId="0" fontId="53" fillId="0" borderId="0" xfId="18" applyNumberFormat="1" applyFont="1" applyFill="1" applyAlignment="1">
      <alignment horizontal="left"/>
    </xf>
    <xf numFmtId="0" fontId="42" fillId="0" borderId="0" xfId="0" applyNumberFormat="1" applyFont="1" applyFill="1" applyBorder="1" applyAlignment="1" applyProtection="1">
      <alignment horizontal="right"/>
    </xf>
    <xf numFmtId="3" fontId="3" fillId="15" borderId="0" xfId="16" applyNumberFormat="1" applyFont="1" applyFill="1"/>
    <xf numFmtId="3" fontId="3" fillId="16" borderId="0" xfId="16" applyNumberFormat="1" applyFont="1" applyFill="1"/>
    <xf numFmtId="37" fontId="10" fillId="17" borderId="0" xfId="0" applyFont="1" applyFill="1"/>
    <xf numFmtId="37" fontId="0" fillId="0" borderId="0" xfId="0" applyFill="1"/>
    <xf numFmtId="37" fontId="0" fillId="0" borderId="0" xfId="0" applyFill="1" applyBorder="1"/>
    <xf numFmtId="37" fontId="0" fillId="0" borderId="7" xfId="0" applyFill="1" applyBorder="1"/>
    <xf numFmtId="41" fontId="36" fillId="0" borderId="8" xfId="6" applyNumberFormat="1" applyFill="1" applyBorder="1"/>
    <xf numFmtId="37" fontId="55" fillId="0" borderId="0" xfId="15" applyFont="1"/>
    <xf numFmtId="41" fontId="56" fillId="0" borderId="0" xfId="12" applyFont="1" applyAlignment="1">
      <alignment horizontal="center"/>
    </xf>
    <xf numFmtId="0" fontId="59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Alignment="1" applyProtection="1">
      <alignment horizontal="right"/>
    </xf>
    <xf numFmtId="0" fontId="55" fillId="0" borderId="0" xfId="8" applyFont="1" applyBorder="1" applyAlignment="1">
      <alignment horizontal="center"/>
    </xf>
    <xf numFmtId="0" fontId="57" fillId="0" borderId="0" xfId="8" applyFont="1" applyBorder="1" applyAlignment="1">
      <alignment horizontal="center"/>
    </xf>
    <xf numFmtId="0" fontId="55" fillId="0" borderId="0" xfId="8" applyFont="1"/>
    <xf numFmtId="172" fontId="55" fillId="0" borderId="0" xfId="1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37" fontId="55" fillId="0" borderId="0" xfId="0" applyFont="1"/>
    <xf numFmtId="0" fontId="58" fillId="0" borderId="0" xfId="14" applyFont="1" applyFill="1" applyBorder="1" applyAlignment="1">
      <alignment horizontal="center"/>
    </xf>
    <xf numFmtId="0" fontId="55" fillId="0" borderId="0" xfId="8" applyFont="1" applyAlignment="1">
      <alignment horizontal="center"/>
    </xf>
    <xf numFmtId="0" fontId="55" fillId="0" borderId="0" xfId="14" applyFont="1" applyFill="1" applyBorder="1" applyAlignment="1">
      <alignment horizontal="center"/>
    </xf>
    <xf numFmtId="0" fontId="58" fillId="0" borderId="0" xfId="14" quotePrefix="1" applyFont="1" applyFill="1" applyBorder="1" applyAlignment="1">
      <alignment horizontal="center"/>
    </xf>
    <xf numFmtId="37" fontId="55" fillId="0" borderId="0" xfId="15" applyFont="1" applyBorder="1"/>
    <xf numFmtId="41" fontId="56" fillId="0" borderId="0" xfId="12" applyFont="1" applyBorder="1" applyAlignment="1">
      <alignment horizontal="center"/>
    </xf>
    <xf numFmtId="37" fontId="55" fillId="0" borderId="0" xfId="15" applyFont="1" applyBorder="1" applyAlignment="1">
      <alignment horizontal="left"/>
    </xf>
    <xf numFmtId="0" fontId="57" fillId="0" borderId="0" xfId="8" applyFont="1" applyBorder="1" applyAlignment="1">
      <alignment horizontal="left"/>
    </xf>
    <xf numFmtId="37" fontId="58" fillId="0" borderId="0" xfId="15" applyFont="1" applyBorder="1" applyAlignment="1">
      <alignment horizontal="left"/>
    </xf>
    <xf numFmtId="37" fontId="57" fillId="0" borderId="0" xfId="15" applyFont="1" applyBorder="1"/>
    <xf numFmtId="37" fontId="55" fillId="0" borderId="0" xfId="15" applyFont="1" applyFill="1" applyBorder="1" applyAlignment="1">
      <alignment horizontal="left"/>
    </xf>
    <xf numFmtId="37" fontId="58" fillId="0" borderId="0" xfId="15" applyFont="1" applyFill="1" applyBorder="1" applyAlignment="1">
      <alignment horizontal="left"/>
    </xf>
    <xf numFmtId="37" fontId="58" fillId="0" borderId="0" xfId="15" quotePrefix="1" applyFont="1" applyFill="1" applyBorder="1" applyAlignment="1">
      <alignment horizontal="left"/>
    </xf>
    <xf numFmtId="166" fontId="3" fillId="11" borderId="0" xfId="16" applyNumberFormat="1" applyFont="1" applyFill="1"/>
    <xf numFmtId="172" fontId="10" fillId="11" borderId="0" xfId="1" applyNumberFormat="1" applyFont="1" applyFill="1" applyBorder="1"/>
    <xf numFmtId="37" fontId="10" fillId="11" borderId="0" xfId="0" applyFont="1" applyFill="1"/>
    <xf numFmtId="37" fontId="19" fillId="11" borderId="0" xfId="0" applyFont="1" applyFill="1"/>
    <xf numFmtId="37" fontId="36" fillId="0" borderId="8" xfId="6" applyFill="1" applyBorder="1"/>
    <xf numFmtId="37" fontId="11" fillId="0" borderId="0" xfId="15" quotePrefix="1" applyFont="1"/>
    <xf numFmtId="10" fontId="36" fillId="18" borderId="0" xfId="20" applyNumberFormat="1" applyFont="1" applyFill="1"/>
    <xf numFmtId="171" fontId="36" fillId="18" borderId="0" xfId="20" applyNumberFormat="1" applyFont="1" applyFill="1"/>
    <xf numFmtId="172" fontId="36" fillId="18" borderId="0" xfId="3" applyNumberFormat="1" applyFont="1" applyFill="1"/>
    <xf numFmtId="167" fontId="5" fillId="18" borderId="1" xfId="11" applyNumberFormat="1" applyFont="1" applyFill="1" applyBorder="1" applyAlignment="1">
      <alignment horizontal="center"/>
    </xf>
    <xf numFmtId="167" fontId="5" fillId="18" borderId="5" xfId="11" applyNumberFormat="1" applyFont="1" applyFill="1" applyBorder="1" applyAlignment="1">
      <alignment horizontal="center"/>
    </xf>
    <xf numFmtId="3" fontId="5" fillId="18" borderId="8" xfId="16" applyNumberFormat="1" applyFont="1" applyFill="1" applyBorder="1" applyAlignment="1">
      <alignment horizontal="center"/>
    </xf>
    <xf numFmtId="41" fontId="5" fillId="18" borderId="0" xfId="12" applyFont="1" applyFill="1" applyAlignment="1">
      <alignment horizontal="center"/>
    </xf>
    <xf numFmtId="3" fontId="5" fillId="18" borderId="14" xfId="16" applyNumberFormat="1" applyFont="1" applyFill="1" applyBorder="1" applyAlignment="1">
      <alignment horizontal="center"/>
    </xf>
    <xf numFmtId="172" fontId="10" fillId="18" borderId="0" xfId="1" applyNumberFormat="1" applyFont="1" applyFill="1" applyBorder="1"/>
    <xf numFmtId="37" fontId="10" fillId="18" borderId="0" xfId="0" applyFont="1" applyFill="1"/>
    <xf numFmtId="10" fontId="10" fillId="0" borderId="0" xfId="19" applyNumberFormat="1" applyFont="1"/>
    <xf numFmtId="172" fontId="19" fillId="18" borderId="0" xfId="1" applyNumberFormat="1" applyFont="1" applyFill="1"/>
    <xf numFmtId="37" fontId="10" fillId="0" borderId="37" xfId="0" applyFont="1" applyBorder="1"/>
    <xf numFmtId="37" fontId="10" fillId="0" borderId="0" xfId="0" applyFont="1"/>
    <xf numFmtId="37" fontId="10" fillId="0" borderId="0" xfId="0" applyFont="1" applyAlignment="1">
      <alignment horizontal="center"/>
    </xf>
    <xf numFmtId="175" fontId="3" fillId="3" borderId="0" xfId="18" applyFont="1" applyFill="1"/>
    <xf numFmtId="3" fontId="5" fillId="0" borderId="0" xfId="18" applyNumberFormat="1" applyFont="1" applyFill="1"/>
    <xf numFmtId="37" fontId="10" fillId="4" borderId="0" xfId="0" applyFont="1" applyFill="1"/>
    <xf numFmtId="37" fontId="23" fillId="4" borderId="0" xfId="0" applyFont="1" applyFill="1" applyBorder="1" applyAlignment="1">
      <alignment horizontal="center"/>
    </xf>
    <xf numFmtId="37" fontId="23" fillId="4" borderId="0" xfId="0" applyFont="1" applyFill="1" applyBorder="1"/>
    <xf numFmtId="10" fontId="11" fillId="4" borderId="0" xfId="0" applyNumberFormat="1" applyFont="1" applyFill="1" applyBorder="1" applyAlignment="1">
      <alignment horizontal="center"/>
    </xf>
    <xf numFmtId="37" fontId="36" fillId="0" borderId="5" xfId="6" applyFont="1" applyFill="1" applyBorder="1" applyAlignment="1"/>
    <xf numFmtId="37" fontId="36" fillId="0" borderId="14" xfId="6" applyFill="1" applyBorder="1"/>
    <xf numFmtId="37" fontId="36" fillId="0" borderId="7" xfId="6" applyFill="1" applyBorder="1"/>
    <xf numFmtId="37" fontId="36" fillId="0" borderId="0" xfId="6" applyFill="1" applyBorder="1"/>
    <xf numFmtId="37" fontId="36" fillId="0" borderId="0" xfId="6" applyFont="1" applyFill="1" applyAlignment="1">
      <alignment horizontal="right"/>
    </xf>
    <xf numFmtId="37" fontId="36" fillId="0" borderId="16" xfId="6" applyFill="1" applyBorder="1"/>
    <xf numFmtId="37" fontId="36" fillId="0" borderId="15" xfId="6" applyFill="1" applyBorder="1"/>
    <xf numFmtId="10" fontId="36" fillId="0" borderId="12" xfId="19" applyNumberFormat="1" applyFont="1" applyBorder="1"/>
    <xf numFmtId="37" fontId="11" fillId="0" borderId="0" xfId="0" applyFont="1" applyFill="1" applyAlignment="1">
      <alignment horizontal="right"/>
    </xf>
    <xf numFmtId="37" fontId="39" fillId="0" borderId="0" xfId="6" applyFont="1" applyFill="1"/>
    <xf numFmtId="37" fontId="39" fillId="0" borderId="0" xfId="6" applyFont="1" applyFill="1" applyBorder="1"/>
    <xf numFmtId="37" fontId="39" fillId="0" borderId="0" xfId="6" applyFont="1" applyFill="1" applyAlignment="1">
      <alignment horizontal="right"/>
    </xf>
    <xf numFmtId="172" fontId="36" fillId="0" borderId="14" xfId="1" applyNumberFormat="1" applyFont="1" applyFill="1" applyBorder="1"/>
    <xf numFmtId="172" fontId="10" fillId="0" borderId="15" xfId="1" applyNumberFormat="1" applyFont="1" applyBorder="1"/>
    <xf numFmtId="172" fontId="10" fillId="0" borderId="16" xfId="1" applyNumberFormat="1" applyFont="1" applyFill="1" applyBorder="1"/>
    <xf numFmtId="37" fontId="11" fillId="0" borderId="0" xfId="0" applyFont="1"/>
    <xf numFmtId="172" fontId="10" fillId="18" borderId="14" xfId="1" applyNumberFormat="1" applyFont="1" applyFill="1" applyBorder="1"/>
    <xf numFmtId="3" fontId="3" fillId="18" borderId="0" xfId="16" applyNumberFormat="1" applyFont="1" applyFill="1" applyAlignment="1">
      <alignment horizontal="center"/>
    </xf>
    <xf numFmtId="3" fontId="5" fillId="0" borderId="0" xfId="18" applyNumberFormat="1" applyFont="1" applyFill="1" applyAlignment="1">
      <alignment horizontal="right"/>
    </xf>
    <xf numFmtId="37" fontId="0" fillId="0" borderId="0" xfId="0" applyAlignment="1">
      <alignment horizontal="right"/>
    </xf>
    <xf numFmtId="0" fontId="42" fillId="0" borderId="0" xfId="8" applyAlignment="1">
      <alignment horizontal="right"/>
    </xf>
    <xf numFmtId="166" fontId="3" fillId="18" borderId="0" xfId="16" applyNumberFormat="1" applyFont="1" applyFill="1"/>
    <xf numFmtId="166" fontId="3" fillId="18" borderId="10" xfId="16" applyNumberFormat="1" applyFont="1" applyFill="1" applyBorder="1"/>
    <xf numFmtId="10" fontId="36" fillId="0" borderId="0" xfId="20" applyNumberFormat="1" applyFont="1" applyFill="1"/>
    <xf numFmtId="3" fontId="3" fillId="18" borderId="14" xfId="16" applyNumberFormat="1" applyFont="1" applyFill="1" applyBorder="1" applyAlignment="1">
      <alignment horizontal="center"/>
    </xf>
    <xf numFmtId="0" fontId="5" fillId="18" borderId="8" xfId="16" applyNumberFormat="1" applyFont="1" applyFill="1" applyBorder="1" applyAlignment="1">
      <alignment horizontal="center"/>
    </xf>
    <xf numFmtId="37" fontId="36" fillId="18" borderId="14" xfId="6" applyFont="1" applyFill="1" applyBorder="1" applyAlignment="1">
      <alignment horizontal="center"/>
    </xf>
    <xf numFmtId="3" fontId="25" fillId="18" borderId="14" xfId="16" applyNumberFormat="1" applyFont="1" applyFill="1" applyBorder="1" applyAlignment="1">
      <alignment horizontal="center"/>
    </xf>
    <xf numFmtId="37" fontId="3" fillId="18" borderId="0" xfId="16" applyNumberFormat="1" applyFont="1" applyFill="1"/>
    <xf numFmtId="3" fontId="5" fillId="18" borderId="1" xfId="16" applyNumberFormat="1" applyFont="1" applyFill="1" applyBorder="1" applyAlignment="1">
      <alignment horizontal="center"/>
    </xf>
    <xf numFmtId="3" fontId="5" fillId="18" borderId="5" xfId="16" applyNumberFormat="1" applyFont="1" applyFill="1" applyBorder="1" applyAlignment="1">
      <alignment horizontal="center"/>
    </xf>
    <xf numFmtId="176" fontId="36" fillId="18" borderId="0" xfId="19" applyNumberFormat="1" applyFont="1" applyFill="1" applyBorder="1" applyAlignment="1"/>
    <xf numFmtId="0" fontId="36" fillId="18" borderId="14" xfId="14" applyFont="1" applyFill="1" applyBorder="1" applyAlignment="1">
      <alignment horizontal="center"/>
    </xf>
    <xf numFmtId="172" fontId="19" fillId="18" borderId="0" xfId="1" applyNumberFormat="1" applyFont="1" applyFill="1" applyBorder="1"/>
    <xf numFmtId="37" fontId="10" fillId="18" borderId="0" xfId="0" applyFont="1" applyFill="1" applyAlignment="1">
      <alignment horizontal="center"/>
    </xf>
    <xf numFmtId="37" fontId="39" fillId="0" borderId="0" xfId="6" applyFont="1" applyFill="1" applyBorder="1" applyAlignment="1">
      <alignment horizontal="right"/>
    </xf>
    <xf numFmtId="37" fontId="39" fillId="0" borderId="14" xfId="6" applyFont="1" applyFill="1" applyBorder="1"/>
    <xf numFmtId="10" fontId="36" fillId="0" borderId="10" xfId="20" applyFont="1" applyBorder="1"/>
    <xf numFmtId="37" fontId="36" fillId="18" borderId="14" xfId="6" applyFont="1" applyFill="1" applyBorder="1" applyAlignment="1">
      <alignment horizontal="right"/>
    </xf>
    <xf numFmtId="10" fontId="36" fillId="18" borderId="14" xfId="20" applyNumberFormat="1" applyFont="1" applyFill="1" applyBorder="1"/>
    <xf numFmtId="37" fontId="36" fillId="18" borderId="14" xfId="6" applyFont="1" applyFill="1" applyBorder="1"/>
    <xf numFmtId="37" fontId="36" fillId="18" borderId="14" xfId="6" applyFill="1" applyBorder="1"/>
    <xf numFmtId="171" fontId="36" fillId="18" borderId="14" xfId="20" applyNumberFormat="1" applyFont="1" applyFill="1" applyBorder="1"/>
    <xf numFmtId="37" fontId="36" fillId="18" borderId="15" xfId="6" applyFont="1" applyFill="1" applyBorder="1" applyAlignment="1">
      <alignment horizontal="center"/>
    </xf>
    <xf numFmtId="37" fontId="36" fillId="18" borderId="12" xfId="6" applyFont="1" applyFill="1" applyBorder="1"/>
    <xf numFmtId="37" fontId="36" fillId="18" borderId="16" xfId="6" applyFill="1" applyBorder="1" applyAlignment="1">
      <alignment horizontal="center"/>
    </xf>
    <xf numFmtId="41" fontId="36" fillId="18" borderId="12" xfId="6" applyNumberFormat="1" applyFill="1" applyBorder="1"/>
    <xf numFmtId="41" fontId="36" fillId="18" borderId="16" xfId="6" applyNumberFormat="1" applyFill="1" applyBorder="1"/>
    <xf numFmtId="41" fontId="0" fillId="18" borderId="12" xfId="0" applyNumberFormat="1" applyFill="1" applyBorder="1"/>
    <xf numFmtId="41" fontId="36" fillId="18" borderId="15" xfId="6" applyNumberFormat="1" applyFill="1" applyBorder="1"/>
    <xf numFmtId="37" fontId="36" fillId="18" borderId="14" xfId="6" applyFont="1" applyFill="1" applyBorder="1" applyAlignment="1"/>
    <xf numFmtId="172" fontId="36" fillId="18" borderId="12" xfId="1" applyNumberFormat="1" applyFont="1" applyFill="1" applyBorder="1"/>
    <xf numFmtId="41" fontId="36" fillId="18" borderId="14" xfId="6" applyNumberFormat="1" applyFill="1" applyBorder="1"/>
    <xf numFmtId="37" fontId="39" fillId="0" borderId="7" xfId="6" applyFont="1" applyFill="1" applyBorder="1" applyAlignment="1">
      <alignment horizontal="center"/>
    </xf>
    <xf numFmtId="175" fontId="3" fillId="7" borderId="12" xfId="18" applyFont="1" applyFill="1" applyBorder="1" applyAlignment="1">
      <alignment horizontal="center"/>
    </xf>
    <xf numFmtId="175" fontId="3" fillId="7" borderId="16" xfId="18" applyFont="1" applyFill="1" applyBorder="1" applyAlignment="1">
      <alignment horizontal="center"/>
    </xf>
    <xf numFmtId="175" fontId="3" fillId="7" borderId="15" xfId="18" applyFont="1" applyFill="1" applyBorder="1" applyAlignment="1">
      <alignment horizontal="center"/>
    </xf>
    <xf numFmtId="37" fontId="36" fillId="0" borderId="15" xfId="6" applyFont="1" applyBorder="1" applyAlignment="1">
      <alignment horizontal="center"/>
    </xf>
    <xf numFmtId="37" fontId="36" fillId="0" borderId="12" xfId="6" applyFont="1" applyBorder="1" applyAlignment="1">
      <alignment horizontal="center"/>
    </xf>
    <xf numFmtId="37" fontId="36" fillId="0" borderId="16" xfId="6" applyFont="1" applyBorder="1" applyAlignment="1">
      <alignment horizontal="center"/>
    </xf>
    <xf numFmtId="37" fontId="36" fillId="0" borderId="15" xfId="6" applyFont="1" applyFill="1" applyBorder="1" applyAlignment="1">
      <alignment horizontal="center"/>
    </xf>
    <xf numFmtId="37" fontId="36" fillId="0" borderId="16" xfId="6" applyFont="1" applyFill="1" applyBorder="1" applyAlignment="1">
      <alignment horizontal="center"/>
    </xf>
    <xf numFmtId="37" fontId="39" fillId="0" borderId="15" xfId="6" applyFont="1" applyBorder="1" applyAlignment="1">
      <alignment horizontal="center"/>
    </xf>
    <xf numFmtId="37" fontId="39" fillId="0" borderId="12" xfId="6" applyFont="1" applyBorder="1" applyAlignment="1">
      <alignment horizontal="center"/>
    </xf>
    <xf numFmtId="37" fontId="39" fillId="0" borderId="16" xfId="6" applyFont="1" applyBorder="1" applyAlignment="1">
      <alignment horizontal="center"/>
    </xf>
    <xf numFmtId="37" fontId="36" fillId="0" borderId="12" xfId="6" applyFont="1" applyFill="1" applyBorder="1" applyAlignment="1">
      <alignment horizontal="center"/>
    </xf>
    <xf numFmtId="37" fontId="39" fillId="0" borderId="2" xfId="6" applyFont="1" applyFill="1" applyBorder="1" applyAlignment="1">
      <alignment horizontal="center"/>
    </xf>
    <xf numFmtId="37" fontId="39" fillId="0" borderId="3" xfId="6" applyFont="1" applyFill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/>
    </xf>
    <xf numFmtId="37" fontId="37" fillId="0" borderId="0" xfId="15" applyFont="1" applyAlignment="1">
      <alignment horizontal="center"/>
    </xf>
    <xf numFmtId="37" fontId="11" fillId="0" borderId="0" xfId="0" applyFont="1" applyBorder="1" applyAlignment="1">
      <alignment horizontal="center"/>
    </xf>
  </cellXfs>
  <cellStyles count="42">
    <cellStyle name="Comma" xfId="1" builtinId="3"/>
    <cellStyle name="Comma 2" xfId="21"/>
    <cellStyle name="Comma 2 2" xfId="27"/>
    <cellStyle name="Comma 2 2 2" xfId="34"/>
    <cellStyle name="Comma 2 2 3" xfId="39"/>
    <cellStyle name="Comma 2 3" xfId="32"/>
    <cellStyle name="Comma 2 4" xfId="37"/>
    <cellStyle name="Comma_Avista WA GAS TY2006 Staff Rebuttal" xfId="2"/>
    <cellStyle name="Comma_TEMPLATE 01" xfId="3"/>
    <cellStyle name="Currency" xfId="4" builtinId="4"/>
    <cellStyle name="Date" xfId="5"/>
    <cellStyle name="Date 2" xfId="25"/>
    <cellStyle name="Date 3" xfId="30"/>
    <cellStyle name="Date 4" xfId="31"/>
    <cellStyle name="Normal" xfId="0" builtinId="0"/>
    <cellStyle name="Normal 2" xfId="22"/>
    <cellStyle name="Normal 3" xfId="23"/>
    <cellStyle name="Normal 4" xfId="29"/>
    <cellStyle name="Normal 4 2" xfId="36"/>
    <cellStyle name="Normal 4 3" xfId="41"/>
    <cellStyle name="Normal 6" xfId="24"/>
    <cellStyle name="Normal 6 2" xfId="28"/>
    <cellStyle name="Normal 6 2 2" xfId="35"/>
    <cellStyle name="Normal 6 2 3" xfId="40"/>
    <cellStyle name="Normal 6 3" xfId="33"/>
    <cellStyle name="Normal 6 4" xfId="38"/>
    <cellStyle name="Normal_Avista WA ELEC TY2006 Staff Rebuttal 05 capstruc" xfId="6"/>
    <cellStyle name="Normal_Avista WA GAS TY2006 Staff Rebuttal" xfId="7"/>
    <cellStyle name="Normal_Bench response 01" xfId="8"/>
    <cellStyle name="Normal_DFIT-WaEle_SUM" xfId="9"/>
    <cellStyle name="Normal_DFIT-WaGas_SUM" xfId="10"/>
    <cellStyle name="Normal_IDGas6_97" xfId="11"/>
    <cellStyle name="Normal_Inc. Stmt." xfId="12"/>
    <cellStyle name="Normal_Inc. Stmt. 2" xfId="26"/>
    <cellStyle name="Normal_PSSum-Elec" xfId="13"/>
    <cellStyle name="Normal_scratch" xfId="14"/>
    <cellStyle name="Normal_TEMPLATE 01" xfId="15"/>
    <cellStyle name="Normal_WAElec6_97" xfId="16"/>
    <cellStyle name="Normal_WAGas6_97" xfId="17"/>
    <cellStyle name="Normal_WAGas6_97_Avista WA GAS TY2006 Staff Rebuttal" xfId="18"/>
    <cellStyle name="Percent" xfId="19" builtinId="5"/>
    <cellStyle name="Percent_TEMPLATE 01" xfId="20"/>
  </cellStyles>
  <dxfs count="0"/>
  <tableStyles count="0" defaultTableStyle="TableStyleMedium9" defaultPivotStyle="PivotStyleLight16"/>
  <colors>
    <mruColors>
      <color rgb="FF1317AD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24</xdr:row>
      <xdr:rowOff>95250</xdr:rowOff>
    </xdr:from>
    <xdr:to>
      <xdr:col>14</xdr:col>
      <xdr:colOff>847725</xdr:colOff>
      <xdr:row>29</xdr:row>
      <xdr:rowOff>28575</xdr:rowOff>
    </xdr:to>
    <xdr:sp macro="" textlink="">
      <xdr:nvSpPr>
        <xdr:cNvPr id="16391" name="Text Box 7"/>
        <xdr:cNvSpPr txBox="1">
          <a:spLocks noChangeArrowheads="1"/>
        </xdr:cNvSpPr>
      </xdr:nvSpPr>
      <xdr:spPr bwMode="auto">
        <a:xfrm>
          <a:off x="9896475" y="3914775"/>
          <a:ext cx="571500" cy="6953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E</a:t>
          </a:r>
        </a:p>
      </xdr:txBody>
    </xdr:sp>
    <xdr:clientData/>
  </xdr:twoCellAnchor>
  <xdr:twoCellAnchor>
    <xdr:from>
      <xdr:col>14</xdr:col>
      <xdr:colOff>19050</xdr:colOff>
      <xdr:row>33</xdr:row>
      <xdr:rowOff>76200</xdr:rowOff>
    </xdr:from>
    <xdr:to>
      <xdr:col>14</xdr:col>
      <xdr:colOff>533400</xdr:colOff>
      <xdr:row>34</xdr:row>
      <xdr:rowOff>76200</xdr:rowOff>
    </xdr:to>
    <xdr:sp macro="" textlink="">
      <xdr:nvSpPr>
        <xdr:cNvPr id="3" name="Rectangle 2"/>
        <xdr:cNvSpPr/>
      </xdr:nvSpPr>
      <xdr:spPr bwMode="auto">
        <a:xfrm>
          <a:off x="9801225" y="5295900"/>
          <a:ext cx="514350" cy="152400"/>
        </a:xfrm>
        <a:prstGeom prst="rect">
          <a:avLst/>
        </a:prstGeom>
        <a:solidFill>
          <a:srgbClr val="FFFF00">
            <a:alpha val="21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home\Avista\070804\Staff%20WP\trash\Avista%20WA%20GAS%20TY2006%20Staff%20Rebuttal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ista\070804\Staff%20Testimony\Avista%20WA%20GAS%20TY2006%20DPK%20Exhibi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home\Avista\070804\Staff%20WP\trash\Avista%20WA%20ELEC%20TY2006%20Staff%20Rebuttal%2005%20capstru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vista\TEMPLATE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 "/>
      <sheetName val="Pro Forma Adj Sch 1.3 "/>
      <sheetName val="Summary of Adj Sch 1.4"/>
      <sheetName val="Captial 2.0"/>
      <sheetName val="Rev Conv Factor 2.1"/>
      <sheetName val="Revenue Requirement 2.2"/>
      <sheetName val="ResultSumGas"/>
      <sheetName val="R-1 DFIT"/>
      <sheetName val="R-2 BldGain"/>
      <sheetName val="R-3 GasInv"/>
      <sheetName val="R-4 WznDSM"/>
      <sheetName val="R- 5 CustAdv"/>
      <sheetName val="R-6 WeatherGas"/>
      <sheetName val=" R- 7 B &amp; O"/>
      <sheetName val="R-8 PropTax"/>
      <sheetName val="R-9 UncollExp"/>
      <sheetName val="R-10 RegExp"/>
      <sheetName val="R-11 Inj &amp; Damages"/>
      <sheetName val="R-12 FIT"/>
      <sheetName val="R-13 PF Debt"/>
      <sheetName val="R- 14 IncentOther"/>
      <sheetName val="R-15 GainsLosses"/>
      <sheetName val="R-16 ElimAR"/>
      <sheetName val="R-17 SubSpace"/>
      <sheetName val="R- 18 ExciseTax"/>
      <sheetName val="PF-1 Non-Exec Salaries"/>
      <sheetName val="PF-2 Exec Salaries"/>
      <sheetName val="PF-3 DepStudy"/>
      <sheetName val="PF-4 StorageContr"/>
      <sheetName val="PF-5 Interest Sync."/>
      <sheetName val="Inputs"/>
      <sheetName val="## Proposed Rates"/>
      <sheetName val="#### blank"/>
      <sheetName val="## ConverFac_Exh"/>
      <sheetName val="CWIPAlloc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 "/>
      <sheetName val="Pro Forma Adj Sch 1.3 "/>
      <sheetName val="Summary of Adj Sch "/>
      <sheetName val="Revenue Requirement "/>
      <sheetName val="Rev Conv Factor "/>
      <sheetName val="Captial Structure"/>
      <sheetName val="R-13 PF Debt"/>
      <sheetName val="END"/>
      <sheetName val="ResultSumGas"/>
      <sheetName val="R-1 DFIT"/>
      <sheetName val="R-2 BldGain"/>
      <sheetName val="R-3 GasInv"/>
      <sheetName val="R-4 WznDSM"/>
      <sheetName val="R- 5 CustAdv"/>
      <sheetName val="R-6 WeatherGas"/>
      <sheetName val=" R- 7 B &amp; O"/>
      <sheetName val="R-8 PropTax"/>
      <sheetName val="R-9 UncollExp"/>
      <sheetName val="R-10 RegExp"/>
      <sheetName val="R-11 Inj &amp; Damages"/>
      <sheetName val="R-12 FIT"/>
      <sheetName val="R- 14 IncentOther"/>
      <sheetName val="R-15 GainsLosses"/>
      <sheetName val="R-16 ElimAR"/>
      <sheetName val="R-17 SubSpace"/>
      <sheetName val="R- 18 ExciseTax"/>
      <sheetName val="PF-1 Non-Exec Salaries"/>
      <sheetName val="PF-2 Exec Salaries"/>
      <sheetName val="PF-3 DepStudy"/>
      <sheetName val="PF-4 StorageContr"/>
      <sheetName val="Inputs"/>
      <sheetName val="## Proposed Rates"/>
      <sheetName val="#### blank"/>
      <sheetName val="## ConverFac_Exh"/>
      <sheetName val="CWIP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"/>
      <sheetName val="Pro Forma Adj Sch 1.3"/>
      <sheetName val="Summary of Adj Sch 1.4"/>
      <sheetName val="Capital Structure Sch 2.0"/>
      <sheetName val="Revenue Requirement 2.2"/>
      <sheetName val="Revenue Conv Factor 2.1"/>
      <sheetName val="DFIT R-1"/>
      <sheetName val="BldGain R-2"/>
      <sheetName val="ColstripAFUDC R-3"/>
      <sheetName val="ColstripCommon R-4"/>
      <sheetName val="KFSumm R-5"/>
      <sheetName val="CustAdv R-6"/>
      <sheetName val="WAPGE R-7"/>
      <sheetName val="SettleEx R-8"/>
      <sheetName val="Eliminate B&amp;O R-9"/>
      <sheetName val="PropTax R-10"/>
      <sheetName val="UncollExp R-11"/>
      <sheetName val="RegExp R-12"/>
      <sheetName val="Inj &amp; Dam R-13"/>
      <sheetName val="FIT R-14"/>
      <sheetName val="ElimPowerCost R-15"/>
      <sheetName val="NezPerce R-16"/>
      <sheetName val="GainsLoss R-17"/>
      <sheetName val="ElimAR R-18"/>
      <sheetName val="SubSpace R-19"/>
      <sheetName val="ExciseTax R-20"/>
      <sheetName val="RevNormalztn R-21"/>
      <sheetName val="Incent&amp;Oth R-22"/>
      <sheetName val="R-23 PF Debt"/>
      <sheetName val="Inputs"/>
      <sheetName val="PF-1 PS"/>
      <sheetName val="PF-2 Prod Property "/>
      <sheetName val="ProdFctrCalc"/>
      <sheetName val="PF-3 Labor nonexecr"/>
      <sheetName val="PF-4 Labor Exec"/>
      <sheetName val="PF-5 Trans Rev Exp"/>
      <sheetName val="PF-6 Trans Cap Addition"/>
      <sheetName val="PF-7 Gen Cap Addition"/>
      <sheetName val="PF-8 Depreciation"/>
      <sheetName val="PF-9 Pole"/>
      <sheetName val="PF -10 Purchased Power"/>
      <sheetName val="PF-11 PF Debt"/>
      <sheetName val="PF12open"/>
      <sheetName val="END "/>
      <sheetName val="RevReq_Exh"/>
      <sheetName val="ID_DSM_Inv"/>
      <sheetName val=" NU-Proposed Rates"/>
      <sheetName val="WARateNorm"/>
      <sheetName val="CWIPAllocDebt"/>
      <sheetName val="PFRstmtSheet"/>
      <sheetName val="not-used "/>
      <sheetName val="not used -1"/>
      <sheetName val="PF13open"/>
      <sheetName val="PF14open"/>
      <sheetName val="PSID"/>
      <sheetName val="PSWA-not used"/>
      <sheetName val="IDElec12_06"/>
      <sheetName val="ResultSum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A1" t="str">
            <v xml:space="preserve"> 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. Stmt. 1.1"/>
      <sheetName val="Restating 1.2"/>
      <sheetName val="Pro Forma 1.3"/>
      <sheetName val="Avg Rate Base 2.1"/>
      <sheetName val="CIAC 2.2"/>
      <sheetName val="Working Cap 2.3"/>
      <sheetName val="Plant 3.1"/>
      <sheetName val="Depr 3.2 "/>
      <sheetName val="Captial 4.1"/>
      <sheetName val="Cost Debt 4.2"/>
      <sheetName val="PF Debt 4.3"/>
      <sheetName val="Income taxes 5.1"/>
      <sheetName val="Rev Conv Factor 5.2"/>
      <sheetName val="Deficiency 5.3"/>
      <sheetName val="Bal Sht 6.1"/>
      <sheetName val="not used"/>
    </sheetNames>
    <sheetDataSet>
      <sheetData sheetId="0">
        <row r="12">
          <cell r="B12" t="str">
            <v>Test Year Ended December 31,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indexed="47"/>
  </sheetPr>
  <dimension ref="A1:FO135"/>
  <sheetViews>
    <sheetView workbookViewId="0">
      <selection activeCell="J45" sqref="J45"/>
    </sheetView>
  </sheetViews>
  <sheetFormatPr defaultColWidth="9.25" defaultRowHeight="12.75"/>
  <cols>
    <col min="1" max="1" width="7.875" style="205" customWidth="1"/>
    <col min="2" max="2" width="4.875" style="200" customWidth="1"/>
    <col min="3" max="5" width="1.5" style="162" customWidth="1"/>
    <col min="6" max="6" width="31.875" style="162" customWidth="1"/>
    <col min="7" max="9" width="10" style="163" customWidth="1"/>
    <col min="10" max="10" width="9.5" style="163" customWidth="1"/>
    <col min="11" max="11" width="10.5" style="163" customWidth="1"/>
    <col min="12" max="12" width="10.5" style="164" customWidth="1"/>
    <col min="13" max="13" width="9.5" style="162" customWidth="1"/>
    <col min="14" max="14" width="9.25" style="205" customWidth="1"/>
    <col min="15" max="15" width="15.75" style="205" customWidth="1"/>
    <col min="16" max="16" width="9.25" style="205" customWidth="1"/>
    <col min="17" max="16384" width="9.25" style="162"/>
  </cols>
  <sheetData>
    <row r="1" spans="1:18" s="205" customFormat="1" ht="13.5" thickBot="1">
      <c r="A1" s="347" t="s">
        <v>340</v>
      </c>
      <c r="B1" s="206"/>
      <c r="G1" s="207"/>
      <c r="H1" s="207"/>
      <c r="I1" s="207"/>
      <c r="J1" s="207"/>
      <c r="K1" s="207"/>
      <c r="L1" s="208"/>
      <c r="Q1" s="162"/>
      <c r="R1" s="162"/>
    </row>
    <row r="2" spans="1:18" s="205" customFormat="1" ht="13.5" thickBot="1">
      <c r="B2" s="206"/>
      <c r="G2" s="207"/>
      <c r="H2" s="207"/>
      <c r="I2" s="207"/>
      <c r="J2" s="207"/>
      <c r="K2" s="207"/>
      <c r="L2" s="438" t="s">
        <v>468</v>
      </c>
      <c r="M2" s="439"/>
      <c r="Q2" s="162"/>
      <c r="R2" s="162"/>
    </row>
    <row r="3" spans="1:18">
      <c r="B3" s="303" t="s">
        <v>282</v>
      </c>
      <c r="C3" s="304"/>
      <c r="D3" s="304"/>
      <c r="E3" s="304"/>
      <c r="F3" s="304"/>
      <c r="G3" s="305"/>
      <c r="H3" s="306"/>
      <c r="I3" s="815" t="s">
        <v>649</v>
      </c>
      <c r="J3" s="306"/>
      <c r="K3" s="306"/>
      <c r="L3" s="307"/>
      <c r="M3" s="308"/>
    </row>
    <row r="4" spans="1:18">
      <c r="B4" s="575" t="s">
        <v>633</v>
      </c>
      <c r="C4" s="304"/>
      <c r="D4" s="304"/>
      <c r="E4" s="304"/>
      <c r="F4" s="304"/>
      <c r="G4" s="305"/>
      <c r="H4" s="306"/>
      <c r="I4" s="815" t="s">
        <v>647</v>
      </c>
      <c r="J4" s="306"/>
      <c r="K4" s="306"/>
      <c r="L4" s="307"/>
      <c r="M4" s="304"/>
    </row>
    <row r="5" spans="1:18">
      <c r="B5" s="303" t="s">
        <v>243</v>
      </c>
      <c r="C5" s="304"/>
      <c r="D5" s="304"/>
      <c r="E5" s="304"/>
      <c r="F5" s="304"/>
      <c r="G5" s="306"/>
      <c r="H5" s="305"/>
      <c r="J5" s="306"/>
      <c r="K5" s="306"/>
      <c r="L5" s="307"/>
      <c r="M5" s="304"/>
    </row>
    <row r="6" spans="1:18">
      <c r="B6" s="761" t="s">
        <v>569</v>
      </c>
      <c r="C6" s="304"/>
      <c r="D6" s="304"/>
      <c r="E6" s="304"/>
      <c r="F6" s="304"/>
      <c r="G6" s="306"/>
      <c r="H6" s="306"/>
      <c r="J6" s="306"/>
      <c r="K6" s="517"/>
      <c r="M6" s="304"/>
    </row>
    <row r="7" spans="1:18">
      <c r="B7" s="309" t="s">
        <v>244</v>
      </c>
      <c r="C7" s="304"/>
      <c r="D7" s="304"/>
      <c r="E7" s="304"/>
      <c r="F7" s="304"/>
      <c r="G7" s="306"/>
      <c r="H7" s="306"/>
      <c r="I7" s="306"/>
      <c r="J7" s="306"/>
      <c r="K7" s="306"/>
      <c r="L7" s="307"/>
      <c r="M7" s="304"/>
      <c r="O7" s="814"/>
    </row>
    <row r="8" spans="1:18" s="165" customFormat="1" ht="12">
      <c r="A8" s="209"/>
      <c r="B8" s="310"/>
      <c r="C8" s="311"/>
      <c r="D8" s="311"/>
      <c r="E8" s="311"/>
      <c r="F8" s="311" t="s">
        <v>245</v>
      </c>
      <c r="G8" s="311" t="s">
        <v>246</v>
      </c>
      <c r="H8" s="311" t="s">
        <v>247</v>
      </c>
      <c r="I8" s="165" t="s">
        <v>467</v>
      </c>
      <c r="J8" s="311" t="s">
        <v>248</v>
      </c>
      <c r="K8" s="311" t="s">
        <v>249</v>
      </c>
      <c r="L8" s="311" t="s">
        <v>250</v>
      </c>
      <c r="M8" s="311" t="s">
        <v>251</v>
      </c>
      <c r="N8" s="209"/>
      <c r="O8" s="209"/>
      <c r="P8" s="205"/>
      <c r="Q8" s="162"/>
      <c r="R8" s="162"/>
    </row>
    <row r="9" spans="1:18" s="165" customFormat="1" ht="15.75" customHeight="1" thickBot="1">
      <c r="A9" s="209"/>
      <c r="B9" s="312"/>
      <c r="C9" s="313"/>
      <c r="D9" s="313"/>
      <c r="E9" s="313"/>
      <c r="F9" s="177"/>
      <c r="G9" s="314"/>
      <c r="H9" s="314" t="s">
        <v>161</v>
      </c>
      <c r="I9" s="314"/>
      <c r="J9" s="314" t="s">
        <v>161</v>
      </c>
      <c r="K9" s="314"/>
      <c r="L9" s="314"/>
      <c r="M9" s="314" t="s">
        <v>253</v>
      </c>
      <c r="N9" s="209"/>
      <c r="O9" s="209" t="s">
        <v>491</v>
      </c>
      <c r="P9" s="205"/>
      <c r="Q9" s="162"/>
      <c r="R9" s="162"/>
    </row>
    <row r="10" spans="1:18" s="165" customFormat="1" ht="12">
      <c r="A10" s="209"/>
      <c r="B10" s="312" t="s">
        <v>11</v>
      </c>
      <c r="C10" s="313"/>
      <c r="D10" s="313"/>
      <c r="E10" s="313"/>
      <c r="F10" s="177"/>
      <c r="G10" s="314" t="s">
        <v>254</v>
      </c>
      <c r="H10" s="314" t="s">
        <v>255</v>
      </c>
      <c r="I10" s="314" t="s">
        <v>28</v>
      </c>
      <c r="J10" s="314" t="s">
        <v>10</v>
      </c>
      <c r="K10" s="314" t="s">
        <v>10</v>
      </c>
      <c r="L10" s="314" t="s">
        <v>256</v>
      </c>
      <c r="M10" s="314" t="s">
        <v>257</v>
      </c>
      <c r="N10" s="209"/>
      <c r="O10" s="527"/>
      <c r="P10" s="205"/>
      <c r="Q10" s="162"/>
      <c r="R10" s="162"/>
    </row>
    <row r="11" spans="1:18" s="165" customFormat="1" ht="12">
      <c r="A11" s="209"/>
      <c r="B11" s="315" t="s">
        <v>29</v>
      </c>
      <c r="C11" s="316"/>
      <c r="D11" s="316"/>
      <c r="E11" s="316"/>
      <c r="F11" s="316" t="s">
        <v>30</v>
      </c>
      <c r="G11" s="317" t="s">
        <v>253</v>
      </c>
      <c r="H11" s="317" t="s">
        <v>165</v>
      </c>
      <c r="I11" s="317" t="s">
        <v>253</v>
      </c>
      <c r="J11" s="317" t="s">
        <v>165</v>
      </c>
      <c r="K11" s="317" t="s">
        <v>253</v>
      </c>
      <c r="L11" s="317" t="s">
        <v>167</v>
      </c>
      <c r="M11" s="317" t="s">
        <v>258</v>
      </c>
      <c r="N11" s="209"/>
      <c r="O11" s="530"/>
      <c r="P11" s="205"/>
      <c r="Q11" s="162"/>
      <c r="R11" s="162"/>
    </row>
    <row r="12" spans="1:18" s="167" customFormat="1" ht="12">
      <c r="A12" s="210"/>
      <c r="B12" s="318"/>
      <c r="C12" s="319"/>
      <c r="D12" s="319"/>
      <c r="E12" s="319"/>
      <c r="F12" s="436" t="s">
        <v>259</v>
      </c>
      <c r="G12" s="435" t="s">
        <v>466</v>
      </c>
      <c r="H12" s="437" t="s">
        <v>260</v>
      </c>
      <c r="I12" s="437" t="s">
        <v>261</v>
      </c>
      <c r="J12" s="437" t="s">
        <v>262</v>
      </c>
      <c r="K12" s="437" t="s">
        <v>263</v>
      </c>
      <c r="L12" s="519">
        <f ca="1">+L15/K15</f>
        <v>6.2906035903403656E-2</v>
      </c>
      <c r="M12" s="437" t="s">
        <v>264</v>
      </c>
      <c r="N12" s="209"/>
      <c r="O12" s="534">
        <f ca="1">+L12</f>
        <v>6.2906035903403656E-2</v>
      </c>
      <c r="P12" s="205"/>
      <c r="Q12" s="162"/>
      <c r="R12" s="162"/>
    </row>
    <row r="13" spans="1:18" ht="12">
      <c r="B13" s="320"/>
      <c r="C13" s="876" t="s">
        <v>241</v>
      </c>
      <c r="D13" s="874"/>
      <c r="E13" s="874"/>
      <c r="F13" s="875"/>
      <c r="G13" s="306"/>
      <c r="H13" s="306"/>
      <c r="I13" s="306"/>
      <c r="J13" s="306"/>
      <c r="K13" s="306"/>
      <c r="L13" s="306"/>
      <c r="M13" s="306"/>
      <c r="N13" s="209"/>
      <c r="O13" s="536" t="s">
        <v>495</v>
      </c>
    </row>
    <row r="14" spans="1:18">
      <c r="B14" s="543"/>
      <c r="C14" s="321" t="s">
        <v>172</v>
      </c>
      <c r="D14" s="321"/>
      <c r="E14" s="321"/>
      <c r="F14" s="304"/>
      <c r="G14" s="306"/>
      <c r="H14" s="306"/>
      <c r="I14" s="306"/>
      <c r="J14" s="306"/>
      <c r="K14" s="306"/>
      <c r="M14" s="306"/>
      <c r="N14" s="209"/>
      <c r="O14" s="531"/>
    </row>
    <row r="15" spans="1:18" s="169" customFormat="1" ht="12">
      <c r="A15" s="211"/>
      <c r="B15" s="544">
        <v>1</v>
      </c>
      <c r="C15" s="322" t="s">
        <v>173</v>
      </c>
      <c r="D15" s="322"/>
      <c r="E15" s="322"/>
      <c r="F15" s="323"/>
      <c r="G15" s="324">
        <f>+ResultSumEl!F8</f>
        <v>407849</v>
      </c>
      <c r="H15" s="170">
        <f>+'DPK-2 Restating Adj Sch 1.2'!G14</f>
        <v>-17696</v>
      </c>
      <c r="I15" s="323">
        <f>SUM(G15:H15)</f>
        <v>390153</v>
      </c>
      <c r="J15" s="171"/>
      <c r="K15" s="172">
        <f>+J15+I15</f>
        <v>390153</v>
      </c>
      <c r="L15" s="171">
        <f ca="1">+'DPK-2 Revenue Requirement Sch 2'!G27</f>
        <v>24542.978625820648</v>
      </c>
      <c r="M15" s="172">
        <f t="shared" ref="M15:M20" ca="1" si="0">+L15+K15</f>
        <v>414695.97862582066</v>
      </c>
      <c r="N15" s="209"/>
      <c r="O15" s="535">
        <f ca="1">+L15*1000</f>
        <v>24542978.625820648</v>
      </c>
      <c r="P15" s="205"/>
      <c r="Q15" s="162"/>
      <c r="R15" s="162"/>
    </row>
    <row r="16" spans="1:18" ht="12">
      <c r="B16" s="544">
        <f>1+B15</f>
        <v>2</v>
      </c>
      <c r="C16" s="129" t="s">
        <v>174</v>
      </c>
      <c r="D16" s="129"/>
      <c r="E16" s="129"/>
      <c r="F16" s="325"/>
      <c r="G16" s="326">
        <f>+ResultSumEl!F9</f>
        <v>800</v>
      </c>
      <c r="H16" s="171">
        <f>+'DPK-2 Restating Adj Sch 1.2'!G15</f>
        <v>0</v>
      </c>
      <c r="I16" s="325">
        <f>SUM(G16:H16)</f>
        <v>800</v>
      </c>
      <c r="J16" s="171">
        <f>+'DPK-2 Pro Forma Adj Sch 1.3'!G16</f>
        <v>0</v>
      </c>
      <c r="K16" s="325">
        <f>+J16+I16</f>
        <v>800</v>
      </c>
      <c r="L16" s="171"/>
      <c r="M16" s="325">
        <f t="shared" si="0"/>
        <v>800</v>
      </c>
      <c r="N16" s="209"/>
      <c r="O16" s="536" t="s">
        <v>496</v>
      </c>
    </row>
    <row r="17" spans="2:15" ht="12">
      <c r="B17" s="544">
        <f t="shared" ref="B17:B72" si="1">1+B16</f>
        <v>3</v>
      </c>
      <c r="C17" s="129" t="s">
        <v>175</v>
      </c>
      <c r="D17" s="129"/>
      <c r="E17" s="129"/>
      <c r="F17" s="325"/>
      <c r="G17" s="326">
        <f>+ResultSumEl!F10</f>
        <v>126479</v>
      </c>
      <c r="H17" s="174">
        <f>+'DPK-2 Restating Adj Sch 1.2'!G16</f>
        <v>0</v>
      </c>
      <c r="I17" s="327">
        <f>SUM(G17:H17)</f>
        <v>126479</v>
      </c>
      <c r="J17" s="174">
        <f ca="1">+'DPK-2 Pro Forma Adj Sch 1.3'!G17</f>
        <v>-50631</v>
      </c>
      <c r="K17" s="327">
        <f ca="1">+J17+I17</f>
        <v>75848</v>
      </c>
      <c r="L17" s="174"/>
      <c r="M17" s="327">
        <f t="shared" ca="1" si="0"/>
        <v>75848</v>
      </c>
      <c r="N17" s="209"/>
      <c r="O17" s="531"/>
    </row>
    <row r="18" spans="2:15" thickBot="1">
      <c r="B18" s="544">
        <f t="shared" si="1"/>
        <v>4</v>
      </c>
      <c r="C18" s="129"/>
      <c r="D18" s="129" t="s">
        <v>176</v>
      </c>
      <c r="E18" s="129"/>
      <c r="F18" s="304"/>
      <c r="G18" s="328">
        <f>G15+G16+G17</f>
        <v>535128</v>
      </c>
      <c r="H18" s="325">
        <f>SUM(H15:H17)</f>
        <v>-17696</v>
      </c>
      <c r="I18" s="325">
        <f>SUM(I15:I17)</f>
        <v>517432</v>
      </c>
      <c r="J18" s="325">
        <f ca="1">SUM(J15:J17)</f>
        <v>-50631</v>
      </c>
      <c r="K18" s="325">
        <f ca="1">SUM(K15:K17)</f>
        <v>466801</v>
      </c>
      <c r="L18" s="325">
        <f ca="1">SUM(L15:L17)</f>
        <v>24542.978625820648</v>
      </c>
      <c r="M18" s="325">
        <f t="shared" ca="1" si="0"/>
        <v>491343.97862582066</v>
      </c>
      <c r="N18" s="209"/>
      <c r="O18" s="532"/>
    </row>
    <row r="19" spans="2:15" ht="12">
      <c r="B19" s="544">
        <f t="shared" si="1"/>
        <v>5</v>
      </c>
      <c r="C19" s="129" t="s">
        <v>177</v>
      </c>
      <c r="D19" s="129"/>
      <c r="E19" s="129"/>
      <c r="F19" s="325"/>
      <c r="G19" s="326">
        <f>+ResultSumEl!F12</f>
        <v>36572</v>
      </c>
      <c r="H19" s="326">
        <f>+'DPK-2 Restating Adj Sch 1.2'!G18</f>
        <v>416</v>
      </c>
      <c r="I19" s="326">
        <f>+H19+G19</f>
        <v>36988</v>
      </c>
      <c r="J19" s="174">
        <f>+'DPK-2 Pro Forma Adj Sch 1.3'!G19</f>
        <v>-27004</v>
      </c>
      <c r="K19" s="326">
        <f>+J19+I19</f>
        <v>9984</v>
      </c>
      <c r="L19" s="326"/>
      <c r="M19" s="326">
        <f t="shared" si="0"/>
        <v>9984</v>
      </c>
      <c r="N19" s="209"/>
    </row>
    <row r="20" spans="2:15" ht="12">
      <c r="B20" s="544">
        <f t="shared" si="1"/>
        <v>6</v>
      </c>
      <c r="C20" s="129"/>
      <c r="D20" s="129" t="s">
        <v>178</v>
      </c>
      <c r="E20" s="129"/>
      <c r="F20" s="325"/>
      <c r="G20" s="328">
        <f>G18+G19</f>
        <v>571700</v>
      </c>
      <c r="H20" s="328">
        <f>H18+H19</f>
        <v>-17280</v>
      </c>
      <c r="I20" s="328">
        <f>+H20+G20</f>
        <v>554420</v>
      </c>
      <c r="J20" s="328">
        <f ca="1">J18+J19</f>
        <v>-77635</v>
      </c>
      <c r="K20" s="328">
        <f ca="1">+J20+I20</f>
        <v>476785</v>
      </c>
      <c r="L20" s="328">
        <f ca="1">+L18+L19</f>
        <v>24542.978625820648</v>
      </c>
      <c r="M20" s="328">
        <f t="shared" ca="1" si="0"/>
        <v>501327.97862582066</v>
      </c>
      <c r="N20" s="209"/>
    </row>
    <row r="21" spans="2:15" ht="12">
      <c r="B21" s="544">
        <f t="shared" si="1"/>
        <v>7</v>
      </c>
      <c r="C21" s="129"/>
      <c r="D21" s="129"/>
      <c r="E21" s="129"/>
      <c r="F21" s="325"/>
      <c r="G21" s="329"/>
      <c r="H21" s="171"/>
      <c r="I21" s="171"/>
      <c r="J21" s="171"/>
      <c r="K21" s="171"/>
      <c r="L21" s="171"/>
      <c r="M21" s="171"/>
      <c r="N21" s="209"/>
    </row>
    <row r="22" spans="2:15" ht="12">
      <c r="B22" s="544">
        <f t="shared" si="1"/>
        <v>8</v>
      </c>
      <c r="C22" s="129" t="s">
        <v>51</v>
      </c>
      <c r="D22" s="129"/>
      <c r="E22" s="129"/>
      <c r="F22" s="325"/>
      <c r="G22" s="329"/>
      <c r="H22" s="171"/>
      <c r="I22" s="171"/>
      <c r="J22" s="175"/>
      <c r="K22" s="325"/>
      <c r="L22" s="175"/>
      <c r="M22" s="325"/>
      <c r="N22" s="209"/>
    </row>
    <row r="23" spans="2:15" thickBot="1">
      <c r="B23" s="544">
        <f t="shared" si="1"/>
        <v>9</v>
      </c>
      <c r="C23" s="129" t="s">
        <v>179</v>
      </c>
      <c r="D23" s="129"/>
      <c r="E23" s="129"/>
      <c r="F23" s="325"/>
      <c r="G23" s="329"/>
      <c r="H23" s="175"/>
      <c r="I23" s="325"/>
      <c r="J23" s="175"/>
      <c r="K23" s="325"/>
      <c r="L23" s="175"/>
      <c r="M23" s="325"/>
    </row>
    <row r="24" spans="2:15" ht="12">
      <c r="B24" s="544">
        <f t="shared" si="1"/>
        <v>10</v>
      </c>
      <c r="C24" s="129"/>
      <c r="D24" s="129" t="s">
        <v>180</v>
      </c>
      <c r="E24" s="129"/>
      <c r="F24" s="325"/>
      <c r="G24" s="326">
        <f>+ResultSumEl!F17</f>
        <v>175800</v>
      </c>
      <c r="H24" s="326">
        <f>+'DPK-2 Restating Adj Sch 1.2'!G23</f>
        <v>-17729</v>
      </c>
      <c r="I24" s="326">
        <f>SUM(G24:H24)</f>
        <v>158071</v>
      </c>
      <c r="J24" s="326">
        <f ca="1">+'DPK-2 Pro Forma Adj Sch 1.3'!G24</f>
        <v>1113.3094200000151</v>
      </c>
      <c r="K24" s="326">
        <f ca="1">+J24+I24</f>
        <v>159184.30942000001</v>
      </c>
      <c r="L24" s="326"/>
      <c r="M24" s="326">
        <f ca="1">+L24+K24</f>
        <v>159184.30942000001</v>
      </c>
      <c r="O24" s="547"/>
    </row>
    <row r="25" spans="2:15" ht="12">
      <c r="B25" s="544">
        <f t="shared" si="1"/>
        <v>11</v>
      </c>
      <c r="C25" s="129"/>
      <c r="D25" s="129" t="s">
        <v>181</v>
      </c>
      <c r="E25" s="129"/>
      <c r="F25" s="325"/>
      <c r="G25" s="326">
        <f>+ResultSumEl!F18</f>
        <v>147076</v>
      </c>
      <c r="H25" s="326">
        <f>+'DPK-2 Restating Adj Sch 1.2'!G24</f>
        <v>0</v>
      </c>
      <c r="I25" s="326">
        <f>SUM(G25:H25)</f>
        <v>147076</v>
      </c>
      <c r="J25" s="326">
        <f>+'DPK-2 Pro Forma Adj Sch 1.3'!G25</f>
        <v>-66497</v>
      </c>
      <c r="K25" s="326">
        <f>+J25+I25</f>
        <v>80579</v>
      </c>
      <c r="L25" s="326"/>
      <c r="M25" s="326">
        <f>+L25+K25</f>
        <v>80579</v>
      </c>
      <c r="O25" s="531"/>
    </row>
    <row r="26" spans="2:15" ht="12">
      <c r="B26" s="544">
        <f t="shared" si="1"/>
        <v>12</v>
      </c>
      <c r="C26" s="129"/>
      <c r="D26" s="129" t="s">
        <v>182</v>
      </c>
      <c r="E26" s="129"/>
      <c r="F26" s="325"/>
      <c r="G26" s="326">
        <f>+ResultSumEl!F19</f>
        <v>23675</v>
      </c>
      <c r="H26" s="326">
        <f>+'DPK-2 Restating Adj Sch 1.2'!G25</f>
        <v>1801</v>
      </c>
      <c r="I26" s="326">
        <f>SUM(G26:H26)</f>
        <v>25476</v>
      </c>
      <c r="J26" s="326">
        <f>+'DPK-2 Pro Forma Adj Sch 1.3'!G26</f>
        <v>7238.8090000000002</v>
      </c>
      <c r="K26" s="326">
        <f>+J26+I26</f>
        <v>32714.809000000001</v>
      </c>
      <c r="L26" s="326"/>
      <c r="M26" s="326">
        <f>+L26+K26</f>
        <v>32714.809000000001</v>
      </c>
      <c r="O26" s="531"/>
    </row>
    <row r="27" spans="2:15" ht="12">
      <c r="B27" s="544">
        <f t="shared" si="1"/>
        <v>13</v>
      </c>
      <c r="C27" s="129"/>
      <c r="D27" s="129" t="s">
        <v>183</v>
      </c>
      <c r="E27" s="129"/>
      <c r="F27" s="325"/>
      <c r="G27" s="326">
        <f>+ResultSumEl!F20</f>
        <v>8935</v>
      </c>
      <c r="H27" s="326">
        <f>+'DPK-2 Restating Adj Sch 1.2'!G26</f>
        <v>1373.9480000000001</v>
      </c>
      <c r="I27" s="326">
        <f>SUM(G27:H27)</f>
        <v>10308.948</v>
      </c>
      <c r="J27" s="326">
        <f>+'DPK-2 Pro Forma Adj Sch 1.3'!G27</f>
        <v>555.93358000000001</v>
      </c>
      <c r="K27" s="326">
        <f>+J27+I27</f>
        <v>10864.881580000001</v>
      </c>
      <c r="L27" s="326"/>
      <c r="M27" s="326">
        <f>+L27+K27</f>
        <v>10864.881580000001</v>
      </c>
      <c r="O27" s="531"/>
    </row>
    <row r="28" spans="2:15" ht="12">
      <c r="B28" s="544">
        <f t="shared" si="1"/>
        <v>14</v>
      </c>
      <c r="C28" s="129"/>
      <c r="D28" s="129"/>
      <c r="E28" s="129" t="s">
        <v>184</v>
      </c>
      <c r="F28" s="325"/>
      <c r="G28" s="328">
        <f t="shared" ref="G28:M28" si="2">SUM(G24:G27)</f>
        <v>355486</v>
      </c>
      <c r="H28" s="328">
        <f t="shared" si="2"/>
        <v>-14554.052</v>
      </c>
      <c r="I28" s="328">
        <f t="shared" si="2"/>
        <v>340931.94799999997</v>
      </c>
      <c r="J28" s="328">
        <f t="shared" ca="1" si="2"/>
        <v>-57588.947999999989</v>
      </c>
      <c r="K28" s="328">
        <f t="shared" ca="1" si="2"/>
        <v>283343</v>
      </c>
      <c r="L28" s="328">
        <f t="shared" si="2"/>
        <v>0</v>
      </c>
      <c r="M28" s="328">
        <f t="shared" ca="1" si="2"/>
        <v>283343</v>
      </c>
      <c r="O28" s="531"/>
    </row>
    <row r="29" spans="2:15" ht="12">
      <c r="B29" s="544">
        <f t="shared" si="1"/>
        <v>15</v>
      </c>
      <c r="C29" s="129"/>
      <c r="D29" s="129"/>
      <c r="E29" s="129"/>
      <c r="F29" s="325"/>
      <c r="G29" s="329"/>
      <c r="H29" s="175"/>
      <c r="I29" s="325"/>
      <c r="J29" s="326"/>
      <c r="K29" s="325"/>
      <c r="L29" s="175"/>
      <c r="M29" s="325"/>
      <c r="O29" s="531"/>
    </row>
    <row r="30" spans="2:15" ht="12">
      <c r="B30" s="544">
        <f t="shared" si="1"/>
        <v>16</v>
      </c>
      <c r="C30" s="129" t="s">
        <v>185</v>
      </c>
      <c r="D30" s="129"/>
      <c r="E30" s="129"/>
      <c r="F30" s="325"/>
      <c r="G30" s="329"/>
      <c r="H30" s="329"/>
      <c r="I30" s="329"/>
      <c r="J30" s="326"/>
      <c r="K30" s="329"/>
      <c r="L30" s="329"/>
      <c r="M30" s="329"/>
      <c r="O30" s="531"/>
    </row>
    <row r="31" spans="2:15" thickBot="1">
      <c r="B31" s="544">
        <f t="shared" si="1"/>
        <v>17</v>
      </c>
      <c r="C31" s="129"/>
      <c r="D31" s="129" t="s">
        <v>180</v>
      </c>
      <c r="E31" s="129"/>
      <c r="F31" s="325"/>
      <c r="G31" s="326">
        <f>+ResultSumEl!F24</f>
        <v>17279</v>
      </c>
      <c r="H31" s="326">
        <f>+'DPK-2 Restating Adj Sch 1.2'!G30</f>
        <v>0</v>
      </c>
      <c r="I31" s="326">
        <f>+H31+G31</f>
        <v>17279</v>
      </c>
      <c r="J31" s="326">
        <f>+'DPK-2 Pro Forma Adj Sch 1.3'!G31</f>
        <v>1414.002</v>
      </c>
      <c r="K31" s="326">
        <f>+J31+I31</f>
        <v>18693.002</v>
      </c>
      <c r="L31" s="326"/>
      <c r="M31" s="326">
        <f>+L31+K31</f>
        <v>18693.002</v>
      </c>
      <c r="O31" s="532"/>
    </row>
    <row r="32" spans="2:15" ht="12">
      <c r="B32" s="544">
        <f t="shared" si="1"/>
        <v>18</v>
      </c>
      <c r="C32" s="129"/>
      <c r="D32" s="129" t="s">
        <v>186</v>
      </c>
      <c r="E32" s="129"/>
      <c r="F32" s="325"/>
      <c r="G32" s="326">
        <f>+ResultSumEl!F25</f>
        <v>14599</v>
      </c>
      <c r="H32" s="326">
        <f>+'DPK-2 Restating Adj Sch 1.2'!G31</f>
        <v>735</v>
      </c>
      <c r="I32" s="326">
        <f>+H32+G32</f>
        <v>15334</v>
      </c>
      <c r="J32" s="326">
        <f>+'DPK-2 Pro Forma Adj Sch 1.3'!G32</f>
        <v>97</v>
      </c>
      <c r="K32" s="326">
        <f>+J32+I32</f>
        <v>15431</v>
      </c>
      <c r="L32" s="326"/>
      <c r="M32" s="326">
        <f>+L32+K32</f>
        <v>15431</v>
      </c>
    </row>
    <row r="33" spans="2:13" ht="12">
      <c r="B33" s="544">
        <f t="shared" si="1"/>
        <v>19</v>
      </c>
      <c r="C33" s="129"/>
      <c r="D33" s="129" t="s">
        <v>183</v>
      </c>
      <c r="E33" s="129"/>
      <c r="F33" s="325"/>
      <c r="G33" s="326">
        <f>+ResultSumEl!F26</f>
        <v>33186</v>
      </c>
      <c r="H33" s="326">
        <f>+'DPK-2 Restating Adj Sch 1.2'!G32</f>
        <v>-15002.85</v>
      </c>
      <c r="I33" s="326">
        <f>+H33+G33</f>
        <v>18183.150000000001</v>
      </c>
      <c r="J33" s="326">
        <f>+'DPK-2 Pro Forma Adj Sch 1.3'!G33</f>
        <v>0</v>
      </c>
      <c r="K33" s="326">
        <f>+J33+I33</f>
        <v>18183.150000000001</v>
      </c>
      <c r="L33" s="326">
        <f ca="1">+'DPK-2 Revenue Conv Factor Sch 3'!L16</f>
        <v>948.15702893003152</v>
      </c>
      <c r="M33" s="326">
        <f ca="1">+L33+K33</f>
        <v>19131.307028930034</v>
      </c>
    </row>
    <row r="34" spans="2:13" ht="12">
      <c r="B34" s="544">
        <f t="shared" si="1"/>
        <v>20</v>
      </c>
      <c r="C34" s="129"/>
      <c r="D34" s="129"/>
      <c r="E34" s="129" t="s">
        <v>187</v>
      </c>
      <c r="F34" s="325"/>
      <c r="G34" s="328">
        <f t="shared" ref="G34:M34" si="3">G31+G32+G33</f>
        <v>65064</v>
      </c>
      <c r="H34" s="328">
        <f t="shared" si="3"/>
        <v>-14267.85</v>
      </c>
      <c r="I34" s="328">
        <f t="shared" si="3"/>
        <v>50796.15</v>
      </c>
      <c r="J34" s="328">
        <f t="shared" si="3"/>
        <v>1511.002</v>
      </c>
      <c r="K34" s="328">
        <f t="shared" si="3"/>
        <v>52307.152000000002</v>
      </c>
      <c r="L34" s="328">
        <f t="shared" ca="1" si="3"/>
        <v>948.15702893003152</v>
      </c>
      <c r="M34" s="328">
        <f t="shared" ca="1" si="3"/>
        <v>53255.309028930031</v>
      </c>
    </row>
    <row r="35" spans="2:13" ht="12">
      <c r="B35" s="544">
        <f t="shared" si="1"/>
        <v>21</v>
      </c>
      <c r="C35" s="129"/>
      <c r="D35" s="129"/>
      <c r="E35" s="129"/>
      <c r="F35" s="325"/>
      <c r="G35" s="329"/>
      <c r="H35" s="175"/>
      <c r="I35" s="325"/>
      <c r="J35" s="326"/>
      <c r="K35" s="325"/>
      <c r="L35" s="175"/>
      <c r="M35" s="325"/>
    </row>
    <row r="36" spans="2:13" ht="12">
      <c r="B36" s="544">
        <f t="shared" si="1"/>
        <v>22</v>
      </c>
      <c r="C36" s="129" t="s">
        <v>188</v>
      </c>
      <c r="D36" s="129"/>
      <c r="E36" s="129"/>
      <c r="F36" s="325"/>
      <c r="G36" s="326">
        <f>+ResultSumEl!F29</f>
        <v>8559</v>
      </c>
      <c r="H36" s="326">
        <f>+'DPK-2 Restating Adj Sch 1.2'!G35</f>
        <v>-652</v>
      </c>
      <c r="I36" s="326">
        <f>+H36+G36</f>
        <v>7907</v>
      </c>
      <c r="J36" s="326">
        <f>+'DPK-2 Pro Forma Adj Sch 1.3'!G36</f>
        <v>590.20299999999997</v>
      </c>
      <c r="K36" s="326">
        <f>+J36+I36</f>
        <v>8497.2029999999995</v>
      </c>
      <c r="L36" s="326">
        <f ca="1">+'DPK-2 Revenue Conv Factor Sch 3'!L17</f>
        <v>61.77467720119057</v>
      </c>
      <c r="M36" s="326">
        <f ca="1">+L36+K36</f>
        <v>8558.9776772011901</v>
      </c>
    </row>
    <row r="37" spans="2:13" ht="12">
      <c r="B37" s="544">
        <f t="shared" si="1"/>
        <v>23</v>
      </c>
      <c r="C37" s="129" t="s">
        <v>189</v>
      </c>
      <c r="D37" s="129"/>
      <c r="E37" s="129"/>
      <c r="F37" s="325"/>
      <c r="G37" s="326">
        <f>+ResultSumEl!F30</f>
        <v>11359</v>
      </c>
      <c r="H37" s="326">
        <f>+'DPK-2 Restating Adj Sch 1.2'!G36</f>
        <v>-10677.611999999999</v>
      </c>
      <c r="I37" s="326">
        <f>+H37+G37</f>
        <v>681.38800000000083</v>
      </c>
      <c r="J37" s="326">
        <f>+'DPK-2 Pro Forma Adj Sch 1.3'!G37</f>
        <v>33.525999999999996</v>
      </c>
      <c r="K37" s="326">
        <f>+J37+I37</f>
        <v>714.91400000000078</v>
      </c>
      <c r="L37" s="326"/>
      <c r="M37" s="326">
        <f>+L37+K37</f>
        <v>714.91400000000078</v>
      </c>
    </row>
    <row r="38" spans="2:13" ht="12">
      <c r="B38" s="544">
        <f t="shared" si="1"/>
        <v>24</v>
      </c>
      <c r="C38" s="129" t="s">
        <v>190</v>
      </c>
      <c r="D38" s="129"/>
      <c r="E38" s="129"/>
      <c r="F38" s="325"/>
      <c r="G38" s="335">
        <f>+ResultSumEl!F31</f>
        <v>696</v>
      </c>
      <c r="H38" s="335">
        <f>+'DPK-2 Restating Adj Sch 1.2'!G37</f>
        <v>0</v>
      </c>
      <c r="I38" s="335">
        <f>+H38+G38</f>
        <v>696</v>
      </c>
      <c r="J38" s="335">
        <f>+'DPK-2 Pro Forma Adj Sch 1.3'!G38</f>
        <v>52.249000000000002</v>
      </c>
      <c r="K38" s="335">
        <f>+J38+I38</f>
        <v>748.24900000000002</v>
      </c>
      <c r="L38" s="335"/>
      <c r="M38" s="335">
        <f>+L38+K38</f>
        <v>748.24900000000002</v>
      </c>
    </row>
    <row r="39" spans="2:13" ht="12.95" customHeight="1">
      <c r="B39" s="544">
        <f t="shared" si="1"/>
        <v>25</v>
      </c>
      <c r="C39" s="129"/>
      <c r="D39" s="129"/>
      <c r="E39" s="129"/>
      <c r="F39" s="325"/>
      <c r="G39" s="329">
        <f>+SUM(G36:G38)</f>
        <v>20614</v>
      </c>
      <c r="H39" s="329">
        <f t="shared" ref="H39:M39" si="4">+SUM(H36:H38)</f>
        <v>-11329.611999999999</v>
      </c>
      <c r="I39" s="329">
        <f t="shared" si="4"/>
        <v>9284.3880000000008</v>
      </c>
      <c r="J39" s="329">
        <f t="shared" si="4"/>
        <v>675.97799999999995</v>
      </c>
      <c r="K39" s="329">
        <f t="shared" si="4"/>
        <v>9960.366</v>
      </c>
      <c r="L39" s="329">
        <f t="shared" ca="1" si="4"/>
        <v>61.77467720119057</v>
      </c>
      <c r="M39" s="329">
        <f t="shared" ca="1" si="4"/>
        <v>10022.140677201191</v>
      </c>
    </row>
    <row r="40" spans="2:13" ht="12.95" customHeight="1">
      <c r="B40" s="544">
        <f t="shared" si="1"/>
        <v>26</v>
      </c>
      <c r="C40" s="129" t="s">
        <v>191</v>
      </c>
      <c r="D40" s="129"/>
      <c r="E40" s="129"/>
      <c r="F40" s="325"/>
      <c r="G40" s="329"/>
      <c r="H40" s="329"/>
      <c r="I40" s="329"/>
      <c r="J40" s="329"/>
      <c r="K40" s="329"/>
      <c r="L40" s="329"/>
      <c r="M40" s="329"/>
    </row>
    <row r="41" spans="2:13" ht="12.95" customHeight="1">
      <c r="B41" s="544">
        <f t="shared" si="1"/>
        <v>27</v>
      </c>
      <c r="C41" s="129"/>
      <c r="D41" s="129" t="s">
        <v>180</v>
      </c>
      <c r="E41" s="129"/>
      <c r="F41" s="325"/>
      <c r="G41" s="326">
        <f>+ResultSumEl!F34</f>
        <v>35147</v>
      </c>
      <c r="H41" s="326">
        <f>+'DPK-2 Restating Adj Sch 1.2'!G40</f>
        <v>-83</v>
      </c>
      <c r="I41" s="326">
        <f>SUM(G41:H41)</f>
        <v>35064</v>
      </c>
      <c r="J41" s="326">
        <f>+'DPK-2 Pro Forma Adj Sch 1.3'!G41</f>
        <v>2419.4349999999999</v>
      </c>
      <c r="K41" s="326">
        <f>+J41+I41</f>
        <v>37483.434999999998</v>
      </c>
      <c r="L41" s="326">
        <f ca="1">+'DPK-2 Revenue Conv Factor Sch 3'!L15</f>
        <v>49.085957251641297</v>
      </c>
      <c r="M41" s="326">
        <f ca="1">+L41+K41</f>
        <v>37532.52095725164</v>
      </c>
    </row>
    <row r="42" spans="2:13" ht="12">
      <c r="B42" s="544">
        <f t="shared" si="1"/>
        <v>28</v>
      </c>
      <c r="C42" s="129"/>
      <c r="D42" s="129" t="s">
        <v>186</v>
      </c>
      <c r="E42" s="129"/>
      <c r="F42" s="325"/>
      <c r="G42" s="326">
        <f>+ResultSumEl!F35</f>
        <v>7022</v>
      </c>
      <c r="H42" s="326">
        <f>+'DPK-2 Restating Adj Sch 1.2'!G41</f>
        <v>-232</v>
      </c>
      <c r="I42" s="326">
        <f>SUM(G42:H42)</f>
        <v>6790</v>
      </c>
      <c r="J42" s="326">
        <f>+'DPK-2 Pro Forma Adj Sch 1.3'!G42</f>
        <v>0</v>
      </c>
      <c r="K42" s="326">
        <f>+J42+I42</f>
        <v>6790</v>
      </c>
      <c r="L42" s="326"/>
      <c r="M42" s="326">
        <f>+L42+K42</f>
        <v>6790</v>
      </c>
    </row>
    <row r="43" spans="2:13" ht="12">
      <c r="B43" s="544">
        <f t="shared" si="1"/>
        <v>29</v>
      </c>
      <c r="C43" s="129"/>
      <c r="D43" s="129" t="s">
        <v>183</v>
      </c>
      <c r="E43" s="129"/>
      <c r="F43" s="325"/>
      <c r="G43" s="326">
        <f>+ResultSumEl!F36</f>
        <v>0</v>
      </c>
      <c r="H43" s="326">
        <f>+'DPK-2 Restating Adj Sch 1.2'!G42</f>
        <v>-5</v>
      </c>
      <c r="I43" s="326">
        <f>SUM(G43:H43)</f>
        <v>-5</v>
      </c>
      <c r="J43" s="326">
        <f>+'DPK-2 Pro Forma Adj Sch 1.3'!G43</f>
        <v>0</v>
      </c>
      <c r="K43" s="326">
        <f>+J43+I43</f>
        <v>-5</v>
      </c>
      <c r="L43" s="326"/>
      <c r="M43" s="326">
        <f>+L43+K43</f>
        <v>-5</v>
      </c>
    </row>
    <row r="44" spans="2:13" ht="12">
      <c r="B44" s="544">
        <f t="shared" si="1"/>
        <v>30</v>
      </c>
      <c r="C44" s="129"/>
      <c r="D44" s="129"/>
      <c r="E44" s="129" t="s">
        <v>192</v>
      </c>
      <c r="F44" s="325"/>
      <c r="G44" s="330">
        <f t="shared" ref="G44:M44" si="5">G41+G42+G43</f>
        <v>42169</v>
      </c>
      <c r="H44" s="330">
        <f t="shared" si="5"/>
        <v>-320</v>
      </c>
      <c r="I44" s="330">
        <f t="shared" si="5"/>
        <v>41849</v>
      </c>
      <c r="J44" s="330">
        <f t="shared" si="5"/>
        <v>2419.4349999999999</v>
      </c>
      <c r="K44" s="330">
        <f t="shared" si="5"/>
        <v>44268.434999999998</v>
      </c>
      <c r="L44" s="330">
        <f t="shared" ca="1" si="5"/>
        <v>49.085957251641297</v>
      </c>
      <c r="M44" s="330">
        <f t="shared" ca="1" si="5"/>
        <v>44317.52095725164</v>
      </c>
    </row>
    <row r="45" spans="2:13" ht="12">
      <c r="B45" s="544">
        <f t="shared" si="1"/>
        <v>31</v>
      </c>
      <c r="C45" s="129" t="s">
        <v>193</v>
      </c>
      <c r="D45" s="129"/>
      <c r="E45" s="129"/>
      <c r="F45" s="325"/>
      <c r="G45" s="331">
        <f>G28+G34+G36+G37+G38+G44</f>
        <v>483333</v>
      </c>
      <c r="H45" s="331">
        <f>H28+H34+H36+H37+H38+H44</f>
        <v>-40471.514000000003</v>
      </c>
      <c r="I45" s="331">
        <f>SUM(G45:H45)</f>
        <v>442861.48599999998</v>
      </c>
      <c r="J45" s="331">
        <f ca="1">J28+J34+J36+J37+J38+J44</f>
        <v>-52982.532999999989</v>
      </c>
      <c r="K45" s="331">
        <f ca="1">SUM(I45:J45)</f>
        <v>389878.95299999998</v>
      </c>
      <c r="L45" s="331">
        <f ca="1">L28+L34+L36+L37+L38+L44</f>
        <v>1059.0176633828635</v>
      </c>
      <c r="M45" s="331">
        <f ca="1">M28+M34+M36+M37+M38+M44</f>
        <v>390937.9706633829</v>
      </c>
    </row>
    <row r="46" spans="2:13" ht="12">
      <c r="B46" s="544">
        <f t="shared" si="1"/>
        <v>32</v>
      </c>
      <c r="C46" s="129"/>
      <c r="D46" s="129"/>
      <c r="E46" s="129"/>
      <c r="F46" s="325"/>
      <c r="G46" s="329"/>
      <c r="H46" s="326"/>
      <c r="I46" s="329"/>
      <c r="J46" s="326"/>
      <c r="K46" s="329"/>
      <c r="L46" s="326"/>
      <c r="M46" s="329"/>
    </row>
    <row r="47" spans="2:13" ht="12">
      <c r="B47" s="544">
        <f t="shared" si="1"/>
        <v>33</v>
      </c>
      <c r="C47" s="129" t="s">
        <v>194</v>
      </c>
      <c r="D47" s="129"/>
      <c r="E47" s="129"/>
      <c r="F47" s="325"/>
      <c r="G47" s="329">
        <f>G20-G45</f>
        <v>88367</v>
      </c>
      <c r="H47" s="329">
        <f>H20-H45</f>
        <v>23191.514000000003</v>
      </c>
      <c r="I47" s="329">
        <f>I20-I45</f>
        <v>111558.51400000002</v>
      </c>
      <c r="J47" s="329">
        <f ca="1">J20-J45</f>
        <v>-24652.467000000011</v>
      </c>
      <c r="K47" s="329">
        <f ca="1">K20-K45</f>
        <v>86906.04700000002</v>
      </c>
      <c r="L47" s="326">
        <f ca="1">+M47-K47</f>
        <v>23483.960962437734</v>
      </c>
      <c r="M47" s="329">
        <f ca="1">M20-M45</f>
        <v>110390.00796243775</v>
      </c>
    </row>
    <row r="48" spans="2:13" ht="12">
      <c r="B48" s="544">
        <f t="shared" si="1"/>
        <v>34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</row>
    <row r="49" spans="1:15" ht="12">
      <c r="B49" s="544">
        <f t="shared" si="1"/>
        <v>35</v>
      </c>
      <c r="C49" s="129" t="s">
        <v>195</v>
      </c>
      <c r="D49" s="129"/>
      <c r="E49" s="129"/>
      <c r="F49" s="325"/>
      <c r="G49" s="332"/>
      <c r="H49" s="333"/>
      <c r="I49" s="333"/>
      <c r="J49" s="333"/>
      <c r="K49" s="333"/>
      <c r="L49" s="333"/>
      <c r="M49" s="333"/>
    </row>
    <row r="50" spans="1:15" ht="12">
      <c r="B50" s="544">
        <f t="shared" si="1"/>
        <v>36</v>
      </c>
      <c r="C50" s="129" t="s">
        <v>196</v>
      </c>
      <c r="D50" s="129"/>
      <c r="E50" s="129"/>
      <c r="F50" s="325"/>
      <c r="G50" s="332">
        <f>+ResultSumEl!F43</f>
        <v>16759</v>
      </c>
      <c r="H50" s="326">
        <f ca="1">+'DPK-2 Restating Adj Sch 1.2'!G49</f>
        <v>2849.4703277649996</v>
      </c>
      <c r="I50" s="332">
        <f ca="1">+H50+G50</f>
        <v>19608.470327765001</v>
      </c>
      <c r="J50" s="332">
        <f ca="1">+'DPK-2 Pro Forma Adj Sch 1.3'!G50</f>
        <v>-8075</v>
      </c>
      <c r="K50" s="333">
        <f ca="1">+I50+J50</f>
        <v>11533.470327765001</v>
      </c>
      <c r="L50" s="204">
        <f ca="1">+'DPK-2 Revenue Conv Factor Sch 3'!L22</f>
        <v>8219.3863368532238</v>
      </c>
      <c r="M50" s="333">
        <f ca="1">+L50+K50</f>
        <v>19752.856664618223</v>
      </c>
      <c r="O50" s="205">
        <f ca="1">+J50+H50</f>
        <v>-5225.5296722350004</v>
      </c>
    </row>
    <row r="51" spans="1:15" ht="12">
      <c r="B51" s="544">
        <f t="shared" si="1"/>
        <v>37</v>
      </c>
      <c r="C51" s="129" t="s">
        <v>197</v>
      </c>
      <c r="D51" s="129"/>
      <c r="E51" s="129"/>
      <c r="F51" s="325"/>
      <c r="G51" s="174">
        <f>+ResultSumEl!F44</f>
        <v>3070</v>
      </c>
      <c r="H51" s="335">
        <f>+'DPK-2 Restating Adj Sch 1.2'!G50</f>
        <v>6297</v>
      </c>
      <c r="I51" s="327">
        <f>+G51+H51</f>
        <v>9367</v>
      </c>
      <c r="J51" s="327">
        <f>+'DPK-2 Pro Forma Adj Sch 1.3'!G51</f>
        <v>-555</v>
      </c>
      <c r="K51" s="327">
        <f>+J51+I51</f>
        <v>8812</v>
      </c>
      <c r="L51" s="327"/>
      <c r="M51" s="327">
        <f>+L51+K51</f>
        <v>8812</v>
      </c>
    </row>
    <row r="52" spans="1:15" ht="12.95" customHeight="1">
      <c r="A52" s="205">
        <f>+G51-1319</f>
        <v>1751</v>
      </c>
      <c r="B52" s="544">
        <f t="shared" si="1"/>
        <v>38</v>
      </c>
      <c r="C52" s="129"/>
      <c r="D52" s="129"/>
      <c r="E52" s="129" t="s">
        <v>284</v>
      </c>
      <c r="F52" s="325"/>
      <c r="G52" s="171">
        <f>+G50+G51</f>
        <v>19829</v>
      </c>
      <c r="H52" s="171">
        <f ca="1">+H50+H51</f>
        <v>9146.4703277650005</v>
      </c>
      <c r="I52" s="171">
        <f ca="1">+I50+I51</f>
        <v>28975.470327765001</v>
      </c>
      <c r="J52" s="171">
        <f ca="1">+J50+J51</f>
        <v>-8630</v>
      </c>
      <c r="K52" s="171">
        <f ca="1">+K50+K51</f>
        <v>20345.470327765001</v>
      </c>
      <c r="L52" s="326">
        <f ca="1">+M52-K52</f>
        <v>8219.386336853222</v>
      </c>
      <c r="M52" s="171">
        <f ca="1">+M50+M51</f>
        <v>28564.856664618223</v>
      </c>
    </row>
    <row r="53" spans="1:15" ht="12.95" customHeight="1">
      <c r="B53" s="544">
        <f t="shared" si="1"/>
        <v>39</v>
      </c>
      <c r="C53" s="321"/>
      <c r="D53" s="321"/>
      <c r="E53" s="321"/>
      <c r="F53" s="325"/>
      <c r="G53" s="171"/>
      <c r="H53" s="325"/>
      <c r="I53" s="325"/>
      <c r="J53" s="325"/>
      <c r="K53" s="325"/>
      <c r="L53" s="175"/>
      <c r="M53" s="325"/>
    </row>
    <row r="54" spans="1:15" thickBot="1">
      <c r="B54" s="544">
        <f t="shared" si="1"/>
        <v>40</v>
      </c>
      <c r="C54" s="322" t="s">
        <v>198</v>
      </c>
      <c r="D54" s="322"/>
      <c r="E54" s="322"/>
      <c r="F54" s="325"/>
      <c r="G54" s="223">
        <f>+G47-G52</f>
        <v>68538</v>
      </c>
      <c r="H54" s="223">
        <f ca="1">+H47-H52</f>
        <v>14045.043672235002</v>
      </c>
      <c r="I54" s="334">
        <f ca="1">+H54+G54</f>
        <v>82583.043672234999</v>
      </c>
      <c r="J54" s="223">
        <f ca="1">+J47-J52</f>
        <v>-16022.467000000011</v>
      </c>
      <c r="K54" s="334">
        <f ca="1">+J54+I54</f>
        <v>66560.57667223498</v>
      </c>
      <c r="L54" s="223">
        <f ca="1">+L47-L52</f>
        <v>15264.574625584512</v>
      </c>
      <c r="M54" s="223">
        <f ca="1">+M47-M52</f>
        <v>81825.151297819539</v>
      </c>
      <c r="O54" s="205">
        <v>44102</v>
      </c>
    </row>
    <row r="55" spans="1:15" thickTop="1">
      <c r="B55" s="544">
        <f t="shared" si="1"/>
        <v>41</v>
      </c>
      <c r="C55" s="304"/>
      <c r="D55" s="304"/>
      <c r="E55" s="304"/>
      <c r="F55" s="304"/>
      <c r="G55" s="171"/>
      <c r="H55" s="325"/>
      <c r="I55" s="306"/>
      <c r="J55" s="325"/>
      <c r="K55" s="306"/>
      <c r="L55" s="306"/>
      <c r="M55" s="306"/>
      <c r="O55" s="205">
        <v>44029</v>
      </c>
    </row>
    <row r="56" spans="1:15" ht="12.75" customHeight="1">
      <c r="B56" s="544">
        <f t="shared" si="1"/>
        <v>42</v>
      </c>
      <c r="C56" s="874" t="s">
        <v>62</v>
      </c>
      <c r="D56" s="874"/>
      <c r="E56" s="874"/>
      <c r="F56" s="875"/>
      <c r="G56" s="171"/>
      <c r="H56" s="325"/>
      <c r="I56" s="306"/>
      <c r="J56" s="325"/>
      <c r="K56" s="306"/>
      <c r="L56" s="306"/>
      <c r="M56" s="306"/>
      <c r="O56" s="205">
        <f>+O54-O55</f>
        <v>73</v>
      </c>
    </row>
    <row r="57" spans="1:15" ht="18.75" customHeight="1">
      <c r="B57" s="544">
        <f t="shared" si="1"/>
        <v>43</v>
      </c>
      <c r="C57" s="321" t="s">
        <v>199</v>
      </c>
      <c r="D57" s="321"/>
      <c r="E57" s="321"/>
      <c r="F57" s="304"/>
      <c r="G57" s="171"/>
      <c r="H57" s="175"/>
      <c r="I57" s="306"/>
      <c r="J57" s="325"/>
      <c r="K57" s="306"/>
      <c r="L57" s="175"/>
      <c r="M57" s="306"/>
    </row>
    <row r="58" spans="1:15" ht="12">
      <c r="B58" s="544">
        <f t="shared" si="1"/>
        <v>44</v>
      </c>
      <c r="C58" s="322"/>
      <c r="D58" s="322" t="s">
        <v>200</v>
      </c>
      <c r="E58" s="322"/>
      <c r="F58" s="325"/>
      <c r="G58" s="326">
        <f>+ResultSumEl!F51</f>
        <v>22439</v>
      </c>
      <c r="H58" s="326">
        <f>+'DPK-2 Restating Adj Sch 1.2'!G57</f>
        <v>0</v>
      </c>
      <c r="I58" s="325">
        <f>+H58+G58</f>
        <v>22439</v>
      </c>
      <c r="J58" s="171">
        <f>+'DPK-2 Pro Forma Adj Sch 1.3'!G58</f>
        <v>52569</v>
      </c>
      <c r="K58" s="325">
        <f>+J58+I58</f>
        <v>75008</v>
      </c>
      <c r="L58" s="171"/>
      <c r="M58" s="325">
        <f>+L58+K58</f>
        <v>75008</v>
      </c>
    </row>
    <row r="59" spans="1:15" ht="12">
      <c r="B59" s="544">
        <f t="shared" si="1"/>
        <v>45</v>
      </c>
      <c r="C59" s="129"/>
      <c r="D59" s="129" t="s">
        <v>201</v>
      </c>
      <c r="E59" s="129"/>
      <c r="F59" s="325"/>
      <c r="G59" s="326">
        <f>+ResultSumEl!F52</f>
        <v>656077</v>
      </c>
      <c r="H59" s="326">
        <f>+'DPK-2 Restating Adj Sch 1.2'!G58</f>
        <v>67362</v>
      </c>
      <c r="I59" s="325">
        <f t="shared" ref="I59:M61" si="6">+H59+G59</f>
        <v>723439</v>
      </c>
      <c r="J59" s="171">
        <f ca="1">+'DPK-2 Pro Forma Adj Sch 1.3'!G59</f>
        <v>14631.999999999893</v>
      </c>
      <c r="K59" s="325">
        <f t="shared" ca="1" si="6"/>
        <v>738070.99999999988</v>
      </c>
      <c r="L59" s="171"/>
      <c r="M59" s="325">
        <f t="shared" ca="1" si="6"/>
        <v>738070.99999999988</v>
      </c>
    </row>
    <row r="60" spans="1:15" ht="12">
      <c r="B60" s="544">
        <f t="shared" si="1"/>
        <v>46</v>
      </c>
      <c r="C60" s="129"/>
      <c r="D60" s="129" t="s">
        <v>202</v>
      </c>
      <c r="E60" s="129"/>
      <c r="F60" s="325"/>
      <c r="G60" s="326">
        <f>+ResultSumEl!F53</f>
        <v>285760</v>
      </c>
      <c r="H60" s="326">
        <f>+'DPK-2 Restating Adj Sch 1.2'!G59</f>
        <v>0</v>
      </c>
      <c r="I60" s="325">
        <f t="shared" si="6"/>
        <v>285760</v>
      </c>
      <c r="J60" s="171">
        <f>+'DPK-2 Pro Forma Adj Sch 1.3'!G60</f>
        <v>3801</v>
      </c>
      <c r="K60" s="325">
        <f t="shared" si="6"/>
        <v>289561</v>
      </c>
      <c r="L60" s="171"/>
      <c r="M60" s="325">
        <f t="shared" si="6"/>
        <v>289561</v>
      </c>
    </row>
    <row r="61" spans="1:15" ht="12">
      <c r="B61" s="544">
        <f t="shared" si="1"/>
        <v>47</v>
      </c>
      <c r="C61" s="129"/>
      <c r="D61" s="129" t="s">
        <v>185</v>
      </c>
      <c r="E61" s="129"/>
      <c r="F61" s="325"/>
      <c r="G61" s="326">
        <f>+ResultSumEl!F54</f>
        <v>552007</v>
      </c>
      <c r="H61" s="326">
        <f>+'DPK-2 Restating Adj Sch 1.2'!G60</f>
        <v>-231</v>
      </c>
      <c r="I61" s="325">
        <f t="shared" si="6"/>
        <v>551776</v>
      </c>
      <c r="J61" s="171">
        <f>+'DPK-2 Pro Forma Adj Sch 1.3'!G61</f>
        <v>3540</v>
      </c>
      <c r="K61" s="325">
        <f t="shared" si="6"/>
        <v>555316</v>
      </c>
      <c r="L61" s="171"/>
      <c r="M61" s="325">
        <f t="shared" si="6"/>
        <v>555316</v>
      </c>
      <c r="O61" s="663"/>
    </row>
    <row r="62" spans="1:15" ht="12">
      <c r="B62" s="544">
        <f t="shared" si="1"/>
        <v>48</v>
      </c>
      <c r="C62" s="129"/>
      <c r="D62" s="129" t="s">
        <v>203</v>
      </c>
      <c r="E62" s="129"/>
      <c r="F62" s="325"/>
      <c r="G62" s="335">
        <f>+ResultSumEl!F55</f>
        <v>88036</v>
      </c>
      <c r="H62" s="335">
        <f>+'DPK-2 Restating Adj Sch 1.2'!G61</f>
        <v>0</v>
      </c>
      <c r="I62" s="335">
        <f>+H62+G62</f>
        <v>88036</v>
      </c>
      <c r="J62" s="174">
        <f>+'DPK-2 Pro Forma Adj Sch 1.3'!G62</f>
        <v>0</v>
      </c>
      <c r="K62" s="335">
        <f>+J62+I62</f>
        <v>88036</v>
      </c>
      <c r="L62" s="174"/>
      <c r="M62" s="335">
        <f>+L62+K62</f>
        <v>88036</v>
      </c>
    </row>
    <row r="63" spans="1:15" ht="12">
      <c r="B63" s="544">
        <f t="shared" si="1"/>
        <v>49</v>
      </c>
      <c r="C63" s="129"/>
      <c r="D63" s="129"/>
      <c r="E63" s="129" t="s">
        <v>204</v>
      </c>
      <c r="F63" s="325"/>
      <c r="G63" s="171">
        <f>SUM(G58:G62)</f>
        <v>1604319</v>
      </c>
      <c r="H63" s="171">
        <f>SUM(H58:H62)</f>
        <v>67131</v>
      </c>
      <c r="I63" s="325">
        <f>SUM(G63:H63)</f>
        <v>1671450</v>
      </c>
      <c r="J63" s="325">
        <f ca="1">SUM(J58:J62)</f>
        <v>74541.999999999898</v>
      </c>
      <c r="K63" s="325">
        <f ca="1">+J63+I63</f>
        <v>1745992</v>
      </c>
      <c r="L63" s="171"/>
      <c r="M63" s="325">
        <f ca="1">+L63+K63</f>
        <v>1745992</v>
      </c>
    </row>
    <row r="64" spans="1:15" ht="18.75" customHeight="1">
      <c r="B64" s="544">
        <f t="shared" si="1"/>
        <v>50</v>
      </c>
      <c r="C64" s="129" t="s">
        <v>205</v>
      </c>
      <c r="D64" s="129"/>
      <c r="E64" s="129"/>
      <c r="F64" s="325"/>
      <c r="G64" s="326">
        <f>ResultSumEl!F57</f>
        <v>543584</v>
      </c>
      <c r="H64" s="326">
        <f>+'DPK-2 Restating Adj Sch 1.2'!G63</f>
        <v>-9292</v>
      </c>
      <c r="I64" s="325">
        <f>SUM(G64:H64)</f>
        <v>534292</v>
      </c>
      <c r="J64" s="171">
        <f ca="1">+'DPK-2 Pro Forma Adj Sch 1.3'!G64</f>
        <v>-5847.5490000000136</v>
      </c>
      <c r="K64" s="325">
        <f ca="1">+J64+I64</f>
        <v>528444.451</v>
      </c>
      <c r="L64" s="171"/>
      <c r="M64" s="325">
        <f ca="1">+L64+K64</f>
        <v>528444.451</v>
      </c>
    </row>
    <row r="65" spans="1:171" ht="12">
      <c r="B65" s="544">
        <f t="shared" si="1"/>
        <v>51</v>
      </c>
      <c r="C65" s="129" t="s">
        <v>206</v>
      </c>
      <c r="D65" s="129"/>
      <c r="E65" s="129"/>
      <c r="F65" s="325"/>
      <c r="G65" s="326">
        <f>ResultSumEl!F58</f>
        <v>6907</v>
      </c>
      <c r="H65" s="326">
        <f>+'DPK-2 Restating Adj Sch 1.2'!G64</f>
        <v>57168</v>
      </c>
      <c r="I65" s="325">
        <f>SUM(G65:H65)</f>
        <v>64075</v>
      </c>
      <c r="J65" s="171">
        <f>+'DPK-2 Pro Forma Adj Sch 1.3'!G65</f>
        <v>1223</v>
      </c>
      <c r="K65" s="327">
        <f>+J65+I65</f>
        <v>65298</v>
      </c>
      <c r="L65" s="174"/>
      <c r="M65" s="327">
        <f>+L65+K65</f>
        <v>65298</v>
      </c>
    </row>
    <row r="66" spans="1:171" ht="12">
      <c r="B66" s="544">
        <f t="shared" si="1"/>
        <v>52</v>
      </c>
      <c r="C66" s="129"/>
      <c r="D66" s="129" t="s">
        <v>207</v>
      </c>
      <c r="E66" s="129"/>
      <c r="F66" s="325"/>
      <c r="G66" s="336">
        <f>+G64+G65</f>
        <v>550491</v>
      </c>
      <c r="H66" s="336">
        <f>+H64+H65</f>
        <v>47876</v>
      </c>
      <c r="I66" s="336">
        <f>+I64+I65</f>
        <v>598367</v>
      </c>
      <c r="J66" s="336">
        <f ca="1">+J64+J65</f>
        <v>-4624.5490000000136</v>
      </c>
      <c r="K66" s="336">
        <f ca="1">+K64+K65</f>
        <v>593742.451</v>
      </c>
      <c r="L66" s="171"/>
      <c r="M66" s="336">
        <f ca="1">+M64+M65</f>
        <v>593742.451</v>
      </c>
    </row>
    <row r="67" spans="1:171" s="166" customFormat="1" ht="21" customHeight="1">
      <c r="A67" s="212"/>
      <c r="B67" s="544">
        <f t="shared" si="1"/>
        <v>53</v>
      </c>
      <c r="C67" s="129" t="s">
        <v>208</v>
      </c>
      <c r="D67" s="129"/>
      <c r="E67" s="129"/>
      <c r="F67" s="333"/>
      <c r="G67" s="326">
        <f>+ResultSumEl!F60</f>
        <v>0</v>
      </c>
      <c r="H67" s="326">
        <f>+'DPK-2 Restating Adj Sch 1.2'!G66</f>
        <v>-194</v>
      </c>
      <c r="I67" s="333">
        <f>SUM(G67:H67)</f>
        <v>-194</v>
      </c>
      <c r="J67" s="171">
        <f>+'DPK-2 Pro Forma Adj Sch 1.3'!G67</f>
        <v>0</v>
      </c>
      <c r="K67" s="325">
        <f>+J67+I67</f>
        <v>-194</v>
      </c>
      <c r="L67" s="171"/>
      <c r="M67" s="325">
        <f>+L67+K67</f>
        <v>-194</v>
      </c>
      <c r="N67" s="205"/>
      <c r="O67" s="212"/>
      <c r="P67" s="212"/>
    </row>
    <row r="68" spans="1:171" s="166" customFormat="1" ht="21" customHeight="1">
      <c r="A68" s="212"/>
      <c r="B68" s="544">
        <f t="shared" si="1"/>
        <v>54</v>
      </c>
      <c r="C68" s="129" t="s">
        <v>470</v>
      </c>
      <c r="D68" s="129"/>
      <c r="E68" s="129"/>
      <c r="F68" s="333"/>
      <c r="G68" s="326">
        <v>0</v>
      </c>
      <c r="H68" s="326">
        <f>+'DPK-2 Restating Adj Sch 1.2'!G67</f>
        <v>-2473.2559999999999</v>
      </c>
      <c r="I68" s="333">
        <f>SUM(G68:H68)</f>
        <v>-2473.2559999999999</v>
      </c>
      <c r="J68" s="171"/>
      <c r="K68" s="325">
        <f>+J68+I68</f>
        <v>-2473.2559999999999</v>
      </c>
      <c r="L68" s="171"/>
      <c r="M68" s="325">
        <f>+L68+K68</f>
        <v>-2473.2559999999999</v>
      </c>
      <c r="N68" s="205"/>
      <c r="O68" s="212">
        <f ca="1">+M71</f>
        <v>991820.071</v>
      </c>
      <c r="P68" s="212"/>
    </row>
    <row r="69" spans="1:171" ht="12">
      <c r="B69" s="544">
        <f t="shared" si="1"/>
        <v>55</v>
      </c>
      <c r="C69" s="129" t="s">
        <v>242</v>
      </c>
      <c r="D69" s="129"/>
      <c r="E69" s="129"/>
      <c r="F69" s="325"/>
      <c r="G69" s="337">
        <f>+ResultSumEl!F61</f>
        <v>0</v>
      </c>
      <c r="H69" s="337">
        <f>+'DPK-2 Restating Adj Sch 1.2'!G68</f>
        <v>-146083</v>
      </c>
      <c r="I69" s="333">
        <f>SUM(G69:H69)</f>
        <v>-146083</v>
      </c>
      <c r="J69" s="171">
        <f ca="1">+'DPK-2 Pro Forma Adj Sch 1.3'!G69</f>
        <v>-11679.222000000007</v>
      </c>
      <c r="K69" s="333">
        <f ca="1">+J69+I69</f>
        <v>-157762.22200000001</v>
      </c>
      <c r="L69" s="171"/>
      <c r="M69" s="333">
        <f ca="1">+L69+K69</f>
        <v>-157762.22200000001</v>
      </c>
      <c r="O69" s="205">
        <v>891732</v>
      </c>
    </row>
    <row r="70" spans="1:171" ht="12">
      <c r="B70" s="544">
        <f t="shared" si="1"/>
        <v>56</v>
      </c>
      <c r="C70" s="129"/>
      <c r="D70" s="129"/>
      <c r="E70" s="129"/>
      <c r="F70" s="325"/>
      <c r="G70" s="332"/>
      <c r="H70" s="171"/>
      <c r="I70" s="333"/>
      <c r="J70" s="171"/>
      <c r="K70" s="333"/>
      <c r="L70" s="171"/>
      <c r="M70" s="333"/>
      <c r="O70" s="663">
        <f ca="1">+O68-O69</f>
        <v>100088.071</v>
      </c>
    </row>
    <row r="71" spans="1:171" thickBot="1">
      <c r="B71" s="544">
        <f t="shared" si="1"/>
        <v>57</v>
      </c>
      <c r="C71" s="322" t="s">
        <v>209</v>
      </c>
      <c r="D71" s="322"/>
      <c r="E71" s="322"/>
      <c r="F71" s="304"/>
      <c r="G71" s="338">
        <f>+G63-G66+G67+G68+G69</f>
        <v>1053828</v>
      </c>
      <c r="H71" s="223">
        <f>+H63-H66+H67+H68+H69</f>
        <v>-129495.25599999999</v>
      </c>
      <c r="I71" s="223">
        <f>+I63-I66+I67+I68+I69</f>
        <v>924332.74399999995</v>
      </c>
      <c r="J71" s="223">
        <f ca="1">+J63-J66+J67+J68+J69</f>
        <v>67487.326999999903</v>
      </c>
      <c r="K71" s="223">
        <f ca="1">+K63-K66+K67+K68+K69</f>
        <v>991820.071</v>
      </c>
      <c r="L71" s="223"/>
      <c r="M71" s="223">
        <f ca="1">+M63-M66+M67+M68+M69</f>
        <v>991820.071</v>
      </c>
    </row>
    <row r="72" spans="1:171" ht="18" customHeight="1" thickTop="1" thickBot="1">
      <c r="B72" s="544">
        <f t="shared" si="1"/>
        <v>58</v>
      </c>
      <c r="C72" s="874" t="s">
        <v>70</v>
      </c>
      <c r="D72" s="874"/>
      <c r="E72" s="874"/>
      <c r="F72" s="875"/>
      <c r="G72" s="339">
        <f>+G54/G71</f>
        <v>6.5037178742641116E-2</v>
      </c>
      <c r="H72" s="171"/>
      <c r="I72" s="339">
        <f ca="1">+I54/I71</f>
        <v>8.9343414704602317E-2</v>
      </c>
      <c r="J72" s="171"/>
      <c r="K72" s="339">
        <f ca="1">+K54/K71</f>
        <v>6.7109527845232511E-2</v>
      </c>
      <c r="L72" s="171"/>
      <c r="M72" s="339">
        <f ca="1">+M54/M71</f>
        <v>8.2499995402714063E-2</v>
      </c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304"/>
      <c r="DE72" s="304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4"/>
      <c r="DY72" s="304"/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4"/>
      <c r="EL72" s="304"/>
      <c r="EM72" s="304"/>
      <c r="EN72" s="304"/>
      <c r="EO72" s="304"/>
      <c r="EP72" s="304"/>
      <c r="EQ72" s="304"/>
      <c r="ER72" s="304"/>
      <c r="ES72" s="304"/>
      <c r="ET72" s="304"/>
      <c r="EU72" s="304"/>
      <c r="EV72" s="304"/>
      <c r="EW72" s="304"/>
      <c r="EX72" s="304"/>
      <c r="EY72" s="304"/>
      <c r="EZ72" s="304"/>
      <c r="FA72" s="304"/>
      <c r="FB72" s="304"/>
      <c r="FC72" s="304"/>
      <c r="FD72" s="304"/>
      <c r="FE72" s="304"/>
      <c r="FF72" s="304"/>
      <c r="FG72" s="304"/>
      <c r="FH72" s="304"/>
      <c r="FI72" s="304"/>
      <c r="FJ72" s="304"/>
      <c r="FK72" s="304"/>
      <c r="FL72" s="304"/>
      <c r="FM72" s="304"/>
      <c r="FN72" s="304"/>
      <c r="FO72" s="304"/>
    </row>
    <row r="73" spans="1:171" s="161" customFormat="1" ht="9" customHeight="1" thickTop="1">
      <c r="A73" s="205"/>
      <c r="B73" s="320"/>
      <c r="C73" s="177"/>
      <c r="D73" s="177"/>
      <c r="E73" s="177"/>
      <c r="F73" s="177"/>
      <c r="G73" s="178"/>
      <c r="H73" s="179"/>
      <c r="I73" s="180"/>
      <c r="J73" s="179"/>
      <c r="K73" s="180"/>
      <c r="L73" s="171"/>
      <c r="M73" s="180"/>
      <c r="N73" s="205"/>
      <c r="O73" s="205"/>
      <c r="P73" s="205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304"/>
      <c r="FG73" s="304"/>
      <c r="FH73" s="304"/>
      <c r="FI73" s="304"/>
      <c r="FJ73" s="304"/>
      <c r="FK73" s="304"/>
      <c r="FL73" s="304"/>
      <c r="FM73" s="304"/>
      <c r="FN73" s="304"/>
      <c r="FO73" s="304"/>
    </row>
    <row r="74" spans="1:171" ht="39.75" customHeight="1"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4"/>
      <c r="EG74" s="304"/>
      <c r="EH74" s="304"/>
      <c r="EI74" s="304"/>
      <c r="EJ74" s="304"/>
      <c r="EK74" s="304"/>
      <c r="EL74" s="304"/>
      <c r="EM74" s="304"/>
      <c r="EN74" s="304"/>
      <c r="EO74" s="304"/>
      <c r="EP74" s="304"/>
      <c r="EQ74" s="304"/>
      <c r="ER74" s="304"/>
      <c r="ES74" s="304"/>
      <c r="ET74" s="304"/>
      <c r="EU74" s="304"/>
      <c r="EV74" s="304"/>
      <c r="EW74" s="304"/>
      <c r="EX74" s="304"/>
      <c r="EY74" s="304"/>
      <c r="EZ74" s="304"/>
      <c r="FA74" s="304"/>
      <c r="FB74" s="304"/>
      <c r="FC74" s="304"/>
      <c r="FD74" s="304"/>
      <c r="FE74" s="304"/>
      <c r="FF74" s="304"/>
      <c r="FG74" s="304"/>
      <c r="FH74" s="304"/>
      <c r="FI74" s="304"/>
      <c r="FJ74" s="304"/>
      <c r="FK74" s="304"/>
      <c r="FL74" s="304"/>
      <c r="FM74" s="304"/>
      <c r="FN74" s="304"/>
      <c r="FO74" s="304"/>
    </row>
    <row r="75" spans="1:171" s="161" customFormat="1" ht="12">
      <c r="A75" s="205"/>
      <c r="B75" s="201">
        <f t="shared" ref="B75:B81" si="7">+B74+1</f>
        <v>1</v>
      </c>
      <c r="C75" s="876" t="s">
        <v>265</v>
      </c>
      <c r="D75" s="874"/>
      <c r="E75" s="874"/>
      <c r="F75" s="875"/>
      <c r="G75" s="183"/>
      <c r="H75" s="183"/>
      <c r="I75" s="183"/>
      <c r="J75" s="183"/>
      <c r="K75" s="183"/>
      <c r="L75" s="183"/>
      <c r="M75" s="183"/>
      <c r="N75" s="205"/>
      <c r="O75" s="205"/>
      <c r="P75" s="205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4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304"/>
      <c r="EF75" s="304"/>
      <c r="EG75" s="304"/>
      <c r="EH75" s="304"/>
      <c r="EI75" s="304"/>
      <c r="EJ75" s="304"/>
      <c r="EK75" s="304"/>
      <c r="EL75" s="304"/>
      <c r="EM75" s="304"/>
      <c r="EN75" s="304"/>
      <c r="EO75" s="304"/>
      <c r="EP75" s="304"/>
      <c r="EQ75" s="304"/>
      <c r="ER75" s="304"/>
      <c r="ES75" s="304"/>
      <c r="ET75" s="304"/>
      <c r="EU75" s="304"/>
      <c r="EV75" s="304"/>
      <c r="EW75" s="304"/>
      <c r="EX75" s="304"/>
      <c r="EY75" s="304"/>
      <c r="EZ75" s="304"/>
      <c r="FA75" s="304"/>
      <c r="FB75" s="304"/>
      <c r="FC75" s="304"/>
      <c r="FD75" s="304"/>
      <c r="FE75" s="304"/>
      <c r="FF75" s="304"/>
      <c r="FG75" s="304"/>
      <c r="FH75" s="304"/>
      <c r="FI75" s="304"/>
      <c r="FJ75" s="304"/>
      <c r="FK75" s="304"/>
      <c r="FL75" s="304"/>
      <c r="FM75" s="304"/>
      <c r="FN75" s="304"/>
      <c r="FO75" s="304"/>
    </row>
    <row r="76" spans="1:171" s="161" customFormat="1" ht="12">
      <c r="A76" s="205"/>
      <c r="B76" s="201">
        <f t="shared" si="7"/>
        <v>2</v>
      </c>
      <c r="C76" s="340"/>
      <c r="D76" s="341" t="s">
        <v>266</v>
      </c>
      <c r="E76" s="342"/>
      <c r="F76" s="177"/>
      <c r="G76" s="333">
        <f>+G20</f>
        <v>571700</v>
      </c>
      <c r="H76" s="333">
        <f>+H18</f>
        <v>-17696</v>
      </c>
      <c r="I76" s="333">
        <f>+I20</f>
        <v>554420</v>
      </c>
      <c r="J76" s="333">
        <f ca="1">+J18</f>
        <v>-50631</v>
      </c>
      <c r="K76" s="333">
        <f ca="1">+J76+I76</f>
        <v>503789</v>
      </c>
      <c r="L76" s="333">
        <f ca="1">+L18</f>
        <v>24542.978625820648</v>
      </c>
      <c r="M76" s="333">
        <f ca="1">+L76+K76</f>
        <v>528331.9786258206</v>
      </c>
      <c r="N76" s="205"/>
      <c r="O76" s="205"/>
      <c r="P76" s="205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U76" s="304"/>
      <c r="BV76" s="304"/>
      <c r="BW76" s="304"/>
      <c r="BX76" s="304"/>
      <c r="BY76" s="304"/>
      <c r="BZ76" s="304"/>
      <c r="CA76" s="304"/>
      <c r="CB76" s="304"/>
      <c r="CC76" s="304"/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4"/>
      <c r="CO76" s="304"/>
      <c r="CP76" s="304"/>
      <c r="CQ76" s="304"/>
      <c r="CR76" s="304"/>
      <c r="CS76" s="304"/>
      <c r="CT76" s="304"/>
      <c r="CU76" s="304"/>
      <c r="CV76" s="304"/>
      <c r="CW76" s="304"/>
      <c r="CX76" s="304"/>
      <c r="CY76" s="304"/>
      <c r="CZ76" s="304"/>
      <c r="DA76" s="304"/>
      <c r="DB76" s="304"/>
      <c r="DC76" s="304"/>
      <c r="DD76" s="304"/>
      <c r="DE76" s="304"/>
      <c r="DF76" s="304"/>
      <c r="DG76" s="304"/>
      <c r="DH76" s="304"/>
      <c r="DI76" s="304"/>
      <c r="DJ76" s="304"/>
      <c r="DK76" s="304"/>
      <c r="DL76" s="304"/>
      <c r="DM76" s="304"/>
      <c r="DN76" s="304"/>
      <c r="DO76" s="304"/>
      <c r="DP76" s="304"/>
      <c r="DQ76" s="304"/>
      <c r="DR76" s="304"/>
      <c r="DS76" s="304"/>
      <c r="DT76" s="304"/>
      <c r="DU76" s="304"/>
      <c r="DV76" s="304"/>
      <c r="DW76" s="304"/>
      <c r="DX76" s="304"/>
      <c r="DY76" s="304"/>
      <c r="DZ76" s="304"/>
      <c r="EA76" s="304"/>
      <c r="EB76" s="304"/>
      <c r="EC76" s="304"/>
      <c r="ED76" s="304"/>
      <c r="EE76" s="304"/>
      <c r="EF76" s="304"/>
      <c r="EG76" s="304"/>
      <c r="EH76" s="304"/>
      <c r="EI76" s="304"/>
      <c r="EJ76" s="304"/>
      <c r="EK76" s="304"/>
      <c r="EL76" s="304"/>
      <c r="EM76" s="304"/>
      <c r="EN76" s="304"/>
      <c r="EO76" s="304"/>
      <c r="EP76" s="304"/>
      <c r="EQ76" s="304"/>
      <c r="ER76" s="304"/>
      <c r="ES76" s="304"/>
      <c r="ET76" s="304"/>
      <c r="EU76" s="304"/>
      <c r="EV76" s="304"/>
      <c r="EW76" s="304"/>
      <c r="EX76" s="304"/>
      <c r="EY76" s="304"/>
      <c r="EZ76" s="304"/>
      <c r="FA76" s="304"/>
      <c r="FB76" s="304"/>
      <c r="FC76" s="304"/>
      <c r="FD76" s="304"/>
      <c r="FE76" s="304"/>
      <c r="FF76" s="304"/>
      <c r="FG76" s="304"/>
      <c r="FH76" s="304"/>
      <c r="FI76" s="304"/>
      <c r="FJ76" s="304"/>
      <c r="FK76" s="304"/>
      <c r="FL76" s="304"/>
      <c r="FM76" s="304"/>
      <c r="FN76" s="304"/>
      <c r="FO76" s="304"/>
    </row>
    <row r="77" spans="1:171" ht="12">
      <c r="B77" s="201">
        <f t="shared" si="7"/>
        <v>3</v>
      </c>
      <c r="C77" s="340"/>
      <c r="D77" s="341" t="s">
        <v>267</v>
      </c>
      <c r="E77" s="342"/>
      <c r="F77" s="177"/>
      <c r="G77" s="333">
        <f>-G45</f>
        <v>-483333</v>
      </c>
      <c r="H77" s="333">
        <f ca="1">-H50</f>
        <v>-2849.4703277649996</v>
      </c>
      <c r="I77" s="333">
        <f>-I45</f>
        <v>-442861.48599999998</v>
      </c>
      <c r="J77" s="333">
        <f ca="1">-J50</f>
        <v>8075</v>
      </c>
      <c r="K77" s="333">
        <f ca="1">+J77+I77</f>
        <v>-434786.48599999998</v>
      </c>
      <c r="L77" s="333">
        <f ca="1">-L50</f>
        <v>-8219.3863368532238</v>
      </c>
      <c r="M77" s="333">
        <f ca="1">+L77+K77</f>
        <v>-443005.87233685318</v>
      </c>
    </row>
    <row r="78" spans="1:171" ht="12">
      <c r="B78" s="201">
        <f t="shared" si="7"/>
        <v>4</v>
      </c>
      <c r="C78" s="340"/>
      <c r="D78" s="341" t="s">
        <v>286</v>
      </c>
      <c r="E78" s="342"/>
      <c r="F78" s="177"/>
      <c r="G78" s="333">
        <v>-39149</v>
      </c>
      <c r="H78" s="333"/>
      <c r="I78" s="333">
        <f>+H78+G78</f>
        <v>-39149</v>
      </c>
      <c r="J78" s="333"/>
      <c r="K78" s="333">
        <f>+J78+I78</f>
        <v>-39149</v>
      </c>
      <c r="L78" s="333"/>
      <c r="M78" s="333">
        <f>+L78+K78</f>
        <v>-39149</v>
      </c>
    </row>
    <row r="79" spans="1:171" ht="12">
      <c r="B79" s="201">
        <f t="shared" si="7"/>
        <v>5</v>
      </c>
      <c r="C79" s="340"/>
      <c r="D79" s="341"/>
      <c r="E79" s="342"/>
      <c r="F79" s="343" t="s">
        <v>268</v>
      </c>
      <c r="G79" s="185">
        <f t="shared" ref="G79:M79" si="8">SUM(G76:G78)</f>
        <v>49218</v>
      </c>
      <c r="H79" s="185">
        <f t="shared" ca="1" si="8"/>
        <v>-20545.470327765001</v>
      </c>
      <c r="I79" s="185">
        <f t="shared" si="8"/>
        <v>72409.514000000025</v>
      </c>
      <c r="J79" s="185">
        <f t="shared" ca="1" si="8"/>
        <v>-42556</v>
      </c>
      <c r="K79" s="185">
        <f t="shared" ca="1" si="8"/>
        <v>29853.514000000025</v>
      </c>
      <c r="L79" s="185">
        <f t="shared" ca="1" si="8"/>
        <v>16323.592288967424</v>
      </c>
      <c r="M79" s="185">
        <f t="shared" ca="1" si="8"/>
        <v>46177.106288967421</v>
      </c>
    </row>
    <row r="80" spans="1:171" ht="12">
      <c r="B80" s="201">
        <f t="shared" si="7"/>
        <v>6</v>
      </c>
      <c r="C80" s="340"/>
      <c r="D80" s="341"/>
      <c r="E80" s="342"/>
      <c r="F80" s="343"/>
      <c r="G80" s="186"/>
      <c r="H80" s="186"/>
      <c r="I80" s="186"/>
      <c r="J80" s="186"/>
      <c r="K80" s="186"/>
      <c r="L80" s="186"/>
      <c r="M80" s="186"/>
    </row>
    <row r="81" spans="2:13" ht="12">
      <c r="B81" s="201">
        <f t="shared" si="7"/>
        <v>7</v>
      </c>
      <c r="C81" s="340"/>
      <c r="D81" s="340" t="s">
        <v>269</v>
      </c>
      <c r="E81" s="342"/>
      <c r="F81" s="177"/>
      <c r="G81" s="188"/>
      <c r="H81" s="189"/>
      <c r="I81" s="188"/>
      <c r="J81" s="188"/>
      <c r="K81" s="188"/>
      <c r="L81" s="188"/>
      <c r="M81" s="188"/>
    </row>
    <row r="82" spans="2:13" ht="12">
      <c r="B82" s="201">
        <f t="shared" ref="B82:B101" si="9">+B81+1</f>
        <v>8</v>
      </c>
      <c r="C82" s="340"/>
      <c r="D82" s="341" t="s">
        <v>270</v>
      </c>
      <c r="E82" s="342"/>
      <c r="F82" s="177"/>
      <c r="G82" s="333">
        <v>42148.498</v>
      </c>
      <c r="H82" s="326">
        <f>+'DPK-2 Restating Adj Sch 1.2'!G82</f>
        <v>60</v>
      </c>
      <c r="I82" s="188">
        <f>+H82+G82</f>
        <v>42208.498</v>
      </c>
      <c r="J82" s="188"/>
      <c r="K82" s="188">
        <f>+J82+I82</f>
        <v>42208.498</v>
      </c>
      <c r="L82" s="188"/>
      <c r="M82" s="188">
        <f>+L82+K82</f>
        <v>42208.498</v>
      </c>
    </row>
    <row r="83" spans="2:13" ht="12">
      <c r="B83" s="201">
        <f t="shared" si="9"/>
        <v>9</v>
      </c>
      <c r="C83" s="340"/>
      <c r="D83" s="341" t="s">
        <v>281</v>
      </c>
      <c r="E83" s="342"/>
      <c r="F83" s="177"/>
      <c r="G83" s="333">
        <v>3423.3539999999998</v>
      </c>
      <c r="H83" s="326">
        <f>+'DPK-2 Restating Adj Sch 1.2'!G83</f>
        <v>0</v>
      </c>
      <c r="I83" s="188">
        <f>+H83+G83</f>
        <v>3423.3539999999998</v>
      </c>
      <c r="J83" s="186"/>
      <c r="K83" s="188">
        <f>+J83+I83</f>
        <v>3423.3539999999998</v>
      </c>
      <c r="L83" s="186"/>
      <c r="M83" s="188">
        <f>+L83+K83</f>
        <v>3423.3539999999998</v>
      </c>
    </row>
    <row r="84" spans="2:13" ht="12">
      <c r="B84" s="201">
        <f t="shared" si="9"/>
        <v>10</v>
      </c>
      <c r="C84" s="340"/>
      <c r="D84" s="341" t="s">
        <v>271</v>
      </c>
      <c r="E84" s="341"/>
      <c r="F84" s="177"/>
      <c r="G84" s="333">
        <f>48375.98-SUM(G82:G83)</f>
        <v>2804.1280000000042</v>
      </c>
      <c r="H84" s="326">
        <v>0</v>
      </c>
      <c r="I84" s="188">
        <f>+H84+G84</f>
        <v>2804.1280000000042</v>
      </c>
      <c r="J84" s="186"/>
      <c r="K84" s="188">
        <f>+J84+I84</f>
        <v>2804.1280000000042</v>
      </c>
      <c r="L84" s="186"/>
      <c r="M84" s="188">
        <f>+L84+K84</f>
        <v>2804.1280000000042</v>
      </c>
    </row>
    <row r="85" spans="2:13" ht="12">
      <c r="B85" s="201">
        <f t="shared" si="9"/>
        <v>11</v>
      </c>
      <c r="C85" s="340"/>
      <c r="D85" s="341"/>
      <c r="E85" s="342"/>
      <c r="F85" s="177"/>
      <c r="G85" s="333"/>
      <c r="H85" s="190"/>
      <c r="I85" s="186"/>
      <c r="J85" s="186"/>
      <c r="K85" s="186"/>
      <c r="L85" s="186"/>
      <c r="M85" s="186"/>
    </row>
    <row r="86" spans="2:13" ht="12">
      <c r="B86" s="201">
        <f t="shared" si="9"/>
        <v>12</v>
      </c>
      <c r="C86" s="340"/>
      <c r="D86" s="177"/>
      <c r="E86" s="342"/>
      <c r="F86" s="183" t="s">
        <v>272</v>
      </c>
      <c r="G86" s="192">
        <f t="shared" ref="G86:M86" si="10">SUM(G82:G85)</f>
        <v>48375.98</v>
      </c>
      <c r="H86" s="192">
        <f t="shared" si="10"/>
        <v>60</v>
      </c>
      <c r="I86" s="192">
        <f t="shared" si="10"/>
        <v>48435.98</v>
      </c>
      <c r="J86" s="192">
        <f t="shared" si="10"/>
        <v>0</v>
      </c>
      <c r="K86" s="192">
        <f t="shared" si="10"/>
        <v>48435.98</v>
      </c>
      <c r="L86" s="192">
        <f t="shared" si="10"/>
        <v>0</v>
      </c>
      <c r="M86" s="192">
        <f t="shared" si="10"/>
        <v>48435.98</v>
      </c>
    </row>
    <row r="87" spans="2:13" ht="12">
      <c r="B87" s="201">
        <f t="shared" si="9"/>
        <v>13</v>
      </c>
      <c r="C87" s="340"/>
      <c r="D87" s="183"/>
      <c r="E87" s="342"/>
      <c r="F87" s="177"/>
      <c r="G87" s="186"/>
      <c r="H87" s="186"/>
      <c r="I87" s="186"/>
      <c r="J87" s="186"/>
      <c r="K87" s="186"/>
      <c r="L87" s="186"/>
      <c r="M87" s="186"/>
    </row>
    <row r="88" spans="2:13" ht="12">
      <c r="B88" s="201">
        <f t="shared" si="9"/>
        <v>14</v>
      </c>
      <c r="C88" s="340"/>
      <c r="D88" s="340" t="s">
        <v>273</v>
      </c>
      <c r="E88" s="342"/>
      <c r="F88" s="177"/>
      <c r="G88" s="188"/>
      <c r="H88" s="188"/>
      <c r="I88" s="188"/>
      <c r="J88" s="188"/>
      <c r="K88" s="188"/>
      <c r="L88" s="188"/>
      <c r="M88" s="188"/>
    </row>
    <row r="89" spans="2:13" ht="12">
      <c r="B89" s="201">
        <f t="shared" si="9"/>
        <v>15</v>
      </c>
      <c r="C89" s="340"/>
      <c r="D89" s="340" t="s">
        <v>274</v>
      </c>
      <c r="E89" s="342"/>
      <c r="F89" s="177"/>
      <c r="G89" s="333">
        <v>49765.995999999999</v>
      </c>
      <c r="H89" s="326">
        <f>+'DPK-2 Restating Adj Sch 1.2'!G89</f>
        <v>0</v>
      </c>
      <c r="I89" s="188">
        <f>+H89+G89</f>
        <v>49765.995999999999</v>
      </c>
      <c r="J89" s="190">
        <v>0</v>
      </c>
      <c r="K89" s="188">
        <f>+J89+I89</f>
        <v>49765.995999999999</v>
      </c>
      <c r="L89" s="190">
        <v>0</v>
      </c>
      <c r="M89" s="188">
        <f>+L89+K89</f>
        <v>49765.995999999999</v>
      </c>
    </row>
    <row r="90" spans="2:13" ht="12">
      <c r="B90" s="201">
        <f t="shared" si="9"/>
        <v>16</v>
      </c>
      <c r="C90" s="340"/>
      <c r="D90" s="341"/>
      <c r="E90" s="341" t="s">
        <v>285</v>
      </c>
      <c r="F90" s="177"/>
      <c r="G90" s="333">
        <v>-30665.152999999998</v>
      </c>
      <c r="H90" s="326"/>
      <c r="I90" s="188">
        <f>+H90+G90</f>
        <v>-30665.152999999998</v>
      </c>
      <c r="J90" s="190">
        <v>0</v>
      </c>
      <c r="K90" s="188">
        <f>+J90+I90</f>
        <v>-30665.152999999998</v>
      </c>
      <c r="L90" s="190">
        <v>0</v>
      </c>
      <c r="M90" s="188">
        <f>+L90+K90</f>
        <v>-30665.152999999998</v>
      </c>
    </row>
    <row r="91" spans="2:13" ht="12">
      <c r="B91" s="201"/>
      <c r="C91" s="340"/>
      <c r="D91" s="341"/>
      <c r="E91" s="371" t="s">
        <v>388</v>
      </c>
      <c r="F91" s="177"/>
      <c r="G91" s="333">
        <v>1382.43</v>
      </c>
      <c r="H91" s="326">
        <f>+'DPK-2 Restating Adj Sch 1.2'!AD90</f>
        <v>0</v>
      </c>
      <c r="I91" s="188">
        <f>+H91+G91</f>
        <v>1382.43</v>
      </c>
      <c r="J91" s="190"/>
      <c r="K91" s="188"/>
      <c r="L91" s="190"/>
      <c r="M91" s="188"/>
    </row>
    <row r="92" spans="2:13" ht="12">
      <c r="B92" s="201">
        <f>+B90+1</f>
        <v>17</v>
      </c>
      <c r="C92" s="340"/>
      <c r="D92" s="341"/>
      <c r="E92" s="341" t="s">
        <v>271</v>
      </c>
      <c r="F92" s="177"/>
      <c r="G92" s="333">
        <f>23109.359-G89-G90-G91</f>
        <v>2626.0859999999993</v>
      </c>
      <c r="H92" s="326">
        <v>3300</v>
      </c>
      <c r="I92" s="188">
        <f>+H92+G92</f>
        <v>5926.0859999999993</v>
      </c>
      <c r="J92" s="190"/>
      <c r="K92" s="188">
        <f>+J92+I92</f>
        <v>5926.0859999999993</v>
      </c>
      <c r="L92" s="190"/>
      <c r="M92" s="188">
        <f>+L92+K92</f>
        <v>5926.0859999999993</v>
      </c>
    </row>
    <row r="93" spans="2:13" ht="12">
      <c r="B93" s="201">
        <f t="shared" si="9"/>
        <v>18</v>
      </c>
      <c r="C93" s="340"/>
      <c r="D93" s="177"/>
      <c r="E93" s="342"/>
      <c r="F93" s="183" t="s">
        <v>275</v>
      </c>
      <c r="G93" s="344">
        <f>SUM(G89:G92)</f>
        <v>23109.359</v>
      </c>
      <c r="H93" s="344">
        <f>SUM(H89:H90)</f>
        <v>0</v>
      </c>
      <c r="I93" s="344">
        <f>SUM(I89:I92)</f>
        <v>26409.359</v>
      </c>
      <c r="J93" s="344">
        <f>SUM(J89:J90)</f>
        <v>0</v>
      </c>
      <c r="K93" s="344">
        <f>SUM(K89:K92)</f>
        <v>25026.929</v>
      </c>
      <c r="L93" s="344">
        <f>SUM(L89:L90)</f>
        <v>0</v>
      </c>
      <c r="M93" s="344">
        <f>SUM(M89:M92)</f>
        <v>25026.929</v>
      </c>
    </row>
    <row r="94" spans="2:13" ht="12">
      <c r="B94" s="201">
        <f t="shared" si="9"/>
        <v>19</v>
      </c>
      <c r="C94" s="340"/>
      <c r="D94" s="183"/>
      <c r="E94" s="342"/>
      <c r="F94" s="177"/>
      <c r="G94" s="193"/>
      <c r="H94" s="188"/>
      <c r="I94" s="188"/>
      <c r="J94" s="188"/>
      <c r="K94" s="188"/>
      <c r="L94" s="188"/>
      <c r="M94" s="188"/>
    </row>
    <row r="95" spans="2:13" ht="12">
      <c r="B95" s="201">
        <f t="shared" si="9"/>
        <v>20</v>
      </c>
      <c r="C95" s="340"/>
      <c r="D95" s="341" t="s">
        <v>280</v>
      </c>
      <c r="E95" s="342"/>
      <c r="F95" s="177"/>
      <c r="G95" s="186">
        <f t="shared" ref="G95:M95" si="11">+G76+G77+G78+G86-G93</f>
        <v>74484.621000000014</v>
      </c>
      <c r="H95" s="194">
        <f t="shared" ca="1" si="11"/>
        <v>-20485.470327765001</v>
      </c>
      <c r="I95" s="194">
        <f t="shared" si="11"/>
        <v>94436.135000000038</v>
      </c>
      <c r="J95" s="194">
        <f t="shared" ca="1" si="11"/>
        <v>-42556</v>
      </c>
      <c r="K95" s="194">
        <f t="shared" ca="1" si="11"/>
        <v>53262.565000000031</v>
      </c>
      <c r="L95" s="194">
        <f t="shared" ca="1" si="11"/>
        <v>16323.592288967424</v>
      </c>
      <c r="M95" s="194">
        <f t="shared" ca="1" si="11"/>
        <v>69586.157288967428</v>
      </c>
    </row>
    <row r="96" spans="2:13" ht="12">
      <c r="B96" s="201">
        <f t="shared" si="9"/>
        <v>21</v>
      </c>
      <c r="C96" s="340"/>
      <c r="D96" s="341" t="s">
        <v>276</v>
      </c>
      <c r="E96" s="342"/>
      <c r="F96" s="177"/>
      <c r="G96" s="216">
        <v>0.35</v>
      </c>
      <c r="H96" s="195">
        <f t="shared" ref="H96:M96" si="12">+G96</f>
        <v>0.35</v>
      </c>
      <c r="I96" s="195">
        <f t="shared" si="12"/>
        <v>0.35</v>
      </c>
      <c r="J96" s="195">
        <f t="shared" si="12"/>
        <v>0.35</v>
      </c>
      <c r="K96" s="195">
        <f t="shared" si="12"/>
        <v>0.35</v>
      </c>
      <c r="L96" s="195">
        <f t="shared" si="12"/>
        <v>0.35</v>
      </c>
      <c r="M96" s="195">
        <f t="shared" si="12"/>
        <v>0.35</v>
      </c>
    </row>
    <row r="97" spans="2:13" ht="12">
      <c r="B97" s="201">
        <f>+B96+1</f>
        <v>22</v>
      </c>
      <c r="C97" s="340"/>
      <c r="D97" s="340" t="s">
        <v>277</v>
      </c>
      <c r="E97" s="342"/>
      <c r="F97" s="177"/>
      <c r="G97" s="193">
        <f t="shared" ref="G97:M97" si="13">G95*G96</f>
        <v>26069.617350000004</v>
      </c>
      <c r="H97" s="194">
        <f t="shared" ca="1" si="13"/>
        <v>-7169.9146147177498</v>
      </c>
      <c r="I97" s="194">
        <f t="shared" si="13"/>
        <v>33052.647250000009</v>
      </c>
      <c r="J97" s="194">
        <f t="shared" ca="1" si="13"/>
        <v>-14894.599999999999</v>
      </c>
      <c r="K97" s="194">
        <f t="shared" ca="1" si="13"/>
        <v>18641.897750000011</v>
      </c>
      <c r="L97" s="194">
        <f t="shared" ca="1" si="13"/>
        <v>5713.2573011385985</v>
      </c>
      <c r="M97" s="194">
        <f t="shared" ca="1" si="13"/>
        <v>24355.155051138598</v>
      </c>
    </row>
    <row r="98" spans="2:13" ht="12">
      <c r="B98" s="201"/>
      <c r="C98" s="340"/>
      <c r="D98" s="340"/>
      <c r="E98" s="342"/>
      <c r="F98" s="177" t="s">
        <v>391</v>
      </c>
      <c r="G98" s="188">
        <v>-2107</v>
      </c>
      <c r="H98" s="194">
        <v>94</v>
      </c>
      <c r="I98" s="194">
        <f>+H98+G98</f>
        <v>-2013</v>
      </c>
      <c r="J98" s="194"/>
      <c r="K98" s="194"/>
      <c r="L98" s="194"/>
      <c r="M98" s="194"/>
    </row>
    <row r="99" spans="2:13" ht="12">
      <c r="B99" s="201"/>
      <c r="C99" s="340"/>
      <c r="D99" s="340" t="s">
        <v>392</v>
      </c>
      <c r="E99" s="342"/>
      <c r="F99" s="177"/>
      <c r="G99" s="396">
        <f>+G97+G98</f>
        <v>23962.617350000004</v>
      </c>
      <c r="H99" s="194"/>
      <c r="I99" s="396">
        <f>+I97+I98</f>
        <v>31039.647250000009</v>
      </c>
      <c r="J99" s="194"/>
      <c r="K99" s="396">
        <f ca="1">+K97+K98</f>
        <v>18641.897750000011</v>
      </c>
      <c r="L99" s="194"/>
      <c r="M99" s="396">
        <f ca="1">+M97+M98</f>
        <v>24355.155051138598</v>
      </c>
    </row>
    <row r="100" spans="2:13" ht="12">
      <c r="B100" s="201">
        <f>+B97+1</f>
        <v>23</v>
      </c>
      <c r="C100" s="340"/>
      <c r="D100" s="341" t="s">
        <v>278</v>
      </c>
      <c r="E100" s="342"/>
      <c r="F100" s="177"/>
      <c r="G100" s="196">
        <f>-7226673/1000</f>
        <v>-7226.6729999999998</v>
      </c>
      <c r="H100" s="197">
        <v>0</v>
      </c>
      <c r="I100" s="197">
        <f>+H100+G100</f>
        <v>-7226.6729999999998</v>
      </c>
      <c r="J100" s="197">
        <v>0</v>
      </c>
      <c r="K100" s="197">
        <f>+J100+I100</f>
        <v>-7226.6729999999998</v>
      </c>
      <c r="L100" s="197"/>
      <c r="M100" s="197">
        <f>+L100+K100</f>
        <v>-7226.6729999999998</v>
      </c>
    </row>
    <row r="101" spans="2:13" ht="12">
      <c r="B101" s="201">
        <f t="shared" si="9"/>
        <v>24</v>
      </c>
      <c r="C101" s="340"/>
      <c r="D101" s="345" t="s">
        <v>279</v>
      </c>
      <c r="E101" s="346"/>
      <c r="F101" s="177"/>
      <c r="G101" s="327">
        <f>+G100+G99</f>
        <v>16735.944350000005</v>
      </c>
      <c r="H101" s="327">
        <f t="shared" ref="H101:M101" ca="1" si="14">+H97+H100</f>
        <v>-7169.9146147177498</v>
      </c>
      <c r="I101" s="327">
        <f t="shared" si="14"/>
        <v>25825.97425000001</v>
      </c>
      <c r="J101" s="327">
        <f t="shared" ca="1" si="14"/>
        <v>-14894.599999999999</v>
      </c>
      <c r="K101" s="327">
        <f t="shared" ca="1" si="14"/>
        <v>11415.224750000012</v>
      </c>
      <c r="L101" s="327">
        <f t="shared" ca="1" si="14"/>
        <v>5713.2573011385985</v>
      </c>
      <c r="M101" s="327">
        <f t="shared" ca="1" si="14"/>
        <v>17128.482051138599</v>
      </c>
    </row>
    <row r="102" spans="2:13" ht="12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</row>
    <row r="103" spans="2:13" ht="12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</row>
    <row r="104" spans="2:13" ht="12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</row>
    <row r="105" spans="2:13" ht="12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</row>
    <row r="106" spans="2:13" ht="56.25" customHeight="1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</row>
    <row r="107" spans="2:13" ht="12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</row>
    <row r="108" spans="2:13">
      <c r="B108" s="206"/>
      <c r="C108" s="205"/>
      <c r="D108" s="205"/>
      <c r="E108" s="205"/>
      <c r="F108" s="207"/>
      <c r="G108" s="207"/>
      <c r="H108" s="207"/>
      <c r="I108" s="207"/>
      <c r="J108" s="207"/>
      <c r="K108" s="207"/>
      <c r="L108" s="208"/>
      <c r="M108" s="205"/>
    </row>
    <row r="109" spans="2:13">
      <c r="B109" s="206"/>
      <c r="C109" s="205"/>
      <c r="D109" s="205"/>
      <c r="E109" s="205"/>
      <c r="F109" s="207"/>
      <c r="G109" s="207"/>
      <c r="H109" s="207"/>
      <c r="I109" s="207"/>
      <c r="J109" s="207"/>
      <c r="K109" s="207"/>
      <c r="L109" s="208"/>
      <c r="M109" s="205"/>
    </row>
    <row r="110" spans="2:13">
      <c r="B110" s="206"/>
      <c r="C110" s="205"/>
      <c r="D110" s="205"/>
      <c r="E110" s="205"/>
      <c r="F110" s="207"/>
      <c r="G110" s="207"/>
      <c r="H110" s="207"/>
      <c r="I110" s="207"/>
      <c r="J110" s="207"/>
      <c r="K110" s="207"/>
      <c r="L110" s="208"/>
      <c r="M110" s="205"/>
    </row>
    <row r="111" spans="2:13">
      <c r="B111" s="206"/>
      <c r="C111" s="205"/>
      <c r="D111" s="205"/>
      <c r="E111" s="205"/>
      <c r="F111" s="205"/>
      <c r="G111" s="207"/>
      <c r="H111" s="207"/>
      <c r="I111" s="207"/>
      <c r="J111" s="207"/>
      <c r="K111" s="207"/>
      <c r="L111" s="208"/>
      <c r="M111" s="205"/>
    </row>
    <row r="112" spans="2:13">
      <c r="B112" s="348" t="s">
        <v>341</v>
      </c>
    </row>
    <row r="133" spans="7:7">
      <c r="G133" s="163">
        <v>28222210</v>
      </c>
    </row>
    <row r="134" spans="7:7">
      <c r="G134" s="28">
        <v>0.6583</v>
      </c>
    </row>
    <row r="135" spans="7:7">
      <c r="G135" s="163">
        <f>+G133*G134</f>
        <v>18578680.842999998</v>
      </c>
    </row>
  </sheetData>
  <mergeCells count="4">
    <mergeCell ref="C56:F56"/>
    <mergeCell ref="C13:F13"/>
    <mergeCell ref="C75:F75"/>
    <mergeCell ref="C72:F72"/>
  </mergeCells>
  <phoneticPr fontId="3" type="noConversion"/>
  <pageMargins left="0.79" right="0.42" top="0.92" bottom="0.5" header="0.5" footer="0.5"/>
  <pageSetup scale="75" firstPageNumber="4" orientation="portrait" r:id="rId1"/>
  <headerFooter alignWithMargins="0">
    <oddHeader>&amp;L
&amp;RExhibit No. _____(DPK-2)
Docket UE-090134  UG-090135
Page &amp;P of &amp;N</oddHeader>
  </headerFooter>
  <rowBreaks count="1" manualBreakCount="1">
    <brk id="73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10"/>
  </sheetPr>
  <dimension ref="A1"/>
  <sheetViews>
    <sheetView workbookViewId="0"/>
  </sheetViews>
  <sheetFormatPr defaultRowHeight="15.75"/>
  <sheetData/>
  <phoneticPr fontId="4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U132"/>
  <sheetViews>
    <sheetView topLeftCell="A69" workbookViewId="0">
      <selection activeCell="F116" sqref="F116"/>
    </sheetView>
  </sheetViews>
  <sheetFormatPr defaultRowHeight="12"/>
  <cols>
    <col min="1" max="1" width="5.5" style="34" customWidth="1"/>
    <col min="2" max="2" width="26" style="31" customWidth="1"/>
    <col min="3" max="3" width="12.375" style="31" hidden="1" customWidth="1"/>
    <col min="4" max="4" width="5.375" style="31" customWidth="1"/>
    <col min="5" max="5" width="14.625" style="31" customWidth="1"/>
    <col min="6" max="9" width="12.375" style="31" customWidth="1"/>
    <col min="10" max="10" width="14.625" style="31" customWidth="1"/>
    <col min="11" max="13" width="12.375" style="31" customWidth="1"/>
    <col min="14" max="14" width="12.375" style="31"/>
    <col min="15" max="15" width="0" style="31" hidden="1" customWidth="1"/>
    <col min="16" max="16" width="4" style="629" customWidth="1"/>
    <col min="17" max="16384" width="9" style="31"/>
  </cols>
  <sheetData>
    <row r="1" spans="1:20">
      <c r="A1" s="29" t="s">
        <v>152</v>
      </c>
      <c r="B1" s="30"/>
      <c r="C1" s="29"/>
      <c r="E1" s="592"/>
      <c r="F1" s="611" t="s">
        <v>545</v>
      </c>
      <c r="G1" s="592"/>
      <c r="M1" s="592"/>
      <c r="N1" s="611" t="s">
        <v>547</v>
      </c>
      <c r="O1" s="592"/>
    </row>
    <row r="2" spans="1:20">
      <c r="A2" s="29" t="s">
        <v>74</v>
      </c>
      <c r="B2" s="30"/>
      <c r="C2" s="29"/>
      <c r="E2" s="29" t="s">
        <v>632</v>
      </c>
      <c r="F2" s="29"/>
      <c r="G2" s="29"/>
      <c r="J2" s="29" t="s">
        <v>546</v>
      </c>
      <c r="K2" s="29"/>
      <c r="L2" s="29"/>
      <c r="N2" s="589"/>
      <c r="O2" s="589"/>
    </row>
    <row r="3" spans="1:20">
      <c r="A3" s="30" t="str">
        <f>'DPK-2 Restating Adj Sch 1.2'!$B$5</f>
        <v>Twelve Months Ended September 30, 2008</v>
      </c>
      <c r="B3" s="30"/>
      <c r="C3" s="29"/>
      <c r="E3" s="29" t="s">
        <v>75</v>
      </c>
      <c r="F3" s="29"/>
      <c r="G3" s="29"/>
      <c r="J3" s="29" t="s">
        <v>75</v>
      </c>
      <c r="K3" s="29"/>
      <c r="L3" s="29"/>
      <c r="N3" s="589"/>
      <c r="O3" s="589"/>
    </row>
    <row r="4" spans="1:20">
      <c r="A4" s="29" t="s">
        <v>0</v>
      </c>
      <c r="B4" s="30"/>
      <c r="C4" s="29"/>
      <c r="E4" s="32" t="s">
        <v>76</v>
      </c>
      <c r="F4" s="32"/>
      <c r="G4" s="33"/>
      <c r="J4" s="32" t="s">
        <v>76</v>
      </c>
      <c r="K4" s="32"/>
      <c r="L4" s="33"/>
      <c r="N4" s="590"/>
      <c r="O4" s="591"/>
    </row>
    <row r="5" spans="1:20">
      <c r="A5" s="34" t="s">
        <v>11</v>
      </c>
      <c r="F5" s="626" t="s">
        <v>549</v>
      </c>
      <c r="K5" s="693" t="s">
        <v>549</v>
      </c>
      <c r="N5" s="592"/>
      <c r="O5" s="592"/>
    </row>
    <row r="6" spans="1:20" s="34" customFormat="1">
      <c r="A6" s="34" t="s">
        <v>77</v>
      </c>
      <c r="B6" s="35" t="s">
        <v>30</v>
      </c>
      <c r="C6" s="35"/>
      <c r="E6" s="35" t="s">
        <v>78</v>
      </c>
      <c r="F6" s="35" t="s">
        <v>79</v>
      </c>
      <c r="G6" s="35" t="s">
        <v>71</v>
      </c>
      <c r="H6" s="36" t="s">
        <v>80</v>
      </c>
      <c r="I6" s="36"/>
      <c r="J6" s="35" t="s">
        <v>78</v>
      </c>
      <c r="K6" s="35" t="s">
        <v>79</v>
      </c>
      <c r="L6" s="35" t="s">
        <v>71</v>
      </c>
      <c r="M6" s="36" t="s">
        <v>80</v>
      </c>
      <c r="N6" s="593" t="s">
        <v>79</v>
      </c>
      <c r="O6" s="593" t="s">
        <v>71</v>
      </c>
      <c r="P6" s="630"/>
      <c r="Q6" s="626" t="s">
        <v>548</v>
      </c>
      <c r="R6" s="35" t="s">
        <v>79</v>
      </c>
      <c r="S6" s="35" t="s">
        <v>71</v>
      </c>
    </row>
    <row r="7" spans="1:20">
      <c r="B7" s="37" t="s">
        <v>46</v>
      </c>
      <c r="N7" s="592"/>
      <c r="O7" s="592"/>
    </row>
    <row r="8" spans="1:20" s="40" customFormat="1">
      <c r="A8" s="38">
        <v>1</v>
      </c>
      <c r="B8" s="39" t="s">
        <v>47</v>
      </c>
      <c r="E8" s="41">
        <f>F8+G8</f>
        <v>618817</v>
      </c>
      <c r="F8" s="41">
        <f t="shared" ref="F8:G10" si="0">F71</f>
        <v>407849</v>
      </c>
      <c r="G8" s="41">
        <f t="shared" si="0"/>
        <v>210968</v>
      </c>
      <c r="H8" s="28">
        <f>+F8/E8</f>
        <v>0.65907853210238243</v>
      </c>
      <c r="I8" s="28"/>
      <c r="J8" s="41">
        <f>K8+L8</f>
        <v>618817</v>
      </c>
      <c r="K8" s="41">
        <f t="shared" ref="K8:L8" si="1">K71</f>
        <v>407849</v>
      </c>
      <c r="L8" s="41">
        <f t="shared" si="1"/>
        <v>210968</v>
      </c>
      <c r="M8" s="28">
        <f>+K8/J8</f>
        <v>0.65907853210238243</v>
      </c>
      <c r="N8" s="594">
        <f t="shared" ref="N8:O10" si="2">N71</f>
        <v>362395</v>
      </c>
      <c r="O8" s="594">
        <f t="shared" si="2"/>
        <v>191742</v>
      </c>
      <c r="P8" s="631"/>
      <c r="Q8" s="41">
        <f>+M8-E8</f>
        <v>-618816.34092146787</v>
      </c>
      <c r="R8" s="41">
        <f>+N8-F8</f>
        <v>-45454</v>
      </c>
      <c r="S8" s="41">
        <f>+O8-G8</f>
        <v>-19226</v>
      </c>
      <c r="T8" s="649">
        <f t="shared" ref="T8:T13" si="3">+R8/N8</f>
        <v>-0.12542667531284923</v>
      </c>
    </row>
    <row r="9" spans="1:20">
      <c r="A9" s="34">
        <v>2</v>
      </c>
      <c r="B9" s="37" t="s">
        <v>48</v>
      </c>
      <c r="E9" s="42">
        <f>F9+G9</f>
        <v>945</v>
      </c>
      <c r="F9" s="42">
        <f t="shared" si="0"/>
        <v>800</v>
      </c>
      <c r="G9" s="42">
        <f t="shared" si="0"/>
        <v>145</v>
      </c>
      <c r="H9" s="28">
        <f t="shared" ref="H9:H72" si="4">+F9/E9</f>
        <v>0.84656084656084651</v>
      </c>
      <c r="I9" s="28"/>
      <c r="J9" s="42">
        <f>K9+L9</f>
        <v>945</v>
      </c>
      <c r="K9" s="42">
        <f t="shared" ref="K9:L9" si="5">K72</f>
        <v>800</v>
      </c>
      <c r="L9" s="42">
        <f t="shared" si="5"/>
        <v>145</v>
      </c>
      <c r="M9" s="28">
        <f t="shared" ref="M9:M13" si="6">+K9/J9</f>
        <v>0.84656084656084651</v>
      </c>
      <c r="N9" s="595">
        <f t="shared" si="2"/>
        <v>733</v>
      </c>
      <c r="O9" s="595">
        <f t="shared" si="2"/>
        <v>116</v>
      </c>
      <c r="P9" s="632"/>
      <c r="Q9" s="42">
        <f t="shared" ref="Q9:Q40" si="7">+E9-M9</f>
        <v>944.15343915343919</v>
      </c>
      <c r="R9" s="42">
        <f t="shared" ref="R9:R40" si="8">+F9-N9</f>
        <v>67</v>
      </c>
      <c r="S9" s="42">
        <f t="shared" ref="S9:S40" si="9">+G9-O9</f>
        <v>29</v>
      </c>
      <c r="T9" s="649">
        <f t="shared" si="3"/>
        <v>9.1405184174624829E-2</v>
      </c>
    </row>
    <row r="10" spans="1:20">
      <c r="A10" s="34">
        <v>3</v>
      </c>
      <c r="B10" s="37" t="s">
        <v>81</v>
      </c>
      <c r="E10" s="42">
        <f>F10+G10</f>
        <v>195819</v>
      </c>
      <c r="F10" s="646">
        <f t="shared" si="0"/>
        <v>126479</v>
      </c>
      <c r="G10" s="646">
        <f t="shared" si="0"/>
        <v>69340</v>
      </c>
      <c r="H10" s="647">
        <f t="shared" si="4"/>
        <v>0.64589748696500338</v>
      </c>
      <c r="I10" s="697"/>
      <c r="J10" s="42">
        <f>K10+L10</f>
        <v>195819</v>
      </c>
      <c r="K10" s="646">
        <f t="shared" ref="K10:L10" si="10">K73</f>
        <v>126479</v>
      </c>
      <c r="L10" s="646">
        <f t="shared" si="10"/>
        <v>69340</v>
      </c>
      <c r="M10" s="647">
        <f t="shared" si="6"/>
        <v>0.64589748696500338</v>
      </c>
      <c r="N10" s="648">
        <f t="shared" si="2"/>
        <v>115579</v>
      </c>
      <c r="O10" s="598">
        <f t="shared" si="2"/>
        <v>59993</v>
      </c>
      <c r="P10" s="633"/>
      <c r="Q10" s="42">
        <f t="shared" si="7"/>
        <v>195818.35410251303</v>
      </c>
      <c r="R10" s="42">
        <f t="shared" si="8"/>
        <v>10900</v>
      </c>
      <c r="S10" s="42">
        <f t="shared" si="9"/>
        <v>9347</v>
      </c>
      <c r="T10" s="650">
        <f t="shared" si="3"/>
        <v>9.4307789477327195E-2</v>
      </c>
    </row>
    <row r="11" spans="1:20">
      <c r="A11" s="34">
        <v>4</v>
      </c>
      <c r="B11" s="37" t="s">
        <v>82</v>
      </c>
      <c r="E11" s="43">
        <f>E8+E9+E10</f>
        <v>815581</v>
      </c>
      <c r="F11" s="43">
        <f>F8+F9+F10</f>
        <v>535128</v>
      </c>
      <c r="G11" s="43">
        <f>G8+G9+G10</f>
        <v>280453</v>
      </c>
      <c r="H11" s="28">
        <f t="shared" si="4"/>
        <v>0.65613102806465573</v>
      </c>
      <c r="I11" s="28"/>
      <c r="J11" s="43">
        <f>J8+J9+J10</f>
        <v>815581</v>
      </c>
      <c r="K11" s="43">
        <f>K8+K9+K10</f>
        <v>535128</v>
      </c>
      <c r="L11" s="43">
        <f>L8+L9+L10</f>
        <v>280453</v>
      </c>
      <c r="M11" s="28">
        <f t="shared" si="6"/>
        <v>0.65613102806465573</v>
      </c>
      <c r="N11" s="596">
        <f>N8+N9+N10</f>
        <v>478707</v>
      </c>
      <c r="O11" s="596">
        <f>O8+O9+O10</f>
        <v>251851</v>
      </c>
      <c r="P11" s="634"/>
      <c r="Q11" s="43">
        <f t="shared" si="7"/>
        <v>815580.34386897192</v>
      </c>
      <c r="R11" s="43">
        <f t="shared" si="8"/>
        <v>56421</v>
      </c>
      <c r="S11" s="43">
        <f t="shared" si="9"/>
        <v>28602</v>
      </c>
      <c r="T11" s="649">
        <f t="shared" si="3"/>
        <v>0.11786123871177985</v>
      </c>
    </row>
    <row r="12" spans="1:20">
      <c r="A12" s="34">
        <v>5</v>
      </c>
      <c r="B12" s="37" t="s">
        <v>50</v>
      </c>
      <c r="E12" s="44">
        <f>F12+G12</f>
        <v>56326</v>
      </c>
      <c r="F12" s="646">
        <f>F74</f>
        <v>36572</v>
      </c>
      <c r="G12" s="646">
        <f>G74</f>
        <v>19754</v>
      </c>
      <c r="H12" s="647">
        <f t="shared" si="4"/>
        <v>0.64929162376167315</v>
      </c>
      <c r="I12" s="697"/>
      <c r="J12" s="44">
        <f>K12+L12</f>
        <v>56326</v>
      </c>
      <c r="K12" s="646">
        <f>K74</f>
        <v>36572</v>
      </c>
      <c r="L12" s="646">
        <f>L74</f>
        <v>19754</v>
      </c>
      <c r="M12" s="647">
        <f t="shared" si="6"/>
        <v>0.64929162376167315</v>
      </c>
      <c r="N12" s="648">
        <f>N74</f>
        <v>42255</v>
      </c>
      <c r="O12" s="598">
        <f>O74</f>
        <v>21679</v>
      </c>
      <c r="P12" s="633"/>
      <c r="Q12" s="42">
        <f t="shared" si="7"/>
        <v>56325.350708376238</v>
      </c>
      <c r="R12" s="42">
        <f t="shared" si="8"/>
        <v>-5683</v>
      </c>
      <c r="S12" s="42">
        <f t="shared" si="9"/>
        <v>-1925</v>
      </c>
      <c r="T12" s="650">
        <f t="shared" si="3"/>
        <v>-0.1344929594130872</v>
      </c>
    </row>
    <row r="13" spans="1:20">
      <c r="A13" s="34">
        <v>6</v>
      </c>
      <c r="B13" s="37" t="s">
        <v>83</v>
      </c>
      <c r="E13" s="43">
        <f>E11+E12</f>
        <v>871907</v>
      </c>
      <c r="F13" s="43">
        <f>F11+F12</f>
        <v>571700</v>
      </c>
      <c r="G13" s="43">
        <f>G11+G12</f>
        <v>300207</v>
      </c>
      <c r="H13" s="28">
        <f t="shared" si="4"/>
        <v>0.65568919621014632</v>
      </c>
      <c r="I13" s="28"/>
      <c r="J13" s="43">
        <f>J11+J12</f>
        <v>871907</v>
      </c>
      <c r="K13" s="43">
        <f>K11+K12</f>
        <v>571700</v>
      </c>
      <c r="L13" s="43">
        <f>L11+L12</f>
        <v>300207</v>
      </c>
      <c r="M13" s="28">
        <f t="shared" si="6"/>
        <v>0.65568919621014632</v>
      </c>
      <c r="N13" s="596">
        <f>N11+N12</f>
        <v>520962</v>
      </c>
      <c r="O13" s="596">
        <f>O11+O12</f>
        <v>273530</v>
      </c>
      <c r="P13" s="634"/>
      <c r="Q13" s="43">
        <f t="shared" si="7"/>
        <v>871906.3443108038</v>
      </c>
      <c r="R13" s="43">
        <f t="shared" si="8"/>
        <v>50738</v>
      </c>
      <c r="S13" s="43">
        <f t="shared" si="9"/>
        <v>26677</v>
      </c>
      <c r="T13" s="649">
        <f t="shared" si="3"/>
        <v>9.7392900057969675E-2</v>
      </c>
    </row>
    <row r="14" spans="1:20">
      <c r="E14" s="45"/>
      <c r="F14" s="45"/>
      <c r="G14" s="45"/>
      <c r="H14" s="28"/>
      <c r="I14" s="28"/>
      <c r="J14" s="45"/>
      <c r="K14" s="45"/>
      <c r="L14" s="45"/>
      <c r="M14" s="28"/>
      <c r="N14" s="597"/>
      <c r="O14" s="597"/>
      <c r="P14" s="634"/>
      <c r="Q14" s="45">
        <f t="shared" si="7"/>
        <v>0</v>
      </c>
      <c r="R14" s="45">
        <f t="shared" si="8"/>
        <v>0</v>
      </c>
      <c r="S14" s="45">
        <f t="shared" si="9"/>
        <v>0</v>
      </c>
    </row>
    <row r="15" spans="1:20">
      <c r="B15" s="37" t="s">
        <v>51</v>
      </c>
      <c r="E15" s="45"/>
      <c r="F15" s="45"/>
      <c r="G15" s="45"/>
      <c r="H15" s="28"/>
      <c r="I15" s="28"/>
      <c r="J15" s="45"/>
      <c r="K15" s="45"/>
      <c r="L15" s="45"/>
      <c r="M15" s="28"/>
      <c r="N15" s="597"/>
      <c r="O15" s="597"/>
      <c r="P15" s="634"/>
      <c r="Q15" s="45">
        <f t="shared" si="7"/>
        <v>0</v>
      </c>
      <c r="R15" s="45">
        <f t="shared" si="8"/>
        <v>0</v>
      </c>
      <c r="S15" s="45">
        <f t="shared" si="9"/>
        <v>0</v>
      </c>
    </row>
    <row r="16" spans="1:20">
      <c r="B16" s="37" t="s">
        <v>52</v>
      </c>
      <c r="E16" s="45"/>
      <c r="F16" s="45"/>
      <c r="G16" s="45"/>
      <c r="H16" s="28"/>
      <c r="I16" s="28"/>
      <c r="J16" s="45"/>
      <c r="K16" s="45"/>
      <c r="L16" s="45"/>
      <c r="M16" s="28"/>
      <c r="N16" s="597"/>
      <c r="O16" s="597"/>
      <c r="P16" s="634"/>
      <c r="Q16" s="45">
        <f t="shared" si="7"/>
        <v>0</v>
      </c>
      <c r="R16" s="45">
        <f t="shared" si="8"/>
        <v>0</v>
      </c>
      <c r="S16" s="45">
        <f t="shared" si="9"/>
        <v>0</v>
      </c>
    </row>
    <row r="17" spans="1:20">
      <c r="A17" s="34">
        <v>7</v>
      </c>
      <c r="B17" s="37" t="s">
        <v>84</v>
      </c>
      <c r="E17" s="42">
        <f>F17+G17</f>
        <v>256659</v>
      </c>
      <c r="F17" s="42">
        <f>F78+F79+F80+F81+F85</f>
        <v>175800</v>
      </c>
      <c r="G17" s="42">
        <f>G78+G79+G80+G81+G85</f>
        <v>80859</v>
      </c>
      <c r="H17" s="28">
        <f t="shared" si="4"/>
        <v>0.68495552464554132</v>
      </c>
      <c r="I17" s="28"/>
      <c r="J17" s="42">
        <f>K17+L17</f>
        <v>256659</v>
      </c>
      <c r="K17" s="42">
        <f>K78+K79+K80+K81+K85</f>
        <v>175800</v>
      </c>
      <c r="L17" s="42">
        <f>L78+L79+L80+L81+L85</f>
        <v>80859</v>
      </c>
      <c r="M17" s="28">
        <f t="shared" ref="M17:M21" si="11">+K17/J17</f>
        <v>0.68495552464554132</v>
      </c>
      <c r="N17" s="595">
        <f>N78+N79+N80+N81+N85</f>
        <v>176236</v>
      </c>
      <c r="O17" s="595">
        <f>O78+O79+O80+O81+O85</f>
        <v>74237</v>
      </c>
      <c r="P17" s="632"/>
      <c r="Q17" s="42">
        <f t="shared" si="7"/>
        <v>256658.31504447534</v>
      </c>
      <c r="R17" s="42">
        <f t="shared" si="8"/>
        <v>-436</v>
      </c>
      <c r="S17" s="42">
        <f t="shared" si="9"/>
        <v>6622</v>
      </c>
      <c r="T17" s="649">
        <f>+R17/N17</f>
        <v>-2.4739553780158425E-3</v>
      </c>
    </row>
    <row r="18" spans="1:20">
      <c r="A18" s="34">
        <v>8</v>
      </c>
      <c r="B18" s="37" t="s">
        <v>85</v>
      </c>
      <c r="E18" s="42">
        <f>F18+G18</f>
        <v>246147</v>
      </c>
      <c r="F18" s="42">
        <f>F82</f>
        <v>147076</v>
      </c>
      <c r="G18" s="42">
        <f>G82</f>
        <v>99071</v>
      </c>
      <c r="H18" s="28">
        <f t="shared" si="4"/>
        <v>0.59751286832665029</v>
      </c>
      <c r="I18" s="28"/>
      <c r="J18" s="42">
        <f>K18+L18</f>
        <v>246147</v>
      </c>
      <c r="K18" s="42">
        <f>K82</f>
        <v>147076</v>
      </c>
      <c r="L18" s="42">
        <f>L82</f>
        <v>99071</v>
      </c>
      <c r="M18" s="28">
        <f t="shared" si="11"/>
        <v>0.59751286832665029</v>
      </c>
      <c r="N18" s="595">
        <f>N82</f>
        <v>117871</v>
      </c>
      <c r="O18" s="595">
        <f>O82</f>
        <v>82212</v>
      </c>
      <c r="P18" s="632"/>
      <c r="Q18" s="42">
        <f t="shared" si="7"/>
        <v>246146.40248713168</v>
      </c>
      <c r="R18" s="42">
        <f t="shared" si="8"/>
        <v>29205</v>
      </c>
      <c r="S18" s="42">
        <f t="shared" si="9"/>
        <v>16859</v>
      </c>
      <c r="T18" s="649">
        <f>+R18/N18</f>
        <v>0.24777086815247176</v>
      </c>
    </row>
    <row r="19" spans="1:20">
      <c r="A19" s="34">
        <v>9</v>
      </c>
      <c r="B19" s="37" t="s">
        <v>86</v>
      </c>
      <c r="E19" s="42">
        <f>F19+G19</f>
        <v>35050</v>
      </c>
      <c r="F19" s="42">
        <f>F86</f>
        <v>23675</v>
      </c>
      <c r="G19" s="42">
        <f>G86</f>
        <v>11375</v>
      </c>
      <c r="H19" s="28">
        <f t="shared" si="4"/>
        <v>0.67546362339514976</v>
      </c>
      <c r="I19" s="28"/>
      <c r="J19" s="42">
        <f>K19+L19</f>
        <v>35050</v>
      </c>
      <c r="K19" s="42">
        <f>K86</f>
        <v>23675</v>
      </c>
      <c r="L19" s="42">
        <f>L86</f>
        <v>11375</v>
      </c>
      <c r="M19" s="28">
        <f t="shared" si="11"/>
        <v>0.67546362339514976</v>
      </c>
      <c r="N19" s="595">
        <f>N86</f>
        <v>17008</v>
      </c>
      <c r="O19" s="595">
        <f>O86</f>
        <v>5551</v>
      </c>
      <c r="P19" s="632"/>
      <c r="Q19" s="42">
        <f t="shared" si="7"/>
        <v>35049.324536376604</v>
      </c>
      <c r="R19" s="42">
        <f t="shared" si="8"/>
        <v>6667</v>
      </c>
      <c r="S19" s="42">
        <f t="shared" si="9"/>
        <v>5824</v>
      </c>
      <c r="T19" s="650">
        <f>+R19/N19</f>
        <v>0.39199200376293508</v>
      </c>
    </row>
    <row r="20" spans="1:20">
      <c r="A20" s="34">
        <v>10</v>
      </c>
      <c r="B20" s="37" t="s">
        <v>87</v>
      </c>
      <c r="E20" s="46">
        <f>F20+G20</f>
        <v>13833</v>
      </c>
      <c r="F20" s="42">
        <f>F87</f>
        <v>8935</v>
      </c>
      <c r="G20" s="42">
        <f>G87</f>
        <v>4898</v>
      </c>
      <c r="H20" s="151">
        <f t="shared" si="4"/>
        <v>0.64591917877539218</v>
      </c>
      <c r="I20" s="151"/>
      <c r="J20" s="46">
        <f>K20+L20</f>
        <v>13833</v>
      </c>
      <c r="K20" s="42">
        <f>K87</f>
        <v>8935</v>
      </c>
      <c r="L20" s="42">
        <f>L87</f>
        <v>4898</v>
      </c>
      <c r="M20" s="151">
        <f t="shared" si="11"/>
        <v>0.64591917877539218</v>
      </c>
      <c r="N20" s="598">
        <f>N87</f>
        <v>9090</v>
      </c>
      <c r="O20" s="598">
        <f>O87</f>
        <v>4718</v>
      </c>
      <c r="P20" s="633"/>
      <c r="Q20" s="42">
        <f t="shared" si="7"/>
        <v>13832.354080821224</v>
      </c>
      <c r="R20" s="42">
        <f t="shared" si="8"/>
        <v>-155</v>
      </c>
      <c r="S20" s="42">
        <f t="shared" si="9"/>
        <v>180</v>
      </c>
      <c r="T20" s="649">
        <f>+R20/N20</f>
        <v>-1.7051705170517052E-2</v>
      </c>
    </row>
    <row r="21" spans="1:20">
      <c r="A21" s="34">
        <v>11</v>
      </c>
      <c r="B21" s="37" t="s">
        <v>88</v>
      </c>
      <c r="E21" s="42">
        <f>E17+E18+E19+E20</f>
        <v>551689</v>
      </c>
      <c r="F21" s="43">
        <f>F17+F18+F19+F20</f>
        <v>355486</v>
      </c>
      <c r="G21" s="43">
        <f>G17+G18+G19+G20</f>
        <v>196203</v>
      </c>
      <c r="H21" s="28">
        <f t="shared" si="4"/>
        <v>0.64435941264009255</v>
      </c>
      <c r="I21" s="28"/>
      <c r="J21" s="42">
        <f>J17+J18+J19+J20</f>
        <v>551689</v>
      </c>
      <c r="K21" s="43">
        <f>K17+K18+K19+K20</f>
        <v>355486</v>
      </c>
      <c r="L21" s="43">
        <f>L17+L18+L19+L20</f>
        <v>196203</v>
      </c>
      <c r="M21" s="28">
        <f t="shared" si="11"/>
        <v>0.64435941264009255</v>
      </c>
      <c r="N21" s="596">
        <f>N17+N18+N19+N20</f>
        <v>320205</v>
      </c>
      <c r="O21" s="596">
        <f>O17+O18+O19+O20</f>
        <v>166718</v>
      </c>
      <c r="P21" s="634"/>
      <c r="Q21" s="43">
        <f t="shared" si="7"/>
        <v>551688.3556405874</v>
      </c>
      <c r="R21" s="43">
        <f t="shared" si="8"/>
        <v>35281</v>
      </c>
      <c r="S21" s="43">
        <f t="shared" si="9"/>
        <v>29485</v>
      </c>
      <c r="T21" s="649">
        <f>+R21/N21</f>
        <v>0.11018253931075404</v>
      </c>
    </row>
    <row r="22" spans="1:20">
      <c r="E22" s="42"/>
      <c r="F22" s="45"/>
      <c r="G22" s="45"/>
      <c r="H22" s="28"/>
      <c r="I22" s="28"/>
      <c r="J22" s="42"/>
      <c r="K22" s="45"/>
      <c r="L22" s="45"/>
      <c r="M22" s="28"/>
      <c r="N22" s="597"/>
      <c r="O22" s="597"/>
      <c r="P22" s="634"/>
      <c r="Q22" s="45">
        <f t="shared" si="7"/>
        <v>0</v>
      </c>
      <c r="R22" s="45">
        <f t="shared" si="8"/>
        <v>0</v>
      </c>
      <c r="S22" s="45">
        <f t="shared" si="9"/>
        <v>0</v>
      </c>
      <c r="T22" s="649"/>
    </row>
    <row r="23" spans="1:20">
      <c r="B23" s="37" t="s">
        <v>54</v>
      </c>
      <c r="E23" s="42"/>
      <c r="F23" s="45"/>
      <c r="G23" s="45"/>
      <c r="H23" s="28"/>
      <c r="I23" s="28"/>
      <c r="J23" s="42"/>
      <c r="K23" s="45"/>
      <c r="L23" s="45"/>
      <c r="M23" s="28"/>
      <c r="N23" s="597"/>
      <c r="O23" s="597"/>
      <c r="P23" s="634"/>
      <c r="Q23" s="45">
        <f t="shared" si="7"/>
        <v>0</v>
      </c>
      <c r="R23" s="45">
        <f t="shared" si="8"/>
        <v>0</v>
      </c>
      <c r="S23" s="45">
        <f t="shared" si="9"/>
        <v>0</v>
      </c>
      <c r="T23" s="649"/>
    </row>
    <row r="24" spans="1:20">
      <c r="A24" s="34">
        <v>12</v>
      </c>
      <c r="B24" s="37" t="s">
        <v>84</v>
      </c>
      <c r="E24" s="42">
        <f>F24+G24</f>
        <v>25859</v>
      </c>
      <c r="F24" s="42">
        <f t="shared" ref="F24:G26" si="12">F90</f>
        <v>17279</v>
      </c>
      <c r="G24" s="42">
        <f t="shared" si="12"/>
        <v>8580</v>
      </c>
      <c r="H24" s="28">
        <f t="shared" si="4"/>
        <v>0.66820062647434164</v>
      </c>
      <c r="I24" s="28"/>
      <c r="J24" s="42">
        <f>K24+L24</f>
        <v>25859</v>
      </c>
      <c r="K24" s="42">
        <f t="shared" ref="K24:L24" si="13">K90</f>
        <v>17279</v>
      </c>
      <c r="L24" s="42">
        <f t="shared" si="13"/>
        <v>8580</v>
      </c>
      <c r="M24" s="28">
        <f t="shared" ref="M24:M27" si="14">+K24/J24</f>
        <v>0.66820062647434164</v>
      </c>
      <c r="N24" s="595">
        <f t="shared" ref="N24:O26" si="15">N90</f>
        <v>15485</v>
      </c>
      <c r="O24" s="595">
        <f t="shared" si="15"/>
        <v>7084</v>
      </c>
      <c r="P24" s="632"/>
      <c r="Q24" s="42">
        <f t="shared" si="7"/>
        <v>25858.331799373525</v>
      </c>
      <c r="R24" s="42">
        <f t="shared" si="8"/>
        <v>1794</v>
      </c>
      <c r="S24" s="42">
        <f t="shared" si="9"/>
        <v>1496</v>
      </c>
      <c r="T24" s="649">
        <f>+R24/N24</f>
        <v>0.11585405230868583</v>
      </c>
    </row>
    <row r="25" spans="1:20">
      <c r="A25" s="34">
        <v>13</v>
      </c>
      <c r="B25" s="37" t="s">
        <v>89</v>
      </c>
      <c r="E25" s="42">
        <f>F25+G25</f>
        <v>22950</v>
      </c>
      <c r="F25" s="42">
        <f t="shared" si="12"/>
        <v>14599</v>
      </c>
      <c r="G25" s="42">
        <f t="shared" si="12"/>
        <v>8351</v>
      </c>
      <c r="H25" s="28">
        <f t="shared" si="4"/>
        <v>0.63612200435729849</v>
      </c>
      <c r="I25" s="28"/>
      <c r="J25" s="42">
        <f>K25+L25</f>
        <v>22950</v>
      </c>
      <c r="K25" s="42">
        <f t="shared" ref="K25:L25" si="16">K91</f>
        <v>14599</v>
      </c>
      <c r="L25" s="42">
        <f t="shared" si="16"/>
        <v>8351</v>
      </c>
      <c r="M25" s="28">
        <f t="shared" si="14"/>
        <v>0.63612200435729849</v>
      </c>
      <c r="N25" s="595">
        <f t="shared" si="15"/>
        <v>10864</v>
      </c>
      <c r="O25" s="595">
        <f t="shared" si="15"/>
        <v>6594</v>
      </c>
      <c r="P25" s="632"/>
      <c r="Q25" s="42">
        <f t="shared" si="7"/>
        <v>22949.363877995642</v>
      </c>
      <c r="R25" s="42">
        <f t="shared" si="8"/>
        <v>3735</v>
      </c>
      <c r="S25" s="42">
        <f t="shared" si="9"/>
        <v>1757</v>
      </c>
      <c r="T25" s="649">
        <f>+R25/N25</f>
        <v>0.3437960235640648</v>
      </c>
    </row>
    <row r="26" spans="1:20">
      <c r="A26" s="34">
        <v>14</v>
      </c>
      <c r="B26" s="37" t="s">
        <v>87</v>
      </c>
      <c r="E26" s="46">
        <f>F26+G26</f>
        <v>37353</v>
      </c>
      <c r="F26" s="42">
        <f t="shared" si="12"/>
        <v>33186</v>
      </c>
      <c r="G26" s="42">
        <f t="shared" si="12"/>
        <v>4167</v>
      </c>
      <c r="H26" s="151">
        <f t="shared" si="4"/>
        <v>0.88844269536583409</v>
      </c>
      <c r="I26" s="151"/>
      <c r="J26" s="46">
        <f>K26+L26</f>
        <v>37353</v>
      </c>
      <c r="K26" s="42">
        <f t="shared" ref="K26:L26" si="17">K92</f>
        <v>33186</v>
      </c>
      <c r="L26" s="42">
        <f t="shared" si="17"/>
        <v>4167</v>
      </c>
      <c r="M26" s="151">
        <f t="shared" si="14"/>
        <v>0.88844269536583409</v>
      </c>
      <c r="N26" s="598">
        <f t="shared" si="15"/>
        <v>29460</v>
      </c>
      <c r="O26" s="598">
        <f t="shared" si="15"/>
        <v>4127</v>
      </c>
      <c r="P26" s="633"/>
      <c r="Q26" s="42">
        <f t="shared" si="7"/>
        <v>37352.111557304634</v>
      </c>
      <c r="R26" s="42">
        <f t="shared" si="8"/>
        <v>3726</v>
      </c>
      <c r="S26" s="42">
        <f t="shared" si="9"/>
        <v>40</v>
      </c>
      <c r="T26" s="649">
        <f>+R26/N26</f>
        <v>0.1264765784114053</v>
      </c>
    </row>
    <row r="27" spans="1:20">
      <c r="A27" s="34">
        <v>15</v>
      </c>
      <c r="B27" s="37" t="s">
        <v>90</v>
      </c>
      <c r="E27" s="42">
        <f>E24+E25+E26</f>
        <v>86162</v>
      </c>
      <c r="F27" s="43">
        <f>F24+F25+F26</f>
        <v>65064</v>
      </c>
      <c r="G27" s="43">
        <f>G24+G25+G26</f>
        <v>21098</v>
      </c>
      <c r="H27" s="28">
        <f t="shared" si="4"/>
        <v>0.7551356746593626</v>
      </c>
      <c r="I27" s="28"/>
      <c r="J27" s="42">
        <f>J24+J25+J26</f>
        <v>86162</v>
      </c>
      <c r="K27" s="43">
        <f>K24+K25+K26</f>
        <v>65064</v>
      </c>
      <c r="L27" s="43">
        <f>L24+L25+L26</f>
        <v>21098</v>
      </c>
      <c r="M27" s="28">
        <f t="shared" si="14"/>
        <v>0.7551356746593626</v>
      </c>
      <c r="N27" s="596">
        <f>N24+N25+N26</f>
        <v>55809</v>
      </c>
      <c r="O27" s="596">
        <f>O24+O25+O26</f>
        <v>17805</v>
      </c>
      <c r="P27" s="634"/>
      <c r="Q27" s="43">
        <f t="shared" si="7"/>
        <v>86161.244864325345</v>
      </c>
      <c r="R27" s="43">
        <f t="shared" si="8"/>
        <v>9255</v>
      </c>
      <c r="S27" s="43">
        <f t="shared" si="9"/>
        <v>3293</v>
      </c>
      <c r="T27" s="649">
        <f>+R27/N27</f>
        <v>0.16583346772026017</v>
      </c>
    </row>
    <row r="28" spans="1:20">
      <c r="E28" s="45"/>
      <c r="F28" s="45"/>
      <c r="G28" s="45"/>
      <c r="H28" s="28"/>
      <c r="I28" s="28"/>
      <c r="J28" s="45"/>
      <c r="K28" s="45"/>
      <c r="L28" s="45"/>
      <c r="M28" s="28"/>
      <c r="N28" s="597"/>
      <c r="O28" s="597"/>
      <c r="P28" s="634"/>
      <c r="Q28" s="45">
        <f t="shared" si="7"/>
        <v>0</v>
      </c>
      <c r="R28" s="45">
        <f t="shared" si="8"/>
        <v>0</v>
      </c>
      <c r="S28" s="45">
        <f t="shared" si="9"/>
        <v>0</v>
      </c>
      <c r="T28" s="649"/>
    </row>
    <row r="29" spans="1:20">
      <c r="A29" s="34">
        <v>16</v>
      </c>
      <c r="B29" s="37" t="s">
        <v>56</v>
      </c>
      <c r="E29" s="42">
        <f>F29+G29</f>
        <v>12202</v>
      </c>
      <c r="F29" s="42">
        <f t="shared" ref="F29:G31" si="18">F94</f>
        <v>8559</v>
      </c>
      <c r="G29" s="42">
        <f t="shared" si="18"/>
        <v>3643</v>
      </c>
      <c r="H29" s="28">
        <f t="shared" si="4"/>
        <v>0.70144238649401736</v>
      </c>
      <c r="I29" s="28"/>
      <c r="J29" s="42">
        <f>K29+L29</f>
        <v>12202</v>
      </c>
      <c r="K29" s="42">
        <f t="shared" ref="K29:L29" si="19">K94</f>
        <v>8559</v>
      </c>
      <c r="L29" s="42">
        <f t="shared" si="19"/>
        <v>3643</v>
      </c>
      <c r="M29" s="28">
        <f t="shared" ref="M29:M31" si="20">+K29/J29</f>
        <v>0.70144238649401736</v>
      </c>
      <c r="N29" s="595">
        <f t="shared" ref="N29:O31" si="21">N94</f>
        <v>8951</v>
      </c>
      <c r="O29" s="595">
        <f t="shared" si="21"/>
        <v>4414</v>
      </c>
      <c r="P29" s="632"/>
      <c r="Q29" s="42">
        <f t="shared" si="7"/>
        <v>12201.298557613505</v>
      </c>
      <c r="R29" s="42">
        <f t="shared" si="8"/>
        <v>-392</v>
      </c>
      <c r="S29" s="42">
        <f t="shared" si="9"/>
        <v>-771</v>
      </c>
      <c r="T29" s="649">
        <f>+R29/N29</f>
        <v>-4.3793989498380072E-2</v>
      </c>
    </row>
    <row r="30" spans="1:20">
      <c r="A30" s="34">
        <v>17</v>
      </c>
      <c r="B30" s="37" t="s">
        <v>57</v>
      </c>
      <c r="E30" s="42">
        <f>F30+G30</f>
        <v>15319</v>
      </c>
      <c r="F30" s="42">
        <f t="shared" si="18"/>
        <v>11359</v>
      </c>
      <c r="G30" s="42">
        <f t="shared" si="18"/>
        <v>3960</v>
      </c>
      <c r="H30" s="28">
        <f t="shared" si="4"/>
        <v>0.74149748678112148</v>
      </c>
      <c r="I30" s="28"/>
      <c r="J30" s="42">
        <f>K30+L30</f>
        <v>15319</v>
      </c>
      <c r="K30" s="42">
        <f t="shared" ref="K30:L30" si="22">K95</f>
        <v>11359</v>
      </c>
      <c r="L30" s="42">
        <f t="shared" si="22"/>
        <v>3960</v>
      </c>
      <c r="M30" s="28">
        <f t="shared" si="20"/>
        <v>0.74149748678112148</v>
      </c>
      <c r="N30" s="595">
        <f t="shared" si="21"/>
        <v>7739</v>
      </c>
      <c r="O30" s="595">
        <f t="shared" si="21"/>
        <v>3826</v>
      </c>
      <c r="P30" s="632"/>
      <c r="Q30" s="42">
        <f t="shared" si="7"/>
        <v>15318.258502513219</v>
      </c>
      <c r="R30" s="42">
        <f t="shared" si="8"/>
        <v>3620</v>
      </c>
      <c r="S30" s="42">
        <f t="shared" si="9"/>
        <v>134</v>
      </c>
      <c r="T30" s="649">
        <f>+R30/N30</f>
        <v>0.46776069259594261</v>
      </c>
    </row>
    <row r="31" spans="1:20">
      <c r="A31" s="34">
        <v>18</v>
      </c>
      <c r="B31" s="37" t="s">
        <v>91</v>
      </c>
      <c r="E31" s="42">
        <f>F31+G31</f>
        <v>957</v>
      </c>
      <c r="F31" s="42">
        <f t="shared" si="18"/>
        <v>696</v>
      </c>
      <c r="G31" s="42">
        <f t="shared" si="18"/>
        <v>261</v>
      </c>
      <c r="H31" s="28">
        <f t="shared" si="4"/>
        <v>0.72727272727272729</v>
      </c>
      <c r="I31" s="28"/>
      <c r="J31" s="42">
        <f>K31+L31</f>
        <v>957</v>
      </c>
      <c r="K31" s="42">
        <f t="shared" ref="K31:L31" si="23">K96</f>
        <v>696</v>
      </c>
      <c r="L31" s="42">
        <f t="shared" si="23"/>
        <v>261</v>
      </c>
      <c r="M31" s="28">
        <f t="shared" si="20"/>
        <v>0.72727272727272729</v>
      </c>
      <c r="N31" s="595">
        <f t="shared" si="21"/>
        <v>657</v>
      </c>
      <c r="O31" s="595">
        <f t="shared" si="21"/>
        <v>274</v>
      </c>
      <c r="P31" s="632"/>
      <c r="Q31" s="42">
        <f t="shared" si="7"/>
        <v>956.27272727272725</v>
      </c>
      <c r="R31" s="42">
        <f t="shared" si="8"/>
        <v>39</v>
      </c>
      <c r="S31" s="42">
        <f t="shared" si="9"/>
        <v>-13</v>
      </c>
      <c r="T31" s="649">
        <f>+R31/N31</f>
        <v>5.9360730593607303E-2</v>
      </c>
    </row>
    <row r="32" spans="1:20">
      <c r="E32" s="45"/>
      <c r="F32" s="45"/>
      <c r="G32" s="45"/>
      <c r="H32" s="28"/>
      <c r="I32" s="28"/>
      <c r="J32" s="45"/>
      <c r="K32" s="45"/>
      <c r="L32" s="45"/>
      <c r="M32" s="28"/>
      <c r="N32" s="597"/>
      <c r="O32" s="597"/>
      <c r="P32" s="634"/>
      <c r="Q32" s="45">
        <f t="shared" si="7"/>
        <v>0</v>
      </c>
      <c r="R32" s="45">
        <f t="shared" si="8"/>
        <v>0</v>
      </c>
      <c r="S32" s="45">
        <f t="shared" si="9"/>
        <v>0</v>
      </c>
      <c r="T32" s="649"/>
    </row>
    <row r="33" spans="1:20">
      <c r="B33" s="37" t="s">
        <v>58</v>
      </c>
      <c r="E33" s="45"/>
      <c r="F33" s="45"/>
      <c r="G33" s="45"/>
      <c r="H33" s="28"/>
      <c r="I33" s="28"/>
      <c r="J33" s="45"/>
      <c r="K33" s="45"/>
      <c r="L33" s="45"/>
      <c r="M33" s="28"/>
      <c r="N33" s="597"/>
      <c r="O33" s="597"/>
      <c r="P33" s="634"/>
      <c r="Q33" s="45">
        <f t="shared" si="7"/>
        <v>0</v>
      </c>
      <c r="R33" s="45">
        <f t="shared" si="8"/>
        <v>0</v>
      </c>
      <c r="S33" s="45">
        <f t="shared" si="9"/>
        <v>0</v>
      </c>
      <c r="T33" s="649"/>
    </row>
    <row r="34" spans="1:20">
      <c r="A34" s="34">
        <v>19</v>
      </c>
      <c r="B34" s="37" t="s">
        <v>84</v>
      </c>
      <c r="E34" s="42">
        <f>F34+G34</f>
        <v>54408</v>
      </c>
      <c r="F34" s="42">
        <f t="shared" ref="F34:G36" si="24">F98</f>
        <v>35147</v>
      </c>
      <c r="G34" s="42">
        <f t="shared" si="24"/>
        <v>19261</v>
      </c>
      <c r="H34" s="28">
        <f t="shared" si="4"/>
        <v>0.64598956035877075</v>
      </c>
      <c r="I34" s="28"/>
      <c r="J34" s="42">
        <f>K34+L34</f>
        <v>54408</v>
      </c>
      <c r="K34" s="42">
        <f t="shared" ref="K34:L34" si="25">K98</f>
        <v>35147</v>
      </c>
      <c r="L34" s="42">
        <f t="shared" si="25"/>
        <v>19261</v>
      </c>
      <c r="M34" s="28">
        <f t="shared" ref="M34:M35" si="26">+K34/J34</f>
        <v>0.64598956035877075</v>
      </c>
      <c r="N34" s="595">
        <f t="shared" ref="N34:O36" si="27">N98</f>
        <v>32646</v>
      </c>
      <c r="O34" s="595">
        <f t="shared" si="27"/>
        <v>16871</v>
      </c>
      <c r="P34" s="632"/>
      <c r="Q34" s="42">
        <f t="shared" si="7"/>
        <v>54407.354010439638</v>
      </c>
      <c r="R34" s="42">
        <f t="shared" si="8"/>
        <v>2501</v>
      </c>
      <c r="S34" s="42">
        <f t="shared" si="9"/>
        <v>2390</v>
      </c>
      <c r="T34" s="650">
        <f>+R34/N34</f>
        <v>7.6609691845861666E-2</v>
      </c>
    </row>
    <row r="35" spans="1:20">
      <c r="A35" s="34">
        <v>20</v>
      </c>
      <c r="B35" s="37" t="s">
        <v>89</v>
      </c>
      <c r="E35" s="42">
        <f>F35+G35</f>
        <v>10882</v>
      </c>
      <c r="F35" s="42">
        <f t="shared" si="24"/>
        <v>7022</v>
      </c>
      <c r="G35" s="42">
        <f t="shared" si="24"/>
        <v>3860</v>
      </c>
      <c r="H35" s="28">
        <f t="shared" si="4"/>
        <v>0.64528579305274769</v>
      </c>
      <c r="I35" s="28"/>
      <c r="J35" s="42">
        <f>K35+L35</f>
        <v>10882</v>
      </c>
      <c r="K35" s="42">
        <f t="shared" ref="K35:L35" si="28">K99</f>
        <v>7022</v>
      </c>
      <c r="L35" s="42">
        <f t="shared" si="28"/>
        <v>3860</v>
      </c>
      <c r="M35" s="28">
        <f t="shared" si="26"/>
        <v>0.64528579305274769</v>
      </c>
      <c r="N35" s="595">
        <f t="shared" si="27"/>
        <v>6459</v>
      </c>
      <c r="O35" s="595">
        <f t="shared" si="27"/>
        <v>3367</v>
      </c>
      <c r="P35" s="632"/>
      <c r="Q35" s="42">
        <f t="shared" si="7"/>
        <v>10881.354714206947</v>
      </c>
      <c r="R35" s="42">
        <f t="shared" si="8"/>
        <v>563</v>
      </c>
      <c r="S35" s="42">
        <f t="shared" si="9"/>
        <v>493</v>
      </c>
      <c r="T35" s="649">
        <f>+R35/N35</f>
        <v>8.7165195850750887E-2</v>
      </c>
    </row>
    <row r="36" spans="1:20">
      <c r="A36" s="34">
        <v>21</v>
      </c>
      <c r="B36" s="37" t="s">
        <v>87</v>
      </c>
      <c r="E36" s="42">
        <f>F36+G36</f>
        <v>0</v>
      </c>
      <c r="F36" s="42">
        <f t="shared" si="24"/>
        <v>0</v>
      </c>
      <c r="G36" s="42">
        <f t="shared" si="24"/>
        <v>0</v>
      </c>
      <c r="H36" s="28"/>
      <c r="I36" s="28"/>
      <c r="J36" s="42">
        <f>K36+L36</f>
        <v>0</v>
      </c>
      <c r="K36" s="42">
        <f t="shared" ref="K36:L36" si="29">K100</f>
        <v>0</v>
      </c>
      <c r="L36" s="42">
        <f t="shared" si="29"/>
        <v>0</v>
      </c>
      <c r="M36" s="28"/>
      <c r="N36" s="595">
        <f t="shared" si="27"/>
        <v>0</v>
      </c>
      <c r="O36" s="595">
        <f t="shared" si="27"/>
        <v>0</v>
      </c>
      <c r="P36" s="632"/>
      <c r="Q36" s="42">
        <f t="shared" si="7"/>
        <v>0</v>
      </c>
      <c r="R36" s="42">
        <f t="shared" si="8"/>
        <v>0</v>
      </c>
      <c r="S36" s="42">
        <f t="shared" si="9"/>
        <v>0</v>
      </c>
      <c r="T36" s="649"/>
    </row>
    <row r="37" spans="1:20">
      <c r="A37" s="34">
        <v>22</v>
      </c>
      <c r="B37" s="37" t="s">
        <v>92</v>
      </c>
      <c r="E37" s="47">
        <f>E34+E35+E36</f>
        <v>65290</v>
      </c>
      <c r="F37" s="47">
        <f>F34+F35+F36</f>
        <v>42169</v>
      </c>
      <c r="G37" s="47">
        <f>G34+G35+G36</f>
        <v>23121</v>
      </c>
      <c r="H37" s="28">
        <f t="shared" si="4"/>
        <v>0.64587226221473426</v>
      </c>
      <c r="I37" s="28"/>
      <c r="J37" s="47">
        <f>J34+J35+J36</f>
        <v>65290</v>
      </c>
      <c r="K37" s="47">
        <f>K34+K35+K36</f>
        <v>42169</v>
      </c>
      <c r="L37" s="47">
        <f>L34+L35+L36</f>
        <v>23121</v>
      </c>
      <c r="M37" s="28">
        <f t="shared" ref="M37:M38" si="30">+K37/J37</f>
        <v>0.64587226221473426</v>
      </c>
      <c r="N37" s="599">
        <f>N34+N35+N36</f>
        <v>39105</v>
      </c>
      <c r="O37" s="599">
        <f>O34+O35+O36</f>
        <v>20238</v>
      </c>
      <c r="P37" s="634"/>
      <c r="Q37" s="47">
        <f t="shared" si="7"/>
        <v>65289.354127737788</v>
      </c>
      <c r="R37" s="47">
        <f t="shared" si="8"/>
        <v>3064</v>
      </c>
      <c r="S37" s="47">
        <f t="shared" si="9"/>
        <v>2883</v>
      </c>
      <c r="T37" s="649">
        <f>+R37/N37</f>
        <v>7.8353151770873292E-2</v>
      </c>
    </row>
    <row r="38" spans="1:20">
      <c r="A38" s="34">
        <v>23</v>
      </c>
      <c r="B38" s="37" t="s">
        <v>59</v>
      </c>
      <c r="E38" s="48">
        <f>E21+E27+E29+E30+E31+E37</f>
        <v>731619</v>
      </c>
      <c r="F38" s="48">
        <f>F21+F27+F29+F30+F31+F37</f>
        <v>483333</v>
      </c>
      <c r="G38" s="48">
        <f>G21+G27+G29+G30+G31+G37</f>
        <v>248286</v>
      </c>
      <c r="H38" s="28">
        <f t="shared" si="4"/>
        <v>0.66063483862502204</v>
      </c>
      <c r="I38" s="28"/>
      <c r="J38" s="48">
        <f>J21+J27+J29+J30+J31+J37</f>
        <v>731619</v>
      </c>
      <c r="K38" s="48">
        <f>K21+K27+K29+K30+K31+K37</f>
        <v>483333</v>
      </c>
      <c r="L38" s="48">
        <f>L21+L27+L29+L30+L31+L37</f>
        <v>248286</v>
      </c>
      <c r="M38" s="28">
        <f t="shared" si="30"/>
        <v>0.66063483862502204</v>
      </c>
      <c r="N38" s="600">
        <f>N21+N27+N29+N30+N31+N37</f>
        <v>432466</v>
      </c>
      <c r="O38" s="600">
        <f>O21+O27+O29+O30+O31+O37</f>
        <v>213275</v>
      </c>
      <c r="P38" s="634"/>
      <c r="Q38" s="48">
        <f t="shared" si="7"/>
        <v>731618.33936516137</v>
      </c>
      <c r="R38" s="48">
        <f t="shared" si="8"/>
        <v>50867</v>
      </c>
      <c r="S38" s="48">
        <f t="shared" si="9"/>
        <v>35011</v>
      </c>
      <c r="T38" s="649">
        <f>+R38/N38</f>
        <v>0.11762080718484227</v>
      </c>
    </row>
    <row r="39" spans="1:20">
      <c r="E39" s="45"/>
      <c r="F39" s="45"/>
      <c r="G39" s="45"/>
      <c r="H39" s="28"/>
      <c r="I39" s="28"/>
      <c r="J39" s="45"/>
      <c r="K39" s="45"/>
      <c r="L39" s="45"/>
      <c r="M39" s="28"/>
      <c r="N39" s="597"/>
      <c r="O39" s="597"/>
      <c r="P39" s="634"/>
      <c r="Q39" s="45">
        <f t="shared" si="7"/>
        <v>0</v>
      </c>
      <c r="R39" s="45">
        <f t="shared" si="8"/>
        <v>0</v>
      </c>
      <c r="S39" s="45">
        <f t="shared" si="9"/>
        <v>0</v>
      </c>
      <c r="T39" s="649"/>
    </row>
    <row r="40" spans="1:20">
      <c r="A40" s="34">
        <v>24</v>
      </c>
      <c r="B40" s="37" t="s">
        <v>93</v>
      </c>
      <c r="E40" s="45">
        <f>E13-E38</f>
        <v>140288</v>
      </c>
      <c r="F40" s="45">
        <f>F13-F38</f>
        <v>88367</v>
      </c>
      <c r="G40" s="45">
        <f>G13-G38</f>
        <v>51921</v>
      </c>
      <c r="H40" s="28">
        <f t="shared" si="4"/>
        <v>0.62989706888686137</v>
      </c>
      <c r="I40" s="28"/>
      <c r="J40" s="45">
        <f>J13-J38</f>
        <v>140288</v>
      </c>
      <c r="K40" s="45">
        <f>K13-K38</f>
        <v>88367</v>
      </c>
      <c r="L40" s="45">
        <f>L13-L38</f>
        <v>51921</v>
      </c>
      <c r="M40" s="28">
        <f t="shared" ref="M40" si="31">+K40/J40</f>
        <v>0.62989706888686137</v>
      </c>
      <c r="N40" s="597">
        <f>N13-N38</f>
        <v>88496</v>
      </c>
      <c r="O40" s="597">
        <f>O13-O38</f>
        <v>60255</v>
      </c>
      <c r="P40" s="634"/>
      <c r="Q40" s="45">
        <f t="shared" si="7"/>
        <v>140287.37010293111</v>
      </c>
      <c r="R40" s="45">
        <f t="shared" si="8"/>
        <v>-129</v>
      </c>
      <c r="S40" s="45">
        <f t="shared" si="9"/>
        <v>-8334</v>
      </c>
      <c r="T40" s="649">
        <f>+R40/N40</f>
        <v>-1.4576930030735851E-3</v>
      </c>
    </row>
    <row r="41" spans="1:20">
      <c r="B41" s="37"/>
      <c r="E41" s="45"/>
      <c r="F41" s="45"/>
      <c r="G41" s="45"/>
      <c r="H41" s="28"/>
      <c r="I41" s="28"/>
      <c r="J41" s="45"/>
      <c r="K41" s="45"/>
      <c r="L41" s="45"/>
      <c r="M41" s="28"/>
      <c r="N41" s="597"/>
      <c r="O41" s="597"/>
      <c r="P41" s="634"/>
      <c r="Q41" s="45">
        <f t="shared" ref="Q41:Q73" si="32">+E41-M41</f>
        <v>0</v>
      </c>
      <c r="R41" s="45">
        <f t="shared" ref="R41:R72" si="33">+F41-N41</f>
        <v>0</v>
      </c>
      <c r="S41" s="45">
        <f t="shared" ref="S41:S72" si="34">+G41-O41</f>
        <v>0</v>
      </c>
      <c r="T41" s="649"/>
    </row>
    <row r="42" spans="1:20">
      <c r="B42" s="37" t="s">
        <v>94</v>
      </c>
      <c r="E42" s="45"/>
      <c r="F42" s="45"/>
      <c r="G42" s="45"/>
      <c r="H42" s="28"/>
      <c r="I42" s="28"/>
      <c r="J42" s="45"/>
      <c r="K42" s="45"/>
      <c r="L42" s="45"/>
      <c r="M42" s="28"/>
      <c r="N42" s="597"/>
      <c r="O42" s="597"/>
      <c r="P42" s="634"/>
      <c r="Q42" s="45">
        <f t="shared" si="32"/>
        <v>0</v>
      </c>
      <c r="R42" s="45">
        <f t="shared" si="33"/>
        <v>0</v>
      </c>
      <c r="S42" s="45">
        <f t="shared" si="34"/>
        <v>0</v>
      </c>
      <c r="T42" s="649"/>
    </row>
    <row r="43" spans="1:20">
      <c r="A43" s="34">
        <v>25</v>
      </c>
      <c r="B43" s="37" t="s">
        <v>95</v>
      </c>
      <c r="D43" s="49">
        <v>0.35</v>
      </c>
      <c r="E43" s="42">
        <f>F43+G43</f>
        <v>18789</v>
      </c>
      <c r="F43" s="42">
        <f t="shared" ref="F43:G45" si="35">F107</f>
        <v>16759</v>
      </c>
      <c r="G43" s="42">
        <f t="shared" si="35"/>
        <v>2030</v>
      </c>
      <c r="H43" s="28">
        <f t="shared" si="4"/>
        <v>0.89195806056735327</v>
      </c>
      <c r="I43" s="28"/>
      <c r="J43" s="42">
        <f>K43+L43</f>
        <v>18789</v>
      </c>
      <c r="K43" s="42">
        <f t="shared" ref="K43:L43" si="36">K107</f>
        <v>16759</v>
      </c>
      <c r="L43" s="42">
        <f t="shared" si="36"/>
        <v>2030</v>
      </c>
      <c r="M43" s="28">
        <f t="shared" ref="M43:M44" si="37">+K43/J43</f>
        <v>0.89195806056735327</v>
      </c>
      <c r="N43" s="595">
        <f t="shared" ref="N43:O45" si="38">N107</f>
        <v>24008</v>
      </c>
      <c r="O43" s="595">
        <f t="shared" si="38"/>
        <v>10176</v>
      </c>
      <c r="P43" s="632"/>
      <c r="Q43" s="42">
        <f t="shared" si="32"/>
        <v>18788.108041939431</v>
      </c>
      <c r="R43" s="42">
        <f t="shared" si="33"/>
        <v>-7249</v>
      </c>
      <c r="S43" s="42">
        <f t="shared" si="34"/>
        <v>-8146</v>
      </c>
      <c r="T43" s="649">
        <f>+R43/N43</f>
        <v>-0.30194101966011327</v>
      </c>
    </row>
    <row r="44" spans="1:20">
      <c r="A44" s="620">
        <v>26</v>
      </c>
      <c r="B44" s="621" t="s">
        <v>96</v>
      </c>
      <c r="C44" s="592"/>
      <c r="D44" s="592"/>
      <c r="E44" s="595">
        <f>F44+G44</f>
        <v>10648</v>
      </c>
      <c r="F44" s="595">
        <f t="shared" si="35"/>
        <v>3070</v>
      </c>
      <c r="G44" s="595">
        <f t="shared" si="35"/>
        <v>7578</v>
      </c>
      <c r="H44" s="622">
        <f t="shared" si="4"/>
        <v>0.28831705484598047</v>
      </c>
      <c r="I44" s="622"/>
      <c r="J44" s="595">
        <f>K44+L44</f>
        <v>10648</v>
      </c>
      <c r="K44" s="595">
        <f t="shared" ref="K44:L44" si="39">K108</f>
        <v>3070</v>
      </c>
      <c r="L44" s="595">
        <f t="shared" si="39"/>
        <v>7578</v>
      </c>
      <c r="M44" s="622">
        <f t="shared" si="37"/>
        <v>0.28831705484598047</v>
      </c>
      <c r="N44" s="595">
        <f t="shared" si="38"/>
        <v>-7227</v>
      </c>
      <c r="O44" s="595">
        <f t="shared" si="38"/>
        <v>3433</v>
      </c>
      <c r="P44" s="632"/>
      <c r="Q44" s="595">
        <f t="shared" si="32"/>
        <v>10647.711682945153</v>
      </c>
      <c r="R44" s="595">
        <f t="shared" si="33"/>
        <v>10297</v>
      </c>
      <c r="S44" s="595">
        <f t="shared" si="34"/>
        <v>4145</v>
      </c>
      <c r="T44" s="650">
        <f>+R44/N44</f>
        <v>-1.424795904247959</v>
      </c>
    </row>
    <row r="45" spans="1:20">
      <c r="B45" s="37" t="s">
        <v>97</v>
      </c>
      <c r="E45" s="42">
        <f>F45+G45</f>
        <v>0</v>
      </c>
      <c r="F45" s="42">
        <f t="shared" si="35"/>
        <v>0</v>
      </c>
      <c r="G45" s="42">
        <f t="shared" si="35"/>
        <v>0</v>
      </c>
      <c r="H45" s="28"/>
      <c r="I45" s="28"/>
      <c r="J45" s="42">
        <f>K45+L45</f>
        <v>0</v>
      </c>
      <c r="K45" s="42">
        <f t="shared" ref="K45:L45" si="40">K109</f>
        <v>0</v>
      </c>
      <c r="L45" s="42">
        <f t="shared" si="40"/>
        <v>0</v>
      </c>
      <c r="M45" s="28"/>
      <c r="N45" s="595">
        <f t="shared" si="38"/>
        <v>0</v>
      </c>
      <c r="O45" s="595">
        <f t="shared" si="38"/>
        <v>0</v>
      </c>
      <c r="P45" s="632"/>
      <c r="Q45" s="42">
        <f t="shared" si="32"/>
        <v>0</v>
      </c>
      <c r="R45" s="42">
        <f t="shared" si="33"/>
        <v>0</v>
      </c>
      <c r="S45" s="42">
        <f t="shared" si="34"/>
        <v>0</v>
      </c>
      <c r="T45" s="649"/>
    </row>
    <row r="46" spans="1:20">
      <c r="B46" s="120" t="s">
        <v>60</v>
      </c>
      <c r="E46" s="46"/>
      <c r="F46" s="46"/>
      <c r="G46" s="46"/>
      <c r="H46" s="28"/>
      <c r="I46" s="28"/>
      <c r="J46" s="46"/>
      <c r="K46" s="46"/>
      <c r="L46" s="46"/>
      <c r="M46" s="28"/>
      <c r="N46" s="613"/>
      <c r="O46" s="613"/>
      <c r="P46" s="632"/>
      <c r="Q46" s="46">
        <f t="shared" si="32"/>
        <v>0</v>
      </c>
      <c r="R46" s="46">
        <f t="shared" si="33"/>
        <v>0</v>
      </c>
      <c r="S46" s="46">
        <f t="shared" si="34"/>
        <v>0</v>
      </c>
      <c r="T46" s="649"/>
    </row>
    <row r="47" spans="1:20" s="40" customFormat="1" ht="12.75" thickBot="1">
      <c r="A47" s="38">
        <v>27</v>
      </c>
      <c r="B47" s="39" t="s">
        <v>61</v>
      </c>
      <c r="E47" s="50">
        <f>E40-(E42+E43+E44+E45+E46)</f>
        <v>110851</v>
      </c>
      <c r="F47" s="50">
        <f>F40-(F42+F43+F44+F45+F46)</f>
        <v>68538</v>
      </c>
      <c r="G47" s="50">
        <f>G40-(G42+G43+G44+G45+G46)</f>
        <v>42313</v>
      </c>
      <c r="H47" s="111">
        <f t="shared" si="4"/>
        <v>0.61828941552173633</v>
      </c>
      <c r="I47" s="615"/>
      <c r="J47" s="50">
        <f>J40-(J42+J43+J44+J45+J46)</f>
        <v>110851</v>
      </c>
      <c r="K47" s="50">
        <f>K40-(K42+K43+K44+K45+K46)</f>
        <v>68538</v>
      </c>
      <c r="L47" s="50">
        <f>L40-(L42+L43+L44+L45+L46)</f>
        <v>42313</v>
      </c>
      <c r="M47" s="111">
        <f t="shared" ref="M47" si="41">+K47/J47</f>
        <v>0.61828941552173633</v>
      </c>
      <c r="N47" s="614">
        <f>N40-(N42+N43+N44+N45+N46)</f>
        <v>71715</v>
      </c>
      <c r="O47" s="614">
        <f>O40-(O42+O43+O44+O45+O46)</f>
        <v>46646</v>
      </c>
      <c r="P47" s="635"/>
      <c r="Q47" s="50">
        <f t="shared" si="32"/>
        <v>110850.38171058448</v>
      </c>
      <c r="R47" s="50">
        <f t="shared" si="33"/>
        <v>-3177</v>
      </c>
      <c r="S47" s="50">
        <f t="shared" si="34"/>
        <v>-4333</v>
      </c>
      <c r="T47" s="649">
        <f>+R47/N47</f>
        <v>-4.4300355574147667E-2</v>
      </c>
    </row>
    <row r="48" spans="1:20" ht="12.75" thickTop="1">
      <c r="H48" s="28"/>
      <c r="I48" s="28"/>
      <c r="M48" s="28"/>
      <c r="N48" s="592"/>
      <c r="O48" s="592"/>
      <c r="Q48" s="31">
        <f t="shared" si="32"/>
        <v>0</v>
      </c>
      <c r="R48" s="31">
        <f t="shared" si="33"/>
        <v>0</v>
      </c>
      <c r="S48" s="31">
        <f t="shared" si="34"/>
        <v>0</v>
      </c>
      <c r="T48" s="649"/>
    </row>
    <row r="49" spans="1:20">
      <c r="B49" s="37" t="s">
        <v>62</v>
      </c>
      <c r="H49" s="28"/>
      <c r="I49" s="28"/>
      <c r="M49" s="28"/>
      <c r="N49" s="592"/>
      <c r="O49" s="592"/>
      <c r="Q49" s="31">
        <f t="shared" si="32"/>
        <v>0</v>
      </c>
      <c r="R49" s="31">
        <f t="shared" si="33"/>
        <v>0</v>
      </c>
      <c r="S49" s="31">
        <f t="shared" si="34"/>
        <v>0</v>
      </c>
      <c r="T49" s="649"/>
    </row>
    <row r="50" spans="1:20">
      <c r="B50" s="37" t="s">
        <v>63</v>
      </c>
      <c r="H50" s="28"/>
      <c r="I50" s="28"/>
      <c r="M50" s="28"/>
      <c r="N50" s="592"/>
      <c r="O50" s="592"/>
      <c r="Q50" s="31">
        <f t="shared" si="32"/>
        <v>0</v>
      </c>
      <c r="R50" s="31">
        <f t="shared" si="33"/>
        <v>0</v>
      </c>
      <c r="S50" s="31">
        <f t="shared" si="34"/>
        <v>0</v>
      </c>
      <c r="T50" s="649"/>
    </row>
    <row r="51" spans="1:20" s="40" customFormat="1">
      <c r="A51" s="38">
        <v>28</v>
      </c>
      <c r="B51" s="39" t="s">
        <v>98</v>
      </c>
      <c r="E51" s="41">
        <f>F51+G51</f>
        <v>34522</v>
      </c>
      <c r="F51" s="41">
        <f>F116</f>
        <v>22439</v>
      </c>
      <c r="G51" s="41">
        <f>G116</f>
        <v>12083</v>
      </c>
      <c r="H51" s="28">
        <f t="shared" si="4"/>
        <v>0.64999130988934595</v>
      </c>
      <c r="I51" s="28"/>
      <c r="J51" s="41">
        <f>K51+L51</f>
        <v>34522</v>
      </c>
      <c r="K51" s="41">
        <f>K116</f>
        <v>22439</v>
      </c>
      <c r="L51" s="41">
        <f>L116</f>
        <v>12083</v>
      </c>
      <c r="M51" s="28">
        <f t="shared" ref="M51:M59" si="42">+K51/J51</f>
        <v>0.64999130988934595</v>
      </c>
      <c r="N51" s="594">
        <f>N116</f>
        <v>23458</v>
      </c>
      <c r="O51" s="594">
        <f>O116</f>
        <v>11989</v>
      </c>
      <c r="P51" s="631"/>
      <c r="Q51" s="41">
        <f t="shared" si="32"/>
        <v>34521.350008690111</v>
      </c>
      <c r="R51" s="41">
        <f t="shared" si="33"/>
        <v>-1019</v>
      </c>
      <c r="S51" s="41">
        <f t="shared" si="34"/>
        <v>94</v>
      </c>
      <c r="T51" s="649">
        <f t="shared" ref="T51:T59" si="43">+R51/N51</f>
        <v>-4.3439338392019779E-2</v>
      </c>
    </row>
    <row r="52" spans="1:20">
      <c r="A52" s="34">
        <v>29</v>
      </c>
      <c r="B52" s="37" t="s">
        <v>99</v>
      </c>
      <c r="E52" s="42">
        <f>F52+G52</f>
        <v>1015757</v>
      </c>
      <c r="F52" s="42">
        <f t="shared" ref="F52:G55" si="44">F121</f>
        <v>656077</v>
      </c>
      <c r="G52" s="42">
        <f t="shared" si="44"/>
        <v>359680</v>
      </c>
      <c r="H52" s="28">
        <f t="shared" si="4"/>
        <v>0.64589956062325926</v>
      </c>
      <c r="I52" s="28"/>
      <c r="J52" s="42">
        <f>K52+L52</f>
        <v>1015757</v>
      </c>
      <c r="K52" s="42">
        <f t="shared" ref="K52:L52" si="45">K121</f>
        <v>656077</v>
      </c>
      <c r="L52" s="42">
        <f t="shared" si="45"/>
        <v>359680</v>
      </c>
      <c r="M52" s="28">
        <f t="shared" si="42"/>
        <v>0.64589956062325926</v>
      </c>
      <c r="N52" s="595">
        <f t="shared" ref="N52:O55" si="46">N121</f>
        <v>649965</v>
      </c>
      <c r="O52" s="595">
        <f t="shared" si="46"/>
        <v>337374</v>
      </c>
      <c r="P52" s="632"/>
      <c r="Q52" s="42">
        <f t="shared" si="32"/>
        <v>1015756.3541004393</v>
      </c>
      <c r="R52" s="42">
        <f t="shared" si="33"/>
        <v>6112</v>
      </c>
      <c r="S52" s="42">
        <f t="shared" si="34"/>
        <v>22306</v>
      </c>
      <c r="T52" s="649">
        <f t="shared" si="43"/>
        <v>9.4035832698683777E-3</v>
      </c>
    </row>
    <row r="53" spans="1:20">
      <c r="A53" s="34">
        <v>30</v>
      </c>
      <c r="B53" s="661" t="s">
        <v>100</v>
      </c>
      <c r="D53" s="662"/>
      <c r="E53" s="646">
        <f>F53+G53</f>
        <v>442422</v>
      </c>
      <c r="F53" s="646">
        <f t="shared" si="44"/>
        <v>285760</v>
      </c>
      <c r="G53" s="42">
        <f t="shared" si="44"/>
        <v>156662</v>
      </c>
      <c r="H53" s="28">
        <f t="shared" si="4"/>
        <v>0.64589916414644843</v>
      </c>
      <c r="I53" s="28"/>
      <c r="J53" s="646">
        <f>K53+L53</f>
        <v>442422</v>
      </c>
      <c r="K53" s="646">
        <f t="shared" ref="K53:L53" si="47">K122</f>
        <v>285760</v>
      </c>
      <c r="L53" s="42">
        <f t="shared" si="47"/>
        <v>156662</v>
      </c>
      <c r="M53" s="28">
        <f t="shared" si="42"/>
        <v>0.64589916414644843</v>
      </c>
      <c r="N53" s="595">
        <f t="shared" si="46"/>
        <v>244435</v>
      </c>
      <c r="O53" s="595">
        <f t="shared" si="46"/>
        <v>126878</v>
      </c>
      <c r="P53" s="632"/>
      <c r="Q53" s="42">
        <f t="shared" si="32"/>
        <v>442421.35410083586</v>
      </c>
      <c r="R53" s="42">
        <f t="shared" si="33"/>
        <v>41325</v>
      </c>
      <c r="S53" s="42">
        <f t="shared" si="34"/>
        <v>29784</v>
      </c>
      <c r="T53" s="649">
        <f t="shared" si="43"/>
        <v>0.16906335017489313</v>
      </c>
    </row>
    <row r="54" spans="1:20">
      <c r="A54" s="34">
        <v>31</v>
      </c>
      <c r="B54" s="37" t="s">
        <v>101</v>
      </c>
      <c r="E54" s="42">
        <f>F54+G54</f>
        <v>893140</v>
      </c>
      <c r="F54" s="42">
        <f t="shared" si="44"/>
        <v>552007</v>
      </c>
      <c r="G54" s="42">
        <f t="shared" si="44"/>
        <v>341133</v>
      </c>
      <c r="H54" s="28">
        <f t="shared" si="4"/>
        <v>0.61805204111337531</v>
      </c>
      <c r="I54" s="28"/>
      <c r="J54" s="42">
        <f>K54+L54</f>
        <v>893140</v>
      </c>
      <c r="K54" s="42">
        <f t="shared" ref="K54:L54" si="48">K123</f>
        <v>552007</v>
      </c>
      <c r="L54" s="42">
        <f t="shared" si="48"/>
        <v>341133</v>
      </c>
      <c r="M54" s="28">
        <f t="shared" si="42"/>
        <v>0.61805204111337531</v>
      </c>
      <c r="N54" s="595">
        <f t="shared" si="46"/>
        <v>502838</v>
      </c>
      <c r="O54" s="595">
        <f t="shared" si="46"/>
        <v>306348</v>
      </c>
      <c r="P54" s="632"/>
      <c r="Q54" s="42">
        <f t="shared" si="32"/>
        <v>893139.38194795884</v>
      </c>
      <c r="R54" s="42">
        <f t="shared" si="33"/>
        <v>49169</v>
      </c>
      <c r="S54" s="42">
        <f t="shared" si="34"/>
        <v>34785</v>
      </c>
      <c r="T54" s="649">
        <f t="shared" si="43"/>
        <v>9.778298378404178E-2</v>
      </c>
    </row>
    <row r="55" spans="1:20">
      <c r="A55" s="34">
        <v>32</v>
      </c>
      <c r="B55" s="37" t="s">
        <v>102</v>
      </c>
      <c r="E55" s="46">
        <f>F55+G55</f>
        <v>137854</v>
      </c>
      <c r="F55" s="46">
        <f t="shared" si="44"/>
        <v>88036</v>
      </c>
      <c r="G55" s="46">
        <f t="shared" si="44"/>
        <v>49818</v>
      </c>
      <c r="H55" s="151">
        <f t="shared" si="4"/>
        <v>0.63861766796755992</v>
      </c>
      <c r="I55" s="151"/>
      <c r="J55" s="46">
        <f>K55+L55</f>
        <v>137854</v>
      </c>
      <c r="K55" s="46">
        <f t="shared" ref="K55:L55" si="49">K124</f>
        <v>88036</v>
      </c>
      <c r="L55" s="46">
        <f t="shared" si="49"/>
        <v>49818</v>
      </c>
      <c r="M55" s="151">
        <f t="shared" si="42"/>
        <v>0.63861766796755992</v>
      </c>
      <c r="N55" s="598">
        <f t="shared" si="46"/>
        <v>80110</v>
      </c>
      <c r="O55" s="598">
        <f t="shared" si="46"/>
        <v>44649</v>
      </c>
      <c r="P55" s="633"/>
      <c r="Q55" s="46">
        <f t="shared" si="32"/>
        <v>137853.36138233202</v>
      </c>
      <c r="R55" s="46">
        <f t="shared" si="33"/>
        <v>7926</v>
      </c>
      <c r="S55" s="46">
        <f t="shared" si="34"/>
        <v>5169</v>
      </c>
      <c r="T55" s="649">
        <f t="shared" si="43"/>
        <v>9.8938958931469229E-2</v>
      </c>
    </row>
    <row r="56" spans="1:20">
      <c r="A56" s="34">
        <v>33</v>
      </c>
      <c r="B56" s="37" t="s">
        <v>103</v>
      </c>
      <c r="E56" s="45">
        <f>E51+E52+E53+E54+E55</f>
        <v>2523695</v>
      </c>
      <c r="F56" s="45">
        <f>F51+F52+F53+F54+F55</f>
        <v>1604319</v>
      </c>
      <c r="G56" s="45">
        <f>G51+G52+G53+G54+G55</f>
        <v>919376</v>
      </c>
      <c r="H56" s="28">
        <f t="shared" si="4"/>
        <v>0.63570241253400273</v>
      </c>
      <c r="I56" s="28"/>
      <c r="J56" s="45">
        <f>J51+J52+J53+J54+J55</f>
        <v>2523695</v>
      </c>
      <c r="K56" s="45">
        <f>K51+K52+K53+K54+K55</f>
        <v>1604319</v>
      </c>
      <c r="L56" s="45">
        <f>L51+L52+L53+L54+L55</f>
        <v>919376</v>
      </c>
      <c r="M56" s="28">
        <f t="shared" si="42"/>
        <v>0.63570241253400273</v>
      </c>
      <c r="N56" s="597">
        <f>N51+N52+N53+N54+N55</f>
        <v>1500806</v>
      </c>
      <c r="O56" s="597">
        <f>O51+O52+O53+O54+O55</f>
        <v>827238</v>
      </c>
      <c r="P56" s="634"/>
      <c r="Q56" s="45">
        <f t="shared" si="32"/>
        <v>2523694.3642975874</v>
      </c>
      <c r="R56" s="45">
        <f t="shared" si="33"/>
        <v>103513</v>
      </c>
      <c r="S56" s="45">
        <f t="shared" si="34"/>
        <v>92138</v>
      </c>
      <c r="T56" s="649">
        <f t="shared" si="43"/>
        <v>6.8971605923750304E-2</v>
      </c>
    </row>
    <row r="57" spans="1:20">
      <c r="A57" s="34">
        <v>34</v>
      </c>
      <c r="B57" s="37" t="s">
        <v>65</v>
      </c>
      <c r="E57" s="42">
        <f>F57+G57</f>
        <v>854139</v>
      </c>
      <c r="F57" s="42">
        <f>F127</f>
        <v>543584</v>
      </c>
      <c r="G57" s="42">
        <f>G127</f>
        <v>310555</v>
      </c>
      <c r="H57" s="28">
        <f t="shared" si="4"/>
        <v>0.63641163791841848</v>
      </c>
      <c r="I57" s="28"/>
      <c r="J57" s="42">
        <f>K57+L57</f>
        <v>854139</v>
      </c>
      <c r="K57" s="42">
        <f>K127</f>
        <v>543584</v>
      </c>
      <c r="L57" s="42">
        <f>L127</f>
        <v>310555</v>
      </c>
      <c r="M57" s="28">
        <f t="shared" si="42"/>
        <v>0.63641163791841848</v>
      </c>
      <c r="N57" s="595">
        <f>N127</f>
        <v>493639</v>
      </c>
      <c r="O57" s="595">
        <f>O127</f>
        <v>271665</v>
      </c>
      <c r="P57" s="632"/>
      <c r="Q57" s="42">
        <f t="shared" si="32"/>
        <v>854138.36358836212</v>
      </c>
      <c r="R57" s="42">
        <f t="shared" si="33"/>
        <v>49945</v>
      </c>
      <c r="S57" s="42">
        <f t="shared" si="34"/>
        <v>38890</v>
      </c>
      <c r="T57" s="649">
        <f t="shared" si="43"/>
        <v>0.10117717603349817</v>
      </c>
    </row>
    <row r="58" spans="1:20">
      <c r="A58" s="34">
        <v>35</v>
      </c>
      <c r="B58" s="37" t="s">
        <v>66</v>
      </c>
      <c r="E58" s="46">
        <f>F58+G58</f>
        <v>10571</v>
      </c>
      <c r="F58" s="46">
        <f>F128</f>
        <v>6907</v>
      </c>
      <c r="G58" s="46">
        <f>G128</f>
        <v>3664</v>
      </c>
      <c r="H58" s="151">
        <f t="shared" si="4"/>
        <v>0.65339135370352852</v>
      </c>
      <c r="I58" s="151"/>
      <c r="J58" s="46">
        <f>K58+L58</f>
        <v>10571</v>
      </c>
      <c r="K58" s="46">
        <f>K128</f>
        <v>6907</v>
      </c>
      <c r="L58" s="46">
        <f>L128</f>
        <v>3664</v>
      </c>
      <c r="M58" s="151">
        <f t="shared" si="42"/>
        <v>0.65339135370352852</v>
      </c>
      <c r="N58" s="598">
        <f>N128</f>
        <v>12960</v>
      </c>
      <c r="O58" s="598">
        <f>O128</f>
        <v>6568</v>
      </c>
      <c r="P58" s="633"/>
      <c r="Q58" s="46">
        <f t="shared" si="32"/>
        <v>10570.346608646296</v>
      </c>
      <c r="R58" s="46">
        <f t="shared" si="33"/>
        <v>-6053</v>
      </c>
      <c r="S58" s="46">
        <f t="shared" si="34"/>
        <v>-2904</v>
      </c>
      <c r="T58" s="649">
        <f t="shared" si="43"/>
        <v>-0.46705246913580245</v>
      </c>
    </row>
    <row r="59" spans="1:20">
      <c r="A59" s="34">
        <v>36</v>
      </c>
      <c r="B59" s="37" t="s">
        <v>104</v>
      </c>
      <c r="E59" s="45">
        <f>E57+E58</f>
        <v>864710</v>
      </c>
      <c r="F59" s="45">
        <f>F57+F58</f>
        <v>550491</v>
      </c>
      <c r="G59" s="45">
        <f>G57+G58</f>
        <v>314219</v>
      </c>
      <c r="H59" s="28">
        <f t="shared" si="4"/>
        <v>0.63661921337789551</v>
      </c>
      <c r="I59" s="28"/>
      <c r="J59" s="45">
        <f>J57+J58</f>
        <v>864710</v>
      </c>
      <c r="K59" s="45">
        <f>K57+K58</f>
        <v>550491</v>
      </c>
      <c r="L59" s="45">
        <f>L57+L58</f>
        <v>314219</v>
      </c>
      <c r="M59" s="28">
        <f t="shared" si="42"/>
        <v>0.63661921337789551</v>
      </c>
      <c r="N59" s="597">
        <f>N57+N58</f>
        <v>506599</v>
      </c>
      <c r="O59" s="597">
        <f>O57+O58</f>
        <v>278233</v>
      </c>
      <c r="P59" s="634"/>
      <c r="Q59" s="45">
        <f t="shared" si="32"/>
        <v>864709.36338078661</v>
      </c>
      <c r="R59" s="45">
        <f t="shared" si="33"/>
        <v>43892</v>
      </c>
      <c r="S59" s="45">
        <f t="shared" si="34"/>
        <v>35986</v>
      </c>
      <c r="T59" s="649">
        <f t="shared" si="43"/>
        <v>8.6640518437659769E-2</v>
      </c>
    </row>
    <row r="60" spans="1:20">
      <c r="A60" s="34">
        <v>37</v>
      </c>
      <c r="B60" s="37" t="s">
        <v>67</v>
      </c>
      <c r="E60" s="42"/>
      <c r="F60" s="42"/>
      <c r="G60" s="42"/>
      <c r="H60" s="28"/>
      <c r="I60" s="28"/>
      <c r="J60" s="42"/>
      <c r="K60" s="42"/>
      <c r="L60" s="42"/>
      <c r="M60" s="28"/>
      <c r="N60" s="595"/>
      <c r="O60" s="595"/>
      <c r="P60" s="632"/>
      <c r="Q60" s="42">
        <f t="shared" si="32"/>
        <v>0</v>
      </c>
      <c r="R60" s="42">
        <f t="shared" si="33"/>
        <v>0</v>
      </c>
      <c r="S60" s="42">
        <f t="shared" si="34"/>
        <v>0</v>
      </c>
      <c r="T60" s="649"/>
    </row>
    <row r="61" spans="1:20">
      <c r="A61" s="34">
        <v>38</v>
      </c>
      <c r="B61" s="37" t="s">
        <v>68</v>
      </c>
      <c r="E61" s="46"/>
      <c r="F61" s="46"/>
      <c r="G61" s="46"/>
      <c r="H61" s="28"/>
      <c r="I61" s="28"/>
      <c r="J61" s="46"/>
      <c r="K61" s="46"/>
      <c r="L61" s="46"/>
      <c r="M61" s="28"/>
      <c r="N61" s="598"/>
      <c r="O61" s="598"/>
      <c r="P61" s="632"/>
      <c r="Q61" s="46">
        <f t="shared" si="32"/>
        <v>0</v>
      </c>
      <c r="R61" s="46">
        <f t="shared" si="33"/>
        <v>0</v>
      </c>
      <c r="S61" s="46">
        <f t="shared" si="34"/>
        <v>0</v>
      </c>
      <c r="T61" s="649"/>
    </row>
    <row r="62" spans="1:20" ht="9" customHeight="1">
      <c r="H62" s="28"/>
      <c r="I62" s="28"/>
      <c r="M62" s="28"/>
      <c r="N62" s="592"/>
      <c r="O62" s="592"/>
      <c r="Q62" s="31">
        <f t="shared" si="32"/>
        <v>0</v>
      </c>
      <c r="R62" s="31">
        <f t="shared" si="33"/>
        <v>0</v>
      </c>
      <c r="S62" s="31">
        <f t="shared" si="34"/>
        <v>0</v>
      </c>
      <c r="T62" s="649"/>
    </row>
    <row r="63" spans="1:20" s="40" customFormat="1" ht="12.75" thickBot="1">
      <c r="A63" s="38">
        <v>39</v>
      </c>
      <c r="B63" s="39" t="s">
        <v>69</v>
      </c>
      <c r="E63" s="50">
        <f>F63+G63</f>
        <v>1658985</v>
      </c>
      <c r="F63" s="50">
        <f>F56-F59+F60+F61</f>
        <v>1053828</v>
      </c>
      <c r="G63" s="50">
        <f>G56-G59+G60+G61</f>
        <v>605157</v>
      </c>
      <c r="H63" s="615">
        <f t="shared" si="4"/>
        <v>0.63522454995072286</v>
      </c>
      <c r="I63" s="615"/>
      <c r="J63" s="50">
        <f>K63+L63</f>
        <v>1658985</v>
      </c>
      <c r="K63" s="50">
        <f>K56-K59+K60+K61</f>
        <v>1053828</v>
      </c>
      <c r="L63" s="50">
        <f>L56-L59+L60+L61</f>
        <v>605157</v>
      </c>
      <c r="M63" s="615">
        <f t="shared" ref="M63:M64" si="50">+K63/J63</f>
        <v>0.63522454995072286</v>
      </c>
      <c r="N63" s="601">
        <f>N56-N59+N60+N61</f>
        <v>994207</v>
      </c>
      <c r="O63" s="601">
        <f>O56-O59+O60+O61</f>
        <v>549005</v>
      </c>
      <c r="P63" s="636"/>
      <c r="Q63" s="50">
        <f t="shared" si="32"/>
        <v>1658984.36477545</v>
      </c>
      <c r="R63" s="50">
        <f t="shared" si="33"/>
        <v>59621</v>
      </c>
      <c r="S63" s="50">
        <f t="shared" si="34"/>
        <v>56152</v>
      </c>
      <c r="T63" s="649">
        <f>+R63/N63</f>
        <v>5.9968396923377125E-2</v>
      </c>
    </row>
    <row r="64" spans="1:20" s="94" customFormat="1" ht="14.25" customHeight="1" thickTop="1">
      <c r="E64" s="27">
        <f>E47/E63</f>
        <v>6.6818566774262581E-2</v>
      </c>
      <c r="F64" s="27">
        <f>F47/F63</f>
        <v>6.5037178742641116E-2</v>
      </c>
      <c r="G64" s="27">
        <f>G47/G63</f>
        <v>6.9920698265078324E-2</v>
      </c>
      <c r="H64" s="28">
        <f t="shared" si="4"/>
        <v>0.97333992455061713</v>
      </c>
      <c r="I64" s="28"/>
      <c r="J64" s="27">
        <f>J47/J63</f>
        <v>6.6818566774262581E-2</v>
      </c>
      <c r="K64" s="27">
        <f>K47/K63</f>
        <v>6.5037178742641116E-2</v>
      </c>
      <c r="L64" s="27">
        <f>L47/L63</f>
        <v>6.9920698265078324E-2</v>
      </c>
      <c r="M64" s="28">
        <f t="shared" si="50"/>
        <v>0.97333992455061713</v>
      </c>
      <c r="N64" s="602">
        <f>N47/N63</f>
        <v>7.2132865690947665E-2</v>
      </c>
      <c r="O64" s="602">
        <f>O47/O63</f>
        <v>8.4964617808580972E-2</v>
      </c>
      <c r="P64" s="637"/>
      <c r="Q64" s="27">
        <f t="shared" si="32"/>
        <v>-0.90652135777635456</v>
      </c>
      <c r="R64" s="27">
        <f t="shared" si="33"/>
        <v>-7.0956869483065482E-3</v>
      </c>
      <c r="S64" s="27">
        <f t="shared" si="34"/>
        <v>-1.5043919543502648E-2</v>
      </c>
    </row>
    <row r="65" spans="2:21">
      <c r="B65" s="616" t="s">
        <v>105</v>
      </c>
      <c r="C65" s="617"/>
      <c r="D65" s="617"/>
      <c r="E65" s="617"/>
      <c r="F65" s="617"/>
      <c r="G65" s="618"/>
      <c r="H65" s="619"/>
      <c r="I65" s="619"/>
      <c r="J65" s="617"/>
      <c r="K65" s="617"/>
      <c r="L65" s="618"/>
      <c r="M65" s="619"/>
      <c r="N65" s="617"/>
      <c r="O65" s="617"/>
      <c r="P65" s="638"/>
      <c r="Q65" s="618">
        <f t="shared" si="32"/>
        <v>0</v>
      </c>
      <c r="R65" s="618">
        <f t="shared" si="33"/>
        <v>0</v>
      </c>
      <c r="S65" s="618">
        <f t="shared" si="34"/>
        <v>0</v>
      </c>
    </row>
    <row r="66" spans="2:21">
      <c r="B66" s="31" t="s">
        <v>61</v>
      </c>
      <c r="E66" s="691">
        <v>110851</v>
      </c>
      <c r="F66" s="690">
        <v>68538</v>
      </c>
      <c r="G66" s="692">
        <v>42313</v>
      </c>
      <c r="H66" s="28">
        <f t="shared" si="4"/>
        <v>0.61828941552173633</v>
      </c>
      <c r="I66" s="28"/>
      <c r="J66" s="691">
        <v>110851</v>
      </c>
      <c r="K66" s="690">
        <v>68538</v>
      </c>
      <c r="L66" s="692">
        <v>42313</v>
      </c>
      <c r="M66" s="28">
        <f t="shared" ref="M66:M67" si="51">+K66/J66</f>
        <v>0.61828941552173633</v>
      </c>
      <c r="N66" s="592">
        <v>71715</v>
      </c>
      <c r="O66" s="592">
        <v>46646</v>
      </c>
      <c r="Q66" s="109">
        <f t="shared" si="32"/>
        <v>110850.38171058448</v>
      </c>
      <c r="R66" s="109">
        <f t="shared" si="33"/>
        <v>-3177</v>
      </c>
      <c r="S66" s="109">
        <f t="shared" si="34"/>
        <v>-4333</v>
      </c>
    </row>
    <row r="67" spans="2:21">
      <c r="B67" s="31" t="s">
        <v>106</v>
      </c>
      <c r="E67" s="690">
        <v>1658985</v>
      </c>
      <c r="F67" s="690">
        <v>1053828</v>
      </c>
      <c r="G67" s="690">
        <v>605157</v>
      </c>
      <c r="H67" s="28">
        <f t="shared" si="4"/>
        <v>0.63522454995072286</v>
      </c>
      <c r="I67" s="28"/>
      <c r="J67" s="690">
        <v>1658985</v>
      </c>
      <c r="K67" s="690">
        <v>1053828</v>
      </c>
      <c r="L67" s="690">
        <v>605157</v>
      </c>
      <c r="M67" s="28">
        <f t="shared" si="51"/>
        <v>0.63522454995072286</v>
      </c>
      <c r="N67" s="592">
        <v>994207</v>
      </c>
      <c r="O67" s="592">
        <v>549005</v>
      </c>
      <c r="Q67" s="31">
        <f t="shared" si="32"/>
        <v>1658984.36477545</v>
      </c>
      <c r="R67" s="31">
        <f t="shared" si="33"/>
        <v>59621</v>
      </c>
      <c r="S67" s="31">
        <f t="shared" si="34"/>
        <v>56152</v>
      </c>
    </row>
    <row r="68" spans="2:21">
      <c r="H68" s="28"/>
      <c r="I68" s="28"/>
      <c r="M68" s="28"/>
      <c r="N68" s="592"/>
      <c r="O68" s="592"/>
      <c r="Q68" s="31">
        <f t="shared" si="32"/>
        <v>0</v>
      </c>
      <c r="R68" s="31">
        <f t="shared" si="33"/>
        <v>0</v>
      </c>
      <c r="S68" s="31">
        <f t="shared" si="34"/>
        <v>0</v>
      </c>
    </row>
    <row r="69" spans="2:21">
      <c r="B69" s="52" t="s">
        <v>107</v>
      </c>
      <c r="H69" s="28"/>
      <c r="I69" s="28"/>
      <c r="M69" s="28"/>
      <c r="N69" s="592"/>
      <c r="O69" s="592"/>
      <c r="Q69" s="31">
        <f t="shared" si="32"/>
        <v>0</v>
      </c>
      <c r="R69" s="31">
        <f t="shared" si="33"/>
        <v>0</v>
      </c>
      <c r="S69" s="31">
        <f t="shared" si="34"/>
        <v>0</v>
      </c>
    </row>
    <row r="70" spans="2:21">
      <c r="B70" s="53" t="s">
        <v>46</v>
      </c>
      <c r="C70" s="53"/>
      <c r="D70" s="53"/>
      <c r="E70" s="54"/>
      <c r="H70" s="28"/>
      <c r="I70" s="28"/>
      <c r="J70" s="54"/>
      <c r="M70" s="28"/>
      <c r="N70" s="592"/>
      <c r="O70" s="592"/>
      <c r="Q70" s="31">
        <f t="shared" si="32"/>
        <v>0</v>
      </c>
      <c r="R70" s="31">
        <f t="shared" si="33"/>
        <v>0</v>
      </c>
      <c r="S70" s="31">
        <f t="shared" si="34"/>
        <v>0</v>
      </c>
    </row>
    <row r="71" spans="2:21">
      <c r="B71" s="53" t="s">
        <v>108</v>
      </c>
      <c r="C71" s="53"/>
      <c r="D71" s="53"/>
      <c r="E71" s="679">
        <v>618817</v>
      </c>
      <c r="F71" s="679">
        <v>407849</v>
      </c>
      <c r="G71" s="679">
        <v>210968</v>
      </c>
      <c r="H71" s="28">
        <f t="shared" si="4"/>
        <v>0.65907853210238243</v>
      </c>
      <c r="I71" s="28"/>
      <c r="J71" s="679">
        <v>618817</v>
      </c>
      <c r="K71" s="679">
        <v>407849</v>
      </c>
      <c r="L71" s="679">
        <v>210968</v>
      </c>
      <c r="M71" s="28">
        <f t="shared" ref="M71:M75" si="52">+K71/J71</f>
        <v>0.65907853210238243</v>
      </c>
      <c r="N71" s="603">
        <f>363128-N72</f>
        <v>362395</v>
      </c>
      <c r="O71" s="603">
        <f>191858-O72</f>
        <v>191742</v>
      </c>
      <c r="P71" s="639"/>
      <c r="Q71" s="51">
        <f t="shared" si="32"/>
        <v>618816.34092146787</v>
      </c>
      <c r="R71" s="51">
        <f t="shared" si="33"/>
        <v>45454</v>
      </c>
      <c r="S71" s="51">
        <f t="shared" si="34"/>
        <v>19226</v>
      </c>
    </row>
    <row r="72" spans="2:21">
      <c r="B72" s="53" t="s">
        <v>109</v>
      </c>
      <c r="C72" s="53"/>
      <c r="D72" s="53"/>
      <c r="E72" s="679">
        <v>945</v>
      </c>
      <c r="F72" s="679">
        <v>800</v>
      </c>
      <c r="G72" s="679">
        <v>145</v>
      </c>
      <c r="H72" s="28">
        <f t="shared" si="4"/>
        <v>0.84656084656084651</v>
      </c>
      <c r="I72" s="28"/>
      <c r="J72" s="679">
        <v>945</v>
      </c>
      <c r="K72" s="679">
        <v>800</v>
      </c>
      <c r="L72" s="679">
        <v>145</v>
      </c>
      <c r="M72" s="28">
        <f t="shared" si="52"/>
        <v>0.84656084656084651</v>
      </c>
      <c r="N72" s="603">
        <v>733</v>
      </c>
      <c r="O72" s="603">
        <v>116</v>
      </c>
      <c r="P72" s="639"/>
      <c r="Q72" s="51">
        <f t="shared" si="32"/>
        <v>944.15343915343919</v>
      </c>
      <c r="R72" s="51">
        <f t="shared" si="33"/>
        <v>67</v>
      </c>
      <c r="S72" s="51">
        <f t="shared" si="34"/>
        <v>29</v>
      </c>
    </row>
    <row r="73" spans="2:21">
      <c r="B73" s="53" t="s">
        <v>49</v>
      </c>
      <c r="C73" s="53"/>
      <c r="D73" s="53"/>
      <c r="E73" s="679">
        <v>195819</v>
      </c>
      <c r="F73" s="679">
        <v>126479</v>
      </c>
      <c r="G73" s="679">
        <v>69340</v>
      </c>
      <c r="H73" s="28">
        <f t="shared" ref="H73:H130" si="53">+F73/E73</f>
        <v>0.64589748696500338</v>
      </c>
      <c r="I73" s="28"/>
      <c r="J73" s="679">
        <v>195819</v>
      </c>
      <c r="K73" s="679">
        <v>126479</v>
      </c>
      <c r="L73" s="679">
        <v>69340</v>
      </c>
      <c r="M73" s="28">
        <f t="shared" si="52"/>
        <v>0.64589748696500338</v>
      </c>
      <c r="N73" s="603">
        <v>115579</v>
      </c>
      <c r="O73" s="603">
        <v>59993</v>
      </c>
      <c r="P73" s="639"/>
      <c r="Q73" s="51">
        <f t="shared" si="32"/>
        <v>195818.35410251303</v>
      </c>
      <c r="R73" s="51">
        <f t="shared" ref="R73:R104" si="54">+F73-N73</f>
        <v>10900</v>
      </c>
      <c r="S73" s="51">
        <f t="shared" ref="S73:S104" si="55">+G73-O73</f>
        <v>9347</v>
      </c>
    </row>
    <row r="74" spans="2:21">
      <c r="B74" s="53" t="s">
        <v>110</v>
      </c>
      <c r="C74" s="53"/>
      <c r="D74" s="53"/>
      <c r="E74" s="680">
        <v>56326</v>
      </c>
      <c r="F74" s="680">
        <v>36572</v>
      </c>
      <c r="G74" s="680">
        <v>19754</v>
      </c>
      <c r="H74" s="28">
        <f t="shared" si="53"/>
        <v>0.64929162376167315</v>
      </c>
      <c r="I74" s="28"/>
      <c r="J74" s="680">
        <v>56326</v>
      </c>
      <c r="K74" s="680">
        <v>36572</v>
      </c>
      <c r="L74" s="680">
        <v>19754</v>
      </c>
      <c r="M74" s="28">
        <f t="shared" si="52"/>
        <v>0.64929162376167315</v>
      </c>
      <c r="N74" s="604">
        <v>42255</v>
      </c>
      <c r="O74" s="604">
        <v>21679</v>
      </c>
      <c r="P74" s="639"/>
      <c r="Q74" s="641">
        <f t="shared" ref="Q74:Q132" si="56">+E74-M74</f>
        <v>56325.350708376238</v>
      </c>
      <c r="R74" s="641">
        <f t="shared" si="54"/>
        <v>-5683</v>
      </c>
      <c r="S74" s="55">
        <f t="shared" si="55"/>
        <v>-1925</v>
      </c>
      <c r="U74" s="31" t="e">
        <f>+#REF!*(M74-E74)</f>
        <v>#REF!</v>
      </c>
    </row>
    <row r="75" spans="2:21">
      <c r="B75" s="53" t="s">
        <v>111</v>
      </c>
      <c r="C75" s="53"/>
      <c r="D75" s="53"/>
      <c r="E75" s="688">
        <v>871907</v>
      </c>
      <c r="F75" s="680">
        <v>571700</v>
      </c>
      <c r="G75" s="680">
        <v>300207</v>
      </c>
      <c r="H75" s="28">
        <f t="shared" si="53"/>
        <v>0.65568919621014632</v>
      </c>
      <c r="I75" s="28"/>
      <c r="J75" s="688">
        <v>871907</v>
      </c>
      <c r="K75" s="680">
        <v>571700</v>
      </c>
      <c r="L75" s="680">
        <v>300207</v>
      </c>
      <c r="M75" s="28">
        <f t="shared" si="52"/>
        <v>0.65568919621014632</v>
      </c>
      <c r="N75" s="604">
        <f>SUM(N71:N74)</f>
        <v>520962</v>
      </c>
      <c r="O75" s="604">
        <f>SUM(O71:O74)</f>
        <v>273530</v>
      </c>
      <c r="P75" s="639"/>
      <c r="Q75" s="55">
        <f t="shared" si="56"/>
        <v>871906.3443108038</v>
      </c>
      <c r="R75" s="55">
        <f t="shared" si="54"/>
        <v>50738</v>
      </c>
      <c r="S75" s="55">
        <f t="shared" si="55"/>
        <v>26677</v>
      </c>
    </row>
    <row r="76" spans="2:21">
      <c r="B76" s="53"/>
      <c r="C76" s="53"/>
      <c r="D76" s="53"/>
      <c r="E76" s="679"/>
      <c r="F76" s="679"/>
      <c r="G76" s="679"/>
      <c r="H76" s="28"/>
      <c r="I76" s="28"/>
      <c r="J76" s="679"/>
      <c r="K76" s="679"/>
      <c r="L76" s="679"/>
      <c r="M76" s="28"/>
      <c r="N76" s="603"/>
      <c r="O76" s="603"/>
      <c r="P76" s="639"/>
      <c r="Q76" s="51">
        <f t="shared" si="56"/>
        <v>0</v>
      </c>
      <c r="R76" s="51">
        <f t="shared" si="54"/>
        <v>0</v>
      </c>
      <c r="S76" s="51">
        <f t="shared" si="55"/>
        <v>0</v>
      </c>
    </row>
    <row r="77" spans="2:21">
      <c r="B77" s="53" t="s">
        <v>112</v>
      </c>
      <c r="C77" s="53"/>
      <c r="D77" s="53"/>
      <c r="E77" s="679"/>
      <c r="F77" s="679"/>
      <c r="G77" s="679"/>
      <c r="H77" s="28"/>
      <c r="I77" s="28"/>
      <c r="J77" s="679"/>
      <c r="K77" s="679"/>
      <c r="L77" s="679"/>
      <c r="M77" s="28"/>
      <c r="N77" s="603"/>
      <c r="O77" s="603"/>
      <c r="P77" s="639"/>
      <c r="Q77" s="51">
        <f t="shared" si="56"/>
        <v>0</v>
      </c>
      <c r="R77" s="51">
        <f t="shared" si="54"/>
        <v>0</v>
      </c>
      <c r="S77" s="51">
        <f t="shared" si="55"/>
        <v>0</v>
      </c>
    </row>
    <row r="78" spans="2:21">
      <c r="B78" s="53" t="s">
        <v>113</v>
      </c>
      <c r="C78" s="53"/>
      <c r="D78" s="53"/>
      <c r="E78" s="679">
        <v>38706</v>
      </c>
      <c r="F78" s="679">
        <v>25000</v>
      </c>
      <c r="G78" s="679">
        <v>13706</v>
      </c>
      <c r="H78" s="28">
        <f t="shared" si="53"/>
        <v>0.64589469332919958</v>
      </c>
      <c r="I78" s="28"/>
      <c r="J78" s="679">
        <v>38706</v>
      </c>
      <c r="K78" s="679">
        <v>25000</v>
      </c>
      <c r="L78" s="679">
        <v>13706</v>
      </c>
      <c r="M78" s="28">
        <f t="shared" ref="M78:M83" si="57">+K78/J78</f>
        <v>0.64589469332919958</v>
      </c>
      <c r="N78" s="603">
        <v>25136</v>
      </c>
      <c r="O78" s="603">
        <v>13047</v>
      </c>
      <c r="P78" s="639"/>
      <c r="Q78" s="51">
        <f t="shared" si="56"/>
        <v>38705.354105306673</v>
      </c>
      <c r="R78" s="51">
        <f t="shared" si="54"/>
        <v>-136</v>
      </c>
      <c r="S78" s="51">
        <f t="shared" si="55"/>
        <v>659</v>
      </c>
    </row>
    <row r="79" spans="2:21">
      <c r="B79" s="53" t="s">
        <v>114</v>
      </c>
      <c r="C79" s="53"/>
      <c r="D79" s="53"/>
      <c r="E79" s="679">
        <v>15962</v>
      </c>
      <c r="F79" s="679">
        <v>10556</v>
      </c>
      <c r="G79" s="679">
        <v>5406</v>
      </c>
      <c r="H79" s="28">
        <f t="shared" si="53"/>
        <v>0.66132063651171535</v>
      </c>
      <c r="I79" s="28"/>
      <c r="J79" s="679">
        <v>15962</v>
      </c>
      <c r="K79" s="679">
        <v>10556</v>
      </c>
      <c r="L79" s="679">
        <v>5406</v>
      </c>
      <c r="M79" s="28">
        <f t="shared" si="57"/>
        <v>0.66132063651171535</v>
      </c>
      <c r="N79" s="603">
        <v>9936</v>
      </c>
      <c r="O79" s="603">
        <v>4968</v>
      </c>
      <c r="P79" s="639"/>
      <c r="Q79" s="51">
        <f t="shared" si="56"/>
        <v>15961.338679363489</v>
      </c>
      <c r="R79" s="51">
        <f t="shared" si="54"/>
        <v>620</v>
      </c>
      <c r="S79" s="51">
        <f t="shared" si="55"/>
        <v>438</v>
      </c>
    </row>
    <row r="80" spans="2:21">
      <c r="B80" s="53" t="s">
        <v>115</v>
      </c>
      <c r="C80" s="53"/>
      <c r="D80" s="53"/>
      <c r="E80" s="679">
        <v>117350</v>
      </c>
      <c r="F80" s="679">
        <v>75796</v>
      </c>
      <c r="G80" s="679">
        <v>41554</v>
      </c>
      <c r="H80" s="28">
        <f t="shared" si="53"/>
        <v>0.64589688964635705</v>
      </c>
      <c r="I80" s="28"/>
      <c r="J80" s="679">
        <v>117350</v>
      </c>
      <c r="K80" s="679">
        <v>75796</v>
      </c>
      <c r="L80" s="679">
        <v>41554</v>
      </c>
      <c r="M80" s="28">
        <f t="shared" si="57"/>
        <v>0.64589688964635705</v>
      </c>
      <c r="N80" s="603">
        <v>59225</v>
      </c>
      <c r="O80" s="603">
        <v>30742</v>
      </c>
      <c r="P80" s="639"/>
      <c r="Q80" s="51">
        <f t="shared" si="56"/>
        <v>117349.35410311035</v>
      </c>
      <c r="R80" s="51">
        <f t="shared" si="54"/>
        <v>16571</v>
      </c>
      <c r="S80" s="51">
        <f t="shared" si="55"/>
        <v>10812</v>
      </c>
    </row>
    <row r="81" spans="2:19">
      <c r="B81" s="53" t="s">
        <v>116</v>
      </c>
      <c r="C81" s="53"/>
      <c r="D81" s="53"/>
      <c r="E81" s="679">
        <v>61204</v>
      </c>
      <c r="F81" s="679">
        <v>49300</v>
      </c>
      <c r="G81" s="679">
        <v>11904</v>
      </c>
      <c r="H81" s="28">
        <f t="shared" si="53"/>
        <v>0.80550290830664661</v>
      </c>
      <c r="I81" s="28"/>
      <c r="J81" s="679">
        <v>61204</v>
      </c>
      <c r="K81" s="679">
        <v>49300</v>
      </c>
      <c r="L81" s="679">
        <v>11904</v>
      </c>
      <c r="M81" s="28">
        <f t="shared" si="57"/>
        <v>0.80550290830664661</v>
      </c>
      <c r="N81" s="603">
        <f>420+68624</f>
        <v>69044</v>
      </c>
      <c r="O81" s="603">
        <f>218+18610</f>
        <v>18828</v>
      </c>
      <c r="P81" s="639"/>
      <c r="Q81" s="642">
        <f t="shared" si="56"/>
        <v>61203.194497091696</v>
      </c>
      <c r="R81" s="642">
        <f t="shared" si="54"/>
        <v>-19744</v>
      </c>
      <c r="S81" s="51">
        <f t="shared" si="55"/>
        <v>-6924</v>
      </c>
    </row>
    <row r="82" spans="2:19">
      <c r="B82" s="53" t="s">
        <v>53</v>
      </c>
      <c r="C82" s="53"/>
      <c r="D82" s="53"/>
      <c r="E82" s="680">
        <v>246147</v>
      </c>
      <c r="F82" s="680">
        <v>147076</v>
      </c>
      <c r="G82" s="680">
        <v>99071</v>
      </c>
      <c r="H82" s="28">
        <f t="shared" si="53"/>
        <v>0.59751286832665029</v>
      </c>
      <c r="I82" s="28"/>
      <c r="J82" s="680">
        <v>246147</v>
      </c>
      <c r="K82" s="680">
        <v>147076</v>
      </c>
      <c r="L82" s="680">
        <v>99071</v>
      </c>
      <c r="M82" s="28">
        <f t="shared" si="57"/>
        <v>0.59751286832665029</v>
      </c>
      <c r="N82" s="604">
        <v>117871</v>
      </c>
      <c r="O82" s="604">
        <v>82212</v>
      </c>
      <c r="P82" s="639"/>
      <c r="Q82" s="55">
        <f t="shared" si="56"/>
        <v>246146.40248713168</v>
      </c>
      <c r="R82" s="55">
        <f t="shared" si="54"/>
        <v>29205</v>
      </c>
      <c r="S82" s="55">
        <f t="shared" si="55"/>
        <v>16859</v>
      </c>
    </row>
    <row r="83" spans="2:19">
      <c r="B83" s="53" t="s">
        <v>117</v>
      </c>
      <c r="C83" s="56"/>
      <c r="D83" s="53"/>
      <c r="E83" s="680">
        <v>479369</v>
      </c>
      <c r="F83" s="680">
        <v>307728</v>
      </c>
      <c r="G83" s="680">
        <v>171641</v>
      </c>
      <c r="H83" s="28">
        <f t="shared" si="53"/>
        <v>0.64194388873706898</v>
      </c>
      <c r="I83" s="28"/>
      <c r="J83" s="680">
        <v>479369</v>
      </c>
      <c r="K83" s="680">
        <v>307728</v>
      </c>
      <c r="L83" s="680">
        <v>171641</v>
      </c>
      <c r="M83" s="28">
        <f t="shared" si="57"/>
        <v>0.64194388873706898</v>
      </c>
      <c r="N83" s="643">
        <f>SUM(N78:N82)</f>
        <v>281212</v>
      </c>
      <c r="O83" s="644">
        <f>SUM(O78:O82)</f>
        <v>149797</v>
      </c>
      <c r="P83" s="639"/>
      <c r="Q83" s="645">
        <f t="shared" si="56"/>
        <v>479368.35805611126</v>
      </c>
      <c r="R83" s="645">
        <f t="shared" si="54"/>
        <v>26516</v>
      </c>
      <c r="S83" s="645">
        <f t="shared" si="55"/>
        <v>21844</v>
      </c>
    </row>
    <row r="84" spans="2:19">
      <c r="B84" s="53" t="s">
        <v>118</v>
      </c>
      <c r="C84" s="53"/>
      <c r="D84" s="53"/>
      <c r="E84" s="687"/>
      <c r="F84" s="679"/>
      <c r="G84" s="679"/>
      <c r="H84" s="28"/>
      <c r="I84" s="28"/>
      <c r="J84" s="687"/>
      <c r="K84" s="679"/>
      <c r="L84" s="679"/>
      <c r="M84" s="28"/>
      <c r="N84" s="603"/>
      <c r="O84" s="603"/>
      <c r="P84" s="639"/>
      <c r="Q84" s="51">
        <f t="shared" si="56"/>
        <v>0</v>
      </c>
      <c r="R84" s="51">
        <f t="shared" si="54"/>
        <v>0</v>
      </c>
      <c r="S84" s="51">
        <f t="shared" si="55"/>
        <v>0</v>
      </c>
    </row>
    <row r="85" spans="2:19">
      <c r="B85" s="53" t="s">
        <v>119</v>
      </c>
      <c r="C85" s="53"/>
      <c r="D85" s="53"/>
      <c r="E85" s="679">
        <v>23437</v>
      </c>
      <c r="F85" s="686">
        <v>15148</v>
      </c>
      <c r="G85" s="679">
        <v>8289</v>
      </c>
      <c r="H85" s="28">
        <f t="shared" si="53"/>
        <v>0.64632845500704017</v>
      </c>
      <c r="I85" s="28"/>
      <c r="J85" s="679">
        <v>23437</v>
      </c>
      <c r="K85" s="686">
        <v>15148</v>
      </c>
      <c r="L85" s="679">
        <v>8289</v>
      </c>
      <c r="M85" s="28">
        <f t="shared" ref="M85:M88" si="58">+K85/J85</f>
        <v>0.64632845500704017</v>
      </c>
      <c r="N85" s="605">
        <v>12895</v>
      </c>
      <c r="O85" s="603">
        <v>6652</v>
      </c>
      <c r="P85" s="639"/>
      <c r="Q85" s="51">
        <f t="shared" si="56"/>
        <v>23436.353671544992</v>
      </c>
      <c r="R85" s="51">
        <f t="shared" si="54"/>
        <v>2253</v>
      </c>
      <c r="S85" s="51">
        <f t="shared" si="55"/>
        <v>1637</v>
      </c>
    </row>
    <row r="86" spans="2:19">
      <c r="B86" s="53" t="s">
        <v>120</v>
      </c>
      <c r="C86" s="53"/>
      <c r="D86" s="53"/>
      <c r="E86" s="679">
        <v>35050</v>
      </c>
      <c r="F86" s="679">
        <v>23675</v>
      </c>
      <c r="G86" s="679">
        <v>11375</v>
      </c>
      <c r="H86" s="28">
        <f t="shared" si="53"/>
        <v>0.67546362339514976</v>
      </c>
      <c r="I86" s="28"/>
      <c r="J86" s="679">
        <v>35050</v>
      </c>
      <c r="K86" s="679">
        <v>23675</v>
      </c>
      <c r="L86" s="679">
        <v>11375</v>
      </c>
      <c r="M86" s="28">
        <f t="shared" si="58"/>
        <v>0.67546362339514976</v>
      </c>
      <c r="N86" s="603">
        <f>26120-N87-22</f>
        <v>17008</v>
      </c>
      <c r="O86" s="603">
        <f>10269-O87</f>
        <v>5551</v>
      </c>
      <c r="P86" s="639"/>
      <c r="Q86" s="642">
        <f t="shared" si="56"/>
        <v>35049.324536376604</v>
      </c>
      <c r="R86" s="642">
        <f t="shared" si="54"/>
        <v>6667</v>
      </c>
      <c r="S86" s="51">
        <f t="shared" si="55"/>
        <v>5824</v>
      </c>
    </row>
    <row r="87" spans="2:19">
      <c r="B87" s="53" t="s">
        <v>121</v>
      </c>
      <c r="C87" s="53"/>
      <c r="D87" s="53"/>
      <c r="E87" s="680">
        <v>13833</v>
      </c>
      <c r="F87" s="680">
        <v>8935</v>
      </c>
      <c r="G87" s="680">
        <v>4898</v>
      </c>
      <c r="H87" s="28">
        <f t="shared" si="53"/>
        <v>0.64591917877539218</v>
      </c>
      <c r="I87" s="28"/>
      <c r="J87" s="680">
        <v>13833</v>
      </c>
      <c r="K87" s="680">
        <v>8935</v>
      </c>
      <c r="L87" s="680">
        <v>4898</v>
      </c>
      <c r="M87" s="28">
        <f t="shared" si="58"/>
        <v>0.64591917877539218</v>
      </c>
      <c r="N87" s="604">
        <v>9090</v>
      </c>
      <c r="O87" s="604">
        <v>4718</v>
      </c>
      <c r="P87" s="639"/>
      <c r="Q87" s="55">
        <f t="shared" si="56"/>
        <v>13832.354080821224</v>
      </c>
      <c r="R87" s="55">
        <f t="shared" si="54"/>
        <v>-155</v>
      </c>
      <c r="S87" s="55">
        <f t="shared" si="55"/>
        <v>180</v>
      </c>
    </row>
    <row r="88" spans="2:19">
      <c r="B88" s="53" t="s">
        <v>122</v>
      </c>
      <c r="C88" s="53"/>
      <c r="D88" s="56"/>
      <c r="E88" s="680">
        <v>551689</v>
      </c>
      <c r="F88" s="680">
        <v>355486</v>
      </c>
      <c r="G88" s="680">
        <v>196203</v>
      </c>
      <c r="H88" s="28">
        <f t="shared" si="53"/>
        <v>0.64435941264009255</v>
      </c>
      <c r="I88" s="28"/>
      <c r="J88" s="680">
        <v>551689</v>
      </c>
      <c r="K88" s="680">
        <v>355486</v>
      </c>
      <c r="L88" s="680">
        <v>196203</v>
      </c>
      <c r="M88" s="28">
        <f t="shared" si="58"/>
        <v>0.64435941264009255</v>
      </c>
      <c r="N88" s="604">
        <f>N83+N85+N86+N87</f>
        <v>320205</v>
      </c>
      <c r="O88" s="604">
        <f>O83+O85+O86+O87</f>
        <v>166718</v>
      </c>
      <c r="P88" s="639"/>
      <c r="Q88" s="55">
        <f t="shared" si="56"/>
        <v>551688.3556405874</v>
      </c>
      <c r="R88" s="55">
        <f t="shared" si="54"/>
        <v>35281</v>
      </c>
      <c r="S88" s="55">
        <f t="shared" si="55"/>
        <v>29485</v>
      </c>
    </row>
    <row r="89" spans="2:19">
      <c r="B89" s="53" t="s">
        <v>123</v>
      </c>
      <c r="C89" s="53"/>
      <c r="D89" s="53"/>
      <c r="E89" s="679"/>
      <c r="F89" s="679"/>
      <c r="G89" s="679"/>
      <c r="H89" s="28"/>
      <c r="I89" s="28"/>
      <c r="J89" s="679"/>
      <c r="K89" s="679"/>
      <c r="L89" s="679"/>
      <c r="M89" s="28"/>
      <c r="N89" s="603"/>
      <c r="O89" s="603"/>
      <c r="P89" s="639"/>
      <c r="Q89" s="51">
        <f t="shared" si="56"/>
        <v>0</v>
      </c>
      <c r="R89" s="51">
        <f t="shared" si="54"/>
        <v>0</v>
      </c>
      <c r="S89" s="51">
        <f t="shared" si="55"/>
        <v>0</v>
      </c>
    </row>
    <row r="90" spans="2:19">
      <c r="B90" s="53" t="s">
        <v>124</v>
      </c>
      <c r="C90" s="53"/>
      <c r="D90" s="53"/>
      <c r="E90" s="679">
        <v>25859</v>
      </c>
      <c r="F90" s="679">
        <v>17279</v>
      </c>
      <c r="G90" s="679">
        <v>8580</v>
      </c>
      <c r="H90" s="28">
        <f t="shared" si="53"/>
        <v>0.66820062647434164</v>
      </c>
      <c r="I90" s="28"/>
      <c r="J90" s="679">
        <v>25859</v>
      </c>
      <c r="K90" s="679">
        <v>17279</v>
      </c>
      <c r="L90" s="679">
        <v>8580</v>
      </c>
      <c r="M90" s="28">
        <f t="shared" ref="M90:M96" si="59">+K90/J90</f>
        <v>0.66820062647434164</v>
      </c>
      <c r="N90" s="603">
        <v>15485</v>
      </c>
      <c r="O90" s="603">
        <v>7084</v>
      </c>
      <c r="P90" s="639"/>
      <c r="Q90" s="51">
        <f t="shared" si="56"/>
        <v>25858.331799373525</v>
      </c>
      <c r="R90" s="51">
        <f t="shared" si="54"/>
        <v>1794</v>
      </c>
      <c r="S90" s="51">
        <f t="shared" si="55"/>
        <v>1496</v>
      </c>
    </row>
    <row r="91" spans="2:19">
      <c r="B91" s="53" t="s">
        <v>120</v>
      </c>
      <c r="C91" s="53"/>
      <c r="D91" s="53"/>
      <c r="E91" s="679">
        <v>22950</v>
      </c>
      <c r="F91" s="679">
        <v>14599</v>
      </c>
      <c r="G91" s="679">
        <v>8351</v>
      </c>
      <c r="H91" s="28">
        <f t="shared" si="53"/>
        <v>0.63612200435729849</v>
      </c>
      <c r="I91" s="28"/>
      <c r="J91" s="679">
        <v>22950</v>
      </c>
      <c r="K91" s="679">
        <v>14599</v>
      </c>
      <c r="L91" s="679">
        <v>8351</v>
      </c>
      <c r="M91" s="28">
        <f t="shared" si="59"/>
        <v>0.63612200435729849</v>
      </c>
      <c r="N91" s="603">
        <v>10864</v>
      </c>
      <c r="O91" s="603">
        <v>6594</v>
      </c>
      <c r="P91" s="639"/>
      <c r="Q91" s="51">
        <f t="shared" si="56"/>
        <v>22949.363877995642</v>
      </c>
      <c r="R91" s="51">
        <f t="shared" si="54"/>
        <v>3735</v>
      </c>
      <c r="S91" s="51">
        <f t="shared" si="55"/>
        <v>1757</v>
      </c>
    </row>
    <row r="92" spans="2:19">
      <c r="B92" s="53" t="s">
        <v>121</v>
      </c>
      <c r="C92" s="53"/>
      <c r="D92" s="53"/>
      <c r="E92" s="680">
        <v>37353</v>
      </c>
      <c r="F92" s="680">
        <v>33186</v>
      </c>
      <c r="G92" s="680">
        <v>4167</v>
      </c>
      <c r="H92" s="28">
        <f t="shared" si="53"/>
        <v>0.88844269536583409</v>
      </c>
      <c r="I92" s="28"/>
      <c r="J92" s="680">
        <v>37353</v>
      </c>
      <c r="K92" s="680">
        <v>33186</v>
      </c>
      <c r="L92" s="680">
        <v>4167</v>
      </c>
      <c r="M92" s="28">
        <f t="shared" si="59"/>
        <v>0.88844269536583409</v>
      </c>
      <c r="N92" s="604">
        <v>29460</v>
      </c>
      <c r="O92" s="604">
        <v>4127</v>
      </c>
      <c r="P92" s="639"/>
      <c r="Q92" s="55">
        <f t="shared" si="56"/>
        <v>37352.111557304634</v>
      </c>
      <c r="R92" s="55">
        <f t="shared" si="54"/>
        <v>3726</v>
      </c>
      <c r="S92" s="55">
        <f t="shared" si="55"/>
        <v>40</v>
      </c>
    </row>
    <row r="93" spans="2:19">
      <c r="B93" s="53" t="s">
        <v>125</v>
      </c>
      <c r="C93" s="56"/>
      <c r="D93" s="53"/>
      <c r="E93" s="680">
        <v>86162</v>
      </c>
      <c r="F93" s="680">
        <v>65064</v>
      </c>
      <c r="G93" s="680">
        <v>21098</v>
      </c>
      <c r="H93" s="28">
        <f t="shared" si="53"/>
        <v>0.7551356746593626</v>
      </c>
      <c r="I93" s="28"/>
      <c r="J93" s="680">
        <v>86162</v>
      </c>
      <c r="K93" s="680">
        <v>65064</v>
      </c>
      <c r="L93" s="680">
        <v>21098</v>
      </c>
      <c r="M93" s="28">
        <f t="shared" si="59"/>
        <v>0.7551356746593626</v>
      </c>
      <c r="N93" s="604">
        <f>SUM(N90:N92)</f>
        <v>55809</v>
      </c>
      <c r="O93" s="604">
        <f>SUM(O90:O92)</f>
        <v>17805</v>
      </c>
      <c r="P93" s="639"/>
      <c r="Q93" s="55">
        <f t="shared" si="56"/>
        <v>86161.244864325345</v>
      </c>
      <c r="R93" s="55">
        <f t="shared" si="54"/>
        <v>9255</v>
      </c>
      <c r="S93" s="55">
        <f t="shared" si="55"/>
        <v>3293</v>
      </c>
    </row>
    <row r="94" spans="2:19">
      <c r="B94" s="53" t="s">
        <v>126</v>
      </c>
      <c r="C94" s="53"/>
      <c r="D94" s="53"/>
      <c r="E94" s="679">
        <v>12202</v>
      </c>
      <c r="F94" s="679">
        <v>8559</v>
      </c>
      <c r="G94" s="679">
        <v>3643</v>
      </c>
      <c r="H94" s="28">
        <f t="shared" si="53"/>
        <v>0.70144238649401736</v>
      </c>
      <c r="I94" s="28"/>
      <c r="J94" s="679">
        <v>12202</v>
      </c>
      <c r="K94" s="679">
        <v>8559</v>
      </c>
      <c r="L94" s="679">
        <v>3643</v>
      </c>
      <c r="M94" s="28">
        <f t="shared" si="59"/>
        <v>0.70144238649401736</v>
      </c>
      <c r="N94" s="603">
        <v>8951</v>
      </c>
      <c r="O94" s="603">
        <v>4414</v>
      </c>
      <c r="P94" s="639"/>
      <c r="Q94" s="51">
        <f t="shared" si="56"/>
        <v>12201.298557613505</v>
      </c>
      <c r="R94" s="51">
        <f t="shared" si="54"/>
        <v>-392</v>
      </c>
      <c r="S94" s="51">
        <f t="shared" si="55"/>
        <v>-771</v>
      </c>
    </row>
    <row r="95" spans="2:19">
      <c r="B95" s="53" t="s">
        <v>127</v>
      </c>
      <c r="C95" s="53"/>
      <c r="D95" s="53"/>
      <c r="E95" s="679">
        <v>15319</v>
      </c>
      <c r="F95" s="679">
        <v>11359</v>
      </c>
      <c r="G95" s="679">
        <v>3960</v>
      </c>
      <c r="H95" s="28">
        <f t="shared" si="53"/>
        <v>0.74149748678112148</v>
      </c>
      <c r="I95" s="28"/>
      <c r="J95" s="679">
        <v>15319</v>
      </c>
      <c r="K95" s="679">
        <v>11359</v>
      </c>
      <c r="L95" s="679">
        <v>3960</v>
      </c>
      <c r="M95" s="28">
        <f t="shared" si="59"/>
        <v>0.74149748678112148</v>
      </c>
      <c r="N95" s="603">
        <v>7739</v>
      </c>
      <c r="O95" s="603">
        <v>3826</v>
      </c>
      <c r="P95" s="639"/>
      <c r="Q95" s="51">
        <f t="shared" si="56"/>
        <v>15318.258502513219</v>
      </c>
      <c r="R95" s="51">
        <f t="shared" si="54"/>
        <v>3620</v>
      </c>
      <c r="S95" s="51">
        <f t="shared" si="55"/>
        <v>134</v>
      </c>
    </row>
    <row r="96" spans="2:19">
      <c r="B96" s="53" t="s">
        <v>128</v>
      </c>
      <c r="C96" s="53"/>
      <c r="D96" s="53"/>
      <c r="E96" s="679">
        <v>957</v>
      </c>
      <c r="F96" s="679">
        <v>696</v>
      </c>
      <c r="G96" s="679">
        <v>261</v>
      </c>
      <c r="H96" s="28">
        <f t="shared" si="53"/>
        <v>0.72727272727272729</v>
      </c>
      <c r="I96" s="28"/>
      <c r="J96" s="679">
        <v>957</v>
      </c>
      <c r="K96" s="679">
        <v>696</v>
      </c>
      <c r="L96" s="679">
        <v>261</v>
      </c>
      <c r="M96" s="28">
        <f t="shared" si="59"/>
        <v>0.72727272727272729</v>
      </c>
      <c r="N96" s="603">
        <v>657</v>
      </c>
      <c r="O96" s="603">
        <v>274</v>
      </c>
      <c r="P96" s="639"/>
      <c r="Q96" s="51">
        <f t="shared" si="56"/>
        <v>956.27272727272725</v>
      </c>
      <c r="R96" s="51">
        <f t="shared" si="54"/>
        <v>39</v>
      </c>
      <c r="S96" s="51">
        <f t="shared" si="55"/>
        <v>-13</v>
      </c>
    </row>
    <row r="97" spans="1:19">
      <c r="B97" s="53" t="s">
        <v>129</v>
      </c>
      <c r="C97" s="53"/>
      <c r="D97" s="53"/>
      <c r="E97" s="679"/>
      <c r="F97" s="679"/>
      <c r="G97" s="679"/>
      <c r="H97" s="28"/>
      <c r="I97" s="28"/>
      <c r="J97" s="679"/>
      <c r="K97" s="679"/>
      <c r="L97" s="679"/>
      <c r="M97" s="28"/>
      <c r="N97" s="603"/>
      <c r="O97" s="603"/>
      <c r="P97" s="639"/>
      <c r="Q97" s="51">
        <f t="shared" si="56"/>
        <v>0</v>
      </c>
      <c r="R97" s="51">
        <f t="shared" si="54"/>
        <v>0</v>
      </c>
      <c r="S97" s="51">
        <f t="shared" si="55"/>
        <v>0</v>
      </c>
    </row>
    <row r="98" spans="1:19">
      <c r="B98" s="53" t="s">
        <v>130</v>
      </c>
      <c r="C98" s="53"/>
      <c r="D98" s="53"/>
      <c r="E98" s="679">
        <v>54408</v>
      </c>
      <c r="F98" s="679">
        <v>35147</v>
      </c>
      <c r="G98" s="679">
        <v>19261</v>
      </c>
      <c r="H98" s="28">
        <f t="shared" si="53"/>
        <v>0.64598956035877075</v>
      </c>
      <c r="I98" s="28"/>
      <c r="J98" s="679">
        <v>54408</v>
      </c>
      <c r="K98" s="679">
        <v>35147</v>
      </c>
      <c r="L98" s="679">
        <v>19261</v>
      </c>
      <c r="M98" s="28">
        <f t="shared" ref="M98:M99" si="60">+K98/J98</f>
        <v>0.64598956035877075</v>
      </c>
      <c r="N98" s="603">
        <v>32646</v>
      </c>
      <c r="O98" s="603">
        <v>16871</v>
      </c>
      <c r="P98" s="639"/>
      <c r="Q98" s="51">
        <f t="shared" si="56"/>
        <v>54407.354010439638</v>
      </c>
      <c r="R98" s="51">
        <f t="shared" si="54"/>
        <v>2501</v>
      </c>
      <c r="S98" s="51">
        <f t="shared" si="55"/>
        <v>2390</v>
      </c>
    </row>
    <row r="99" spans="1:19">
      <c r="B99" s="53" t="s">
        <v>120</v>
      </c>
      <c r="C99" s="53"/>
      <c r="D99" s="53"/>
      <c r="E99" s="679">
        <v>10882</v>
      </c>
      <c r="F99" s="679">
        <v>7022</v>
      </c>
      <c r="G99" s="679">
        <v>3860</v>
      </c>
      <c r="H99" s="28">
        <f t="shared" si="53"/>
        <v>0.64528579305274769</v>
      </c>
      <c r="I99" s="28"/>
      <c r="J99" s="679">
        <v>10882</v>
      </c>
      <c r="K99" s="679">
        <v>7022</v>
      </c>
      <c r="L99" s="679">
        <v>3860</v>
      </c>
      <c r="M99" s="28">
        <f t="shared" si="60"/>
        <v>0.64528579305274769</v>
      </c>
      <c r="N99" s="603">
        <f>ROUND((4413876+2022930+397)/1000,0)+22</f>
        <v>6459</v>
      </c>
      <c r="O99" s="603">
        <f>ROUND((2334468+1032394+202)/1000,0)</f>
        <v>3367</v>
      </c>
      <c r="P99" s="639"/>
      <c r="Q99" s="51">
        <f t="shared" si="56"/>
        <v>10881.354714206947</v>
      </c>
      <c r="R99" s="51">
        <f t="shared" si="54"/>
        <v>563</v>
      </c>
      <c r="S99" s="51">
        <f t="shared" si="55"/>
        <v>493</v>
      </c>
    </row>
    <row r="100" spans="1:19">
      <c r="B100" s="53" t="s">
        <v>121</v>
      </c>
      <c r="C100" s="53"/>
      <c r="D100" s="53"/>
      <c r="E100" s="680">
        <v>0</v>
      </c>
      <c r="F100" s="680">
        <v>0</v>
      </c>
      <c r="G100" s="680">
        <v>0</v>
      </c>
      <c r="H100" s="28"/>
      <c r="I100" s="28"/>
      <c r="J100" s="680">
        <v>0</v>
      </c>
      <c r="K100" s="680">
        <v>0</v>
      </c>
      <c r="L100" s="680">
        <v>0</v>
      </c>
      <c r="M100" s="28"/>
      <c r="N100" s="604">
        <v>0</v>
      </c>
      <c r="O100" s="604">
        <v>0</v>
      </c>
      <c r="P100" s="639"/>
      <c r="Q100" s="55">
        <f t="shared" si="56"/>
        <v>0</v>
      </c>
      <c r="R100" s="55">
        <f t="shared" si="54"/>
        <v>0</v>
      </c>
      <c r="S100" s="55">
        <f t="shared" si="55"/>
        <v>0</v>
      </c>
    </row>
    <row r="101" spans="1:19">
      <c r="B101" s="53" t="s">
        <v>131</v>
      </c>
      <c r="C101" s="56"/>
      <c r="D101" s="53"/>
      <c r="E101" s="680">
        <v>65290</v>
      </c>
      <c r="F101" s="680">
        <v>42169</v>
      </c>
      <c r="G101" s="680">
        <v>23121</v>
      </c>
      <c r="H101" s="28">
        <f t="shared" si="53"/>
        <v>0.64587226221473426</v>
      </c>
      <c r="I101" s="28"/>
      <c r="J101" s="680">
        <v>65290</v>
      </c>
      <c r="K101" s="680">
        <v>42169</v>
      </c>
      <c r="L101" s="680">
        <v>23121</v>
      </c>
      <c r="M101" s="28">
        <f t="shared" ref="M101" si="61">+K101/J101</f>
        <v>0.64587226221473426</v>
      </c>
      <c r="N101" s="604">
        <f>SUM(N98:N100)</f>
        <v>39105</v>
      </c>
      <c r="O101" s="604">
        <f>SUM(O98:O100)</f>
        <v>20238</v>
      </c>
      <c r="P101" s="639"/>
      <c r="Q101" s="55">
        <f t="shared" si="56"/>
        <v>65289.354127737788</v>
      </c>
      <c r="R101" s="55">
        <f t="shared" si="54"/>
        <v>3064</v>
      </c>
      <c r="S101" s="55">
        <f t="shared" si="55"/>
        <v>2883</v>
      </c>
    </row>
    <row r="102" spans="1:19">
      <c r="B102" s="53"/>
      <c r="C102" s="53"/>
      <c r="D102" s="53"/>
      <c r="E102" s="679"/>
      <c r="F102" s="679"/>
      <c r="G102" s="679"/>
      <c r="H102" s="28"/>
      <c r="I102" s="28"/>
      <c r="J102" s="679"/>
      <c r="K102" s="679"/>
      <c r="L102" s="679"/>
      <c r="M102" s="28"/>
      <c r="N102" s="603"/>
      <c r="O102" s="603"/>
      <c r="P102" s="639"/>
      <c r="Q102" s="51">
        <f t="shared" si="56"/>
        <v>0</v>
      </c>
      <c r="R102" s="51">
        <f t="shared" si="54"/>
        <v>0</v>
      </c>
      <c r="S102" s="51">
        <f t="shared" si="55"/>
        <v>0</v>
      </c>
    </row>
    <row r="103" spans="1:19">
      <c r="B103" s="53" t="s">
        <v>132</v>
      </c>
      <c r="C103" s="53"/>
      <c r="D103" s="53"/>
      <c r="E103" s="682">
        <v>731619</v>
      </c>
      <c r="F103" s="682">
        <v>483333</v>
      </c>
      <c r="G103" s="682">
        <v>248286</v>
      </c>
      <c r="H103" s="28">
        <f t="shared" si="53"/>
        <v>0.66063483862502204</v>
      </c>
      <c r="I103" s="28"/>
      <c r="J103" s="682">
        <v>731619</v>
      </c>
      <c r="K103" s="682">
        <v>483333</v>
      </c>
      <c r="L103" s="682">
        <v>248286</v>
      </c>
      <c r="M103" s="28">
        <f t="shared" ref="M103" si="62">+K103/J103</f>
        <v>0.66063483862502204</v>
      </c>
      <c r="N103" s="606">
        <f>N88+N93+N94+N95+N96+N101</f>
        <v>432466</v>
      </c>
      <c r="O103" s="606">
        <f>O88+O93+O94+O95+O96+O101</f>
        <v>213275</v>
      </c>
      <c r="P103" s="639"/>
      <c r="Q103" s="57">
        <f t="shared" si="56"/>
        <v>731618.33936516137</v>
      </c>
      <c r="R103" s="57">
        <f t="shared" si="54"/>
        <v>50867</v>
      </c>
      <c r="S103" s="57">
        <f t="shared" si="55"/>
        <v>35011</v>
      </c>
    </row>
    <row r="104" spans="1:19">
      <c r="B104" s="53"/>
      <c r="C104" s="53"/>
      <c r="D104" s="53"/>
      <c r="E104" s="679"/>
      <c r="F104" s="679"/>
      <c r="G104" s="679"/>
      <c r="H104" s="28"/>
      <c r="I104" s="28"/>
      <c r="J104" s="679"/>
      <c r="K104" s="679"/>
      <c r="L104" s="679"/>
      <c r="M104" s="28"/>
      <c r="N104" s="603"/>
      <c r="O104" s="603"/>
      <c r="P104" s="639"/>
      <c r="Q104" s="51">
        <f t="shared" si="56"/>
        <v>0</v>
      </c>
      <c r="R104" s="51">
        <f t="shared" si="54"/>
        <v>0</v>
      </c>
      <c r="S104" s="51">
        <f t="shared" si="55"/>
        <v>0</v>
      </c>
    </row>
    <row r="105" spans="1:19">
      <c r="B105" s="53" t="s">
        <v>133</v>
      </c>
      <c r="C105" s="53"/>
      <c r="D105" s="53"/>
      <c r="E105" s="680">
        <v>140288</v>
      </c>
      <c r="F105" s="680">
        <v>88367</v>
      </c>
      <c r="G105" s="680">
        <v>51921</v>
      </c>
      <c r="H105" s="28">
        <f t="shared" si="53"/>
        <v>0.62989706888686137</v>
      </c>
      <c r="I105" s="28"/>
      <c r="J105" s="680">
        <v>140288</v>
      </c>
      <c r="K105" s="680">
        <v>88367</v>
      </c>
      <c r="L105" s="680">
        <v>51921</v>
      </c>
      <c r="M105" s="28">
        <f t="shared" ref="M105" si="63">+K105/J105</f>
        <v>0.62989706888686137</v>
      </c>
      <c r="N105" s="604">
        <f>N75-N103</f>
        <v>88496</v>
      </c>
      <c r="O105" s="604">
        <f>O75-O103</f>
        <v>60255</v>
      </c>
      <c r="P105" s="639"/>
      <c r="Q105" s="55">
        <f t="shared" si="56"/>
        <v>140287.37010293111</v>
      </c>
      <c r="R105" s="55">
        <f t="shared" ref="R105:R132" si="64">+F105-N105</f>
        <v>-129</v>
      </c>
      <c r="S105" s="55">
        <f t="shared" ref="S105:S132" si="65">+G105-O105</f>
        <v>-8334</v>
      </c>
    </row>
    <row r="106" spans="1:19">
      <c r="B106" s="53"/>
      <c r="C106" s="53"/>
      <c r="D106" s="53"/>
      <c r="E106" s="679"/>
      <c r="F106" s="679"/>
      <c r="G106" s="679"/>
      <c r="H106" s="28"/>
      <c r="I106" s="28"/>
      <c r="J106" s="679"/>
      <c r="K106" s="679"/>
      <c r="L106" s="679"/>
      <c r="M106" s="28"/>
      <c r="N106" s="603"/>
      <c r="O106" s="603"/>
      <c r="P106" s="639"/>
      <c r="Q106" s="51">
        <f t="shared" si="56"/>
        <v>0</v>
      </c>
      <c r="R106" s="51">
        <f t="shared" si="64"/>
        <v>0</v>
      </c>
      <c r="S106" s="51">
        <f t="shared" si="65"/>
        <v>0</v>
      </c>
    </row>
    <row r="107" spans="1:19">
      <c r="B107" s="53" t="s">
        <v>134</v>
      </c>
      <c r="C107" s="53"/>
      <c r="D107" s="53"/>
      <c r="E107" s="679">
        <v>18789</v>
      </c>
      <c r="F107" s="679">
        <v>16759</v>
      </c>
      <c r="G107" s="679">
        <v>2030</v>
      </c>
      <c r="H107" s="28">
        <f t="shared" si="53"/>
        <v>0.89195806056735327</v>
      </c>
      <c r="I107" s="28"/>
      <c r="J107" s="679">
        <v>18789</v>
      </c>
      <c r="K107" s="679">
        <v>16759</v>
      </c>
      <c r="L107" s="679">
        <v>2030</v>
      </c>
      <c r="M107" s="28">
        <f t="shared" ref="M107:M108" si="66">+K107/J107</f>
        <v>0.89195806056735327</v>
      </c>
      <c r="N107" s="603">
        <v>24008</v>
      </c>
      <c r="O107" s="603">
        <v>10176</v>
      </c>
      <c r="P107" s="639"/>
      <c r="Q107" s="51">
        <f t="shared" si="56"/>
        <v>18788.108041939431</v>
      </c>
      <c r="R107" s="51">
        <f t="shared" si="64"/>
        <v>-7249</v>
      </c>
      <c r="S107" s="51">
        <f t="shared" si="65"/>
        <v>-8146</v>
      </c>
    </row>
    <row r="108" spans="1:19">
      <c r="B108" s="53" t="s">
        <v>135</v>
      </c>
      <c r="C108" s="53"/>
      <c r="D108" s="53"/>
      <c r="E108" s="679">
        <v>10648</v>
      </c>
      <c r="F108" s="679">
        <v>3070</v>
      </c>
      <c r="G108" s="689">
        <v>7578</v>
      </c>
      <c r="H108" s="28">
        <f t="shared" si="53"/>
        <v>0.28831705484598047</v>
      </c>
      <c r="I108" s="28"/>
      <c r="J108" s="679">
        <v>10648</v>
      </c>
      <c r="K108" s="679">
        <v>3070</v>
      </c>
      <c r="L108" s="689">
        <v>7578</v>
      </c>
      <c r="M108" s="28">
        <f t="shared" si="66"/>
        <v>0.28831705484598047</v>
      </c>
      <c r="N108" s="603">
        <v>-7227</v>
      </c>
      <c r="O108" s="603">
        <v>3433</v>
      </c>
      <c r="P108" s="639"/>
      <c r="Q108" s="612">
        <f t="shared" si="56"/>
        <v>10647.711682945153</v>
      </c>
      <c r="R108" s="612">
        <f t="shared" si="64"/>
        <v>10297</v>
      </c>
      <c r="S108" s="612">
        <f t="shared" si="65"/>
        <v>4145</v>
      </c>
    </row>
    <row r="109" spans="1:19">
      <c r="B109" s="53" t="s">
        <v>136</v>
      </c>
      <c r="C109" s="53"/>
      <c r="D109" s="53"/>
      <c r="E109" s="680">
        <v>0</v>
      </c>
      <c r="F109" s="680">
        <v>0</v>
      </c>
      <c r="G109" s="680">
        <v>0</v>
      </c>
      <c r="H109" s="28"/>
      <c r="I109" s="28"/>
      <c r="J109" s="680">
        <v>0</v>
      </c>
      <c r="K109" s="680">
        <v>0</v>
      </c>
      <c r="L109" s="680">
        <v>0</v>
      </c>
      <c r="M109" s="28"/>
      <c r="N109" s="604">
        <v>0</v>
      </c>
      <c r="O109" s="604">
        <v>0</v>
      </c>
      <c r="P109" s="639"/>
      <c r="Q109" s="55">
        <f t="shared" si="56"/>
        <v>0</v>
      </c>
      <c r="R109" s="55">
        <f t="shared" si="64"/>
        <v>0</v>
      </c>
      <c r="S109" s="55">
        <f t="shared" si="65"/>
        <v>0</v>
      </c>
    </row>
    <row r="110" spans="1:19">
      <c r="B110" s="53" t="s">
        <v>137</v>
      </c>
      <c r="C110" s="56"/>
      <c r="D110" s="53"/>
      <c r="E110" s="680">
        <v>29437</v>
      </c>
      <c r="F110" s="680">
        <v>19829</v>
      </c>
      <c r="G110" s="680">
        <v>9608</v>
      </c>
      <c r="H110" s="28">
        <f t="shared" si="53"/>
        <v>0.67360804429799237</v>
      </c>
      <c r="I110" s="28"/>
      <c r="J110" s="680">
        <v>29437</v>
      </c>
      <c r="K110" s="680">
        <v>19829</v>
      </c>
      <c r="L110" s="680">
        <v>9608</v>
      </c>
      <c r="M110" s="28">
        <f t="shared" ref="M110" si="67">+K110/J110</f>
        <v>0.67360804429799237</v>
      </c>
      <c r="N110" s="604">
        <f>N107+N108+N109</f>
        <v>16781</v>
      </c>
      <c r="O110" s="604">
        <f>O107+O108+O109</f>
        <v>13609</v>
      </c>
      <c r="P110" s="639"/>
      <c r="Q110" s="55">
        <f t="shared" si="56"/>
        <v>29436.326391955703</v>
      </c>
      <c r="R110" s="55">
        <f t="shared" si="64"/>
        <v>3048</v>
      </c>
      <c r="S110" s="55">
        <f t="shared" si="65"/>
        <v>-4001</v>
      </c>
    </row>
    <row r="111" spans="1:19">
      <c r="A111" s="37" t="s">
        <v>60</v>
      </c>
      <c r="B111" s="53"/>
      <c r="C111" s="53"/>
      <c r="D111" s="53"/>
      <c r="E111" s="679"/>
      <c r="F111" s="679"/>
      <c r="G111" s="679"/>
      <c r="H111" s="28"/>
      <c r="I111" s="28"/>
      <c r="J111" s="679"/>
      <c r="K111" s="679"/>
      <c r="L111" s="679"/>
      <c r="M111" s="28"/>
      <c r="N111" s="603"/>
      <c r="O111" s="603"/>
      <c r="P111" s="639"/>
      <c r="Q111" s="51">
        <f t="shared" si="56"/>
        <v>0</v>
      </c>
      <c r="R111" s="51">
        <f t="shared" si="64"/>
        <v>0</v>
      </c>
      <c r="S111" s="51">
        <f t="shared" si="65"/>
        <v>0</v>
      </c>
    </row>
    <row r="112" spans="1:19">
      <c r="B112" s="53" t="s">
        <v>61</v>
      </c>
      <c r="C112" s="53"/>
      <c r="D112" s="58"/>
      <c r="E112" s="683">
        <v>110851</v>
      </c>
      <c r="F112" s="683">
        <v>68538</v>
      </c>
      <c r="G112" s="683">
        <v>42313</v>
      </c>
      <c r="H112" s="28">
        <f t="shared" si="53"/>
        <v>0.61828941552173633</v>
      </c>
      <c r="I112" s="28"/>
      <c r="J112" s="683">
        <v>110851</v>
      </c>
      <c r="K112" s="683">
        <v>68538</v>
      </c>
      <c r="L112" s="683">
        <v>42313</v>
      </c>
      <c r="M112" s="28">
        <f t="shared" ref="M112" si="68">+K112/J112</f>
        <v>0.61828941552173633</v>
      </c>
      <c r="N112" s="607">
        <f>N105-N110</f>
        <v>71715</v>
      </c>
      <c r="O112" s="627">
        <f>O105-O110</f>
        <v>46646</v>
      </c>
      <c r="P112" s="639"/>
      <c r="Q112" s="59">
        <f t="shared" si="56"/>
        <v>110850.38171058448</v>
      </c>
      <c r="R112" s="59">
        <f t="shared" si="64"/>
        <v>-3177</v>
      </c>
      <c r="S112" s="59">
        <f t="shared" si="65"/>
        <v>-4333</v>
      </c>
    </row>
    <row r="113" spans="2:19">
      <c r="B113" s="53"/>
      <c r="C113" s="53"/>
      <c r="D113" s="53"/>
      <c r="E113" s="684"/>
      <c r="F113" s="684" t="s">
        <v>566</v>
      </c>
      <c r="G113" s="684" t="s">
        <v>566</v>
      </c>
      <c r="H113" s="28"/>
      <c r="I113" s="28"/>
      <c r="J113" s="684"/>
      <c r="K113" s="684" t="s">
        <v>566</v>
      </c>
      <c r="L113" s="684" t="s">
        <v>566</v>
      </c>
      <c r="M113" s="28"/>
      <c r="N113" s="608" t="str">
        <f>IF(N112=N66,"O.K.","Error")</f>
        <v>O.K.</v>
      </c>
      <c r="O113" s="608" t="str">
        <f>IF(O112=O66,"O.K.","Error")</f>
        <v>O.K.</v>
      </c>
      <c r="P113" s="630"/>
      <c r="Q113" s="60">
        <f t="shared" si="56"/>
        <v>0</v>
      </c>
      <c r="R113" s="60" t="e">
        <f t="shared" si="64"/>
        <v>#VALUE!</v>
      </c>
      <c r="S113" s="60" t="e">
        <f t="shared" si="65"/>
        <v>#VALUE!</v>
      </c>
    </row>
    <row r="114" spans="2:19">
      <c r="B114" s="53"/>
      <c r="C114" s="53"/>
      <c r="D114" s="53"/>
      <c r="E114" s="679"/>
      <c r="F114" s="679"/>
      <c r="G114" s="679"/>
      <c r="H114" s="28"/>
      <c r="I114" s="28"/>
      <c r="J114" s="679"/>
      <c r="K114" s="679"/>
      <c r="L114" s="679"/>
      <c r="M114" s="28"/>
      <c r="N114" s="603"/>
      <c r="O114" s="603"/>
      <c r="P114" s="639"/>
      <c r="Q114" s="51">
        <f t="shared" si="56"/>
        <v>0</v>
      </c>
      <c r="R114" s="51">
        <f t="shared" si="64"/>
        <v>0</v>
      </c>
      <c r="S114" s="51">
        <f t="shared" si="65"/>
        <v>0</v>
      </c>
    </row>
    <row r="115" spans="2:19">
      <c r="B115" s="52" t="s">
        <v>138</v>
      </c>
      <c r="C115" s="56"/>
      <c r="D115" s="52"/>
      <c r="E115" s="679"/>
      <c r="F115" s="679"/>
      <c r="G115" s="679"/>
      <c r="H115" s="28"/>
      <c r="I115" s="28"/>
      <c r="J115" s="679"/>
      <c r="K115" s="679"/>
      <c r="L115" s="679"/>
      <c r="M115" s="28"/>
      <c r="N115" s="603"/>
      <c r="O115" s="603"/>
      <c r="P115" s="639"/>
      <c r="Q115" s="51">
        <f t="shared" si="56"/>
        <v>0</v>
      </c>
      <c r="R115" s="51">
        <f t="shared" si="64"/>
        <v>0</v>
      </c>
      <c r="S115" s="51">
        <f t="shared" si="65"/>
        <v>0</v>
      </c>
    </row>
    <row r="116" spans="2:19">
      <c r="B116" s="53" t="s">
        <v>139</v>
      </c>
      <c r="C116" s="53"/>
      <c r="D116" s="53"/>
      <c r="E116" s="679">
        <v>34522</v>
      </c>
      <c r="F116" s="679">
        <v>22439</v>
      </c>
      <c r="G116" s="679">
        <v>12083</v>
      </c>
      <c r="H116" s="28">
        <f t="shared" si="53"/>
        <v>0.64999130988934595</v>
      </c>
      <c r="I116" s="28"/>
      <c r="J116" s="679">
        <v>34522</v>
      </c>
      <c r="K116" s="679">
        <v>22439</v>
      </c>
      <c r="L116" s="679">
        <v>12083</v>
      </c>
      <c r="M116" s="28">
        <f t="shared" ref="M116" si="69">+K116/J116</f>
        <v>0.64999130988934595</v>
      </c>
      <c r="N116" s="603">
        <v>23458</v>
      </c>
      <c r="O116" s="603">
        <v>11989</v>
      </c>
      <c r="P116" s="639"/>
      <c r="Q116" s="51">
        <f t="shared" si="56"/>
        <v>34521.350008690111</v>
      </c>
      <c r="R116" s="51">
        <f t="shared" si="64"/>
        <v>-1019</v>
      </c>
      <c r="S116" s="51">
        <f t="shared" si="65"/>
        <v>94</v>
      </c>
    </row>
    <row r="117" spans="2:19">
      <c r="B117" s="53" t="s">
        <v>140</v>
      </c>
      <c r="C117" s="53"/>
      <c r="D117" s="53"/>
      <c r="E117" s="679"/>
      <c r="F117" s="679"/>
      <c r="G117" s="679"/>
      <c r="H117" s="28"/>
      <c r="I117" s="28"/>
      <c r="J117" s="679"/>
      <c r="K117" s="679"/>
      <c r="L117" s="679"/>
      <c r="M117" s="28"/>
      <c r="N117" s="603"/>
      <c r="O117" s="603"/>
      <c r="P117" s="639"/>
      <c r="Q117" s="51">
        <f t="shared" si="56"/>
        <v>0</v>
      </c>
      <c r="R117" s="51">
        <f t="shared" si="64"/>
        <v>0</v>
      </c>
      <c r="S117" s="51">
        <f t="shared" si="65"/>
        <v>0</v>
      </c>
    </row>
    <row r="118" spans="2:19">
      <c r="B118" s="53" t="s">
        <v>141</v>
      </c>
      <c r="C118" s="53"/>
      <c r="D118" s="53"/>
      <c r="E118" s="679">
        <v>379133</v>
      </c>
      <c r="F118" s="679">
        <v>244882</v>
      </c>
      <c r="G118" s="679">
        <v>134251</v>
      </c>
      <c r="H118" s="28">
        <f t="shared" si="53"/>
        <v>0.64589998760329492</v>
      </c>
      <c r="I118" s="28"/>
      <c r="J118" s="679">
        <v>379133</v>
      </c>
      <c r="K118" s="679">
        <v>244882</v>
      </c>
      <c r="L118" s="679">
        <v>134251</v>
      </c>
      <c r="M118" s="28">
        <f t="shared" ref="M118:M125" si="70">+K118/J118</f>
        <v>0.64589998760329492</v>
      </c>
      <c r="N118" s="603">
        <v>246714</v>
      </c>
      <c r="O118" s="603">
        <v>128061</v>
      </c>
      <c r="P118" s="639"/>
      <c r="Q118" s="51">
        <f t="shared" si="56"/>
        <v>379132.3541000124</v>
      </c>
      <c r="R118" s="51">
        <f t="shared" si="64"/>
        <v>-1832</v>
      </c>
      <c r="S118" s="51">
        <f t="shared" si="65"/>
        <v>6190</v>
      </c>
    </row>
    <row r="119" spans="2:19">
      <c r="B119" s="53" t="s">
        <v>142</v>
      </c>
      <c r="C119" s="53"/>
      <c r="D119" s="53"/>
      <c r="E119" s="679">
        <v>363848</v>
      </c>
      <c r="F119" s="679">
        <v>235009</v>
      </c>
      <c r="G119" s="679">
        <v>128839</v>
      </c>
      <c r="H119" s="28">
        <f t="shared" si="53"/>
        <v>0.64589883687693761</v>
      </c>
      <c r="I119" s="28"/>
      <c r="J119" s="679">
        <v>363848</v>
      </c>
      <c r="K119" s="679">
        <v>235009</v>
      </c>
      <c r="L119" s="679">
        <v>128839</v>
      </c>
      <c r="M119" s="28">
        <f t="shared" si="70"/>
        <v>0.64589883687693761</v>
      </c>
      <c r="N119" s="603">
        <v>223260</v>
      </c>
      <c r="O119" s="603">
        <v>115886</v>
      </c>
      <c r="P119" s="639"/>
      <c r="Q119" s="51">
        <f t="shared" si="56"/>
        <v>363847.3541011631</v>
      </c>
      <c r="R119" s="51">
        <f t="shared" si="64"/>
        <v>11749</v>
      </c>
      <c r="S119" s="51">
        <f t="shared" si="65"/>
        <v>12953</v>
      </c>
    </row>
    <row r="120" spans="2:19">
      <c r="B120" s="53" t="s">
        <v>143</v>
      </c>
      <c r="C120" s="53"/>
      <c r="D120" s="53"/>
      <c r="E120" s="680">
        <v>272776</v>
      </c>
      <c r="F120" s="680">
        <v>176186</v>
      </c>
      <c r="G120" s="680">
        <v>96590</v>
      </c>
      <c r="H120" s="28">
        <f t="shared" si="53"/>
        <v>0.64589993254538525</v>
      </c>
      <c r="I120" s="28"/>
      <c r="J120" s="680">
        <v>272776</v>
      </c>
      <c r="K120" s="680">
        <v>176186</v>
      </c>
      <c r="L120" s="680">
        <v>96590</v>
      </c>
      <c r="M120" s="28">
        <f t="shared" si="70"/>
        <v>0.64589993254538525</v>
      </c>
      <c r="N120" s="604">
        <v>179991</v>
      </c>
      <c r="O120" s="604">
        <v>93427</v>
      </c>
      <c r="P120" s="639"/>
      <c r="Q120" s="55">
        <f t="shared" si="56"/>
        <v>272775.35410006746</v>
      </c>
      <c r="R120" s="55">
        <f t="shared" si="64"/>
        <v>-3805</v>
      </c>
      <c r="S120" s="55">
        <f t="shared" si="65"/>
        <v>3163</v>
      </c>
    </row>
    <row r="121" spans="2:19">
      <c r="B121" s="53" t="s">
        <v>144</v>
      </c>
      <c r="C121" s="53"/>
      <c r="D121" s="53"/>
      <c r="E121" s="680">
        <v>1015757</v>
      </c>
      <c r="F121" s="680">
        <v>656077</v>
      </c>
      <c r="G121" s="680">
        <v>359680</v>
      </c>
      <c r="H121" s="28">
        <f t="shared" si="53"/>
        <v>0.64589956062325926</v>
      </c>
      <c r="I121" s="28"/>
      <c r="J121" s="680">
        <v>1015757</v>
      </c>
      <c r="K121" s="680">
        <v>656077</v>
      </c>
      <c r="L121" s="680">
        <v>359680</v>
      </c>
      <c r="M121" s="28">
        <f t="shared" si="70"/>
        <v>0.64589956062325926</v>
      </c>
      <c r="N121" s="604">
        <f>SUM(N118:N120)</f>
        <v>649965</v>
      </c>
      <c r="O121" s="604">
        <f>SUM(O118:O120)</f>
        <v>337374</v>
      </c>
      <c r="P121" s="639"/>
      <c r="Q121" s="55">
        <f t="shared" si="56"/>
        <v>1015756.3541004393</v>
      </c>
      <c r="R121" s="55">
        <f t="shared" si="64"/>
        <v>6112</v>
      </c>
      <c r="S121" s="55">
        <f t="shared" si="65"/>
        <v>22306</v>
      </c>
    </row>
    <row r="122" spans="2:19">
      <c r="B122" s="53" t="s">
        <v>145</v>
      </c>
      <c r="C122" s="53"/>
      <c r="D122" s="53"/>
      <c r="E122" s="679">
        <v>442422</v>
      </c>
      <c r="F122" s="679">
        <v>285760</v>
      </c>
      <c r="G122" s="679">
        <v>156662</v>
      </c>
      <c r="H122" s="28">
        <f t="shared" si="53"/>
        <v>0.64589916414644843</v>
      </c>
      <c r="I122" s="28"/>
      <c r="J122" s="679">
        <v>442422</v>
      </c>
      <c r="K122" s="679">
        <v>285760</v>
      </c>
      <c r="L122" s="679">
        <v>156662</v>
      </c>
      <c r="M122" s="28">
        <f t="shared" si="70"/>
        <v>0.64589916414644843</v>
      </c>
      <c r="N122" s="603">
        <v>244435</v>
      </c>
      <c r="O122" s="603">
        <v>126878</v>
      </c>
      <c r="P122" s="639"/>
      <c r="Q122" s="51">
        <f t="shared" si="56"/>
        <v>442421.35410083586</v>
      </c>
      <c r="R122" s="51">
        <f t="shared" si="64"/>
        <v>41325</v>
      </c>
      <c r="S122" s="51">
        <f t="shared" si="65"/>
        <v>29784</v>
      </c>
    </row>
    <row r="123" spans="2:19">
      <c r="B123" s="53" t="s">
        <v>146</v>
      </c>
      <c r="C123" s="53"/>
      <c r="D123" s="53"/>
      <c r="E123" s="679">
        <v>893140</v>
      </c>
      <c r="F123" s="679">
        <v>552007</v>
      </c>
      <c r="G123" s="679">
        <v>341133</v>
      </c>
      <c r="H123" s="28">
        <f t="shared" si="53"/>
        <v>0.61805204111337531</v>
      </c>
      <c r="I123" s="28"/>
      <c r="J123" s="679">
        <v>893140</v>
      </c>
      <c r="K123" s="679">
        <v>552007</v>
      </c>
      <c r="L123" s="679">
        <v>341133</v>
      </c>
      <c r="M123" s="28">
        <f t="shared" si="70"/>
        <v>0.61805204111337531</v>
      </c>
      <c r="N123" s="603">
        <v>502838</v>
      </c>
      <c r="O123" s="603">
        <v>306348</v>
      </c>
      <c r="P123" s="639"/>
      <c r="Q123" s="51">
        <f t="shared" si="56"/>
        <v>893139.38194795884</v>
      </c>
      <c r="R123" s="51">
        <f t="shared" si="64"/>
        <v>49169</v>
      </c>
      <c r="S123" s="51">
        <f t="shared" si="65"/>
        <v>34785</v>
      </c>
    </row>
    <row r="124" spans="2:19">
      <c r="B124" s="53" t="s">
        <v>147</v>
      </c>
      <c r="C124" s="53"/>
      <c r="D124" s="53"/>
      <c r="E124" s="680">
        <v>137854</v>
      </c>
      <c r="F124" s="680">
        <v>88036</v>
      </c>
      <c r="G124" s="680">
        <v>49818</v>
      </c>
      <c r="H124" s="28">
        <f t="shared" si="53"/>
        <v>0.63861766796755992</v>
      </c>
      <c r="I124" s="28"/>
      <c r="J124" s="680">
        <v>137854</v>
      </c>
      <c r="K124" s="680">
        <v>88036</v>
      </c>
      <c r="L124" s="680">
        <v>49818</v>
      </c>
      <c r="M124" s="28">
        <f t="shared" si="70"/>
        <v>0.63861766796755992</v>
      </c>
      <c r="N124" s="604">
        <v>80110</v>
      </c>
      <c r="O124" s="604">
        <v>44649</v>
      </c>
      <c r="P124" s="639"/>
      <c r="Q124" s="55">
        <f t="shared" si="56"/>
        <v>137853.36138233202</v>
      </c>
      <c r="R124" s="55">
        <f t="shared" si="64"/>
        <v>7926</v>
      </c>
      <c r="S124" s="55">
        <f t="shared" si="65"/>
        <v>5169</v>
      </c>
    </row>
    <row r="125" spans="2:19">
      <c r="B125" s="53"/>
      <c r="C125" s="53" t="s">
        <v>148</v>
      </c>
      <c r="D125" s="53"/>
      <c r="E125" s="680">
        <v>2523695</v>
      </c>
      <c r="F125" s="680">
        <v>1604319</v>
      </c>
      <c r="G125" s="680">
        <v>919376</v>
      </c>
      <c r="H125" s="28">
        <f t="shared" si="53"/>
        <v>0.63570241253400273</v>
      </c>
      <c r="I125" s="28"/>
      <c r="J125" s="680">
        <v>2523695</v>
      </c>
      <c r="K125" s="680">
        <v>1604319</v>
      </c>
      <c r="L125" s="680">
        <v>919376</v>
      </c>
      <c r="M125" s="28">
        <f t="shared" si="70"/>
        <v>0.63570241253400273</v>
      </c>
      <c r="N125" s="604">
        <f>N116+SUM(N121:N124)</f>
        <v>1500806</v>
      </c>
      <c r="O125" s="604">
        <f>O116+SUM(O121:O124)</f>
        <v>827238</v>
      </c>
      <c r="P125" s="639"/>
      <c r="Q125" s="55">
        <f t="shared" si="56"/>
        <v>2523694.3642975874</v>
      </c>
      <c r="R125" s="55">
        <f t="shared" si="64"/>
        <v>103513</v>
      </c>
      <c r="S125" s="55">
        <f t="shared" si="65"/>
        <v>92138</v>
      </c>
    </row>
    <row r="126" spans="2:19">
      <c r="B126" s="53"/>
      <c r="C126" s="53"/>
      <c r="D126" s="53"/>
      <c r="E126" s="679"/>
      <c r="F126" s="679"/>
      <c r="G126" s="679"/>
      <c r="H126" s="28"/>
      <c r="I126" s="28"/>
      <c r="J126" s="679"/>
      <c r="K126" s="679"/>
      <c r="L126" s="679"/>
      <c r="M126" s="28"/>
      <c r="N126" s="603"/>
      <c r="O126" s="603"/>
      <c r="P126" s="639"/>
      <c r="Q126" s="51">
        <f t="shared" si="56"/>
        <v>0</v>
      </c>
      <c r="R126" s="51">
        <f t="shared" si="64"/>
        <v>0</v>
      </c>
      <c r="S126" s="51">
        <f t="shared" si="65"/>
        <v>0</v>
      </c>
    </row>
    <row r="127" spans="2:19">
      <c r="B127" s="53" t="s">
        <v>65</v>
      </c>
      <c r="C127" s="53"/>
      <c r="D127" s="53"/>
      <c r="E127" s="679">
        <v>854139</v>
      </c>
      <c r="F127" s="679">
        <v>543584</v>
      </c>
      <c r="G127" s="679">
        <v>310555</v>
      </c>
      <c r="H127" s="28">
        <f t="shared" si="53"/>
        <v>0.63641163791841848</v>
      </c>
      <c r="I127" s="28"/>
      <c r="J127" s="679">
        <v>854139</v>
      </c>
      <c r="K127" s="679">
        <v>543584</v>
      </c>
      <c r="L127" s="679">
        <v>310555</v>
      </c>
      <c r="M127" s="28">
        <f t="shared" ref="M127:M128" si="71">+K127/J127</f>
        <v>0.63641163791841848</v>
      </c>
      <c r="N127" s="603">
        <v>493639</v>
      </c>
      <c r="O127" s="603">
        <v>271665</v>
      </c>
      <c r="P127" s="639"/>
      <c r="Q127" s="51">
        <f t="shared" si="56"/>
        <v>854138.36358836212</v>
      </c>
      <c r="R127" s="51">
        <f t="shared" si="64"/>
        <v>49945</v>
      </c>
      <c r="S127" s="51">
        <f t="shared" si="65"/>
        <v>38890</v>
      </c>
    </row>
    <row r="128" spans="2:19">
      <c r="B128" s="53" t="s">
        <v>149</v>
      </c>
      <c r="C128" s="53"/>
      <c r="D128" s="53"/>
      <c r="E128" s="679">
        <v>10571</v>
      </c>
      <c r="F128" s="679">
        <v>6907</v>
      </c>
      <c r="G128" s="679">
        <v>3664</v>
      </c>
      <c r="H128" s="28">
        <f t="shared" si="53"/>
        <v>0.65339135370352852</v>
      </c>
      <c r="I128" s="28"/>
      <c r="J128" s="679">
        <v>10571</v>
      </c>
      <c r="K128" s="679">
        <v>6907</v>
      </c>
      <c r="L128" s="679">
        <v>3664</v>
      </c>
      <c r="M128" s="28">
        <f t="shared" si="71"/>
        <v>0.65339135370352852</v>
      </c>
      <c r="N128" s="603">
        <v>12960</v>
      </c>
      <c r="O128" s="603">
        <v>6568</v>
      </c>
      <c r="P128" s="639"/>
      <c r="Q128" s="51">
        <f t="shared" si="56"/>
        <v>10570.346608646296</v>
      </c>
      <c r="R128" s="51">
        <f t="shared" si="64"/>
        <v>-6053</v>
      </c>
      <c r="S128" s="51">
        <f t="shared" si="65"/>
        <v>-2904</v>
      </c>
    </row>
    <row r="129" spans="2:19">
      <c r="B129" s="53"/>
      <c r="C129" s="53"/>
      <c r="D129" s="53"/>
      <c r="E129" s="680"/>
      <c r="F129" s="680"/>
      <c r="G129" s="680"/>
      <c r="H129" s="28"/>
      <c r="I129" s="28"/>
      <c r="J129" s="680"/>
      <c r="K129" s="680"/>
      <c r="L129" s="680"/>
      <c r="M129" s="28"/>
      <c r="N129" s="604"/>
      <c r="O129" s="604"/>
      <c r="P129" s="639"/>
      <c r="Q129" s="55">
        <f t="shared" si="56"/>
        <v>0</v>
      </c>
      <c r="R129" s="55">
        <f t="shared" si="64"/>
        <v>0</v>
      </c>
      <c r="S129" s="55">
        <f t="shared" si="65"/>
        <v>0</v>
      </c>
    </row>
    <row r="130" spans="2:19">
      <c r="B130" s="53" t="s">
        <v>150</v>
      </c>
      <c r="C130" s="53"/>
      <c r="D130" s="53"/>
      <c r="E130" s="683">
        <v>1658985</v>
      </c>
      <c r="F130" s="685">
        <v>1053828</v>
      </c>
      <c r="G130" s="685">
        <v>605157</v>
      </c>
      <c r="H130" s="28">
        <f t="shared" si="53"/>
        <v>0.63522454995072286</v>
      </c>
      <c r="I130" s="28"/>
      <c r="J130" s="683">
        <v>1658985</v>
      </c>
      <c r="K130" s="685">
        <v>1053828</v>
      </c>
      <c r="L130" s="685">
        <v>605157</v>
      </c>
      <c r="M130" s="28">
        <f t="shared" ref="M130" si="72">+K130/J130</f>
        <v>0.63522454995072286</v>
      </c>
      <c r="N130" s="609">
        <f>N125-N127-N128</f>
        <v>994207</v>
      </c>
      <c r="O130" s="628">
        <f>O125-O127-O128</f>
        <v>549005</v>
      </c>
      <c r="P130" s="640"/>
      <c r="Q130" s="67">
        <f t="shared" si="56"/>
        <v>1658984.36477545</v>
      </c>
      <c r="R130" s="67">
        <f t="shared" si="64"/>
        <v>59621</v>
      </c>
      <c r="S130" s="67">
        <f t="shared" si="65"/>
        <v>56152</v>
      </c>
    </row>
    <row r="131" spans="2:19">
      <c r="B131" s="53"/>
      <c r="C131" s="53"/>
      <c r="D131" s="53"/>
      <c r="E131" s="681"/>
      <c r="F131" s="684" t="s">
        <v>566</v>
      </c>
      <c r="G131" s="684" t="s">
        <v>566</v>
      </c>
      <c r="J131" s="56"/>
      <c r="K131" s="60" t="str">
        <f>IF(K130=K67,"O.K.","Error")</f>
        <v>O.K.</v>
      </c>
      <c r="L131" s="60"/>
      <c r="M131" s="610"/>
      <c r="N131" s="608" t="str">
        <f>IF(N130=N67,"O.K.","Error")</f>
        <v>O.K.</v>
      </c>
      <c r="O131" s="608" t="str">
        <f>IF(O130=O67,"O.K.","Error")</f>
        <v>O.K.</v>
      </c>
      <c r="P131" s="630"/>
      <c r="Q131" s="60">
        <f t="shared" si="56"/>
        <v>0</v>
      </c>
      <c r="R131" s="60" t="e">
        <f t="shared" si="64"/>
        <v>#VALUE!</v>
      </c>
      <c r="S131" s="60" t="e">
        <f t="shared" si="65"/>
        <v>#VALUE!</v>
      </c>
    </row>
    <row r="132" spans="2:19">
      <c r="M132" s="592"/>
      <c r="N132" s="592"/>
      <c r="O132" s="592"/>
      <c r="Q132" s="31">
        <f t="shared" si="56"/>
        <v>0</v>
      </c>
      <c r="R132" s="31">
        <f t="shared" si="64"/>
        <v>0</v>
      </c>
      <c r="S132" s="31">
        <f t="shared" si="65"/>
        <v>0</v>
      </c>
    </row>
  </sheetData>
  <customSheetViews>
    <customSheetView guid="{A15D1962-B049-11D2-8670-0000832CEEE8}" scale="75" showPageBreaks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6E1B8C45-B07F-11D2-B0DC-0000832CDFF0}" scale="75" showPageBreaks="1" printArea="1" showRuler="0">
      <pageMargins left="1" right="1" top="0.5" bottom="0.5" header="0.5" footer="0.5"/>
      <printOptions horizontalCentered="1"/>
      <pageSetup scale="90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/>
  <dimension ref="A1:H64"/>
  <sheetViews>
    <sheetView workbookViewId="0"/>
  </sheetViews>
  <sheetFormatPr defaultRowHeight="15.75"/>
  <cols>
    <col min="1" max="1" width="5.5" style="34" customWidth="1"/>
    <col min="2" max="2" width="26" style="31" customWidth="1"/>
    <col min="3" max="3" width="12.375" style="31" customWidth="1"/>
    <col min="4" max="4" width="6.625" style="31" customWidth="1"/>
    <col min="5" max="8" width="12.375" style="31" customWidth="1"/>
  </cols>
  <sheetData>
    <row r="1" spans="1:8">
      <c r="A1" s="29" t="s">
        <v>152</v>
      </c>
      <c r="B1" s="30"/>
      <c r="C1" s="29"/>
    </row>
    <row r="2" spans="1:8">
      <c r="A2" s="29" t="s">
        <v>74</v>
      </c>
      <c r="B2" s="30"/>
      <c r="C2" s="29"/>
      <c r="E2" s="29"/>
      <c r="F2" s="34" t="s">
        <v>210</v>
      </c>
      <c r="G2" s="29"/>
    </row>
    <row r="3" spans="1:8">
      <c r="A3" s="30" t="str">
        <f>'DPK-2 Restating Adj Sch 1.2'!$B$5</f>
        <v>Twelve Months Ended September 30, 2008</v>
      </c>
      <c r="B3" s="30"/>
      <c r="C3" s="29"/>
      <c r="E3" s="29"/>
      <c r="F3" s="34" t="s">
        <v>151</v>
      </c>
      <c r="G3" s="29"/>
    </row>
    <row r="4" spans="1:8">
      <c r="A4" s="29" t="s">
        <v>0</v>
      </c>
      <c r="B4" s="30"/>
      <c r="C4" s="29"/>
      <c r="E4" s="32"/>
      <c r="F4" s="78" t="s">
        <v>76</v>
      </c>
      <c r="G4" s="33"/>
    </row>
    <row r="5" spans="1:8">
      <c r="A5" s="34" t="s">
        <v>11</v>
      </c>
    </row>
    <row r="6" spans="1:8">
      <c r="A6" s="34" t="s">
        <v>77</v>
      </c>
      <c r="B6" s="35" t="s">
        <v>30</v>
      </c>
      <c r="C6" s="35"/>
      <c r="D6" s="34"/>
      <c r="E6" s="35" t="s">
        <v>78</v>
      </c>
      <c r="F6" s="35" t="s">
        <v>79</v>
      </c>
      <c r="G6" s="35" t="s">
        <v>71</v>
      </c>
      <c r="H6" s="36" t="s">
        <v>80</v>
      </c>
    </row>
    <row r="7" spans="1:8">
      <c r="B7" s="37" t="s">
        <v>46</v>
      </c>
    </row>
    <row r="8" spans="1:8">
      <c r="A8" s="38">
        <v>1</v>
      </c>
      <c r="B8" s="39" t="s">
        <v>47</v>
      </c>
      <c r="C8" s="40"/>
      <c r="D8" s="40"/>
      <c r="E8" s="41">
        <f>F8+G8</f>
        <v>0</v>
      </c>
      <c r="F8" s="41">
        <v>0</v>
      </c>
      <c r="G8" s="41">
        <v>0</v>
      </c>
      <c r="H8" s="40" t="str">
        <f t="shared" ref="H8:H13" si="0">IF(E8=F8+G8," ","ERROR")</f>
        <v xml:space="preserve"> </v>
      </c>
    </row>
    <row r="9" spans="1:8">
      <c r="A9" s="34">
        <v>2</v>
      </c>
      <c r="B9" s="37" t="s">
        <v>48</v>
      </c>
      <c r="E9" s="42"/>
      <c r="F9" s="42"/>
      <c r="G9" s="42"/>
      <c r="H9" s="40" t="str">
        <f t="shared" si="0"/>
        <v xml:space="preserve"> </v>
      </c>
    </row>
    <row r="10" spans="1:8">
      <c r="A10" s="34">
        <v>3</v>
      </c>
      <c r="B10" s="37" t="s">
        <v>81</v>
      </c>
      <c r="E10" s="42"/>
      <c r="F10" s="42"/>
      <c r="G10" s="42"/>
      <c r="H10" s="40" t="str">
        <f t="shared" si="0"/>
        <v xml:space="preserve"> </v>
      </c>
    </row>
    <row r="11" spans="1:8">
      <c r="A11" s="34">
        <v>4</v>
      </c>
      <c r="B11" s="37" t="s">
        <v>82</v>
      </c>
      <c r="E11" s="43">
        <f>E8+E9+E10</f>
        <v>0</v>
      </c>
      <c r="F11" s="43">
        <f>F8+F9+F10</f>
        <v>0</v>
      </c>
      <c r="G11" s="43">
        <f>G8+G9+G10</f>
        <v>0</v>
      </c>
      <c r="H11" s="40" t="str">
        <f t="shared" si="0"/>
        <v xml:space="preserve"> </v>
      </c>
    </row>
    <row r="12" spans="1:8">
      <c r="A12" s="34">
        <v>5</v>
      </c>
      <c r="B12" s="37" t="s">
        <v>50</v>
      </c>
      <c r="E12" s="42"/>
      <c r="F12" s="42"/>
      <c r="G12" s="42"/>
      <c r="H12" s="40" t="str">
        <f t="shared" si="0"/>
        <v xml:space="preserve"> </v>
      </c>
    </row>
    <row r="13" spans="1:8">
      <c r="A13" s="34">
        <v>6</v>
      </c>
      <c r="B13" s="37" t="s">
        <v>83</v>
      </c>
      <c r="E13" s="43">
        <f>E11+E12</f>
        <v>0</v>
      </c>
      <c r="F13" s="43">
        <f>F11+F12</f>
        <v>0</v>
      </c>
      <c r="G13" s="43">
        <f>G11+G12</f>
        <v>0</v>
      </c>
      <c r="H13" s="40" t="str">
        <f t="shared" si="0"/>
        <v xml:space="preserve"> </v>
      </c>
    </row>
    <row r="14" spans="1:8">
      <c r="E14" s="45"/>
      <c r="F14" s="45"/>
      <c r="G14" s="45"/>
      <c r="H14" s="40"/>
    </row>
    <row r="15" spans="1:8">
      <c r="B15" s="37" t="s">
        <v>51</v>
      </c>
      <c r="E15" s="45"/>
      <c r="F15" s="45"/>
      <c r="G15" s="45"/>
      <c r="H15" s="40"/>
    </row>
    <row r="16" spans="1:8">
      <c r="B16" s="37" t="s">
        <v>52</v>
      </c>
      <c r="E16" s="45"/>
      <c r="F16" s="45"/>
      <c r="G16" s="45"/>
      <c r="H16" s="40"/>
    </row>
    <row r="17" spans="1:8">
      <c r="A17" s="34">
        <v>7</v>
      </c>
      <c r="B17" s="37" t="s">
        <v>84</v>
      </c>
      <c r="E17" s="42">
        <f>F17+G17</f>
        <v>0</v>
      </c>
      <c r="F17" s="42">
        <v>0</v>
      </c>
      <c r="G17" s="42">
        <v>0</v>
      </c>
      <c r="H17" s="40" t="str">
        <f>IF(E17=F17+G17," ","ERROR")</f>
        <v xml:space="preserve"> </v>
      </c>
    </row>
    <row r="18" spans="1:8">
      <c r="A18" s="34">
        <v>8</v>
      </c>
      <c r="B18" s="37" t="s">
        <v>85</v>
      </c>
      <c r="E18" s="42"/>
      <c r="F18" s="42"/>
      <c r="G18" s="42"/>
      <c r="H18" s="40" t="str">
        <f>IF(E18=F18+G18," ","ERROR")</f>
        <v xml:space="preserve"> </v>
      </c>
    </row>
    <row r="19" spans="1:8">
      <c r="A19" s="34">
        <v>9</v>
      </c>
      <c r="B19" s="37" t="s">
        <v>86</v>
      </c>
      <c r="E19" s="42">
        <f>F19+G19</f>
        <v>0</v>
      </c>
      <c r="F19" s="42">
        <v>0</v>
      </c>
      <c r="G19" s="42"/>
      <c r="H19" s="40" t="str">
        <f>IF(E19=F19+G19," ","ERROR")</f>
        <v xml:space="preserve"> </v>
      </c>
    </row>
    <row r="20" spans="1:8">
      <c r="A20" s="34">
        <v>10</v>
      </c>
      <c r="B20" s="37" t="s">
        <v>87</v>
      </c>
      <c r="E20" s="42">
        <f>F20+G20</f>
        <v>0</v>
      </c>
      <c r="F20" s="42"/>
      <c r="G20" s="42"/>
      <c r="H20" s="40" t="str">
        <f>IF(E20=F20+G20," ","ERROR")</f>
        <v xml:space="preserve"> </v>
      </c>
    </row>
    <row r="21" spans="1:8">
      <c r="A21" s="34">
        <v>11</v>
      </c>
      <c r="B21" s="37" t="s">
        <v>88</v>
      </c>
      <c r="E21" s="43">
        <f>E17+E18+E19+E20</f>
        <v>0</v>
      </c>
      <c r="F21" s="43">
        <f>F17+F18+F19+F20</f>
        <v>0</v>
      </c>
      <c r="G21" s="43">
        <f>G17+G18+G19+G20</f>
        <v>0</v>
      </c>
      <c r="H21" s="40" t="str">
        <f>IF(E21=F21+G21," ","ERROR")</f>
        <v xml:space="preserve"> </v>
      </c>
    </row>
    <row r="22" spans="1:8">
      <c r="E22" s="45"/>
      <c r="F22" s="45"/>
      <c r="G22" s="45"/>
      <c r="H22" s="40"/>
    </row>
    <row r="23" spans="1:8">
      <c r="B23" s="37" t="s">
        <v>54</v>
      </c>
      <c r="E23" s="45"/>
      <c r="F23" s="45"/>
      <c r="G23" s="45"/>
      <c r="H23" s="40"/>
    </row>
    <row r="24" spans="1:8">
      <c r="A24" s="34">
        <v>12</v>
      </c>
      <c r="B24" s="37" t="s">
        <v>84</v>
      </c>
      <c r="E24" s="42">
        <f>F24+G24</f>
        <v>0</v>
      </c>
      <c r="F24" s="42">
        <v>0</v>
      </c>
      <c r="G24" s="42">
        <v>0</v>
      </c>
      <c r="H24" s="40" t="str">
        <f>IF(E24=F24+G24," ","ERROR")</f>
        <v xml:space="preserve"> </v>
      </c>
    </row>
    <row r="25" spans="1:8">
      <c r="A25" s="34">
        <v>13</v>
      </c>
      <c r="B25" s="37" t="s">
        <v>89</v>
      </c>
      <c r="E25" s="42"/>
      <c r="F25" s="42"/>
      <c r="G25" s="42"/>
      <c r="H25" s="40" t="str">
        <f>IF(E25=F25+G25," ","ERROR")</f>
        <v xml:space="preserve"> </v>
      </c>
    </row>
    <row r="26" spans="1:8">
      <c r="A26" s="34">
        <v>14</v>
      </c>
      <c r="B26" s="37" t="s">
        <v>87</v>
      </c>
      <c r="E26" s="42">
        <f>F26+G26</f>
        <v>-1</v>
      </c>
      <c r="F26" s="42">
        <v>0</v>
      </c>
      <c r="G26" s="121">
        <v>-1</v>
      </c>
      <c r="H26" s="40" t="str">
        <f>IF(E26=F26+G26," ","ERROR")</f>
        <v xml:space="preserve"> </v>
      </c>
    </row>
    <row r="27" spans="1:8">
      <c r="A27" s="34">
        <v>15</v>
      </c>
      <c r="B27" s="37" t="s">
        <v>90</v>
      </c>
      <c r="E27" s="43">
        <f>E24+E25+E26</f>
        <v>-1</v>
      </c>
      <c r="F27" s="43">
        <f>F24+F25+F26</f>
        <v>0</v>
      </c>
      <c r="G27" s="43">
        <f>G24+G25+G26</f>
        <v>-1</v>
      </c>
      <c r="H27" s="40" t="str">
        <f>IF(E27=F27+G27," ","ERROR")</f>
        <v xml:space="preserve"> </v>
      </c>
    </row>
    <row r="28" spans="1:8">
      <c r="E28" s="45"/>
      <c r="F28" s="45"/>
      <c r="G28" s="45"/>
      <c r="H28" s="40"/>
    </row>
    <row r="29" spans="1:8">
      <c r="A29" s="34">
        <v>16</v>
      </c>
      <c r="B29" s="37" t="s">
        <v>56</v>
      </c>
      <c r="E29" s="42">
        <f>SUM(F29:G29)</f>
        <v>85</v>
      </c>
      <c r="F29" s="42">
        <v>56</v>
      </c>
      <c r="G29" s="42">
        <v>29</v>
      </c>
      <c r="H29" s="40" t="str">
        <f>IF(E29=F29+G29," ","ERROR")</f>
        <v xml:space="preserve"> </v>
      </c>
    </row>
    <row r="30" spans="1:8">
      <c r="A30" s="34">
        <v>17</v>
      </c>
      <c r="B30" s="37" t="s">
        <v>57</v>
      </c>
      <c r="E30" s="42">
        <f>SUM(F30:G30)</f>
        <v>0</v>
      </c>
      <c r="F30" s="42">
        <v>0</v>
      </c>
      <c r="G30" s="42">
        <v>0</v>
      </c>
      <c r="H30" s="40" t="str">
        <f>IF(E30=F30+G30," ","ERROR")</f>
        <v xml:space="preserve"> </v>
      </c>
    </row>
    <row r="31" spans="1:8">
      <c r="A31" s="34">
        <v>18</v>
      </c>
      <c r="B31" s="37" t="s">
        <v>91</v>
      </c>
      <c r="E31" s="42">
        <f>SUM(F31:G31)</f>
        <v>0</v>
      </c>
      <c r="F31" s="42">
        <v>0</v>
      </c>
      <c r="G31" s="42">
        <v>0</v>
      </c>
      <c r="H31" s="40" t="str">
        <f>IF(E31=F31+G31," ","ERROR")</f>
        <v xml:space="preserve"> </v>
      </c>
    </row>
    <row r="32" spans="1:8">
      <c r="E32" s="45"/>
      <c r="F32" s="45"/>
      <c r="G32" s="45"/>
      <c r="H32" s="40"/>
    </row>
    <row r="33" spans="1:8">
      <c r="B33" s="37" t="s">
        <v>58</v>
      </c>
      <c r="E33" s="45"/>
      <c r="F33" s="45"/>
      <c r="G33" s="45"/>
      <c r="H33" s="40"/>
    </row>
    <row r="34" spans="1:8">
      <c r="A34" s="34">
        <v>19</v>
      </c>
      <c r="B34" s="37" t="s">
        <v>84</v>
      </c>
      <c r="E34" s="42">
        <f>SUM(F34:G34)</f>
        <v>265</v>
      </c>
      <c r="F34" s="42">
        <v>173</v>
      </c>
      <c r="G34" s="42">
        <v>92</v>
      </c>
      <c r="H34" s="40" t="str">
        <f>IF(E34=F34+G34," ","ERROR")</f>
        <v xml:space="preserve"> </v>
      </c>
    </row>
    <row r="35" spans="1:8">
      <c r="A35" s="34">
        <v>20</v>
      </c>
      <c r="B35" s="37" t="s">
        <v>89</v>
      </c>
      <c r="E35" s="42"/>
      <c r="F35" s="42"/>
      <c r="G35" s="42"/>
      <c r="H35" s="40" t="str">
        <f>IF(E35=F35+G35," ","ERROR")</f>
        <v xml:space="preserve"> </v>
      </c>
    </row>
    <row r="36" spans="1:8">
      <c r="A36" s="34">
        <v>21</v>
      </c>
      <c r="B36" s="37" t="s">
        <v>87</v>
      </c>
      <c r="E36" s="42"/>
      <c r="F36" s="42"/>
      <c r="G36" s="42"/>
      <c r="H36" s="40" t="str">
        <f>IF(E36=F36+G36," ","ERROR")</f>
        <v xml:space="preserve"> </v>
      </c>
    </row>
    <row r="37" spans="1:8">
      <c r="A37" s="34">
        <v>22</v>
      </c>
      <c r="B37" s="37" t="s">
        <v>92</v>
      </c>
      <c r="E37" s="47">
        <f>E34+E35+E36</f>
        <v>265</v>
      </c>
      <c r="F37" s="47">
        <f>F34+F35+F36</f>
        <v>173</v>
      </c>
      <c r="G37" s="47">
        <f>G34+G35+G36</f>
        <v>92</v>
      </c>
      <c r="H37" s="40" t="str">
        <f>IF(E37=F37+G37," ","ERROR")</f>
        <v xml:space="preserve"> </v>
      </c>
    </row>
    <row r="38" spans="1:8">
      <c r="A38" s="34">
        <v>23</v>
      </c>
      <c r="B38" s="37" t="s">
        <v>59</v>
      </c>
      <c r="E38" s="48">
        <f>E21+E27+E29+E30+E31+E37</f>
        <v>349</v>
      </c>
      <c r="F38" s="48">
        <f>F21+F27+F29+F30+F31+F37</f>
        <v>229</v>
      </c>
      <c r="G38" s="48">
        <f>G21+G27+G29+G30+G31+G37</f>
        <v>120</v>
      </c>
      <c r="H38" s="40" t="str">
        <f>IF(E38=F38+G38," ","ERROR")</f>
        <v xml:space="preserve"> </v>
      </c>
    </row>
    <row r="39" spans="1:8">
      <c r="E39" s="45"/>
      <c r="F39" s="45"/>
      <c r="G39" s="45"/>
      <c r="H39" s="40"/>
    </row>
    <row r="40" spans="1:8">
      <c r="A40" s="34">
        <v>24</v>
      </c>
      <c r="B40" s="37" t="s">
        <v>93</v>
      </c>
      <c r="E40" s="45">
        <f>E13-E38</f>
        <v>-349</v>
      </c>
      <c r="F40" s="45">
        <f>F13-F38</f>
        <v>-229</v>
      </c>
      <c r="G40" s="45">
        <f>G13-G38</f>
        <v>-120</v>
      </c>
      <c r="H40" s="40" t="str">
        <f>IF(E40=F40+G40," ","ERROR")</f>
        <v xml:space="preserve"> </v>
      </c>
    </row>
    <row r="41" spans="1:8">
      <c r="B41" s="37"/>
      <c r="E41" s="45"/>
      <c r="F41" s="45"/>
      <c r="G41" s="45"/>
      <c r="H41" s="40"/>
    </row>
    <row r="42" spans="1:8">
      <c r="B42" s="37" t="s">
        <v>94</v>
      </c>
      <c r="E42" s="45"/>
      <c r="F42" s="45"/>
      <c r="G42" s="45"/>
      <c r="H42" s="40"/>
    </row>
    <row r="43" spans="1:8">
      <c r="A43" s="34">
        <v>25</v>
      </c>
      <c r="B43" s="37" t="s">
        <v>95</v>
      </c>
      <c r="D43" s="49">
        <v>0.35</v>
      </c>
      <c r="E43" s="42">
        <f>F43+G43</f>
        <v>-122</v>
      </c>
      <c r="F43" s="42">
        <f>ROUND(F40*D43,0)</f>
        <v>-80</v>
      </c>
      <c r="G43" s="42">
        <f>ROUND(G40*D43,0)</f>
        <v>-42</v>
      </c>
      <c r="H43" s="40" t="str">
        <f>IF(E43=F43+G43," ","ERROR")</f>
        <v xml:space="preserve"> </v>
      </c>
    </row>
    <row r="44" spans="1:8">
      <c r="A44" s="34">
        <v>26</v>
      </c>
      <c r="B44" s="37" t="s">
        <v>96</v>
      </c>
      <c r="E44" s="42"/>
      <c r="F44" s="42"/>
      <c r="G44" s="42"/>
      <c r="H44" s="40" t="str">
        <f>IF(E44=F44+G44," ","ERROR")</f>
        <v xml:space="preserve"> </v>
      </c>
    </row>
    <row r="45" spans="1:8">
      <c r="A45"/>
      <c r="B45"/>
      <c r="C45"/>
      <c r="D45"/>
      <c r="E45" s="119"/>
      <c r="F45" s="119"/>
      <c r="G45" s="119"/>
      <c r="H45" s="40" t="str">
        <f>IF(E45=F45+G45," ","ERROR")</f>
        <v xml:space="preserve"> </v>
      </c>
    </row>
    <row r="46" spans="1:8">
      <c r="A46" s="70"/>
      <c r="B46" s="71"/>
      <c r="C46" s="69"/>
      <c r="D46" s="69"/>
      <c r="E46" s="75"/>
      <c r="F46" s="75"/>
      <c r="G46" s="75"/>
      <c r="H46" s="40"/>
    </row>
    <row r="47" spans="1:8">
      <c r="A47" s="72">
        <v>27</v>
      </c>
      <c r="B47" s="73" t="s">
        <v>61</v>
      </c>
      <c r="C47" s="74"/>
      <c r="D47" s="74"/>
      <c r="E47" s="76">
        <f>E40-SUM(E43:E44)</f>
        <v>-227</v>
      </c>
      <c r="F47" s="76">
        <f>F40-SUM(F43:F44)</f>
        <v>-149</v>
      </c>
      <c r="G47" s="76">
        <f>G40-SUM(G43:G44)</f>
        <v>-78</v>
      </c>
      <c r="H47" s="40" t="str">
        <f>IF(E47=F47+G47," ","ERROR")</f>
        <v xml:space="preserve"> </v>
      </c>
    </row>
    <row r="48" spans="1:8">
      <c r="A48" s="70"/>
      <c r="H48" s="40"/>
    </row>
    <row r="49" spans="1:8">
      <c r="A49" s="70"/>
      <c r="B49" s="37" t="s">
        <v>62</v>
      </c>
      <c r="H49" s="40"/>
    </row>
    <row r="50" spans="1:8">
      <c r="A50" s="70"/>
      <c r="B50" s="37" t="s">
        <v>63</v>
      </c>
      <c r="H50" s="40"/>
    </row>
    <row r="51" spans="1:8">
      <c r="A51" s="72">
        <v>28</v>
      </c>
      <c r="B51" s="39" t="s">
        <v>98</v>
      </c>
      <c r="C51" s="40"/>
      <c r="D51" s="40"/>
      <c r="E51" s="41"/>
      <c r="F51" s="41"/>
      <c r="G51" s="41"/>
      <c r="H51" s="40" t="str">
        <f t="shared" ref="H51:H61" si="1">IF(E51=F51+G51," ","ERROR")</f>
        <v xml:space="preserve"> </v>
      </c>
    </row>
    <row r="52" spans="1:8">
      <c r="A52" s="70">
        <v>29</v>
      </c>
      <c r="B52" s="37" t="s">
        <v>99</v>
      </c>
      <c r="E52" s="42">
        <f>F52+G52</f>
        <v>0</v>
      </c>
      <c r="F52" s="42"/>
      <c r="G52" s="42"/>
      <c r="H52" s="40" t="str">
        <f t="shared" si="1"/>
        <v xml:space="preserve"> </v>
      </c>
    </row>
    <row r="53" spans="1:8">
      <c r="A53" s="70">
        <v>30</v>
      </c>
      <c r="B53" s="37" t="s">
        <v>100</v>
      </c>
      <c r="E53" s="42"/>
      <c r="F53" s="42"/>
      <c r="G53" s="42"/>
      <c r="H53" s="40" t="str">
        <f t="shared" si="1"/>
        <v xml:space="preserve"> </v>
      </c>
    </row>
    <row r="54" spans="1:8">
      <c r="A54" s="70">
        <v>31</v>
      </c>
      <c r="B54" s="37" t="s">
        <v>101</v>
      </c>
      <c r="E54" s="42"/>
      <c r="F54" s="42"/>
      <c r="G54" s="42"/>
      <c r="H54" s="40" t="str">
        <f t="shared" si="1"/>
        <v xml:space="preserve"> </v>
      </c>
    </row>
    <row r="55" spans="1:8">
      <c r="A55" s="70">
        <v>32</v>
      </c>
      <c r="B55" s="37" t="s">
        <v>102</v>
      </c>
      <c r="E55" s="46"/>
      <c r="F55" s="46"/>
      <c r="G55" s="46"/>
      <c r="H55" s="40" t="str">
        <f t="shared" si="1"/>
        <v xml:space="preserve"> </v>
      </c>
    </row>
    <row r="56" spans="1:8">
      <c r="A56" s="70">
        <v>33</v>
      </c>
      <c r="B56" s="37" t="s">
        <v>103</v>
      </c>
      <c r="E56" s="45">
        <f>E51+E52+E53+E54+E55</f>
        <v>0</v>
      </c>
      <c r="F56" s="45">
        <f>F51+F52+F53+F54+F55</f>
        <v>0</v>
      </c>
      <c r="G56" s="45">
        <f>G51+G52+G53+G54+G55</f>
        <v>0</v>
      </c>
      <c r="H56" s="40" t="str">
        <f t="shared" si="1"/>
        <v xml:space="preserve"> </v>
      </c>
    </row>
    <row r="57" spans="1:8">
      <c r="A57" s="70">
        <v>34</v>
      </c>
      <c r="B57" s="37" t="s">
        <v>65</v>
      </c>
      <c r="E57" s="42">
        <f>F57+G57</f>
        <v>0</v>
      </c>
      <c r="F57" s="42"/>
      <c r="G57" s="42"/>
      <c r="H57" s="40" t="str">
        <f t="shared" si="1"/>
        <v xml:space="preserve"> </v>
      </c>
    </row>
    <row r="58" spans="1:8">
      <c r="A58" s="70">
        <v>35</v>
      </c>
      <c r="B58" s="37" t="s">
        <v>66</v>
      </c>
      <c r="E58" s="46"/>
      <c r="F58" s="46"/>
      <c r="G58" s="46"/>
      <c r="H58" s="40" t="str">
        <f t="shared" si="1"/>
        <v xml:space="preserve"> </v>
      </c>
    </row>
    <row r="59" spans="1:8">
      <c r="A59" s="70">
        <v>36</v>
      </c>
      <c r="B59" s="37" t="s">
        <v>104</v>
      </c>
      <c r="E59" s="45">
        <f>E57+E58</f>
        <v>0</v>
      </c>
      <c r="F59" s="45">
        <f>F57+F58</f>
        <v>0</v>
      </c>
      <c r="G59" s="45">
        <f>G57+G58</f>
        <v>0</v>
      </c>
      <c r="H59" s="40" t="str">
        <f t="shared" si="1"/>
        <v xml:space="preserve"> </v>
      </c>
    </row>
    <row r="60" spans="1:8">
      <c r="A60" s="70">
        <v>37</v>
      </c>
      <c r="B60" s="37" t="s">
        <v>67</v>
      </c>
      <c r="E60" s="42"/>
      <c r="F60" s="42"/>
      <c r="G60" s="42"/>
      <c r="H60" s="40" t="str">
        <f t="shared" si="1"/>
        <v xml:space="preserve"> </v>
      </c>
    </row>
    <row r="61" spans="1:8">
      <c r="A61" s="70">
        <v>38</v>
      </c>
      <c r="B61" s="37" t="s">
        <v>68</v>
      </c>
      <c r="E61" s="46">
        <f>F61+G61</f>
        <v>0</v>
      </c>
      <c r="F61" s="46"/>
      <c r="G61" s="46"/>
      <c r="H61" s="40" t="str">
        <f t="shared" si="1"/>
        <v xml:space="preserve"> </v>
      </c>
    </row>
    <row r="62" spans="1:8" ht="11.25" customHeight="1">
      <c r="A62" s="70"/>
      <c r="H62" s="40"/>
    </row>
    <row r="63" spans="1:8" ht="16.5" thickBot="1">
      <c r="A63" s="72">
        <v>39</v>
      </c>
      <c r="B63" s="39" t="s">
        <v>69</v>
      </c>
      <c r="C63" s="40"/>
      <c r="D63" s="40"/>
      <c r="E63" s="50">
        <f>E56-E59+E60+E61</f>
        <v>0</v>
      </c>
      <c r="F63" s="50">
        <f>F56-F59+F60+F61</f>
        <v>0</v>
      </c>
      <c r="G63" s="50">
        <f>G56-G59+G60+G61</f>
        <v>0</v>
      </c>
      <c r="H63" s="40" t="str">
        <f>IF(E63=F63+G63," ","ERROR")</f>
        <v xml:space="preserve"> </v>
      </c>
    </row>
    <row r="64" spans="1:8" ht="16.5" thickTop="1">
      <c r="A64" s="31"/>
      <c r="B64" s="56"/>
      <c r="C64" s="56"/>
      <c r="D64" s="56"/>
      <c r="E64" s="79"/>
      <c r="F64" s="80"/>
      <c r="G64" s="56"/>
      <c r="H64" s="56"/>
    </row>
  </sheetData>
  <phoneticPr fontId="0" type="noConversion"/>
  <printOptions horizontalCentered="1"/>
  <pageMargins left="1" right="1" top="0.5" bottom="0.5" header="0.5" footer="0.5"/>
  <pageSetup scale="90" orientation="portrait" horizontalDpi="4294967292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7"/>
  </sheetPr>
  <dimension ref="A1:AG111"/>
  <sheetViews>
    <sheetView topLeftCell="B1" workbookViewId="0">
      <pane xSplit="5" ySplit="10" topLeftCell="G11" activePane="bottomRight" state="frozen"/>
      <selection activeCell="J45" sqref="J45"/>
      <selection pane="topRight" activeCell="J45" sqref="J45"/>
      <selection pane="bottomLeft" activeCell="J45" sqref="J45"/>
      <selection pane="bottomRight" activeCell="J45" sqref="J45"/>
    </sheetView>
  </sheetViews>
  <sheetFormatPr defaultRowHeight="12"/>
  <cols>
    <col min="1" max="1" width="9" style="154" customWidth="1"/>
    <col min="2" max="2" width="4.625" style="3" customWidth="1"/>
    <col min="3" max="4" width="1.625" style="2" customWidth="1"/>
    <col min="5" max="5" width="3.25" style="2" customWidth="1"/>
    <col min="6" max="6" width="33.625" style="2" customWidth="1"/>
    <col min="7" max="7" width="16.375" style="100" customWidth="1"/>
    <col min="8" max="8" width="14.25" style="4" customWidth="1"/>
    <col min="9" max="9" width="13.75" style="4" customWidth="1"/>
    <col min="10" max="13" width="11.625" style="4" customWidth="1"/>
    <col min="14" max="14" width="13.75" style="4" customWidth="1"/>
    <col min="15" max="15" width="10.25" style="4" customWidth="1"/>
    <col min="16" max="25" width="13.625" style="4" customWidth="1"/>
    <col min="26" max="27" width="18.25" style="4" customWidth="1"/>
    <col min="28" max="28" width="14.875" style="4" customWidth="1"/>
    <col min="29" max="29" width="13.625" style="4" customWidth="1"/>
    <col min="30" max="30" width="13.25" style="4" customWidth="1"/>
    <col min="31" max="33" width="13.625" style="4" customWidth="1"/>
    <col min="34" max="34" width="6.75" style="2" customWidth="1"/>
    <col min="35" max="38" width="10.625" style="2" customWidth="1"/>
    <col min="39" max="16384" width="9" style="2"/>
  </cols>
  <sheetData>
    <row r="1" spans="1:33" s="154" customFormat="1" ht="12.75" thickBot="1">
      <c r="B1" s="155"/>
      <c r="G1" s="156"/>
      <c r="H1" s="625"/>
      <c r="I1" s="156"/>
      <c r="J1" s="156"/>
      <c r="K1" s="156"/>
      <c r="L1" s="156"/>
      <c r="M1" s="156"/>
      <c r="N1" s="625"/>
      <c r="O1" s="156"/>
      <c r="P1" s="156"/>
      <c r="Q1" s="763"/>
      <c r="R1" s="156"/>
      <c r="S1" s="156"/>
      <c r="T1" s="764"/>
      <c r="U1" s="764"/>
      <c r="V1" s="764"/>
      <c r="W1" s="764"/>
      <c r="X1" s="156"/>
      <c r="Y1" s="156"/>
      <c r="Z1" s="156"/>
      <c r="AA1" s="156"/>
      <c r="AB1" s="625"/>
      <c r="AC1" s="156"/>
      <c r="AD1" s="625"/>
      <c r="AE1" s="156"/>
      <c r="AF1" s="625"/>
      <c r="AG1" s="156"/>
    </row>
    <row r="2" spans="1:33" s="154" customFormat="1" ht="13.5" thickBot="1">
      <c r="B2" s="155"/>
      <c r="F2" s="438" t="s">
        <v>468</v>
      </c>
      <c r="G2" s="156"/>
      <c r="H2" s="583" t="s">
        <v>599</v>
      </c>
      <c r="I2" s="707" t="s">
        <v>602</v>
      </c>
      <c r="J2" s="707" t="s">
        <v>602</v>
      </c>
      <c r="K2" s="707" t="s">
        <v>602</v>
      </c>
      <c r="L2" s="707" t="s">
        <v>602</v>
      </c>
      <c r="M2" s="707" t="s">
        <v>602</v>
      </c>
      <c r="N2" s="583" t="s">
        <v>599</v>
      </c>
      <c r="O2" s="707" t="s">
        <v>602</v>
      </c>
      <c r="P2" s="707" t="s">
        <v>602</v>
      </c>
      <c r="Q2" s="583" t="s">
        <v>599</v>
      </c>
      <c r="R2" s="583" t="s">
        <v>599</v>
      </c>
      <c r="S2" s="583" t="s">
        <v>599</v>
      </c>
      <c r="T2" s="707" t="s">
        <v>602</v>
      </c>
      <c r="U2" s="583" t="s">
        <v>599</v>
      </c>
      <c r="V2" s="583" t="s">
        <v>599</v>
      </c>
      <c r="W2" s="707" t="s">
        <v>602</v>
      </c>
      <c r="X2" s="707" t="s">
        <v>602</v>
      </c>
      <c r="Y2" s="707" t="s">
        <v>602</v>
      </c>
      <c r="Z2" s="707" t="s">
        <v>602</v>
      </c>
      <c r="AA2" s="707" t="s">
        <v>602</v>
      </c>
      <c r="AB2" s="583" t="s">
        <v>599</v>
      </c>
      <c r="AC2" s="710" t="s">
        <v>600</v>
      </c>
      <c r="AD2" s="583" t="s">
        <v>599</v>
      </c>
      <c r="AE2" s="156"/>
      <c r="AF2" s="583" t="s">
        <v>599</v>
      </c>
      <c r="AG2" s="156"/>
    </row>
    <row r="3" spans="1:33">
      <c r="B3" s="1" t="str">
        <f>+'DPK-2 Results Sch1.1'!B3</f>
        <v>Avista Corporation</v>
      </c>
      <c r="F3" s="3"/>
      <c r="G3" s="133"/>
    </row>
    <row r="4" spans="1:33">
      <c r="B4" s="578" t="s">
        <v>634</v>
      </c>
      <c r="F4" s="3"/>
      <c r="G4" s="133"/>
    </row>
    <row r="5" spans="1:33">
      <c r="B5" s="1" t="str">
        <f>+'DPK-2 Results Sch1.1'!B6</f>
        <v>Twelve Months Ended September 30, 2008</v>
      </c>
      <c r="F5" s="3"/>
      <c r="H5" s="125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711"/>
      <c r="V5" s="100"/>
      <c r="W5" s="100"/>
      <c r="X5" s="100"/>
      <c r="Y5" s="125"/>
      <c r="Z5" s="100"/>
      <c r="AA5" s="100"/>
      <c r="AB5" s="100"/>
      <c r="AC5" s="711"/>
      <c r="AD5" s="125"/>
      <c r="AE5" s="125"/>
      <c r="AF5" s="125"/>
      <c r="AG5" s="5"/>
    </row>
    <row r="6" spans="1:33">
      <c r="B6" s="220" t="str">
        <f>+'DPK-2 Results Sch1.1'!B7</f>
        <v>(000's of Dollars)</v>
      </c>
      <c r="F6" s="350" t="s">
        <v>245</v>
      </c>
      <c r="G6" s="350" t="s">
        <v>246</v>
      </c>
      <c r="H6" s="350" t="s">
        <v>247</v>
      </c>
      <c r="I6" s="350" t="s">
        <v>467</v>
      </c>
      <c r="J6" s="350" t="s">
        <v>248</v>
      </c>
      <c r="K6" s="350" t="s">
        <v>249</v>
      </c>
      <c r="L6" s="350" t="s">
        <v>250</v>
      </c>
      <c r="M6" s="350" t="s">
        <v>251</v>
      </c>
      <c r="N6" s="350" t="s">
        <v>252</v>
      </c>
      <c r="O6" s="350" t="s">
        <v>343</v>
      </c>
      <c r="P6" s="350" t="s">
        <v>344</v>
      </c>
      <c r="Q6" s="350" t="s">
        <v>345</v>
      </c>
      <c r="R6" s="350" t="s">
        <v>346</v>
      </c>
      <c r="S6" s="350" t="s">
        <v>347</v>
      </c>
      <c r="T6" s="350" t="s">
        <v>376</v>
      </c>
      <c r="U6" s="350" t="s">
        <v>377</v>
      </c>
      <c r="V6" s="350" t="s">
        <v>378</v>
      </c>
      <c r="W6" s="350" t="s">
        <v>379</v>
      </c>
      <c r="X6" s="350" t="s">
        <v>380</v>
      </c>
      <c r="Y6" s="350" t="s">
        <v>381</v>
      </c>
      <c r="Z6" s="350" t="s">
        <v>382</v>
      </c>
      <c r="AA6" s="350" t="s">
        <v>383</v>
      </c>
      <c r="AB6" s="350" t="s">
        <v>384</v>
      </c>
      <c r="AC6" s="350" t="s">
        <v>385</v>
      </c>
      <c r="AD6" s="350" t="s">
        <v>386</v>
      </c>
      <c r="AE6" s="847" t="s">
        <v>645</v>
      </c>
      <c r="AF6" s="847" t="s">
        <v>645</v>
      </c>
      <c r="AG6" s="5"/>
    </row>
    <row r="7" spans="1:33" s="7" customFormat="1">
      <c r="A7" s="157"/>
      <c r="B7" s="6"/>
      <c r="F7" s="6"/>
      <c r="G7" s="100"/>
      <c r="H7" s="712" t="s">
        <v>293</v>
      </c>
      <c r="I7" s="221" t="s">
        <v>294</v>
      </c>
      <c r="J7" s="221" t="s">
        <v>295</v>
      </c>
      <c r="K7" s="221" t="s">
        <v>296</v>
      </c>
      <c r="L7" s="221" t="s">
        <v>297</v>
      </c>
      <c r="M7" s="221" t="s">
        <v>298</v>
      </c>
      <c r="N7" s="221" t="s">
        <v>299</v>
      </c>
      <c r="O7" s="221" t="s">
        <v>300</v>
      </c>
      <c r="P7" s="221" t="s">
        <v>301</v>
      </c>
      <c r="Q7" s="221" t="s">
        <v>302</v>
      </c>
      <c r="R7" s="221" t="s">
        <v>303</v>
      </c>
      <c r="S7" s="221" t="s">
        <v>304</v>
      </c>
      <c r="T7" s="221" t="s">
        <v>305</v>
      </c>
      <c r="U7" s="221" t="s">
        <v>306</v>
      </c>
      <c r="V7" s="221" t="s">
        <v>307</v>
      </c>
      <c r="W7" s="221" t="s">
        <v>308</v>
      </c>
      <c r="X7" s="221" t="s">
        <v>309</v>
      </c>
      <c r="Y7" s="221" t="s">
        <v>310</v>
      </c>
      <c r="Z7" s="221" t="s">
        <v>348</v>
      </c>
      <c r="AA7" s="221" t="s">
        <v>349</v>
      </c>
      <c r="AB7" s="221" t="s">
        <v>350</v>
      </c>
      <c r="AC7" s="221" t="s">
        <v>351</v>
      </c>
      <c r="AD7" s="221" t="s">
        <v>352</v>
      </c>
      <c r="AE7" s="805" t="s">
        <v>389</v>
      </c>
      <c r="AF7" s="805" t="s">
        <v>471</v>
      </c>
      <c r="AG7" s="5"/>
    </row>
    <row r="8" spans="1:33" s="7" customFormat="1" ht="12" customHeight="1">
      <c r="A8" s="157"/>
      <c r="B8" s="9"/>
      <c r="C8" s="10"/>
      <c r="D8" s="11"/>
      <c r="E8" s="11"/>
      <c r="F8" s="12"/>
      <c r="G8" s="101" t="s">
        <v>161</v>
      </c>
      <c r="H8" s="101" t="s">
        <v>1</v>
      </c>
      <c r="I8" s="101" t="s">
        <v>153</v>
      </c>
      <c r="J8" s="101" t="s">
        <v>2</v>
      </c>
      <c r="K8" s="101" t="s">
        <v>3</v>
      </c>
      <c r="L8" s="101" t="s">
        <v>4</v>
      </c>
      <c r="M8" s="101"/>
      <c r="N8" s="101"/>
      <c r="O8" s="101" t="s">
        <v>5</v>
      </c>
      <c r="P8" s="101" t="s">
        <v>6</v>
      </c>
      <c r="Q8" s="101"/>
      <c r="R8" s="101"/>
      <c r="S8" s="101"/>
      <c r="T8" s="101" t="s">
        <v>7</v>
      </c>
      <c r="U8" s="101"/>
      <c r="V8" s="101" t="s">
        <v>6</v>
      </c>
      <c r="W8" s="101" t="s">
        <v>156</v>
      </c>
      <c r="X8" s="101" t="s">
        <v>6</v>
      </c>
      <c r="Y8" s="101" t="s">
        <v>9</v>
      </c>
      <c r="Z8" s="713" t="s">
        <v>8</v>
      </c>
      <c r="AA8" s="713"/>
      <c r="AB8" s="713"/>
      <c r="AC8" s="101"/>
      <c r="AD8" s="101" t="s">
        <v>8</v>
      </c>
      <c r="AE8" s="849"/>
      <c r="AF8" s="849"/>
    </row>
    <row r="9" spans="1:33" s="7" customFormat="1">
      <c r="A9" s="157"/>
      <c r="B9" s="13" t="s">
        <v>11</v>
      </c>
      <c r="C9" s="14"/>
      <c r="D9" s="15"/>
      <c r="E9" s="15"/>
      <c r="F9" s="16"/>
      <c r="G9" s="123" t="s">
        <v>339</v>
      </c>
      <c r="H9" s="123" t="s">
        <v>12</v>
      </c>
      <c r="I9" s="123" t="s">
        <v>13</v>
      </c>
      <c r="J9" s="123" t="s">
        <v>14</v>
      </c>
      <c r="K9" s="123" t="s">
        <v>15</v>
      </c>
      <c r="L9" s="123" t="s">
        <v>16</v>
      </c>
      <c r="M9" s="123" t="s">
        <v>17</v>
      </c>
      <c r="N9" s="123" t="s">
        <v>55</v>
      </c>
      <c r="O9" s="123" t="s">
        <v>18</v>
      </c>
      <c r="P9" s="123" t="s">
        <v>20</v>
      </c>
      <c r="Q9" s="123" t="s">
        <v>21</v>
      </c>
      <c r="R9" s="123" t="s">
        <v>22</v>
      </c>
      <c r="S9" s="123" t="s">
        <v>23</v>
      </c>
      <c r="T9" s="123" t="s">
        <v>24</v>
      </c>
      <c r="U9" s="123"/>
      <c r="V9" s="123" t="s">
        <v>154</v>
      </c>
      <c r="W9" s="123" t="s">
        <v>5</v>
      </c>
      <c r="X9" s="123" t="s">
        <v>26</v>
      </c>
      <c r="Y9" s="123" t="s">
        <v>27</v>
      </c>
      <c r="Z9" s="714" t="s">
        <v>220</v>
      </c>
      <c r="AA9" s="123" t="s">
        <v>217</v>
      </c>
      <c r="AB9" s="714" t="s">
        <v>211</v>
      </c>
      <c r="AC9" s="123" t="s">
        <v>567</v>
      </c>
      <c r="AD9" s="123" t="s">
        <v>25</v>
      </c>
      <c r="AE9" s="850" t="s">
        <v>17</v>
      </c>
      <c r="AF9" s="850" t="s">
        <v>604</v>
      </c>
    </row>
    <row r="10" spans="1:33" s="7" customFormat="1">
      <c r="A10" s="157"/>
      <c r="B10" s="18" t="s">
        <v>29</v>
      </c>
      <c r="C10" s="19"/>
      <c r="D10" s="20"/>
      <c r="E10" s="20"/>
      <c r="F10" s="21" t="s">
        <v>30</v>
      </c>
      <c r="G10" s="124" t="s">
        <v>165</v>
      </c>
      <c r="H10" s="124" t="s">
        <v>31</v>
      </c>
      <c r="I10" s="124" t="s">
        <v>32</v>
      </c>
      <c r="J10" s="124" t="s">
        <v>33</v>
      </c>
      <c r="K10" s="124" t="s">
        <v>14</v>
      </c>
      <c r="L10" s="124" t="s">
        <v>34</v>
      </c>
      <c r="M10" s="124" t="s">
        <v>35</v>
      </c>
      <c r="N10" s="124" t="s">
        <v>511</v>
      </c>
      <c r="O10" s="124" t="s">
        <v>19</v>
      </c>
      <c r="P10" s="124" t="s">
        <v>38</v>
      </c>
      <c r="Q10" s="124" t="s">
        <v>39</v>
      </c>
      <c r="R10" s="124" t="s">
        <v>40</v>
      </c>
      <c r="S10" s="124" t="s">
        <v>40</v>
      </c>
      <c r="T10" s="124" t="s">
        <v>41</v>
      </c>
      <c r="U10" s="124" t="s">
        <v>42</v>
      </c>
      <c r="V10" s="124" t="s">
        <v>155</v>
      </c>
      <c r="W10" s="124" t="s">
        <v>36</v>
      </c>
      <c r="X10" s="124" t="s">
        <v>45</v>
      </c>
      <c r="Y10" s="124" t="s">
        <v>544</v>
      </c>
      <c r="Z10" s="715" t="s">
        <v>38</v>
      </c>
      <c r="AA10" s="124" t="s">
        <v>218</v>
      </c>
      <c r="AB10" s="124" t="s">
        <v>170</v>
      </c>
      <c r="AC10" s="124" t="s">
        <v>339</v>
      </c>
      <c r="AD10" s="124" t="s">
        <v>43</v>
      </c>
      <c r="AE10" s="804" t="s">
        <v>469</v>
      </c>
      <c r="AF10" s="804" t="s">
        <v>605</v>
      </c>
    </row>
    <row r="11" spans="1:33" s="68" customFormat="1">
      <c r="A11" s="158"/>
      <c r="B11" s="545"/>
      <c r="F11" s="222" t="s">
        <v>342</v>
      </c>
      <c r="G11" s="351" t="s">
        <v>387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4"/>
      <c r="V11" s="134"/>
      <c r="W11" s="125"/>
      <c r="X11" s="125"/>
      <c r="Y11" s="125"/>
      <c r="Z11" s="125"/>
      <c r="AA11" s="125"/>
      <c r="AB11" s="125"/>
      <c r="AC11" s="134"/>
      <c r="AD11" s="134"/>
      <c r="AE11" s="837" t="s">
        <v>568</v>
      </c>
      <c r="AF11" s="837" t="s">
        <v>568</v>
      </c>
    </row>
    <row r="12" spans="1:33">
      <c r="B12" s="168"/>
      <c r="C12" s="874" t="s">
        <v>241</v>
      </c>
      <c r="D12" s="874"/>
      <c r="E12" s="874"/>
      <c r="F12" s="875"/>
      <c r="G12" s="4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35"/>
      <c r="V12" s="100"/>
      <c r="W12" s="100"/>
      <c r="X12" s="100"/>
      <c r="Y12" s="100"/>
      <c r="Z12" s="100"/>
      <c r="AA12" s="100"/>
      <c r="AB12" s="100"/>
      <c r="AC12" s="135"/>
      <c r="AD12" s="135"/>
      <c r="AE12" s="100"/>
      <c r="AF12" s="100"/>
      <c r="AG12" s="2"/>
    </row>
    <row r="13" spans="1:33">
      <c r="B13" s="546"/>
      <c r="C13" s="2" t="s">
        <v>172</v>
      </c>
      <c r="F13" s="162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35"/>
      <c r="V13" s="100"/>
      <c r="W13" s="100"/>
      <c r="X13" s="100"/>
      <c r="Y13" s="100"/>
      <c r="Z13" s="100"/>
      <c r="AA13" s="100"/>
      <c r="AB13" s="100"/>
      <c r="AC13" s="135"/>
      <c r="AD13" s="135"/>
      <c r="AE13" s="100"/>
      <c r="AF13" s="100"/>
      <c r="AG13" s="2"/>
    </row>
    <row r="14" spans="1:33" s="25" customFormat="1">
      <c r="A14" s="159"/>
      <c r="B14" s="542">
        <v>1</v>
      </c>
      <c r="C14" s="25" t="s">
        <v>173</v>
      </c>
      <c r="F14" s="169"/>
      <c r="G14" s="126">
        <f t="shared" ref="G14:G19" si="0">SUM(H14:AF14)</f>
        <v>-17696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-13744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-32702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28750</v>
      </c>
      <c r="AC14" s="63"/>
      <c r="AD14" s="63"/>
      <c r="AE14" s="63"/>
      <c r="AF14" s="63"/>
    </row>
    <row r="15" spans="1:33" s="26" customFormat="1">
      <c r="A15" s="160"/>
      <c r="B15" s="542">
        <f>1+B14</f>
        <v>2</v>
      </c>
      <c r="C15" s="26" t="s">
        <v>174</v>
      </c>
      <c r="F15" s="173"/>
      <c r="G15" s="127">
        <f t="shared" si="0"/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/>
      <c r="AD15" s="674"/>
      <c r="AE15" s="674"/>
      <c r="AF15" s="674"/>
    </row>
    <row r="16" spans="1:33" s="26" customFormat="1">
      <c r="A16" s="160"/>
      <c r="B16" s="542">
        <f t="shared" ref="B16:B71" si="1">1+B15</f>
        <v>3</v>
      </c>
      <c r="C16" s="26" t="s">
        <v>175</v>
      </c>
      <c r="F16" s="173"/>
      <c r="G16" s="128">
        <f t="shared" si="0"/>
        <v>0</v>
      </c>
      <c r="H16" s="62">
        <v>0</v>
      </c>
      <c r="I16" s="62"/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/>
      <c r="AD16" s="62"/>
      <c r="AE16" s="62"/>
      <c r="AF16" s="62"/>
    </row>
    <row r="17" spans="1:32" s="26" customFormat="1">
      <c r="A17" s="160"/>
      <c r="B17" s="542">
        <f t="shared" si="1"/>
        <v>4</v>
      </c>
      <c r="D17" s="26" t="s">
        <v>176</v>
      </c>
      <c r="F17" s="162"/>
      <c r="G17" s="129">
        <f t="shared" si="0"/>
        <v>-17696</v>
      </c>
      <c r="H17" s="26">
        <f t="shared" ref="H17:O17" si="2">SUM(H14:H16)</f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ref="P17:U17" si="3">SUM(P14:P16)</f>
        <v>-13744</v>
      </c>
      <c r="Q17" s="26">
        <f t="shared" si="3"/>
        <v>0</v>
      </c>
      <c r="R17" s="26">
        <f t="shared" si="3"/>
        <v>0</v>
      </c>
      <c r="S17" s="26">
        <f t="shared" si="3"/>
        <v>0</v>
      </c>
      <c r="T17" s="26">
        <f t="shared" si="3"/>
        <v>0</v>
      </c>
      <c r="U17" s="26">
        <f t="shared" si="3"/>
        <v>0</v>
      </c>
      <c r="V17" s="26">
        <f t="shared" ref="V17:AC17" si="4">SUM(V14:V16)</f>
        <v>-32702</v>
      </c>
      <c r="W17" s="26">
        <f t="shared" si="4"/>
        <v>0</v>
      </c>
      <c r="X17" s="26">
        <f t="shared" si="4"/>
        <v>0</v>
      </c>
      <c r="Y17" s="26">
        <f t="shared" si="4"/>
        <v>0</v>
      </c>
      <c r="Z17" s="26">
        <f t="shared" si="4"/>
        <v>0</v>
      </c>
      <c r="AA17" s="26">
        <f>SUM(AA14:AA16)</f>
        <v>0</v>
      </c>
      <c r="AB17" s="26">
        <f>SUM(AB14:AB16)</f>
        <v>28750</v>
      </c>
      <c r="AC17" s="26">
        <f t="shared" si="4"/>
        <v>0</v>
      </c>
      <c r="AD17" s="26">
        <f t="shared" ref="AD17:AF17" si="5">SUM(AD14:AD16)</f>
        <v>0</v>
      </c>
      <c r="AE17" s="26">
        <f t="shared" si="5"/>
        <v>0</v>
      </c>
      <c r="AF17" s="26">
        <f t="shared" si="5"/>
        <v>0</v>
      </c>
    </row>
    <row r="18" spans="1:32" s="26" customFormat="1">
      <c r="A18" s="160"/>
      <c r="B18" s="542">
        <f t="shared" si="1"/>
        <v>5</v>
      </c>
      <c r="C18" s="26" t="s">
        <v>177</v>
      </c>
      <c r="F18" s="173"/>
      <c r="G18" s="128">
        <f t="shared" si="0"/>
        <v>416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-16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432</v>
      </c>
      <c r="AC18" s="62"/>
      <c r="AD18" s="62"/>
      <c r="AE18" s="62"/>
      <c r="AF18" s="62"/>
    </row>
    <row r="19" spans="1:32" s="26" customFormat="1">
      <c r="A19" s="160"/>
      <c r="B19" s="542">
        <f t="shared" si="1"/>
        <v>6</v>
      </c>
      <c r="D19" s="26" t="s">
        <v>178</v>
      </c>
      <c r="F19" s="173"/>
      <c r="G19" s="129">
        <f t="shared" si="0"/>
        <v>-17280</v>
      </c>
      <c r="H19" s="26">
        <f t="shared" ref="H19:O19" si="6">SUM(H17:H18)</f>
        <v>0</v>
      </c>
      <c r="I19" s="26">
        <f t="shared" si="6"/>
        <v>0</v>
      </c>
      <c r="J19" s="26">
        <f t="shared" si="6"/>
        <v>0</v>
      </c>
      <c r="K19" s="26">
        <f t="shared" si="6"/>
        <v>0</v>
      </c>
      <c r="L19" s="26">
        <f t="shared" si="6"/>
        <v>0</v>
      </c>
      <c r="M19" s="26">
        <f t="shared" si="6"/>
        <v>0</v>
      </c>
      <c r="N19" s="26">
        <f t="shared" si="6"/>
        <v>0</v>
      </c>
      <c r="O19" s="26">
        <f t="shared" si="6"/>
        <v>0</v>
      </c>
      <c r="P19" s="26">
        <f t="shared" ref="P19:U19" si="7">SUM(P17:P18)</f>
        <v>-13760</v>
      </c>
      <c r="Q19" s="26">
        <f t="shared" si="7"/>
        <v>0</v>
      </c>
      <c r="R19" s="26">
        <f t="shared" si="7"/>
        <v>0</v>
      </c>
      <c r="S19" s="26">
        <f t="shared" si="7"/>
        <v>0</v>
      </c>
      <c r="T19" s="26">
        <f t="shared" si="7"/>
        <v>0</v>
      </c>
      <c r="U19" s="26">
        <f t="shared" si="7"/>
        <v>0</v>
      </c>
      <c r="V19" s="26">
        <f t="shared" ref="V19:AC19" si="8">SUM(V17:V18)</f>
        <v>-32702</v>
      </c>
      <c r="W19" s="26">
        <f t="shared" si="8"/>
        <v>0</v>
      </c>
      <c r="X19" s="26">
        <f t="shared" si="8"/>
        <v>0</v>
      </c>
      <c r="Y19" s="26">
        <f t="shared" si="8"/>
        <v>0</v>
      </c>
      <c r="Z19" s="26">
        <f t="shared" si="8"/>
        <v>0</v>
      </c>
      <c r="AA19" s="26">
        <f>SUM(AA17:AA18)</f>
        <v>0</v>
      </c>
      <c r="AB19" s="26">
        <f>SUM(AB17:AB18)</f>
        <v>29182</v>
      </c>
      <c r="AC19" s="26">
        <f t="shared" si="8"/>
        <v>0</v>
      </c>
      <c r="AD19" s="26">
        <f t="shared" ref="AD19:AF19" si="9">SUM(AD17:AD18)</f>
        <v>0</v>
      </c>
      <c r="AE19" s="26">
        <f t="shared" si="9"/>
        <v>0</v>
      </c>
      <c r="AF19" s="26">
        <f t="shared" si="9"/>
        <v>0</v>
      </c>
    </row>
    <row r="20" spans="1:32" s="26" customFormat="1">
      <c r="A20" s="160"/>
      <c r="B20" s="542">
        <f t="shared" si="1"/>
        <v>7</v>
      </c>
      <c r="F20" s="173"/>
      <c r="G20" s="127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74"/>
      <c r="AE20" s="674"/>
      <c r="AF20" s="674"/>
    </row>
    <row r="21" spans="1:32" s="26" customFormat="1">
      <c r="A21" s="160"/>
      <c r="B21" s="542">
        <f t="shared" si="1"/>
        <v>8</v>
      </c>
      <c r="C21" s="26" t="s">
        <v>51</v>
      </c>
      <c r="F21" s="173"/>
      <c r="G21" s="127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74"/>
      <c r="AE21" s="674"/>
      <c r="AF21" s="674"/>
    </row>
    <row r="22" spans="1:32" s="26" customFormat="1">
      <c r="A22" s="160"/>
      <c r="B22" s="542">
        <f t="shared" si="1"/>
        <v>9</v>
      </c>
      <c r="C22" s="26" t="s">
        <v>179</v>
      </c>
      <c r="F22" s="173"/>
      <c r="G22" s="127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74"/>
      <c r="AE22" s="674"/>
      <c r="AF22" s="674"/>
    </row>
    <row r="23" spans="1:32" s="26" customFormat="1">
      <c r="A23" s="160"/>
      <c r="B23" s="542">
        <f t="shared" si="1"/>
        <v>10</v>
      </c>
      <c r="D23" s="26" t="s">
        <v>180</v>
      </c>
      <c r="F23" s="173"/>
      <c r="G23" s="127">
        <f>SUM(H23:AF23)</f>
        <v>-17729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127">
        <v>-17668</v>
      </c>
      <c r="W23" s="61">
        <v>9</v>
      </c>
      <c r="X23" s="61">
        <v>0</v>
      </c>
      <c r="Y23" s="61">
        <v>0</v>
      </c>
      <c r="Z23" s="61">
        <v>0</v>
      </c>
      <c r="AA23" s="61">
        <v>0</v>
      </c>
      <c r="AB23" s="61">
        <v>-70</v>
      </c>
      <c r="AC23" s="61"/>
      <c r="AD23" s="674"/>
      <c r="AE23" s="674"/>
      <c r="AF23" s="674"/>
    </row>
    <row r="24" spans="1:32" s="26" customFormat="1">
      <c r="A24" s="160"/>
      <c r="B24" s="542">
        <f t="shared" si="1"/>
        <v>11</v>
      </c>
      <c r="D24" s="26" t="s">
        <v>181</v>
      </c>
      <c r="F24" s="173"/>
      <c r="G24" s="127">
        <f>SUM(H24:AF24)</f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/>
      <c r="AD24" s="674"/>
      <c r="AE24" s="674"/>
      <c r="AF24" s="674"/>
    </row>
    <row r="25" spans="1:32" s="26" customFormat="1">
      <c r="A25" s="160"/>
      <c r="B25" s="542">
        <f t="shared" si="1"/>
        <v>12</v>
      </c>
      <c r="D25" s="26" t="s">
        <v>182</v>
      </c>
      <c r="F25" s="173"/>
      <c r="G25" s="127">
        <f>SUM(H25:AF25)</f>
        <v>1801</v>
      </c>
      <c r="H25" s="61">
        <v>0</v>
      </c>
      <c r="I25" s="61">
        <v>0</v>
      </c>
      <c r="J25" s="61">
        <v>-202</v>
      </c>
      <c r="K25" s="61">
        <v>0</v>
      </c>
      <c r="L25" s="61">
        <v>0</v>
      </c>
      <c r="M25" s="61">
        <v>0</v>
      </c>
      <c r="N25" s="61">
        <v>-685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2688</v>
      </c>
      <c r="AC25" s="61"/>
      <c r="AD25" s="674"/>
      <c r="AE25" s="674"/>
      <c r="AF25" s="674"/>
    </row>
    <row r="26" spans="1:32" s="26" customFormat="1">
      <c r="A26" s="160"/>
      <c r="B26" s="542">
        <f t="shared" si="1"/>
        <v>13</v>
      </c>
      <c r="D26" s="26" t="s">
        <v>183</v>
      </c>
      <c r="F26" s="173"/>
      <c r="G26" s="128">
        <f>SUM(H26:AF26)</f>
        <v>1373.9480000000001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1373.9480000000001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/>
      <c r="AD26" s="62"/>
      <c r="AE26" s="62"/>
      <c r="AF26" s="62"/>
    </row>
    <row r="27" spans="1:32" s="26" customFormat="1">
      <c r="A27" s="160"/>
      <c r="B27" s="542">
        <f t="shared" si="1"/>
        <v>14</v>
      </c>
      <c r="E27" s="26" t="s">
        <v>184</v>
      </c>
      <c r="F27" s="173"/>
      <c r="G27" s="129">
        <f t="shared" ref="G27:O27" si="10">SUM(G23:G26)</f>
        <v>-14554.052</v>
      </c>
      <c r="H27" s="26">
        <f t="shared" si="10"/>
        <v>0</v>
      </c>
      <c r="I27" s="26">
        <f t="shared" si="10"/>
        <v>0</v>
      </c>
      <c r="J27" s="26">
        <v>-202</v>
      </c>
      <c r="K27" s="26">
        <f t="shared" si="10"/>
        <v>0</v>
      </c>
      <c r="L27" s="26">
        <f t="shared" si="10"/>
        <v>0</v>
      </c>
      <c r="M27" s="26">
        <f t="shared" si="10"/>
        <v>0</v>
      </c>
      <c r="N27" s="26">
        <f t="shared" si="10"/>
        <v>-685</v>
      </c>
      <c r="O27" s="26">
        <f t="shared" si="10"/>
        <v>0</v>
      </c>
      <c r="P27" s="26">
        <f t="shared" ref="P27:U27" si="11">SUM(P23:P26)</f>
        <v>0</v>
      </c>
      <c r="Q27" s="26">
        <f t="shared" si="11"/>
        <v>1373.9480000000001</v>
      </c>
      <c r="R27" s="26">
        <f t="shared" si="11"/>
        <v>0</v>
      </c>
      <c r="S27" s="26">
        <f t="shared" si="11"/>
        <v>0</v>
      </c>
      <c r="T27" s="26">
        <f t="shared" si="11"/>
        <v>0</v>
      </c>
      <c r="U27" s="26">
        <f t="shared" si="11"/>
        <v>0</v>
      </c>
      <c r="V27" s="26">
        <f t="shared" ref="V27:AC27" si="12">SUM(V23:V26)</f>
        <v>-17668</v>
      </c>
      <c r="W27" s="26">
        <f t="shared" si="12"/>
        <v>9</v>
      </c>
      <c r="X27" s="26">
        <f t="shared" si="12"/>
        <v>0</v>
      </c>
      <c r="Y27" s="26">
        <f t="shared" si="12"/>
        <v>0</v>
      </c>
      <c r="Z27" s="26">
        <f t="shared" si="12"/>
        <v>0</v>
      </c>
      <c r="AA27" s="26">
        <f>SUM(AA23:AA26)</f>
        <v>0</v>
      </c>
      <c r="AB27" s="26">
        <f>SUM(AB23:AB26)</f>
        <v>2618</v>
      </c>
      <c r="AC27" s="26">
        <f t="shared" si="12"/>
        <v>0</v>
      </c>
      <c r="AD27" s="26">
        <f t="shared" ref="AD27:AF27" si="13">SUM(AD23:AD26)</f>
        <v>0</v>
      </c>
      <c r="AE27" s="26">
        <f t="shared" si="13"/>
        <v>0</v>
      </c>
      <c r="AF27" s="26">
        <f t="shared" si="13"/>
        <v>0</v>
      </c>
    </row>
    <row r="28" spans="1:32" s="26" customFormat="1">
      <c r="A28" s="160"/>
      <c r="B28" s="542">
        <f t="shared" si="1"/>
        <v>15</v>
      </c>
      <c r="F28" s="173"/>
      <c r="G28" s="127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74"/>
      <c r="AE28" s="674"/>
      <c r="AF28" s="674"/>
    </row>
    <row r="29" spans="1:32" s="26" customFormat="1">
      <c r="A29" s="160"/>
      <c r="B29" s="542">
        <f t="shared" si="1"/>
        <v>16</v>
      </c>
      <c r="C29" s="26" t="s">
        <v>185</v>
      </c>
      <c r="F29" s="173"/>
      <c r="G29" s="127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74"/>
      <c r="AE29" s="674"/>
      <c r="AF29" s="674"/>
    </row>
    <row r="30" spans="1:32" s="26" customFormat="1">
      <c r="A30" s="160"/>
      <c r="B30" s="542">
        <f t="shared" si="1"/>
        <v>17</v>
      </c>
      <c r="D30" s="26" t="s">
        <v>180</v>
      </c>
      <c r="F30" s="173"/>
      <c r="G30" s="127">
        <f>SUM(H30:AF30)</f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/>
      <c r="AD30" s="674"/>
      <c r="AE30" s="674"/>
      <c r="AF30" s="674"/>
    </row>
    <row r="31" spans="1:32" s="26" customFormat="1">
      <c r="A31" s="160"/>
      <c r="B31" s="542">
        <f t="shared" si="1"/>
        <v>18</v>
      </c>
      <c r="D31" s="26" t="s">
        <v>186</v>
      </c>
      <c r="F31" s="173"/>
      <c r="G31" s="127">
        <f>SUM(H31:AF31)</f>
        <v>735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857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-122</v>
      </c>
      <c r="AB31" s="61">
        <v>0</v>
      </c>
      <c r="AC31" s="61"/>
      <c r="AD31" s="674"/>
      <c r="AE31" s="674"/>
      <c r="AF31" s="674"/>
    </row>
    <row r="32" spans="1:32" s="26" customFormat="1">
      <c r="A32" s="160"/>
      <c r="B32" s="542">
        <f t="shared" si="1"/>
        <v>19</v>
      </c>
      <c r="D32" s="26" t="s">
        <v>183</v>
      </c>
      <c r="F32" s="173"/>
      <c r="G32" s="128">
        <f>SUM(H32:AF32)</f>
        <v>-15002.85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-13726</v>
      </c>
      <c r="Q32" s="62">
        <v>-1172.8499999999999</v>
      </c>
      <c r="R32" s="62">
        <v>0</v>
      </c>
      <c r="S32" s="62">
        <v>0</v>
      </c>
      <c r="T32" s="62">
        <v>0</v>
      </c>
      <c r="U32" s="62">
        <v>0</v>
      </c>
      <c r="V32" s="62">
        <v>-1262</v>
      </c>
      <c r="W32" s="62">
        <v>0</v>
      </c>
      <c r="X32" s="62">
        <v>0</v>
      </c>
      <c r="Y32" s="62">
        <v>0</v>
      </c>
      <c r="Z32" s="62">
        <v>31</v>
      </c>
      <c r="AA32" s="62">
        <v>0</v>
      </c>
      <c r="AB32" s="62">
        <v>1127</v>
      </c>
      <c r="AC32" s="62"/>
      <c r="AD32" s="62"/>
      <c r="AE32" s="62"/>
      <c r="AF32" s="62"/>
    </row>
    <row r="33" spans="1:32" s="26" customFormat="1">
      <c r="A33" s="160"/>
      <c r="B33" s="542">
        <f t="shared" si="1"/>
        <v>20</v>
      </c>
      <c r="E33" s="26" t="s">
        <v>187</v>
      </c>
      <c r="F33" s="173"/>
      <c r="G33" s="129">
        <f t="shared" ref="G33:O33" si="14">SUM(G30:G32)</f>
        <v>-14267.85</v>
      </c>
      <c r="H33" s="26">
        <f t="shared" si="14"/>
        <v>0</v>
      </c>
      <c r="I33" s="26">
        <f t="shared" si="14"/>
        <v>0</v>
      </c>
      <c r="J33" s="26">
        <f t="shared" si="14"/>
        <v>0</v>
      </c>
      <c r="K33" s="26">
        <f t="shared" si="14"/>
        <v>0</v>
      </c>
      <c r="L33" s="26">
        <f t="shared" si="14"/>
        <v>0</v>
      </c>
      <c r="M33" s="26">
        <f t="shared" si="14"/>
        <v>0</v>
      </c>
      <c r="N33" s="26">
        <f t="shared" si="14"/>
        <v>857</v>
      </c>
      <c r="O33" s="26">
        <f t="shared" si="14"/>
        <v>0</v>
      </c>
      <c r="P33" s="26">
        <f t="shared" ref="P33:U33" si="15">SUM(P30:P32)</f>
        <v>-13726</v>
      </c>
      <c r="Q33" s="26">
        <f t="shared" si="15"/>
        <v>-1172.8499999999999</v>
      </c>
      <c r="R33" s="26">
        <f t="shared" si="15"/>
        <v>0</v>
      </c>
      <c r="S33" s="26">
        <f t="shared" si="15"/>
        <v>0</v>
      </c>
      <c r="T33" s="26">
        <f t="shared" si="15"/>
        <v>0</v>
      </c>
      <c r="U33" s="26">
        <f t="shared" si="15"/>
        <v>0</v>
      </c>
      <c r="V33" s="26">
        <f t="shared" ref="V33:AC33" si="16">SUM(V30:V32)</f>
        <v>-1262</v>
      </c>
      <c r="W33" s="26">
        <f t="shared" si="16"/>
        <v>0</v>
      </c>
      <c r="X33" s="26">
        <f t="shared" si="16"/>
        <v>0</v>
      </c>
      <c r="Y33" s="26">
        <f t="shared" si="16"/>
        <v>0</v>
      </c>
      <c r="Z33" s="26">
        <f t="shared" si="16"/>
        <v>31</v>
      </c>
      <c r="AA33" s="26">
        <f>SUM(AA30:AA32)</f>
        <v>-122</v>
      </c>
      <c r="AB33" s="26">
        <f>SUM(AB30:AB32)</f>
        <v>1127</v>
      </c>
      <c r="AC33" s="26">
        <f t="shared" si="16"/>
        <v>0</v>
      </c>
      <c r="AD33" s="26">
        <f t="shared" ref="AD33:AF33" si="17">SUM(AD30:AD32)</f>
        <v>0</v>
      </c>
      <c r="AE33" s="26">
        <f t="shared" si="17"/>
        <v>0</v>
      </c>
      <c r="AF33" s="26">
        <f t="shared" si="17"/>
        <v>0</v>
      </c>
    </row>
    <row r="34" spans="1:32" s="26" customFormat="1">
      <c r="A34" s="160"/>
      <c r="B34" s="542">
        <f t="shared" si="1"/>
        <v>21</v>
      </c>
      <c r="F34" s="173"/>
      <c r="G34" s="127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74"/>
      <c r="AE34" s="674"/>
      <c r="AF34" s="674"/>
    </row>
    <row r="35" spans="1:32" s="26" customFormat="1">
      <c r="A35" s="160"/>
      <c r="B35" s="542">
        <f t="shared" si="1"/>
        <v>22</v>
      </c>
      <c r="C35" s="26" t="s">
        <v>188</v>
      </c>
      <c r="F35" s="173"/>
      <c r="G35" s="127">
        <f>SUM(H35:AF35)</f>
        <v>-652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-108</v>
      </c>
      <c r="S35" s="61">
        <v>0</v>
      </c>
      <c r="T35" s="61">
        <v>0</v>
      </c>
      <c r="U35" s="61">
        <v>0</v>
      </c>
      <c r="V35" s="61">
        <v>-104</v>
      </c>
      <c r="W35" s="61">
        <v>0</v>
      </c>
      <c r="X35" s="61">
        <v>-516</v>
      </c>
      <c r="Y35" s="61">
        <v>0</v>
      </c>
      <c r="Z35" s="61">
        <v>0</v>
      </c>
      <c r="AA35" s="61">
        <v>0</v>
      </c>
      <c r="AB35" s="61">
        <v>76</v>
      </c>
      <c r="AC35" s="61"/>
      <c r="AD35" s="674"/>
      <c r="AE35" s="674"/>
      <c r="AF35" s="674"/>
    </row>
    <row r="36" spans="1:32" s="26" customFormat="1">
      <c r="A36" s="160"/>
      <c r="B36" s="542">
        <f t="shared" si="1"/>
        <v>23</v>
      </c>
      <c r="C36" s="26" t="s">
        <v>189</v>
      </c>
      <c r="F36" s="173"/>
      <c r="G36" s="127">
        <f>SUM(H36:AF36)</f>
        <v>-10677.611999999999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-10688</v>
      </c>
      <c r="AC36" s="61"/>
      <c r="AD36" s="674"/>
      <c r="AE36" s="841">
        <v>10.388</v>
      </c>
      <c r="AF36" s="674"/>
    </row>
    <row r="37" spans="1:32" s="26" customFormat="1">
      <c r="A37" s="160"/>
      <c r="B37" s="542">
        <f t="shared" si="1"/>
        <v>24</v>
      </c>
      <c r="C37" s="26" t="s">
        <v>190</v>
      </c>
      <c r="F37" s="173"/>
      <c r="G37" s="127">
        <f>SUM(H37:AF37)</f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/>
      <c r="AD37" s="674"/>
      <c r="AE37" s="674"/>
      <c r="AF37" s="674"/>
    </row>
    <row r="38" spans="1:32" s="26" customFormat="1">
      <c r="A38" s="160"/>
      <c r="B38" s="542">
        <f t="shared" si="1"/>
        <v>25</v>
      </c>
      <c r="F38" s="173"/>
      <c r="G38" s="127"/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/>
      <c r="AD38" s="674"/>
      <c r="AE38" s="674"/>
      <c r="AF38" s="674"/>
    </row>
    <row r="39" spans="1:32" s="26" customFormat="1">
      <c r="A39" s="160"/>
      <c r="B39" s="542">
        <f t="shared" si="1"/>
        <v>26</v>
      </c>
      <c r="C39" s="26" t="s">
        <v>191</v>
      </c>
      <c r="F39" s="173"/>
      <c r="G39" s="127"/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/>
      <c r="AD39" s="674"/>
      <c r="AE39" s="674"/>
      <c r="AF39" s="674"/>
    </row>
    <row r="40" spans="1:32" s="26" customFormat="1">
      <c r="A40" s="160"/>
      <c r="B40" s="542">
        <f t="shared" si="1"/>
        <v>27</v>
      </c>
      <c r="D40" s="26" t="s">
        <v>180</v>
      </c>
      <c r="F40" s="173"/>
      <c r="G40" s="127">
        <f>SUM(H40:AF40)</f>
        <v>-83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80</v>
      </c>
      <c r="T40" s="61">
        <v>86</v>
      </c>
      <c r="U40" s="61">
        <v>0</v>
      </c>
      <c r="V40" s="61">
        <v>-62</v>
      </c>
      <c r="W40" s="61">
        <v>0</v>
      </c>
      <c r="X40" s="61">
        <v>0</v>
      </c>
      <c r="Y40" s="61">
        <v>-8</v>
      </c>
      <c r="Z40" s="61">
        <v>0</v>
      </c>
      <c r="AA40" s="61">
        <v>0</v>
      </c>
      <c r="AB40" s="61">
        <v>58</v>
      </c>
      <c r="AC40" s="61">
        <v>-214</v>
      </c>
      <c r="AD40" s="674"/>
      <c r="AE40" s="674"/>
      <c r="AF40" s="841">
        <v>-23</v>
      </c>
    </row>
    <row r="41" spans="1:32" s="26" customFormat="1">
      <c r="A41" s="160"/>
      <c r="B41" s="542">
        <f t="shared" si="1"/>
        <v>28</v>
      </c>
      <c r="D41" s="26" t="s">
        <v>186</v>
      </c>
      <c r="F41" s="173"/>
      <c r="G41" s="127">
        <f>SUM(H41:AF41)</f>
        <v>-232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-232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/>
      <c r="AD41" s="674"/>
      <c r="AE41" s="674"/>
      <c r="AF41" s="674"/>
    </row>
    <row r="42" spans="1:32" s="26" customFormat="1">
      <c r="A42" s="160"/>
      <c r="B42" s="542">
        <f t="shared" si="1"/>
        <v>29</v>
      </c>
      <c r="D42" s="26" t="s">
        <v>183</v>
      </c>
      <c r="F42" s="173"/>
      <c r="G42" s="127">
        <f>SUM(H42:AF42)</f>
        <v>-5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-5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/>
      <c r="AD42" s="62"/>
      <c r="AE42" s="62"/>
      <c r="AF42" s="62"/>
    </row>
    <row r="43" spans="1:32" s="26" customFormat="1">
      <c r="A43" s="160"/>
      <c r="B43" s="542">
        <f t="shared" si="1"/>
        <v>30</v>
      </c>
      <c r="E43" s="26" t="s">
        <v>192</v>
      </c>
      <c r="F43" s="173"/>
      <c r="G43" s="302">
        <f t="shared" ref="G43:O43" si="18">SUM(G40:G42)</f>
        <v>-320</v>
      </c>
      <c r="H43" s="66">
        <f t="shared" si="18"/>
        <v>0</v>
      </c>
      <c r="I43" s="66">
        <f t="shared" si="18"/>
        <v>0</v>
      </c>
      <c r="J43" s="66">
        <f t="shared" si="18"/>
        <v>0</v>
      </c>
      <c r="K43" s="66">
        <f t="shared" si="18"/>
        <v>0</v>
      </c>
      <c r="L43" s="66">
        <f t="shared" si="18"/>
        <v>0</v>
      </c>
      <c r="M43" s="66">
        <f t="shared" si="18"/>
        <v>0</v>
      </c>
      <c r="N43" s="66">
        <f t="shared" si="18"/>
        <v>-232</v>
      </c>
      <c r="O43" s="66">
        <f t="shared" si="18"/>
        <v>0</v>
      </c>
      <c r="P43" s="66">
        <f t="shared" ref="P43:U43" si="19">SUM(P40:P42)</f>
        <v>0</v>
      </c>
      <c r="Q43" s="66">
        <f t="shared" si="19"/>
        <v>-5</v>
      </c>
      <c r="R43" s="66">
        <f t="shared" si="19"/>
        <v>0</v>
      </c>
      <c r="S43" s="66">
        <f t="shared" si="19"/>
        <v>80</v>
      </c>
      <c r="T43" s="66">
        <f t="shared" si="19"/>
        <v>86</v>
      </c>
      <c r="U43" s="66">
        <f t="shared" si="19"/>
        <v>0</v>
      </c>
      <c r="V43" s="66">
        <f t="shared" ref="V43:AC43" si="20">SUM(V40:V42)</f>
        <v>-62</v>
      </c>
      <c r="W43" s="66">
        <f t="shared" si="20"/>
        <v>0</v>
      </c>
      <c r="X43" s="66">
        <f t="shared" si="20"/>
        <v>0</v>
      </c>
      <c r="Y43" s="66">
        <f t="shared" si="20"/>
        <v>-8</v>
      </c>
      <c r="Z43" s="66">
        <f t="shared" si="20"/>
        <v>0</v>
      </c>
      <c r="AA43" s="66">
        <f>SUM(AA40:AA42)</f>
        <v>0</v>
      </c>
      <c r="AB43" s="66">
        <f>SUM(AB40:AB42)</f>
        <v>58</v>
      </c>
      <c r="AC43" s="66">
        <f t="shared" si="20"/>
        <v>-214</v>
      </c>
      <c r="AD43" s="66">
        <f t="shared" ref="AD43:AF43" si="21">SUM(AD40:AD42)</f>
        <v>0</v>
      </c>
      <c r="AE43" s="66">
        <f t="shared" si="21"/>
        <v>0</v>
      </c>
      <c r="AF43" s="66">
        <f t="shared" si="21"/>
        <v>-23</v>
      </c>
    </row>
    <row r="44" spans="1:32" s="26" customFormat="1" ht="18" customHeight="1">
      <c r="A44" s="160"/>
      <c r="B44" s="542">
        <f t="shared" si="1"/>
        <v>31</v>
      </c>
      <c r="C44" s="26" t="s">
        <v>193</v>
      </c>
      <c r="F44" s="173"/>
      <c r="G44" s="130">
        <f t="shared" ref="G44:O44" si="22">G43+G37+G36+G35+G33+G27</f>
        <v>-40471.513999999996</v>
      </c>
      <c r="H44" s="66">
        <f t="shared" si="22"/>
        <v>0</v>
      </c>
      <c r="I44" s="66">
        <f t="shared" si="22"/>
        <v>0</v>
      </c>
      <c r="J44" s="66">
        <f t="shared" si="22"/>
        <v>-202</v>
      </c>
      <c r="K44" s="66">
        <f t="shared" si="22"/>
        <v>0</v>
      </c>
      <c r="L44" s="66">
        <f t="shared" si="22"/>
        <v>0</v>
      </c>
      <c r="M44" s="66">
        <f t="shared" si="22"/>
        <v>0</v>
      </c>
      <c r="N44" s="66">
        <f t="shared" si="22"/>
        <v>-60</v>
      </c>
      <c r="O44" s="66">
        <f t="shared" si="22"/>
        <v>0</v>
      </c>
      <c r="P44" s="66">
        <f t="shared" ref="P44:U44" si="23">P43+P37+P36+P35+P33+P27</f>
        <v>-13726</v>
      </c>
      <c r="Q44" s="66">
        <f t="shared" si="23"/>
        <v>196.09800000000018</v>
      </c>
      <c r="R44" s="66">
        <f t="shared" si="23"/>
        <v>-108</v>
      </c>
      <c r="S44" s="66">
        <f t="shared" si="23"/>
        <v>80</v>
      </c>
      <c r="T44" s="66">
        <f t="shared" si="23"/>
        <v>86</v>
      </c>
      <c r="U44" s="66">
        <f t="shared" si="23"/>
        <v>0</v>
      </c>
      <c r="V44" s="66">
        <f t="shared" ref="V44:AC44" si="24">V43+V37+V36+V35+V33+V27</f>
        <v>-19096</v>
      </c>
      <c r="W44" s="66">
        <f t="shared" si="24"/>
        <v>9</v>
      </c>
      <c r="X44" s="66">
        <f t="shared" si="24"/>
        <v>-516</v>
      </c>
      <c r="Y44" s="66">
        <f t="shared" si="24"/>
        <v>-8</v>
      </c>
      <c r="Z44" s="66">
        <f t="shared" si="24"/>
        <v>31</v>
      </c>
      <c r="AA44" s="66">
        <f>AA43+AA37+AA36+AA35+AA33+AA27</f>
        <v>-122</v>
      </c>
      <c r="AB44" s="66">
        <f>AB43+AB37+AB36+AB35+AB33+AB27</f>
        <v>-6809</v>
      </c>
      <c r="AC44" s="66">
        <f t="shared" si="24"/>
        <v>-214</v>
      </c>
      <c r="AD44" s="66">
        <f t="shared" ref="AD44:AF44" si="25">AD43+AD37+AD36+AD35+AD33+AD27</f>
        <v>0</v>
      </c>
      <c r="AE44" s="66">
        <f t="shared" si="25"/>
        <v>10.388</v>
      </c>
      <c r="AF44" s="66">
        <f t="shared" si="25"/>
        <v>-23</v>
      </c>
    </row>
    <row r="45" spans="1:32" s="26" customFormat="1">
      <c r="A45" s="160"/>
      <c r="B45" s="542">
        <f t="shared" si="1"/>
        <v>32</v>
      </c>
      <c r="F45" s="173"/>
      <c r="G45" s="129"/>
    </row>
    <row r="46" spans="1:32" s="26" customFormat="1">
      <c r="A46" s="160"/>
      <c r="B46" s="542">
        <f t="shared" si="1"/>
        <v>33</v>
      </c>
      <c r="C46" s="26" t="s">
        <v>194</v>
      </c>
      <c r="F46" s="173"/>
      <c r="G46" s="129">
        <f t="shared" ref="G46:O46" si="26">G19-G44</f>
        <v>23191.513999999996</v>
      </c>
      <c r="H46" s="26">
        <f t="shared" si="26"/>
        <v>0</v>
      </c>
      <c r="I46" s="26">
        <f t="shared" si="26"/>
        <v>0</v>
      </c>
      <c r="J46" s="26">
        <f t="shared" si="26"/>
        <v>202</v>
      </c>
      <c r="K46" s="26">
        <f t="shared" si="26"/>
        <v>0</v>
      </c>
      <c r="L46" s="26">
        <f t="shared" si="26"/>
        <v>0</v>
      </c>
      <c r="M46" s="26">
        <f t="shared" si="26"/>
        <v>0</v>
      </c>
      <c r="N46" s="26">
        <f t="shared" si="26"/>
        <v>60</v>
      </c>
      <c r="O46" s="26">
        <f t="shared" si="26"/>
        <v>0</v>
      </c>
      <c r="P46" s="26">
        <f t="shared" ref="P46:U46" si="27">P19-P44</f>
        <v>-34</v>
      </c>
      <c r="Q46" s="26">
        <f t="shared" si="27"/>
        <v>-196.09800000000018</v>
      </c>
      <c r="R46" s="26">
        <f t="shared" si="27"/>
        <v>108</v>
      </c>
      <c r="S46" s="26">
        <f t="shared" si="27"/>
        <v>-80</v>
      </c>
      <c r="T46" s="26">
        <f t="shared" si="27"/>
        <v>-86</v>
      </c>
      <c r="U46" s="26">
        <f t="shared" si="27"/>
        <v>0</v>
      </c>
      <c r="V46" s="26">
        <f t="shared" ref="V46:AC46" si="28">V19-V44</f>
        <v>-13606</v>
      </c>
      <c r="W46" s="26">
        <f t="shared" si="28"/>
        <v>-9</v>
      </c>
      <c r="X46" s="26">
        <f t="shared" si="28"/>
        <v>516</v>
      </c>
      <c r="Y46" s="26">
        <f t="shared" si="28"/>
        <v>8</v>
      </c>
      <c r="Z46" s="26">
        <f t="shared" si="28"/>
        <v>-31</v>
      </c>
      <c r="AA46" s="26">
        <f t="shared" si="28"/>
        <v>122</v>
      </c>
      <c r="AB46" s="26">
        <f t="shared" si="28"/>
        <v>35991</v>
      </c>
      <c r="AC46" s="26">
        <f t="shared" si="28"/>
        <v>214</v>
      </c>
      <c r="AD46" s="26">
        <f t="shared" ref="AD46:AF46" si="29">AD19-AD44</f>
        <v>0</v>
      </c>
      <c r="AE46" s="26">
        <f t="shared" si="29"/>
        <v>-10.388</v>
      </c>
      <c r="AF46" s="26">
        <f t="shared" si="29"/>
        <v>23</v>
      </c>
    </row>
    <row r="47" spans="1:32" s="26" customFormat="1">
      <c r="A47" s="160"/>
      <c r="B47" s="542">
        <f t="shared" si="1"/>
        <v>34</v>
      </c>
      <c r="G47" s="127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584"/>
      <c r="Z47" s="61"/>
      <c r="AA47" s="61"/>
      <c r="AB47" s="61"/>
      <c r="AC47" s="61"/>
      <c r="AD47" s="674"/>
      <c r="AE47" s="674"/>
      <c r="AF47" s="674"/>
    </row>
    <row r="48" spans="1:32" s="26" customFormat="1">
      <c r="A48" s="160"/>
      <c r="B48" s="542">
        <f t="shared" si="1"/>
        <v>35</v>
      </c>
      <c r="C48" s="26" t="s">
        <v>195</v>
      </c>
      <c r="F48" s="173"/>
      <c r="G48" s="127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584"/>
      <c r="Z48" s="61"/>
      <c r="AA48" s="61"/>
      <c r="AB48" s="61"/>
      <c r="AC48" s="61"/>
      <c r="AD48" s="674"/>
      <c r="AE48" s="674"/>
      <c r="AF48" s="674"/>
    </row>
    <row r="49" spans="1:33" s="26" customFormat="1">
      <c r="A49" s="160"/>
      <c r="B49" s="542">
        <f t="shared" si="1"/>
        <v>36</v>
      </c>
      <c r="C49" s="26" t="s">
        <v>196</v>
      </c>
      <c r="F49" s="173"/>
      <c r="G49" s="127">
        <f ca="1">SUM(H49:AF49)</f>
        <v>2849.4703277649996</v>
      </c>
      <c r="H49" s="61">
        <f t="shared" ref="H49:AA49" si="30">H98</f>
        <v>0</v>
      </c>
      <c r="I49" s="61">
        <f t="shared" si="30"/>
        <v>0</v>
      </c>
      <c r="J49" s="61">
        <f t="shared" si="30"/>
        <v>0</v>
      </c>
      <c r="K49" s="61">
        <f t="shared" si="30"/>
        <v>0</v>
      </c>
      <c r="L49" s="61">
        <f t="shared" si="30"/>
        <v>0</v>
      </c>
      <c r="M49" s="61">
        <f t="shared" si="30"/>
        <v>0</v>
      </c>
      <c r="N49" s="127"/>
      <c r="O49" s="61">
        <f t="shared" si="30"/>
        <v>0</v>
      </c>
      <c r="P49" s="61">
        <f t="shared" si="30"/>
        <v>-11.899999999999999</v>
      </c>
      <c r="Q49" s="61">
        <f t="shared" si="30"/>
        <v>-68.634300000000053</v>
      </c>
      <c r="R49" s="61">
        <f t="shared" si="30"/>
        <v>37.799999999999997</v>
      </c>
      <c r="S49" s="61">
        <f t="shared" si="30"/>
        <v>-28</v>
      </c>
      <c r="T49" s="61">
        <f t="shared" si="30"/>
        <v>-30.099999999999998</v>
      </c>
      <c r="U49" s="61">
        <v>1715</v>
      </c>
      <c r="V49" s="61">
        <v>-10946</v>
      </c>
      <c r="W49" s="61">
        <f t="shared" si="30"/>
        <v>-3.15</v>
      </c>
      <c r="X49" s="61">
        <f t="shared" si="30"/>
        <v>180.6</v>
      </c>
      <c r="Y49" s="61">
        <f t="shared" si="30"/>
        <v>2.8</v>
      </c>
      <c r="Z49" s="61">
        <f t="shared" si="30"/>
        <v>-10.85</v>
      </c>
      <c r="AA49" s="61">
        <f t="shared" si="30"/>
        <v>42.699999999999996</v>
      </c>
      <c r="AB49" s="61">
        <f>AB98</f>
        <v>12596.849999999999</v>
      </c>
      <c r="AC49" s="674">
        <f>AC98</f>
        <v>74.899999999999991</v>
      </c>
      <c r="AD49" s="674">
        <f ca="1">AD98</f>
        <v>-706.95957223499931</v>
      </c>
      <c r="AE49" s="674">
        <f t="shared" ref="AE49:AF49" si="31">AE98</f>
        <v>-3.6357999999999997</v>
      </c>
      <c r="AF49" s="674">
        <f t="shared" si="31"/>
        <v>8.0499999999999989</v>
      </c>
    </row>
    <row r="50" spans="1:33" s="26" customFormat="1">
      <c r="A50" s="160"/>
      <c r="B50" s="542">
        <f t="shared" si="1"/>
        <v>37</v>
      </c>
      <c r="C50" s="26" t="s">
        <v>197</v>
      </c>
      <c r="F50" s="173"/>
      <c r="G50" s="214">
        <f>SUM(H50:AF50)</f>
        <v>6297</v>
      </c>
      <c r="H50" s="61">
        <v>0</v>
      </c>
      <c r="I50" s="61">
        <v>0</v>
      </c>
      <c r="J50" s="61">
        <v>0</v>
      </c>
      <c r="K50" s="61">
        <v>0</v>
      </c>
      <c r="L50" s="61">
        <v>56</v>
      </c>
      <c r="M50" s="61">
        <v>0</v>
      </c>
      <c r="N50" s="61">
        <f>-N97</f>
        <v>21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36</v>
      </c>
      <c r="V50" s="127">
        <v>6184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/>
      <c r="AD50" s="674"/>
      <c r="AE50" s="674"/>
      <c r="AF50" s="674"/>
    </row>
    <row r="51" spans="1:33" s="26" customFormat="1">
      <c r="A51" s="160"/>
      <c r="B51" s="542">
        <f t="shared" si="1"/>
        <v>38</v>
      </c>
      <c r="F51" s="173"/>
      <c r="G51" s="128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3">
      <c r="B52" s="542">
        <f t="shared" si="1"/>
        <v>39</v>
      </c>
      <c r="F52" s="173"/>
      <c r="AG52" s="2"/>
    </row>
    <row r="53" spans="1:33" s="25" customFormat="1" ht="12.75" thickBot="1">
      <c r="A53" s="159"/>
      <c r="B53" s="542">
        <f t="shared" si="1"/>
        <v>40</v>
      </c>
      <c r="C53" s="25" t="s">
        <v>198</v>
      </c>
      <c r="F53" s="173"/>
      <c r="G53" s="131">
        <f ca="1">G46-SUM(G49:G51)</f>
        <v>14045.043672234995</v>
      </c>
      <c r="H53" s="65">
        <f>H46-SUM(H49:H51)</f>
        <v>0</v>
      </c>
      <c r="I53" s="65">
        <f t="shared" ref="I53:W53" si="32">I46-SUM(I49:I51)</f>
        <v>0</v>
      </c>
      <c r="J53" s="65">
        <f t="shared" si="32"/>
        <v>202</v>
      </c>
      <c r="K53" s="65">
        <f t="shared" si="32"/>
        <v>0</v>
      </c>
      <c r="L53" s="65">
        <f t="shared" si="32"/>
        <v>-56</v>
      </c>
      <c r="M53" s="65">
        <f>M46-SUM(M49:M51)</f>
        <v>0</v>
      </c>
      <c r="N53" s="65">
        <f>N46-SUM(N49:N51)</f>
        <v>39</v>
      </c>
      <c r="O53" s="65">
        <f>O46-SUM(O49:O51)</f>
        <v>0</v>
      </c>
      <c r="P53" s="65">
        <f t="shared" si="32"/>
        <v>-22.1</v>
      </c>
      <c r="Q53" s="65">
        <f t="shared" si="32"/>
        <v>-127.46370000000013</v>
      </c>
      <c r="R53" s="65">
        <f t="shared" si="32"/>
        <v>70.2</v>
      </c>
      <c r="S53" s="65">
        <f t="shared" si="32"/>
        <v>-52</v>
      </c>
      <c r="T53" s="65">
        <f t="shared" si="32"/>
        <v>-55.900000000000006</v>
      </c>
      <c r="U53" s="65">
        <f t="shared" si="32"/>
        <v>-1751</v>
      </c>
      <c r="V53" s="65">
        <f>V46-SUM(V49:V51)</f>
        <v>-8844</v>
      </c>
      <c r="W53" s="65">
        <f t="shared" si="32"/>
        <v>-5.85</v>
      </c>
      <c r="X53" s="65">
        <f t="shared" ref="X53:AC53" si="33">X46-SUM(X49:X51)</f>
        <v>335.4</v>
      </c>
      <c r="Y53" s="65">
        <f t="shared" si="33"/>
        <v>5.2</v>
      </c>
      <c r="Z53" s="65">
        <f t="shared" si="33"/>
        <v>-20.149999999999999</v>
      </c>
      <c r="AA53" s="65">
        <f t="shared" si="33"/>
        <v>79.300000000000011</v>
      </c>
      <c r="AB53" s="65">
        <f>AB46-SUM(AB49:AB51)</f>
        <v>23394.15</v>
      </c>
      <c r="AC53" s="65">
        <f t="shared" si="33"/>
        <v>139.10000000000002</v>
      </c>
      <c r="AD53" s="65">
        <f t="shared" ref="AD53" ca="1" si="34">AD46-SUM(AD49:AD51)</f>
        <v>706.95957223499931</v>
      </c>
      <c r="AE53" s="65">
        <f>+AE46-AE49</f>
        <v>-6.7522000000000002</v>
      </c>
      <c r="AF53" s="65">
        <f>+AF46-AF49</f>
        <v>14.950000000000001</v>
      </c>
    </row>
    <row r="54" spans="1:33" ht="12.75" thickTop="1">
      <c r="B54" s="542">
        <f t="shared" si="1"/>
        <v>41</v>
      </c>
      <c r="C54" s="162"/>
      <c r="D54" s="162"/>
      <c r="E54" s="162"/>
      <c r="F54" s="162"/>
      <c r="AG54" s="2"/>
    </row>
    <row r="55" spans="1:33">
      <c r="B55" s="542">
        <f t="shared" si="1"/>
        <v>42</v>
      </c>
      <c r="C55" s="874" t="s">
        <v>62</v>
      </c>
      <c r="D55" s="874"/>
      <c r="E55" s="874"/>
      <c r="F55" s="875"/>
      <c r="AG55" s="2"/>
    </row>
    <row r="56" spans="1:33">
      <c r="B56" s="542">
        <f t="shared" si="1"/>
        <v>43</v>
      </c>
      <c r="C56" s="2" t="s">
        <v>199</v>
      </c>
      <c r="F56" s="162"/>
      <c r="AG56" s="2"/>
    </row>
    <row r="57" spans="1:33" s="25" customFormat="1">
      <c r="A57" s="159"/>
      <c r="B57" s="542">
        <f t="shared" si="1"/>
        <v>44</v>
      </c>
      <c r="D57" s="25" t="s">
        <v>200</v>
      </c>
      <c r="F57" s="173"/>
      <c r="G57" s="127">
        <f>SUM(H57:AF57)</f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/>
      <c r="AD57" s="64"/>
      <c r="AE57" s="64"/>
      <c r="AF57" s="64"/>
    </row>
    <row r="58" spans="1:33" s="26" customFormat="1">
      <c r="A58" s="160"/>
      <c r="B58" s="542">
        <f t="shared" si="1"/>
        <v>45</v>
      </c>
      <c r="D58" s="26" t="s">
        <v>201</v>
      </c>
      <c r="F58" s="173"/>
      <c r="G58" s="127">
        <f>SUM(H58:AF58)</f>
        <v>67362</v>
      </c>
      <c r="H58" s="61">
        <v>0</v>
      </c>
      <c r="I58" s="61">
        <v>0</v>
      </c>
      <c r="J58" s="61">
        <v>-7452</v>
      </c>
      <c r="K58" s="61">
        <v>436</v>
      </c>
      <c r="L58" s="61">
        <v>-5248</v>
      </c>
      <c r="M58" s="61">
        <v>0</v>
      </c>
      <c r="N58" s="61"/>
      <c r="O58" s="127">
        <v>79626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/>
      <c r="AD58" s="674"/>
      <c r="AE58" s="674"/>
      <c r="AF58" s="674"/>
    </row>
    <row r="59" spans="1:33" s="26" customFormat="1">
      <c r="A59" s="160"/>
      <c r="B59" s="542">
        <f t="shared" si="1"/>
        <v>46</v>
      </c>
      <c r="D59" s="26" t="s">
        <v>202</v>
      </c>
      <c r="F59" s="173"/>
      <c r="G59" s="127">
        <f>SUM(H59:AF59)</f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/>
      <c r="AD59" s="674"/>
      <c r="AE59" s="674"/>
      <c r="AF59" s="674"/>
    </row>
    <row r="60" spans="1:33" s="26" customFormat="1">
      <c r="A60" s="160"/>
      <c r="B60" s="542">
        <f t="shared" si="1"/>
        <v>47</v>
      </c>
      <c r="D60" s="26" t="s">
        <v>185</v>
      </c>
      <c r="F60" s="173"/>
      <c r="G60" s="127">
        <f>SUM(H60:AF60)</f>
        <v>-231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-231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/>
      <c r="AD60" s="674"/>
      <c r="AE60" s="674"/>
      <c r="AF60" s="674"/>
    </row>
    <row r="61" spans="1:33" s="26" customFormat="1">
      <c r="A61" s="160"/>
      <c r="B61" s="542">
        <f t="shared" si="1"/>
        <v>48</v>
      </c>
      <c r="D61" s="26" t="s">
        <v>203</v>
      </c>
      <c r="F61" s="173"/>
      <c r="G61" s="128">
        <f>SUM(H61:AF61)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/>
      <c r="AD61" s="62"/>
      <c r="AE61" s="62"/>
      <c r="AF61" s="62"/>
    </row>
    <row r="62" spans="1:33" s="26" customFormat="1">
      <c r="A62" s="160"/>
      <c r="B62" s="542">
        <f t="shared" si="1"/>
        <v>49</v>
      </c>
      <c r="E62" s="26" t="s">
        <v>204</v>
      </c>
      <c r="F62" s="173"/>
      <c r="G62" s="129">
        <f t="shared" ref="G62:O62" si="35">SUM(G57:G61)</f>
        <v>67131</v>
      </c>
      <c r="H62" s="26">
        <f t="shared" si="35"/>
        <v>0</v>
      </c>
      <c r="I62" s="26">
        <f t="shared" si="35"/>
        <v>0</v>
      </c>
      <c r="J62" s="26">
        <f t="shared" si="35"/>
        <v>-7452</v>
      </c>
      <c r="K62" s="26">
        <f t="shared" si="35"/>
        <v>436</v>
      </c>
      <c r="L62" s="26">
        <f t="shared" si="35"/>
        <v>-5248</v>
      </c>
      <c r="M62" s="26">
        <f t="shared" si="35"/>
        <v>-231</v>
      </c>
      <c r="N62" s="26">
        <f t="shared" si="35"/>
        <v>0</v>
      </c>
      <c r="O62" s="26">
        <f t="shared" si="35"/>
        <v>79626</v>
      </c>
      <c r="P62" s="26">
        <f t="shared" ref="P62:U62" si="36">SUM(P57:P61)</f>
        <v>0</v>
      </c>
      <c r="Q62" s="26">
        <f t="shared" si="36"/>
        <v>0</v>
      </c>
      <c r="R62" s="26">
        <f t="shared" si="36"/>
        <v>0</v>
      </c>
      <c r="S62" s="26">
        <f t="shared" si="36"/>
        <v>0</v>
      </c>
      <c r="T62" s="26">
        <f t="shared" si="36"/>
        <v>0</v>
      </c>
      <c r="U62" s="26">
        <f t="shared" si="36"/>
        <v>0</v>
      </c>
      <c r="V62" s="26">
        <f t="shared" ref="V62:AC62" si="37">SUM(V57:V61)</f>
        <v>0</v>
      </c>
      <c r="W62" s="26">
        <f t="shared" si="37"/>
        <v>0</v>
      </c>
      <c r="X62" s="26">
        <f t="shared" si="37"/>
        <v>0</v>
      </c>
      <c r="Y62" s="26">
        <f t="shared" si="37"/>
        <v>0</v>
      </c>
      <c r="Z62" s="26">
        <f t="shared" si="37"/>
        <v>0</v>
      </c>
      <c r="AA62" s="26">
        <f>SUM(AA57:AA61)</f>
        <v>0</v>
      </c>
      <c r="AB62" s="26">
        <f>SUM(AB57:AB61)</f>
        <v>0</v>
      </c>
      <c r="AC62" s="26">
        <f t="shared" si="37"/>
        <v>0</v>
      </c>
      <c r="AD62" s="26">
        <f t="shared" ref="AD62" si="38">SUM(AD57:AD61)</f>
        <v>0</v>
      </c>
    </row>
    <row r="63" spans="1:33" s="26" customFormat="1" ht="18" customHeight="1">
      <c r="A63" s="160"/>
      <c r="B63" s="542">
        <f t="shared" si="1"/>
        <v>50</v>
      </c>
      <c r="C63" s="26" t="s">
        <v>205</v>
      </c>
      <c r="F63" s="173"/>
      <c r="G63" s="127">
        <f>SUM(H63:AF63)</f>
        <v>-9292</v>
      </c>
      <c r="H63" s="61">
        <v>0</v>
      </c>
      <c r="I63" s="61">
        <v>0</v>
      </c>
      <c r="J63" s="61">
        <v>-5496</v>
      </c>
      <c r="K63" s="61">
        <v>0</v>
      </c>
      <c r="L63" s="61">
        <v>-3796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/>
      <c r="AD63" s="674"/>
      <c r="AE63" s="674"/>
      <c r="AF63" s="674"/>
    </row>
    <row r="64" spans="1:33" s="26" customFormat="1">
      <c r="A64" s="160"/>
      <c r="B64" s="542">
        <f t="shared" si="1"/>
        <v>51</v>
      </c>
      <c r="C64" s="26" t="s">
        <v>206</v>
      </c>
      <c r="F64" s="173"/>
      <c r="G64" s="128">
        <f>SUM(H64:AF64)</f>
        <v>57168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/>
      <c r="O64" s="62">
        <v>57168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/>
      <c r="AD64" s="62"/>
      <c r="AE64" s="62"/>
      <c r="AF64" s="62"/>
    </row>
    <row r="65" spans="1:33" s="26" customFormat="1">
      <c r="A65" s="160"/>
      <c r="B65" s="542">
        <f t="shared" si="1"/>
        <v>52</v>
      </c>
      <c r="D65" s="26" t="s">
        <v>207</v>
      </c>
      <c r="F65" s="173"/>
      <c r="G65" s="129">
        <f t="shared" ref="G65:O65" si="39">SUM(G63:G64)</f>
        <v>47876</v>
      </c>
      <c r="H65" s="26">
        <f t="shared" si="39"/>
        <v>0</v>
      </c>
      <c r="I65" s="26">
        <f t="shared" si="39"/>
        <v>0</v>
      </c>
      <c r="J65" s="26">
        <f t="shared" si="39"/>
        <v>-5496</v>
      </c>
      <c r="K65" s="26">
        <f t="shared" si="39"/>
        <v>0</v>
      </c>
      <c r="L65" s="26">
        <f t="shared" si="39"/>
        <v>-3796</v>
      </c>
      <c r="M65" s="26">
        <f t="shared" si="39"/>
        <v>0</v>
      </c>
      <c r="N65" s="26">
        <f t="shared" si="39"/>
        <v>0</v>
      </c>
      <c r="O65" s="26">
        <f t="shared" si="39"/>
        <v>57168</v>
      </c>
      <c r="P65" s="26">
        <f t="shared" ref="P65:U65" si="40">SUM(P63:P64)</f>
        <v>0</v>
      </c>
      <c r="Q65" s="26">
        <f t="shared" si="40"/>
        <v>0</v>
      </c>
      <c r="R65" s="26">
        <f t="shared" si="40"/>
        <v>0</v>
      </c>
      <c r="S65" s="26">
        <f t="shared" si="40"/>
        <v>0</v>
      </c>
      <c r="T65" s="26">
        <f t="shared" si="40"/>
        <v>0</v>
      </c>
      <c r="U65" s="26">
        <f t="shared" si="40"/>
        <v>0</v>
      </c>
      <c r="V65" s="26">
        <f t="shared" ref="V65:AC65" si="41">SUM(V63:V64)</f>
        <v>0</v>
      </c>
      <c r="W65" s="26">
        <f t="shared" si="41"/>
        <v>0</v>
      </c>
      <c r="X65" s="26">
        <f t="shared" si="41"/>
        <v>0</v>
      </c>
      <c r="Y65" s="26">
        <f t="shared" si="41"/>
        <v>0</v>
      </c>
      <c r="Z65" s="26">
        <f t="shared" si="41"/>
        <v>0</v>
      </c>
      <c r="AA65" s="26">
        <f>SUM(AA63:AA64)</f>
        <v>0</v>
      </c>
      <c r="AB65" s="26">
        <f>SUM(AB63:AB64)</f>
        <v>0</v>
      </c>
      <c r="AC65" s="26">
        <f t="shared" si="41"/>
        <v>0</v>
      </c>
      <c r="AD65" s="26">
        <f t="shared" ref="AD65" si="42">SUM(AD63:AD64)</f>
        <v>0</v>
      </c>
    </row>
    <row r="66" spans="1:33" s="26" customFormat="1" ht="18" customHeight="1">
      <c r="A66" s="160"/>
      <c r="B66" s="542">
        <f t="shared" si="1"/>
        <v>53</v>
      </c>
      <c r="C66" s="26" t="s">
        <v>208</v>
      </c>
      <c r="F66" s="176"/>
      <c r="G66" s="127">
        <f>SUM(H66:AF66)</f>
        <v>-194</v>
      </c>
      <c r="H66" s="61">
        <v>0</v>
      </c>
      <c r="I66" s="61">
        <v>-194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/>
      <c r="AD66" s="674"/>
      <c r="AE66" s="674"/>
      <c r="AF66" s="674"/>
    </row>
    <row r="67" spans="1:33" s="26" customFormat="1">
      <c r="A67" s="160"/>
      <c r="B67" s="542">
        <f t="shared" si="1"/>
        <v>54</v>
      </c>
      <c r="C67" s="26" t="s">
        <v>470</v>
      </c>
      <c r="F67" s="176"/>
      <c r="G67" s="127">
        <f>SUM(H67:AF67)</f>
        <v>-2473.2559999999999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74"/>
      <c r="AE67" s="848">
        <v>-2473.2559999999999</v>
      </c>
      <c r="AF67" s="674"/>
    </row>
    <row r="68" spans="1:33" s="26" customFormat="1">
      <c r="A68" s="160"/>
      <c r="B68" s="542">
        <f t="shared" si="1"/>
        <v>55</v>
      </c>
      <c r="C68" s="26" t="s">
        <v>242</v>
      </c>
      <c r="F68" s="173"/>
      <c r="G68" s="128">
        <f>SUM(H68:AF68)</f>
        <v>-146083</v>
      </c>
      <c r="H68" s="62">
        <v>-142713</v>
      </c>
      <c r="I68" s="62">
        <v>68</v>
      </c>
      <c r="J68" s="62">
        <v>0</v>
      </c>
      <c r="K68" s="62">
        <v>0</v>
      </c>
      <c r="L68" s="62">
        <v>598</v>
      </c>
      <c r="M68" s="62">
        <v>0</v>
      </c>
      <c r="N68" s="62"/>
      <c r="O68" s="62">
        <v>-4036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/>
      <c r="AD68" s="62"/>
      <c r="AE68" s="62"/>
      <c r="AF68" s="62"/>
    </row>
    <row r="69" spans="1:33" s="26" customFormat="1">
      <c r="A69" s="160"/>
      <c r="B69" s="542">
        <f t="shared" si="1"/>
        <v>56</v>
      </c>
      <c r="F69" s="173"/>
      <c r="G69" s="214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</row>
    <row r="70" spans="1:33" s="26" customFormat="1">
      <c r="A70" s="160"/>
      <c r="B70" s="542">
        <f t="shared" si="1"/>
        <v>57</v>
      </c>
      <c r="F70" s="173"/>
      <c r="G70" s="129"/>
    </row>
    <row r="71" spans="1:33" s="25" customFormat="1" ht="12.75" thickBot="1">
      <c r="A71" s="159"/>
      <c r="B71" s="542">
        <f t="shared" si="1"/>
        <v>58</v>
      </c>
      <c r="C71" s="25" t="s">
        <v>209</v>
      </c>
      <c r="F71" s="162"/>
      <c r="G71" s="219">
        <f>IF(G62-G65+G66+G67+G68=SUM(H71:AF71),SUM(H71:AF71),"footing error "&amp;(G62-G65+G66+G67+G68)-SUM(H71:AF71))</f>
        <v>-129495.25599999999</v>
      </c>
      <c r="H71" s="65">
        <f>H62-H65+H66+H67+H68</f>
        <v>-142713</v>
      </c>
      <c r="I71" s="65">
        <f t="shared" ref="I71:AC71" si="43">I62-I65+I66+I67+I68</f>
        <v>-126</v>
      </c>
      <c r="J71" s="65">
        <f t="shared" si="43"/>
        <v>-1956</v>
      </c>
      <c r="K71" s="65">
        <f t="shared" si="43"/>
        <v>436</v>
      </c>
      <c r="L71" s="65">
        <f t="shared" si="43"/>
        <v>-854</v>
      </c>
      <c r="M71" s="65">
        <f t="shared" si="43"/>
        <v>-231</v>
      </c>
      <c r="N71" s="65">
        <f t="shared" si="43"/>
        <v>0</v>
      </c>
      <c r="O71" s="65">
        <f t="shared" si="43"/>
        <v>18422</v>
      </c>
      <c r="P71" s="65">
        <f t="shared" si="43"/>
        <v>0</v>
      </c>
      <c r="Q71" s="65">
        <f t="shared" si="43"/>
        <v>0</v>
      </c>
      <c r="R71" s="65">
        <f t="shared" si="43"/>
        <v>0</v>
      </c>
      <c r="S71" s="65">
        <f t="shared" si="43"/>
        <v>0</v>
      </c>
      <c r="T71" s="65">
        <f t="shared" si="43"/>
        <v>0</v>
      </c>
      <c r="U71" s="65">
        <f t="shared" si="43"/>
        <v>0</v>
      </c>
      <c r="V71" s="65">
        <f t="shared" si="43"/>
        <v>0</v>
      </c>
      <c r="W71" s="65">
        <f t="shared" si="43"/>
        <v>0</v>
      </c>
      <c r="X71" s="65">
        <f t="shared" si="43"/>
        <v>0</v>
      </c>
      <c r="Y71" s="65">
        <f t="shared" si="43"/>
        <v>0</v>
      </c>
      <c r="Z71" s="65">
        <f t="shared" si="43"/>
        <v>0</v>
      </c>
      <c r="AA71" s="65">
        <f t="shared" si="43"/>
        <v>0</v>
      </c>
      <c r="AB71" s="65">
        <f t="shared" si="43"/>
        <v>0</v>
      </c>
      <c r="AC71" s="65">
        <f t="shared" si="43"/>
        <v>0</v>
      </c>
      <c r="AD71" s="65">
        <f t="shared" ref="AD71:AF71" si="44">AD62-AD65+AD66+AD67+AD68</f>
        <v>0</v>
      </c>
      <c r="AE71" s="65">
        <f t="shared" si="44"/>
        <v>-2473.2559999999999</v>
      </c>
      <c r="AF71" s="65">
        <f t="shared" si="44"/>
        <v>0</v>
      </c>
    </row>
    <row r="72" spans="1:33" ht="18" customHeight="1" thickTop="1">
      <c r="B72" s="24"/>
      <c r="C72" s="215"/>
      <c r="D72" s="215"/>
      <c r="E72" s="215"/>
      <c r="F72" s="215"/>
      <c r="G72" s="178"/>
      <c r="AG72" s="2"/>
    </row>
    <row r="73" spans="1:33" s="154" customFormat="1">
      <c r="B73" s="441"/>
      <c r="C73" s="212"/>
      <c r="D73" s="212"/>
      <c r="E73" s="212"/>
      <c r="F73" s="212"/>
      <c r="G73" s="442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</row>
    <row r="74" spans="1:33">
      <c r="B74" s="349"/>
      <c r="C74" s="187"/>
      <c r="D74" s="181"/>
      <c r="E74" s="182"/>
      <c r="F74" s="166"/>
      <c r="G74" s="132"/>
      <c r="AG74" s="2"/>
    </row>
    <row r="75" spans="1:33">
      <c r="B75" s="202">
        <f>+B74+1</f>
        <v>1</v>
      </c>
      <c r="C75" s="876" t="s">
        <v>265</v>
      </c>
      <c r="D75" s="874"/>
      <c r="E75" s="874"/>
      <c r="F75" s="875"/>
      <c r="G75" s="150"/>
      <c r="AG75" s="2"/>
    </row>
    <row r="76" spans="1:33">
      <c r="B76" s="202">
        <f>+B75+1</f>
        <v>2</v>
      </c>
      <c r="C76" s="187"/>
      <c r="D76" s="181" t="s">
        <v>266</v>
      </c>
      <c r="E76" s="182"/>
      <c r="F76" s="166"/>
      <c r="G76" s="127">
        <f>SUM(H76:AF76)</f>
        <v>-17280</v>
      </c>
      <c r="H76" s="176">
        <f t="shared" ref="H76:AC76" si="45">+H19</f>
        <v>0</v>
      </c>
      <c r="I76" s="176">
        <f t="shared" si="45"/>
        <v>0</v>
      </c>
      <c r="J76" s="176">
        <f t="shared" si="45"/>
        <v>0</v>
      </c>
      <c r="K76" s="176">
        <f t="shared" si="45"/>
        <v>0</v>
      </c>
      <c r="L76" s="176">
        <f t="shared" si="45"/>
        <v>0</v>
      </c>
      <c r="M76" s="176">
        <f t="shared" si="45"/>
        <v>0</v>
      </c>
      <c r="N76" s="176">
        <f t="shared" si="45"/>
        <v>0</v>
      </c>
      <c r="O76" s="176">
        <f t="shared" si="45"/>
        <v>0</v>
      </c>
      <c r="P76" s="176">
        <f t="shared" si="45"/>
        <v>-13760</v>
      </c>
      <c r="Q76" s="176">
        <f t="shared" si="45"/>
        <v>0</v>
      </c>
      <c r="R76" s="176">
        <f t="shared" si="45"/>
        <v>0</v>
      </c>
      <c r="S76" s="176">
        <f t="shared" si="45"/>
        <v>0</v>
      </c>
      <c r="T76" s="176">
        <f t="shared" si="45"/>
        <v>0</v>
      </c>
      <c r="U76" s="176">
        <f t="shared" si="45"/>
        <v>0</v>
      </c>
      <c r="V76" s="176">
        <f t="shared" si="45"/>
        <v>-32702</v>
      </c>
      <c r="W76" s="176">
        <f t="shared" si="45"/>
        <v>0</v>
      </c>
      <c r="X76" s="176">
        <f t="shared" si="45"/>
        <v>0</v>
      </c>
      <c r="Y76" s="176">
        <f t="shared" si="45"/>
        <v>0</v>
      </c>
      <c r="Z76" s="176">
        <f t="shared" si="45"/>
        <v>0</v>
      </c>
      <c r="AA76" s="176">
        <f t="shared" si="45"/>
        <v>0</v>
      </c>
      <c r="AB76" s="176">
        <f t="shared" si="45"/>
        <v>29182</v>
      </c>
      <c r="AC76" s="176">
        <f t="shared" si="45"/>
        <v>0</v>
      </c>
      <c r="AD76" s="176">
        <f t="shared" ref="AD76" si="46">+AD19</f>
        <v>0</v>
      </c>
      <c r="AG76" s="2"/>
    </row>
    <row r="77" spans="1:33">
      <c r="B77" s="202">
        <f>+B76+1</f>
        <v>3</v>
      </c>
      <c r="C77" s="187"/>
      <c r="D77" s="181" t="s">
        <v>267</v>
      </c>
      <c r="E77" s="182"/>
      <c r="F77" s="166"/>
      <c r="G77" s="127">
        <f>SUM(H77:AF77)</f>
        <v>-40269.514000000003</v>
      </c>
      <c r="H77" s="129">
        <f>+H44</f>
        <v>0</v>
      </c>
      <c r="I77" s="129">
        <f t="shared" ref="I77:AG77" si="47">+I44</f>
        <v>0</v>
      </c>
      <c r="J77" s="129">
        <v>0</v>
      </c>
      <c r="K77" s="129">
        <f t="shared" si="47"/>
        <v>0</v>
      </c>
      <c r="L77" s="129">
        <f t="shared" si="47"/>
        <v>0</v>
      </c>
      <c r="M77" s="129">
        <f>+M44</f>
        <v>0</v>
      </c>
      <c r="N77" s="129">
        <f t="shared" si="47"/>
        <v>-60</v>
      </c>
      <c r="O77" s="129">
        <f t="shared" si="47"/>
        <v>0</v>
      </c>
      <c r="P77" s="129">
        <f t="shared" si="47"/>
        <v>-13726</v>
      </c>
      <c r="Q77" s="129">
        <f t="shared" si="47"/>
        <v>196.09800000000018</v>
      </c>
      <c r="R77" s="129">
        <f t="shared" si="47"/>
        <v>-108</v>
      </c>
      <c r="S77" s="129">
        <f t="shared" si="47"/>
        <v>80</v>
      </c>
      <c r="T77" s="129">
        <f t="shared" si="47"/>
        <v>86</v>
      </c>
      <c r="U77" s="129">
        <f t="shared" si="47"/>
        <v>0</v>
      </c>
      <c r="V77" s="129">
        <f t="shared" si="47"/>
        <v>-19096</v>
      </c>
      <c r="W77" s="129">
        <f t="shared" si="47"/>
        <v>9</v>
      </c>
      <c r="X77" s="129">
        <f t="shared" si="47"/>
        <v>-516</v>
      </c>
      <c r="Y77" s="129">
        <f t="shared" si="47"/>
        <v>-8</v>
      </c>
      <c r="Z77" s="129">
        <f t="shared" si="47"/>
        <v>31</v>
      </c>
      <c r="AA77" s="129">
        <f t="shared" si="47"/>
        <v>-122</v>
      </c>
      <c r="AB77" s="129">
        <f t="shared" si="47"/>
        <v>-6809</v>
      </c>
      <c r="AC77" s="129">
        <f t="shared" si="47"/>
        <v>-214</v>
      </c>
      <c r="AD77" s="129">
        <f t="shared" ref="AD77:AF77" si="48">+AD44</f>
        <v>0</v>
      </c>
      <c r="AE77" s="129">
        <f t="shared" si="48"/>
        <v>10.388</v>
      </c>
      <c r="AF77" s="129">
        <f t="shared" si="48"/>
        <v>-23</v>
      </c>
      <c r="AG77" s="129">
        <f t="shared" si="47"/>
        <v>0</v>
      </c>
    </row>
    <row r="78" spans="1:33">
      <c r="B78" s="202">
        <f>+B77+1</f>
        <v>4</v>
      </c>
      <c r="C78" s="187"/>
      <c r="D78" s="181" t="s">
        <v>286</v>
      </c>
      <c r="E78" s="182"/>
      <c r="F78" s="166"/>
      <c r="G78" s="127">
        <f ca="1">SUM(H78:AF78)</f>
        <v>2019.8844920999982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29"/>
      <c r="AD78" s="129">
        <f ca="1">+'DPK-4 R-22 PF Debt'!$G$27</f>
        <v>2019.8844920999982</v>
      </c>
      <c r="AE78" s="100"/>
      <c r="AF78" s="100">
        <f>+AF37</f>
        <v>0</v>
      </c>
      <c r="AG78" s="2"/>
    </row>
    <row r="79" spans="1:33">
      <c r="B79" s="202">
        <f>+B78+1</f>
        <v>5</v>
      </c>
      <c r="C79" s="187"/>
      <c r="D79" s="181"/>
      <c r="E79" s="182"/>
      <c r="F79" s="184" t="s">
        <v>268</v>
      </c>
      <c r="G79" s="185">
        <f t="shared" ref="G79:M79" ca="1" si="49">+G76-G77-G78</f>
        <v>20969.629507900005</v>
      </c>
      <c r="H79" s="185">
        <f t="shared" si="49"/>
        <v>0</v>
      </c>
      <c r="I79" s="185">
        <f t="shared" si="49"/>
        <v>0</v>
      </c>
      <c r="J79" s="185">
        <f t="shared" si="49"/>
        <v>0</v>
      </c>
      <c r="K79" s="185">
        <f t="shared" si="49"/>
        <v>0</v>
      </c>
      <c r="L79" s="185">
        <f t="shared" si="49"/>
        <v>0</v>
      </c>
      <c r="M79" s="185">
        <f t="shared" si="49"/>
        <v>0</v>
      </c>
      <c r="N79" s="185">
        <f>+N76-N77-N78</f>
        <v>60</v>
      </c>
      <c r="O79" s="185">
        <f t="shared" ref="O79:AC79" si="50">+O76-O77-O78</f>
        <v>0</v>
      </c>
      <c r="P79" s="185">
        <f t="shared" si="50"/>
        <v>-34</v>
      </c>
      <c r="Q79" s="185">
        <f t="shared" si="50"/>
        <v>-196.09800000000018</v>
      </c>
      <c r="R79" s="185">
        <f t="shared" si="50"/>
        <v>108</v>
      </c>
      <c r="S79" s="185">
        <f t="shared" si="50"/>
        <v>-80</v>
      </c>
      <c r="T79" s="185">
        <f t="shared" si="50"/>
        <v>-86</v>
      </c>
      <c r="U79" s="185">
        <f t="shared" si="50"/>
        <v>0</v>
      </c>
      <c r="V79" s="185">
        <f t="shared" si="50"/>
        <v>-13606</v>
      </c>
      <c r="W79" s="185">
        <f t="shared" si="50"/>
        <v>-9</v>
      </c>
      <c r="X79" s="185">
        <f t="shared" si="50"/>
        <v>516</v>
      </c>
      <c r="Y79" s="185">
        <f t="shared" si="50"/>
        <v>8</v>
      </c>
      <c r="Z79" s="185">
        <f t="shared" si="50"/>
        <v>-31</v>
      </c>
      <c r="AA79" s="185">
        <f t="shared" si="50"/>
        <v>122</v>
      </c>
      <c r="AB79" s="185">
        <f t="shared" si="50"/>
        <v>35991</v>
      </c>
      <c r="AC79" s="185">
        <f t="shared" si="50"/>
        <v>214</v>
      </c>
      <c r="AD79" s="185">
        <f t="shared" ref="AD79:AF79" ca="1" si="51">+AD76-AD77-AD78</f>
        <v>-2019.8844920999982</v>
      </c>
      <c r="AE79" s="185">
        <f t="shared" si="51"/>
        <v>-10.388</v>
      </c>
      <c r="AF79" s="185">
        <f t="shared" si="51"/>
        <v>23</v>
      </c>
      <c r="AG79" s="2"/>
    </row>
    <row r="80" spans="1:33">
      <c r="B80" s="202"/>
      <c r="C80" s="187"/>
      <c r="D80" s="181"/>
      <c r="E80" s="182"/>
      <c r="F80" s="184"/>
      <c r="G80" s="186"/>
      <c r="AG80" s="2"/>
    </row>
    <row r="81" spans="2:33">
      <c r="B81" s="202">
        <f>+B79+1</f>
        <v>6</v>
      </c>
      <c r="C81" s="187"/>
      <c r="D81" s="187" t="s">
        <v>269</v>
      </c>
      <c r="E81" s="182"/>
      <c r="F81" s="166"/>
      <c r="G81" s="188"/>
      <c r="AG81" s="2"/>
    </row>
    <row r="82" spans="2:33">
      <c r="B82" s="202">
        <f t="shared" ref="B82:B98" si="52">+B81+1</f>
        <v>7</v>
      </c>
      <c r="C82" s="187"/>
      <c r="D82" s="181" t="s">
        <v>270</v>
      </c>
      <c r="E82" s="182"/>
      <c r="F82" s="166"/>
      <c r="G82" s="127">
        <f>SUM(H82:AF82)</f>
        <v>60</v>
      </c>
      <c r="N82" s="4">
        <v>60</v>
      </c>
      <c r="AG82" s="2"/>
    </row>
    <row r="83" spans="2:33">
      <c r="B83" s="202">
        <f t="shared" si="52"/>
        <v>8</v>
      </c>
      <c r="C83" s="187"/>
      <c r="D83" s="181" t="s">
        <v>281</v>
      </c>
      <c r="E83" s="182"/>
      <c r="F83" s="166"/>
      <c r="G83" s="127">
        <f>SUM(H83:AF83)</f>
        <v>0</v>
      </c>
      <c r="AG83" s="2"/>
    </row>
    <row r="84" spans="2:33">
      <c r="B84" s="202">
        <f t="shared" si="52"/>
        <v>9</v>
      </c>
      <c r="C84" s="187"/>
      <c r="D84" s="181" t="s">
        <v>271</v>
      </c>
      <c r="E84" s="181"/>
      <c r="F84" s="166"/>
      <c r="G84" s="127">
        <f>SUM(H84:AF84)</f>
        <v>0</v>
      </c>
      <c r="AG84" s="2"/>
    </row>
    <row r="85" spans="2:33">
      <c r="B85" s="202">
        <f t="shared" si="52"/>
        <v>10</v>
      </c>
      <c r="C85" s="187"/>
      <c r="D85" s="181"/>
      <c r="E85" s="182"/>
      <c r="F85" s="166"/>
      <c r="G85" s="176"/>
      <c r="AG85" s="2"/>
    </row>
    <row r="86" spans="2:33">
      <c r="B86" s="202">
        <f t="shared" si="52"/>
        <v>11</v>
      </c>
      <c r="C86" s="187"/>
      <c r="D86" s="166"/>
      <c r="E86" s="182"/>
      <c r="F86" s="191" t="s">
        <v>272</v>
      </c>
      <c r="G86" s="192">
        <f>SUM(G82:G84)</f>
        <v>60</v>
      </c>
      <c r="H86" s="192">
        <f t="shared" ref="H86:AC86" si="53">SUM(H82:H84)</f>
        <v>0</v>
      </c>
      <c r="I86" s="192">
        <f t="shared" si="53"/>
        <v>0</v>
      </c>
      <c r="J86" s="192">
        <f t="shared" si="53"/>
        <v>0</v>
      </c>
      <c r="K86" s="192">
        <f t="shared" si="53"/>
        <v>0</v>
      </c>
      <c r="L86" s="192">
        <f t="shared" si="53"/>
        <v>0</v>
      </c>
      <c r="M86" s="192">
        <f t="shared" si="53"/>
        <v>0</v>
      </c>
      <c r="N86" s="192">
        <f t="shared" si="53"/>
        <v>60</v>
      </c>
      <c r="O86" s="192">
        <f t="shared" si="53"/>
        <v>0</v>
      </c>
      <c r="P86" s="192">
        <f t="shared" si="53"/>
        <v>0</v>
      </c>
      <c r="Q86" s="192">
        <f t="shared" si="53"/>
        <v>0</v>
      </c>
      <c r="R86" s="192">
        <f t="shared" si="53"/>
        <v>0</v>
      </c>
      <c r="S86" s="192">
        <f t="shared" si="53"/>
        <v>0</v>
      </c>
      <c r="T86" s="192">
        <f t="shared" si="53"/>
        <v>0</v>
      </c>
      <c r="U86" s="192">
        <f t="shared" si="53"/>
        <v>0</v>
      </c>
      <c r="V86" s="192">
        <f t="shared" si="53"/>
        <v>0</v>
      </c>
      <c r="W86" s="192">
        <f t="shared" si="53"/>
        <v>0</v>
      </c>
      <c r="X86" s="192">
        <f t="shared" si="53"/>
        <v>0</v>
      </c>
      <c r="Y86" s="192">
        <f t="shared" si="53"/>
        <v>0</v>
      </c>
      <c r="Z86" s="192">
        <f t="shared" si="53"/>
        <v>0</v>
      </c>
      <c r="AA86" s="192">
        <f t="shared" si="53"/>
        <v>0</v>
      </c>
      <c r="AB86" s="192">
        <f t="shared" si="53"/>
        <v>0</v>
      </c>
      <c r="AC86" s="192">
        <f t="shared" si="53"/>
        <v>0</v>
      </c>
      <c r="AD86" s="192">
        <f t="shared" ref="AD86:AF86" si="54">SUM(AD82:AD84)</f>
        <v>0</v>
      </c>
      <c r="AE86" s="192">
        <f t="shared" si="54"/>
        <v>0</v>
      </c>
      <c r="AF86" s="192">
        <f t="shared" si="54"/>
        <v>0</v>
      </c>
      <c r="AG86" s="2"/>
    </row>
    <row r="87" spans="2:33">
      <c r="B87" s="202">
        <f t="shared" si="52"/>
        <v>12</v>
      </c>
      <c r="C87" s="187"/>
      <c r="D87" s="191"/>
      <c r="E87" s="182"/>
      <c r="F87" s="166"/>
      <c r="G87" s="186"/>
      <c r="AG87" s="2"/>
    </row>
    <row r="88" spans="2:33">
      <c r="B88" s="202">
        <f t="shared" si="52"/>
        <v>13</v>
      </c>
      <c r="C88" s="187"/>
      <c r="D88" s="187" t="s">
        <v>273</v>
      </c>
      <c r="E88" s="182"/>
      <c r="F88" s="166"/>
      <c r="G88" s="188"/>
      <c r="AG88" s="2"/>
    </row>
    <row r="89" spans="2:33">
      <c r="B89" s="202">
        <f t="shared" si="52"/>
        <v>14</v>
      </c>
      <c r="C89" s="187"/>
      <c r="D89" s="187" t="s">
        <v>390</v>
      </c>
      <c r="E89" s="182"/>
      <c r="F89" s="166"/>
      <c r="G89" s="127">
        <f>SUM(H89:AF89)</f>
        <v>0</v>
      </c>
      <c r="N89" s="4">
        <v>0</v>
      </c>
      <c r="AG89" s="2"/>
    </row>
    <row r="90" spans="2:33">
      <c r="B90" s="202">
        <f t="shared" si="52"/>
        <v>15</v>
      </c>
      <c r="C90" s="187"/>
      <c r="D90" s="371" t="s">
        <v>388</v>
      </c>
      <c r="F90" s="370"/>
      <c r="G90" s="127">
        <f>SUM(H90:AF90)</f>
        <v>0</v>
      </c>
      <c r="AE90" s="367"/>
      <c r="AG90" s="2"/>
    </row>
    <row r="91" spans="2:33">
      <c r="B91" s="202">
        <f t="shared" si="52"/>
        <v>16</v>
      </c>
      <c r="C91" s="187"/>
      <c r="D91" s="181" t="s">
        <v>271</v>
      </c>
      <c r="F91" s="166" t="s">
        <v>560</v>
      </c>
      <c r="G91" s="176"/>
      <c r="AE91" s="129"/>
      <c r="AG91" s="2"/>
    </row>
    <row r="92" spans="2:33">
      <c r="B92" s="202">
        <f t="shared" si="52"/>
        <v>17</v>
      </c>
      <c r="C92" s="187"/>
      <c r="D92" s="166"/>
      <c r="E92" s="182"/>
      <c r="F92" s="191" t="s">
        <v>275</v>
      </c>
      <c r="G92" s="192">
        <f>SUM(G89:G91)</f>
        <v>0</v>
      </c>
      <c r="H92" s="192">
        <f t="shared" ref="H92:AC92" si="55">SUM(H89:H91)</f>
        <v>0</v>
      </c>
      <c r="I92" s="192">
        <f t="shared" si="55"/>
        <v>0</v>
      </c>
      <c r="J92" s="192">
        <f t="shared" si="55"/>
        <v>0</v>
      </c>
      <c r="K92" s="192">
        <f t="shared" si="55"/>
        <v>0</v>
      </c>
      <c r="L92" s="192">
        <f t="shared" si="55"/>
        <v>0</v>
      </c>
      <c r="M92" s="192">
        <f t="shared" si="55"/>
        <v>0</v>
      </c>
      <c r="N92" s="192">
        <f t="shared" si="55"/>
        <v>0</v>
      </c>
      <c r="O92" s="192">
        <f t="shared" si="55"/>
        <v>0</v>
      </c>
      <c r="P92" s="192">
        <f t="shared" si="55"/>
        <v>0</v>
      </c>
      <c r="Q92" s="192">
        <f t="shared" si="55"/>
        <v>0</v>
      </c>
      <c r="R92" s="192">
        <f t="shared" si="55"/>
        <v>0</v>
      </c>
      <c r="S92" s="192">
        <f t="shared" si="55"/>
        <v>0</v>
      </c>
      <c r="T92" s="192">
        <f t="shared" si="55"/>
        <v>0</v>
      </c>
      <c r="U92" s="192">
        <f t="shared" si="55"/>
        <v>0</v>
      </c>
      <c r="V92" s="192">
        <f t="shared" si="55"/>
        <v>0</v>
      </c>
      <c r="W92" s="192">
        <f t="shared" si="55"/>
        <v>0</v>
      </c>
      <c r="X92" s="192">
        <f t="shared" si="55"/>
        <v>0</v>
      </c>
      <c r="Y92" s="192">
        <f t="shared" si="55"/>
        <v>0</v>
      </c>
      <c r="Z92" s="192">
        <f t="shared" si="55"/>
        <v>0</v>
      </c>
      <c r="AA92" s="192">
        <f t="shared" si="55"/>
        <v>0</v>
      </c>
      <c r="AB92" s="192">
        <f t="shared" si="55"/>
        <v>0</v>
      </c>
      <c r="AC92" s="192">
        <f t="shared" si="55"/>
        <v>0</v>
      </c>
      <c r="AD92" s="192">
        <f t="shared" ref="AD92" si="56">SUM(AD89:AD91)</f>
        <v>0</v>
      </c>
      <c r="AE92" s="192">
        <f>SUM(AE90:AE91)</f>
        <v>0</v>
      </c>
      <c r="AF92" s="192">
        <f t="shared" ref="AF92" si="57">SUM(AF89:AF91)</f>
        <v>0</v>
      </c>
      <c r="AG92" s="2"/>
    </row>
    <row r="93" spans="2:33">
      <c r="B93" s="202">
        <f t="shared" si="52"/>
        <v>18</v>
      </c>
      <c r="C93" s="187"/>
      <c r="D93" s="191"/>
      <c r="E93" s="182"/>
      <c r="F93" s="166"/>
      <c r="G93" s="193"/>
      <c r="AG93" s="2"/>
    </row>
    <row r="94" spans="2:33">
      <c r="B94" s="202">
        <f t="shared" si="52"/>
        <v>19</v>
      </c>
      <c r="C94" s="187"/>
      <c r="D94" s="181" t="s">
        <v>512</v>
      </c>
      <c r="E94" s="182"/>
      <c r="F94" s="166"/>
      <c r="G94" s="186">
        <f t="shared" ref="G94:Z94" ca="1" si="58">+G79+G86-G92</f>
        <v>21029.629507900005</v>
      </c>
      <c r="H94" s="186">
        <f t="shared" si="58"/>
        <v>0</v>
      </c>
      <c r="I94" s="186">
        <f t="shared" si="58"/>
        <v>0</v>
      </c>
      <c r="J94" s="186">
        <f t="shared" si="58"/>
        <v>0</v>
      </c>
      <c r="K94" s="186">
        <f t="shared" si="58"/>
        <v>0</v>
      </c>
      <c r="L94" s="186">
        <f t="shared" si="58"/>
        <v>0</v>
      </c>
      <c r="M94" s="186">
        <f t="shared" si="58"/>
        <v>0</v>
      </c>
      <c r="N94" s="186">
        <f t="shared" si="58"/>
        <v>120</v>
      </c>
      <c r="O94" s="186">
        <f t="shared" si="58"/>
        <v>0</v>
      </c>
      <c r="P94" s="186">
        <f t="shared" si="58"/>
        <v>-34</v>
      </c>
      <c r="Q94" s="186">
        <f t="shared" si="58"/>
        <v>-196.09800000000018</v>
      </c>
      <c r="R94" s="186">
        <f t="shared" si="58"/>
        <v>108</v>
      </c>
      <c r="S94" s="186">
        <f t="shared" si="58"/>
        <v>-80</v>
      </c>
      <c r="T94" s="186">
        <f t="shared" si="58"/>
        <v>-86</v>
      </c>
      <c r="U94" s="186">
        <f t="shared" si="58"/>
        <v>0</v>
      </c>
      <c r="V94" s="186">
        <f t="shared" si="58"/>
        <v>-13606</v>
      </c>
      <c r="W94" s="186">
        <f t="shared" si="58"/>
        <v>-9</v>
      </c>
      <c r="X94" s="186">
        <f t="shared" si="58"/>
        <v>516</v>
      </c>
      <c r="Y94" s="186">
        <f t="shared" si="58"/>
        <v>8</v>
      </c>
      <c r="Z94" s="186">
        <f t="shared" si="58"/>
        <v>-31</v>
      </c>
      <c r="AA94" s="186">
        <f t="shared" ref="AA94:AC94" si="59">+AA79+AA86-AA92</f>
        <v>122</v>
      </c>
      <c r="AB94" s="186">
        <f t="shared" si="59"/>
        <v>35991</v>
      </c>
      <c r="AC94" s="186">
        <f t="shared" si="59"/>
        <v>214</v>
      </c>
      <c r="AD94" s="186">
        <f t="shared" ref="AD94:AF94" ca="1" si="60">+AD79+AD86-AD92</f>
        <v>-2019.8844920999982</v>
      </c>
      <c r="AE94" s="186">
        <f t="shared" si="60"/>
        <v>-10.388</v>
      </c>
      <c r="AF94" s="186">
        <f t="shared" si="60"/>
        <v>23</v>
      </c>
      <c r="AG94" s="2"/>
    </row>
    <row r="95" spans="2:33">
      <c r="B95" s="202">
        <f t="shared" si="52"/>
        <v>20</v>
      </c>
      <c r="C95" s="187"/>
      <c r="D95" s="181" t="s">
        <v>276</v>
      </c>
      <c r="E95" s="182"/>
      <c r="F95" s="166"/>
      <c r="G95" s="216">
        <v>0.35</v>
      </c>
      <c r="H95" s="216">
        <f>+G95</f>
        <v>0.35</v>
      </c>
      <c r="I95" s="216">
        <f t="shared" ref="I95:AB95" si="61">+H95</f>
        <v>0.35</v>
      </c>
      <c r="J95" s="216">
        <f t="shared" si="61"/>
        <v>0.35</v>
      </c>
      <c r="K95" s="216">
        <f t="shared" si="61"/>
        <v>0.35</v>
      </c>
      <c r="L95" s="216">
        <f t="shared" si="61"/>
        <v>0.35</v>
      </c>
      <c r="M95" s="216">
        <f t="shared" si="61"/>
        <v>0.35</v>
      </c>
      <c r="N95" s="216">
        <f t="shared" si="61"/>
        <v>0.35</v>
      </c>
      <c r="O95" s="216">
        <f t="shared" si="61"/>
        <v>0.35</v>
      </c>
      <c r="P95" s="216">
        <f t="shared" si="61"/>
        <v>0.35</v>
      </c>
      <c r="Q95" s="216">
        <f t="shared" si="61"/>
        <v>0.35</v>
      </c>
      <c r="R95" s="216">
        <f t="shared" si="61"/>
        <v>0.35</v>
      </c>
      <c r="S95" s="216">
        <f t="shared" si="61"/>
        <v>0.35</v>
      </c>
      <c r="T95" s="216">
        <f t="shared" si="61"/>
        <v>0.35</v>
      </c>
      <c r="U95" s="216">
        <f t="shared" si="61"/>
        <v>0.35</v>
      </c>
      <c r="V95" s="216">
        <f t="shared" si="61"/>
        <v>0.35</v>
      </c>
      <c r="W95" s="216">
        <f t="shared" si="61"/>
        <v>0.35</v>
      </c>
      <c r="X95" s="216">
        <f t="shared" si="61"/>
        <v>0.35</v>
      </c>
      <c r="Y95" s="585">
        <f t="shared" si="61"/>
        <v>0.35</v>
      </c>
      <c r="Z95" s="216">
        <f t="shared" si="61"/>
        <v>0.35</v>
      </c>
      <c r="AA95" s="216">
        <f t="shared" si="61"/>
        <v>0.35</v>
      </c>
      <c r="AB95" s="216">
        <f t="shared" si="61"/>
        <v>0.35</v>
      </c>
      <c r="AC95" s="216">
        <f>+AB95</f>
        <v>0.35</v>
      </c>
      <c r="AD95" s="216">
        <f>+AC95</f>
        <v>0.35</v>
      </c>
      <c r="AE95" s="216">
        <f>+AD95</f>
        <v>0.35</v>
      </c>
      <c r="AF95" s="216">
        <f>+AE95</f>
        <v>0.35</v>
      </c>
      <c r="AG95" s="216">
        <f>+AF95</f>
        <v>0.35</v>
      </c>
    </row>
    <row r="96" spans="2:33">
      <c r="B96" s="202">
        <f t="shared" si="52"/>
        <v>21</v>
      </c>
      <c r="C96" s="187"/>
      <c r="D96" s="187" t="s">
        <v>277</v>
      </c>
      <c r="E96" s="182"/>
      <c r="F96" s="166"/>
      <c r="G96" s="193">
        <f t="shared" ref="G96:AC96" ca="1" si="62">G94*G95</f>
        <v>7360.3703277650011</v>
      </c>
      <c r="H96" s="193">
        <f t="shared" si="62"/>
        <v>0</v>
      </c>
      <c r="I96" s="193">
        <f t="shared" si="62"/>
        <v>0</v>
      </c>
      <c r="J96" s="193">
        <f t="shared" si="62"/>
        <v>0</v>
      </c>
      <c r="K96" s="193">
        <f t="shared" si="62"/>
        <v>0</v>
      </c>
      <c r="L96" s="193">
        <f t="shared" si="62"/>
        <v>0</v>
      </c>
      <c r="M96" s="193">
        <f t="shared" si="62"/>
        <v>0</v>
      </c>
      <c r="N96" s="193">
        <f t="shared" si="62"/>
        <v>42</v>
      </c>
      <c r="O96" s="193">
        <f t="shared" si="62"/>
        <v>0</v>
      </c>
      <c r="P96" s="193">
        <f t="shared" si="62"/>
        <v>-11.899999999999999</v>
      </c>
      <c r="Q96" s="193">
        <f t="shared" si="62"/>
        <v>-68.634300000000053</v>
      </c>
      <c r="R96" s="193">
        <f t="shared" si="62"/>
        <v>37.799999999999997</v>
      </c>
      <c r="S96" s="193">
        <f t="shared" si="62"/>
        <v>-28</v>
      </c>
      <c r="T96" s="193">
        <f t="shared" si="62"/>
        <v>-30.099999999999998</v>
      </c>
      <c r="U96" s="193">
        <f t="shared" si="62"/>
        <v>0</v>
      </c>
      <c r="V96" s="193">
        <f t="shared" si="62"/>
        <v>-4762.0999999999995</v>
      </c>
      <c r="W96" s="193">
        <f t="shared" si="62"/>
        <v>-3.15</v>
      </c>
      <c r="X96" s="193">
        <f t="shared" si="62"/>
        <v>180.6</v>
      </c>
      <c r="Y96" s="586">
        <f t="shared" si="62"/>
        <v>2.8</v>
      </c>
      <c r="Z96" s="193">
        <f t="shared" si="62"/>
        <v>-10.85</v>
      </c>
      <c r="AA96" s="193">
        <f t="shared" si="62"/>
        <v>42.699999999999996</v>
      </c>
      <c r="AB96" s="193">
        <f t="shared" si="62"/>
        <v>12596.849999999999</v>
      </c>
      <c r="AC96" s="193">
        <f t="shared" si="62"/>
        <v>74.899999999999991</v>
      </c>
      <c r="AD96" s="193">
        <f t="shared" ref="AD96:AF96" ca="1" si="63">AD94*AD95</f>
        <v>-706.95957223499931</v>
      </c>
      <c r="AE96" s="193">
        <f t="shared" si="63"/>
        <v>-3.6357999999999997</v>
      </c>
      <c r="AF96" s="193">
        <f t="shared" si="63"/>
        <v>8.0499999999999989</v>
      </c>
      <c r="AG96" s="2"/>
    </row>
    <row r="97" spans="2:33">
      <c r="B97" s="202">
        <f t="shared" si="52"/>
        <v>22</v>
      </c>
      <c r="C97" s="187"/>
      <c r="D97" s="181" t="s">
        <v>278</v>
      </c>
      <c r="E97" s="182"/>
      <c r="F97" s="166"/>
      <c r="G97" s="217">
        <f>+(G89-G82+G90)*G95</f>
        <v>-21</v>
      </c>
      <c r="H97" s="217">
        <f>+(H89-H82+H90)*H95</f>
        <v>0</v>
      </c>
      <c r="I97" s="217">
        <f t="shared" ref="I97:AC97" si="64">+(I89-I82+I90)*I95</f>
        <v>0</v>
      </c>
      <c r="J97" s="217">
        <f t="shared" si="64"/>
        <v>0</v>
      </c>
      <c r="K97" s="217">
        <f t="shared" si="64"/>
        <v>0</v>
      </c>
      <c r="L97" s="217">
        <f t="shared" si="64"/>
        <v>0</v>
      </c>
      <c r="M97" s="217">
        <f t="shared" si="64"/>
        <v>0</v>
      </c>
      <c r="N97" s="217">
        <f t="shared" si="64"/>
        <v>-21</v>
      </c>
      <c r="O97" s="217">
        <f t="shared" si="64"/>
        <v>0</v>
      </c>
      <c r="P97" s="217">
        <f t="shared" si="64"/>
        <v>0</v>
      </c>
      <c r="Q97" s="217">
        <f t="shared" si="64"/>
        <v>0</v>
      </c>
      <c r="R97" s="217">
        <f t="shared" si="64"/>
        <v>0</v>
      </c>
      <c r="S97" s="217">
        <f t="shared" si="64"/>
        <v>0</v>
      </c>
      <c r="T97" s="217">
        <f t="shared" si="64"/>
        <v>0</v>
      </c>
      <c r="U97" s="217">
        <f t="shared" si="64"/>
        <v>0</v>
      </c>
      <c r="V97" s="217">
        <f t="shared" si="64"/>
        <v>0</v>
      </c>
      <c r="W97" s="217">
        <f t="shared" si="64"/>
        <v>0</v>
      </c>
      <c r="X97" s="217">
        <f t="shared" si="64"/>
        <v>0</v>
      </c>
      <c r="Y97" s="587">
        <f t="shared" si="64"/>
        <v>0</v>
      </c>
      <c r="Z97" s="217">
        <f t="shared" si="64"/>
        <v>0</v>
      </c>
      <c r="AA97" s="217">
        <f t="shared" si="64"/>
        <v>0</v>
      </c>
      <c r="AB97" s="217">
        <f t="shared" si="64"/>
        <v>0</v>
      </c>
      <c r="AC97" s="217">
        <f t="shared" si="64"/>
        <v>0</v>
      </c>
      <c r="AD97" s="217">
        <f t="shared" ref="AD97" si="65">+(AD89-AD82+AD90)*AD95</f>
        <v>0</v>
      </c>
      <c r="AE97" s="217"/>
      <c r="AF97" s="217">
        <f t="shared" ref="AF97" si="66">+(AF89-AF82+AF90)*AF95</f>
        <v>0</v>
      </c>
      <c r="AG97" s="2"/>
    </row>
    <row r="98" spans="2:33" ht="12.75" thickBot="1">
      <c r="B98" s="202">
        <f t="shared" si="52"/>
        <v>23</v>
      </c>
      <c r="C98" s="187"/>
      <c r="D98" s="198" t="s">
        <v>279</v>
      </c>
      <c r="E98" s="199"/>
      <c r="F98" s="166"/>
      <c r="G98" s="213">
        <f t="shared" ref="G98:AC98" ca="1" si="67">+G96+G97</f>
        <v>7339.3703277650011</v>
      </c>
      <c r="H98" s="213">
        <f t="shared" si="67"/>
        <v>0</v>
      </c>
      <c r="I98" s="213">
        <f t="shared" si="67"/>
        <v>0</v>
      </c>
      <c r="J98" s="213">
        <f t="shared" si="67"/>
        <v>0</v>
      </c>
      <c r="K98" s="213">
        <f t="shared" si="67"/>
        <v>0</v>
      </c>
      <c r="L98" s="213">
        <f t="shared" si="67"/>
        <v>0</v>
      </c>
      <c r="M98" s="213">
        <f t="shared" si="67"/>
        <v>0</v>
      </c>
      <c r="N98" s="213">
        <f t="shared" si="67"/>
        <v>21</v>
      </c>
      <c r="O98" s="213">
        <f t="shared" si="67"/>
        <v>0</v>
      </c>
      <c r="P98" s="213">
        <f t="shared" si="67"/>
        <v>-11.899999999999999</v>
      </c>
      <c r="Q98" s="213">
        <f t="shared" si="67"/>
        <v>-68.634300000000053</v>
      </c>
      <c r="R98" s="213">
        <f t="shared" si="67"/>
        <v>37.799999999999997</v>
      </c>
      <c r="S98" s="213">
        <f t="shared" si="67"/>
        <v>-28</v>
      </c>
      <c r="T98" s="213">
        <f t="shared" si="67"/>
        <v>-30.099999999999998</v>
      </c>
      <c r="U98" s="213">
        <f t="shared" si="67"/>
        <v>0</v>
      </c>
      <c r="V98" s="213">
        <f t="shared" si="67"/>
        <v>-4762.0999999999995</v>
      </c>
      <c r="W98" s="213">
        <f t="shared" si="67"/>
        <v>-3.15</v>
      </c>
      <c r="X98" s="213">
        <f t="shared" si="67"/>
        <v>180.6</v>
      </c>
      <c r="Y98" s="588">
        <f t="shared" si="67"/>
        <v>2.8</v>
      </c>
      <c r="Z98" s="213">
        <f t="shared" si="67"/>
        <v>-10.85</v>
      </c>
      <c r="AA98" s="213">
        <f t="shared" si="67"/>
        <v>42.699999999999996</v>
      </c>
      <c r="AB98" s="213">
        <f t="shared" si="67"/>
        <v>12596.849999999999</v>
      </c>
      <c r="AC98" s="213">
        <f t="shared" si="67"/>
        <v>74.899999999999991</v>
      </c>
      <c r="AD98" s="213">
        <f t="shared" ref="AD98:AF98" ca="1" si="68">+AD96+AD97</f>
        <v>-706.95957223499931</v>
      </c>
      <c r="AE98" s="213">
        <f t="shared" si="68"/>
        <v>-3.6357999999999997</v>
      </c>
      <c r="AF98" s="213">
        <f t="shared" si="68"/>
        <v>8.0499999999999989</v>
      </c>
      <c r="AG98" s="2"/>
    </row>
    <row r="99" spans="2:33" ht="12.75" thickTop="1">
      <c r="B99" s="202"/>
      <c r="AG99" s="2"/>
    </row>
    <row r="100" spans="2:33">
      <c r="AG100" s="2"/>
    </row>
    <row r="101" spans="2:33">
      <c r="AG101" s="2"/>
    </row>
    <row r="102" spans="2:33">
      <c r="AG102" s="2"/>
    </row>
    <row r="103" spans="2:33">
      <c r="AG103" s="2"/>
    </row>
    <row r="104" spans="2:33">
      <c r="AG104" s="2"/>
    </row>
    <row r="105" spans="2:33">
      <c r="AG105" s="2"/>
    </row>
    <row r="106" spans="2:33">
      <c r="L106" s="432"/>
      <c r="AG106" s="2"/>
    </row>
    <row r="107" spans="2:33">
      <c r="AG107" s="2"/>
    </row>
    <row r="108" spans="2:33">
      <c r="AG108" s="2"/>
    </row>
    <row r="109" spans="2:33">
      <c r="AG109" s="2"/>
    </row>
    <row r="110" spans="2:33">
      <c r="AG110" s="2"/>
    </row>
    <row r="111" spans="2:33">
      <c r="AG111" s="2"/>
    </row>
  </sheetData>
  <customSheetViews>
    <customSheetView guid="{A15D1962-B049-11D2-8670-0000832CEEE8}" scale="75" showPageBreaks="1" showGridLines="0" hiddenColumns="1" showRuler="0" topLeftCell="AF1">
      <selection activeCell="AG1" sqref="AG1:AO65536"/>
      <colBreaks count="5" manualBreakCount="5">
        <brk id="11" max="70" man="1"/>
        <brk id="18" max="70" man="1"/>
        <brk id="25" max="70" man="1"/>
        <brk id="32" max="1048575" man="1"/>
        <brk id="52" max="1048575" man="1"/>
      </colBreaks>
      <pageMargins left="0.75" right="0.51" top="0.75" bottom="0.5" header="0.5" footer="0.5"/>
      <pageSetup scale="76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6E1B8C45-B07F-11D2-B0DC-0000832CDFF0}" scale="75" showPageBreaks="1" showGridLines="0" printArea="1" hiddenColumns="1" showRuler="0">
      <selection sqref="A1:IV65536"/>
      <colBreaks count="5" manualBreakCount="5">
        <brk id="11" max="70" man="1"/>
        <brk id="18" max="70" man="1"/>
        <brk id="25" max="70" man="1"/>
        <brk id="32" max="1048575" man="1"/>
        <brk id="40" max="1048575" man="1"/>
      </colBreaks>
      <pageMargins left="0.75" right="0.51" top="0.75" bottom="0.5" header="0.5" footer="0.5"/>
      <pageSetup scale="76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3">
    <mergeCell ref="C75:F75"/>
    <mergeCell ref="C12:F12"/>
    <mergeCell ref="C55:F55"/>
  </mergeCells>
  <phoneticPr fontId="0" type="noConversion"/>
  <pageMargins left="0.75" right="0.51" top="0.75" bottom="0.5" header="0.5" footer="0.5"/>
  <pageSetup scale="75" firstPageNumber="2" fitToWidth="7" orientation="portrait" useFirstPageNumber="1" r:id="rId3"/>
  <headerFooter alignWithMargins="0">
    <oddHeader>&amp;RExhibit No. _____(DPK-2)
Docket UE-090134  UG-090135
Page &amp;P of &amp;N</oddHeader>
    <oddFooter>&amp;RRESPONSE TO BENCH REQUEST # 2 Supplemental
Revised for Settlement and Accepted Rebuttal Corrections</oddFooter>
  </headerFooter>
  <rowBreaks count="1" manualBreakCount="1">
    <brk id="71" min="6" max="32" man="1"/>
  </row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indexed="47"/>
    <pageSetUpPr fitToPage="1"/>
  </sheetPr>
  <dimension ref="A1:AS101"/>
  <sheetViews>
    <sheetView zoomScaleNormal="100" workbookViewId="0">
      <pane xSplit="6" ySplit="12" topLeftCell="G13" activePane="bottomRight" state="frozen"/>
      <selection activeCell="J45" sqref="J45"/>
      <selection pane="topRight" activeCell="J45" sqref="J45"/>
      <selection pane="bottomLeft" activeCell="J45" sqref="J45"/>
      <selection pane="bottomRight" activeCell="J45" sqref="J45"/>
    </sheetView>
  </sheetViews>
  <sheetFormatPr defaultColWidth="10.625" defaultRowHeight="15.75"/>
  <cols>
    <col min="1" max="1" width="9" style="154" customWidth="1"/>
    <col min="2" max="2" width="4.625" style="3" customWidth="1"/>
    <col min="3" max="5" width="1.625" style="2" customWidth="1"/>
    <col min="6" max="6" width="33.625" style="2" customWidth="1"/>
    <col min="7" max="7" width="13.75" style="100" customWidth="1"/>
    <col min="8" max="8" width="13.25" style="4" customWidth="1"/>
    <col min="9" max="9" width="14.875" style="4" customWidth="1"/>
    <col min="10" max="11" width="13.25" style="4" customWidth="1"/>
    <col min="12" max="12" width="14.875" style="4" customWidth="1"/>
    <col min="13" max="13" width="13.75" style="4" customWidth="1"/>
    <col min="14" max="14" width="13.25" style="4" customWidth="1"/>
    <col min="15" max="15" width="14.25" style="4" customWidth="1"/>
    <col min="16" max="16" width="13.25" style="100" customWidth="1"/>
    <col min="17" max="17" width="15.25" style="100" customWidth="1"/>
    <col min="18" max="18" width="13.25" style="100" customWidth="1"/>
    <col min="19" max="20" width="14.625" style="4" customWidth="1"/>
    <col min="21" max="21" width="14.875" style="4" customWidth="1"/>
    <col min="22" max="22" width="13.25" style="4" customWidth="1"/>
    <col min="23" max="26" width="14.625" style="4" customWidth="1"/>
    <col min="27" max="27" width="14.875" style="4" hidden="1" customWidth="1"/>
    <col min="28" max="28" width="9" style="218" customWidth="1"/>
    <col min="29" max="29" width="33.625" style="218" customWidth="1"/>
    <col min="30" max="32" width="9" style="218" customWidth="1"/>
    <col min="33" max="36" width="9" customWidth="1"/>
    <col min="37" max="37" width="11.625" style="4" hidden="1" customWidth="1"/>
    <col min="38" max="38" width="5" style="2" customWidth="1"/>
    <col min="39" max="39" width="2.75" style="2" customWidth="1"/>
    <col min="40" max="40" width="11.75" style="2" customWidth="1"/>
    <col min="41" max="41" width="2.625" style="2" customWidth="1"/>
    <col min="42" max="42" width="10.875" style="2" customWidth="1"/>
    <col min="43" max="43" width="6.75" style="2" customWidth="1"/>
    <col min="44" max="45" width="9.625" style="2" customWidth="1"/>
    <col min="46" max="46" width="10.625" style="2" customWidth="1"/>
    <col min="47" max="47" width="6.75" style="2" customWidth="1"/>
    <col min="48" max="16384" width="10.625" style="2"/>
  </cols>
  <sheetData>
    <row r="1" spans="1:40" s="154" customFormat="1" ht="12.75" thickBot="1">
      <c r="B1" s="155"/>
      <c r="G1" s="156"/>
      <c r="H1" s="156"/>
      <c r="I1" s="156"/>
      <c r="J1" s="156"/>
      <c r="K1" s="156"/>
      <c r="L1" s="156"/>
      <c r="M1" s="156"/>
      <c r="N1" s="156"/>
      <c r="O1" s="156"/>
      <c r="P1" s="625"/>
      <c r="Q1" s="156"/>
      <c r="R1" s="156"/>
      <c r="S1" s="156"/>
      <c r="T1" s="156"/>
      <c r="U1" s="156"/>
      <c r="V1" s="625"/>
      <c r="W1" s="664" t="s">
        <v>556</v>
      </c>
      <c r="X1" s="156"/>
      <c r="Y1" s="156"/>
      <c r="Z1" s="156"/>
      <c r="AA1" s="156"/>
      <c r="AK1" s="156"/>
    </row>
    <row r="2" spans="1:40" s="154" customFormat="1" ht="13.5" thickBot="1">
      <c r="B2" s="155"/>
      <c r="F2" s="438" t="s">
        <v>468</v>
      </c>
      <c r="G2" s="156"/>
      <c r="H2" s="716" t="s">
        <v>603</v>
      </c>
      <c r="I2" s="583" t="s">
        <v>599</v>
      </c>
      <c r="J2" s="710" t="s">
        <v>600</v>
      </c>
      <c r="K2" s="710" t="s">
        <v>600</v>
      </c>
      <c r="L2" s="710" t="s">
        <v>600</v>
      </c>
      <c r="M2" s="156"/>
      <c r="N2" s="156"/>
      <c r="O2" s="717"/>
      <c r="P2" s="156"/>
      <c r="Q2" s="156"/>
      <c r="R2" s="708" t="s">
        <v>601</v>
      </c>
      <c r="S2" s="709" t="s">
        <v>600</v>
      </c>
      <c r="T2" s="709" t="s">
        <v>600</v>
      </c>
      <c r="U2" s="709" t="s">
        <v>600</v>
      </c>
      <c r="V2" s="156"/>
      <c r="W2" s="156"/>
      <c r="X2" s="156"/>
      <c r="Y2" s="156"/>
      <c r="Z2" s="156"/>
      <c r="AA2" s="156"/>
      <c r="AK2" s="156"/>
    </row>
    <row r="3" spans="1:40">
      <c r="B3" s="1" t="str">
        <f>+'DPK-2 Restating Adj Sch 1.2'!B3</f>
        <v>Avista Corporation</v>
      </c>
      <c r="F3" s="3"/>
      <c r="G3" s="133"/>
    </row>
    <row r="4" spans="1:40">
      <c r="B4" s="578" t="s">
        <v>635</v>
      </c>
      <c r="F4" s="3"/>
      <c r="G4" s="133"/>
    </row>
    <row r="5" spans="1:40">
      <c r="B5" s="1" t="str">
        <f>+'DPK-2 Restating Adj Sch 1.2'!B5</f>
        <v>Twelve Months Ended September 30, 2008</v>
      </c>
      <c r="F5" s="3"/>
    </row>
    <row r="6" spans="1:40">
      <c r="B6" s="1" t="str">
        <f>+'DPK-2 Restating Adj Sch 1.2'!B6</f>
        <v>(000's of Dollars)</v>
      </c>
      <c r="F6" s="3"/>
      <c r="AA6" s="23" t="s">
        <v>578</v>
      </c>
    </row>
    <row r="7" spans="1:40">
      <c r="B7" s="1"/>
      <c r="F7" s="3"/>
      <c r="H7" s="221" t="s">
        <v>288</v>
      </c>
      <c r="I7" s="221" t="s">
        <v>289</v>
      </c>
      <c r="J7" s="221" t="s">
        <v>290</v>
      </c>
      <c r="K7" s="221" t="s">
        <v>291</v>
      </c>
      <c r="L7" s="221" t="s">
        <v>292</v>
      </c>
      <c r="M7" s="221" t="s">
        <v>287</v>
      </c>
      <c r="N7" s="221" t="s">
        <v>321</v>
      </c>
      <c r="O7" s="221" t="s">
        <v>322</v>
      </c>
      <c r="P7" s="221" t="s">
        <v>323</v>
      </c>
      <c r="Q7" s="221" t="s">
        <v>374</v>
      </c>
      <c r="R7" s="221" t="s">
        <v>375</v>
      </c>
      <c r="S7" s="221" t="s">
        <v>515</v>
      </c>
      <c r="T7" s="221" t="s">
        <v>516</v>
      </c>
      <c r="U7" s="221" t="s">
        <v>517</v>
      </c>
      <c r="V7" s="221" t="s">
        <v>518</v>
      </c>
      <c r="W7" s="805" t="s">
        <v>519</v>
      </c>
      <c r="X7" s="221" t="s">
        <v>520</v>
      </c>
      <c r="Y7" s="221" t="s">
        <v>521</v>
      </c>
      <c r="Z7" s="221" t="s">
        <v>576</v>
      </c>
      <c r="AA7" s="221" t="s">
        <v>521</v>
      </c>
    </row>
    <row r="8" spans="1:40" s="7" customFormat="1" hidden="1">
      <c r="A8" s="157"/>
      <c r="B8" s="6"/>
      <c r="F8" s="6"/>
      <c r="G8" s="122"/>
      <c r="H8" s="122"/>
      <c r="I8" s="122"/>
      <c r="J8" s="122"/>
      <c r="K8" s="8"/>
      <c r="L8" s="8"/>
      <c r="M8" s="8"/>
      <c r="N8" s="8"/>
      <c r="O8" s="8"/>
      <c r="P8" s="122"/>
      <c r="Q8" s="694"/>
      <c r="R8" s="122"/>
      <c r="S8" s="8"/>
      <c r="T8" s="8"/>
      <c r="U8" s="8"/>
      <c r="V8" s="8"/>
      <c r="X8" s="8"/>
      <c r="Y8" s="8"/>
      <c r="Z8" s="8"/>
      <c r="AA8" s="7" t="s">
        <v>577</v>
      </c>
      <c r="AB8" s="157"/>
      <c r="AC8" s="218"/>
      <c r="AD8" s="157"/>
      <c r="AE8" s="157"/>
      <c r="AF8" s="157"/>
      <c r="AK8" s="8"/>
    </row>
    <row r="9" spans="1:40" s="7" customFormat="1" ht="12" customHeight="1">
      <c r="A9" s="157"/>
      <c r="B9" s="9"/>
      <c r="C9" s="10"/>
      <c r="D9" s="11"/>
      <c r="E9" s="11"/>
      <c r="F9" s="12"/>
      <c r="G9" s="101" t="s">
        <v>161</v>
      </c>
      <c r="H9" s="802" t="s">
        <v>237</v>
      </c>
      <c r="I9" s="152" t="s">
        <v>237</v>
      </c>
      <c r="J9" s="152" t="s">
        <v>237</v>
      </c>
      <c r="K9" s="152" t="s">
        <v>237</v>
      </c>
      <c r="L9" s="152" t="s">
        <v>237</v>
      </c>
      <c r="M9" s="152" t="s">
        <v>237</v>
      </c>
      <c r="N9" s="152" t="s">
        <v>237</v>
      </c>
      <c r="O9" s="802" t="s">
        <v>237</v>
      </c>
      <c r="P9" s="152" t="s">
        <v>237</v>
      </c>
      <c r="Q9" s="152" t="s">
        <v>237</v>
      </c>
      <c r="R9" s="152" t="s">
        <v>237</v>
      </c>
      <c r="S9" s="152" t="s">
        <v>10</v>
      </c>
      <c r="T9" s="152" t="s">
        <v>237</v>
      </c>
      <c r="U9" s="152" t="s">
        <v>237</v>
      </c>
      <c r="V9" s="152" t="s">
        <v>10</v>
      </c>
      <c r="W9" s="802" t="s">
        <v>10</v>
      </c>
      <c r="X9" s="152" t="s">
        <v>10</v>
      </c>
      <c r="Y9" s="152" t="s">
        <v>10</v>
      </c>
      <c r="Z9" s="152" t="s">
        <v>10</v>
      </c>
      <c r="AA9" s="152" t="s">
        <v>10</v>
      </c>
      <c r="AB9" s="157"/>
      <c r="AC9" s="218"/>
      <c r="AD9" s="157"/>
      <c r="AE9" s="157"/>
      <c r="AF9" s="157"/>
      <c r="AK9" s="101"/>
    </row>
    <row r="10" spans="1:40" s="7" customFormat="1">
      <c r="A10" s="157"/>
      <c r="B10" s="13" t="s">
        <v>11</v>
      </c>
      <c r="C10" s="14"/>
      <c r="D10" s="15"/>
      <c r="E10" s="15"/>
      <c r="F10" s="16"/>
      <c r="G10" s="123" t="s">
        <v>10</v>
      </c>
      <c r="H10" s="803" t="s">
        <v>19</v>
      </c>
      <c r="I10" s="153" t="s">
        <v>238</v>
      </c>
      <c r="J10" s="17" t="s">
        <v>212</v>
      </c>
      <c r="K10" s="17" t="s">
        <v>212</v>
      </c>
      <c r="L10" s="17" t="s">
        <v>64</v>
      </c>
      <c r="M10" s="22" t="s">
        <v>626</v>
      </c>
      <c r="N10" s="22" t="s">
        <v>216</v>
      </c>
      <c r="O10" s="804" t="s">
        <v>570</v>
      </c>
      <c r="P10" s="17" t="s">
        <v>513</v>
      </c>
      <c r="Q10" s="123" t="s">
        <v>571</v>
      </c>
      <c r="R10" s="123" t="s">
        <v>522</v>
      </c>
      <c r="S10" s="153" t="s">
        <v>524</v>
      </c>
      <c r="T10" s="123" t="s">
        <v>527</v>
      </c>
      <c r="U10" s="17" t="s">
        <v>525</v>
      </c>
      <c r="V10" s="153" t="s">
        <v>529</v>
      </c>
      <c r="W10" s="803" t="s">
        <v>573</v>
      </c>
      <c r="X10" s="17" t="s">
        <v>574</v>
      </c>
      <c r="Y10" s="17" t="s">
        <v>579</v>
      </c>
      <c r="Z10" s="17" t="s">
        <v>580</v>
      </c>
      <c r="AA10" s="153"/>
      <c r="AB10" s="157"/>
      <c r="AC10" s="218"/>
      <c r="AD10" s="157"/>
      <c r="AE10" s="157"/>
      <c r="AF10" s="157"/>
      <c r="AK10" s="123"/>
    </row>
    <row r="11" spans="1:40" s="7" customFormat="1">
      <c r="A11" s="157"/>
      <c r="B11" s="18" t="s">
        <v>29</v>
      </c>
      <c r="C11" s="19"/>
      <c r="D11" s="20"/>
      <c r="E11" s="20"/>
      <c r="F11" s="21" t="s">
        <v>30</v>
      </c>
      <c r="G11" s="124" t="s">
        <v>165</v>
      </c>
      <c r="H11" s="804" t="s">
        <v>37</v>
      </c>
      <c r="I11" s="124" t="s">
        <v>221</v>
      </c>
      <c r="J11" s="22" t="s">
        <v>213</v>
      </c>
      <c r="K11" s="22" t="s">
        <v>214</v>
      </c>
      <c r="L11" s="22" t="s">
        <v>215</v>
      </c>
      <c r="M11" s="18" t="s">
        <v>627</v>
      </c>
      <c r="N11" s="18" t="s">
        <v>630</v>
      </c>
      <c r="O11" s="845" t="s">
        <v>628</v>
      </c>
      <c r="P11" s="22" t="s">
        <v>514</v>
      </c>
      <c r="Q11" s="124" t="s">
        <v>572</v>
      </c>
      <c r="R11" s="124" t="s">
        <v>523</v>
      </c>
      <c r="S11" s="124" t="s">
        <v>5</v>
      </c>
      <c r="T11" s="124" t="s">
        <v>528</v>
      </c>
      <c r="U11" s="22" t="s">
        <v>526</v>
      </c>
      <c r="V11" s="22"/>
      <c r="W11" s="804" t="s">
        <v>40</v>
      </c>
      <c r="X11" s="22" t="s">
        <v>575</v>
      </c>
      <c r="Y11" s="22"/>
      <c r="Z11" s="22" t="s">
        <v>581</v>
      </c>
      <c r="AA11" s="22"/>
      <c r="AB11" s="157"/>
      <c r="AC11" s="218"/>
      <c r="AD11" s="157"/>
      <c r="AE11" s="157"/>
      <c r="AF11" s="157"/>
      <c r="AK11" s="124"/>
    </row>
    <row r="12" spans="1:40" s="68" customFormat="1">
      <c r="A12" s="158"/>
      <c r="B12" s="545"/>
      <c r="F12" s="222" t="s">
        <v>259</v>
      </c>
      <c r="G12" s="125"/>
      <c r="H12" s="806" t="s">
        <v>5</v>
      </c>
      <c r="I12" s="134"/>
      <c r="J12" s="23"/>
      <c r="K12" s="23"/>
      <c r="L12" s="23"/>
      <c r="M12" s="23"/>
      <c r="N12" s="23"/>
      <c r="O12" s="844" t="s">
        <v>645</v>
      </c>
      <c r="P12" s="125"/>
      <c r="Q12" s="125"/>
      <c r="R12" s="125"/>
      <c r="S12" s="23"/>
      <c r="T12" s="23"/>
      <c r="U12" s="23"/>
      <c r="V12" s="23"/>
      <c r="W12" s="837" t="s">
        <v>5</v>
      </c>
      <c r="X12" s="23"/>
      <c r="Y12" s="23"/>
      <c r="Z12" s="23"/>
      <c r="AA12" s="23"/>
      <c r="AB12" s="158"/>
      <c r="AC12" s="218"/>
      <c r="AD12" s="158"/>
      <c r="AE12" s="158"/>
      <c r="AF12" s="158"/>
      <c r="AK12" s="134"/>
    </row>
    <row r="13" spans="1:40">
      <c r="B13" s="168"/>
      <c r="C13" s="874" t="s">
        <v>241</v>
      </c>
      <c r="D13" s="874"/>
      <c r="E13" s="874"/>
      <c r="F13" s="875"/>
      <c r="G13" s="4"/>
      <c r="H13" s="135"/>
      <c r="I13" s="135"/>
      <c r="AK13" s="135"/>
    </row>
    <row r="14" spans="1:40">
      <c r="B14" s="546"/>
      <c r="C14" s="2" t="s">
        <v>172</v>
      </c>
      <c r="F14" s="162"/>
      <c r="H14" s="135"/>
      <c r="I14" s="135"/>
      <c r="AK14" s="135"/>
    </row>
    <row r="15" spans="1:40" s="25" customFormat="1">
      <c r="A15" s="154"/>
      <c r="B15" s="542">
        <v>1</v>
      </c>
      <c r="C15" s="25" t="s">
        <v>173</v>
      </c>
      <c r="F15" s="169"/>
      <c r="G15" s="126">
        <f>SUM(H15:W15)</f>
        <v>0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159"/>
      <c r="AC15" s="218"/>
      <c r="AD15" s="159"/>
      <c r="AE15" s="159"/>
      <c r="AF15" s="159"/>
      <c r="AK15" s="63"/>
      <c r="AL15" s="102"/>
      <c r="AM15" s="102"/>
      <c r="AN15" s="102"/>
    </row>
    <row r="16" spans="1:40" s="26" customFormat="1">
      <c r="A16" s="154"/>
      <c r="B16" s="542">
        <f t="shared" ref="B16:B47" si="0">1+B15</f>
        <v>2</v>
      </c>
      <c r="C16" s="26" t="s">
        <v>174</v>
      </c>
      <c r="F16" s="173"/>
      <c r="G16" s="127">
        <f>SUM(H16:W16)</f>
        <v>0</v>
      </c>
      <c r="H16" s="61"/>
      <c r="I16" s="61"/>
      <c r="J16" s="61"/>
      <c r="K16" s="61"/>
      <c r="L16" s="61"/>
      <c r="M16" s="61"/>
      <c r="N16" s="61"/>
      <c r="O16" s="61"/>
      <c r="P16" s="127"/>
      <c r="Q16" s="127"/>
      <c r="R16" s="127"/>
      <c r="S16" s="61"/>
      <c r="T16" s="61"/>
      <c r="U16" s="61"/>
      <c r="V16" s="61"/>
      <c r="W16" s="61"/>
      <c r="X16" s="61"/>
      <c r="Y16" s="674"/>
      <c r="Z16" s="674"/>
      <c r="AA16" s="61"/>
      <c r="AB16" s="160"/>
      <c r="AC16" s="218"/>
      <c r="AD16" s="160"/>
      <c r="AE16" s="160"/>
      <c r="AF16" s="160"/>
      <c r="AK16" s="61"/>
    </row>
    <row r="17" spans="1:37" s="26" customFormat="1">
      <c r="A17" s="154"/>
      <c r="B17" s="542">
        <f t="shared" si="0"/>
        <v>3</v>
      </c>
      <c r="C17" s="26" t="s">
        <v>175</v>
      </c>
      <c r="F17" s="173"/>
      <c r="G17" s="128">
        <f ca="1">SUM(H17:AA17)</f>
        <v>-50631</v>
      </c>
      <c r="H17" s="62">
        <v>-49086</v>
      </c>
      <c r="I17" s="62">
        <f ca="1">+'DPK-6 PF-2 ProdFctrCalc'!H75</f>
        <v>-1545</v>
      </c>
      <c r="J17" s="62"/>
      <c r="K17" s="62"/>
      <c r="L17" s="62"/>
      <c r="M17" s="62"/>
      <c r="N17" s="62"/>
      <c r="O17" s="62"/>
      <c r="P17" s="128"/>
      <c r="Q17" s="128"/>
      <c r="R17" s="128"/>
      <c r="S17" s="62"/>
      <c r="T17" s="62"/>
      <c r="U17" s="62"/>
      <c r="V17" s="62"/>
      <c r="W17" s="62"/>
      <c r="X17" s="62"/>
      <c r="Y17" s="62"/>
      <c r="Z17" s="62"/>
      <c r="AA17" s="62"/>
      <c r="AB17" s="160"/>
      <c r="AC17" s="218"/>
      <c r="AD17" s="160"/>
      <c r="AE17" s="160"/>
      <c r="AF17" s="160"/>
      <c r="AK17" s="62"/>
    </row>
    <row r="18" spans="1:37" s="26" customFormat="1">
      <c r="A18" s="154"/>
      <c r="B18" s="542">
        <f t="shared" si="0"/>
        <v>4</v>
      </c>
      <c r="D18" s="26" t="s">
        <v>176</v>
      </c>
      <c r="F18" s="162"/>
      <c r="G18" s="129">
        <f ca="1">SUM(H18:AA18)</f>
        <v>-50631</v>
      </c>
      <c r="H18" s="26">
        <f t="shared" ref="H18:V18" si="1">SUM(H15:H17)</f>
        <v>-49086</v>
      </c>
      <c r="I18" s="26">
        <f t="shared" ca="1" si="1"/>
        <v>-1545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129">
        <f t="shared" si="1"/>
        <v>0</v>
      </c>
      <c r="Q18" s="129">
        <f>SUM(Q15:Q17)</f>
        <v>0</v>
      </c>
      <c r="R18" s="129">
        <f>SUM(R15:R17)</f>
        <v>0</v>
      </c>
      <c r="S18" s="26">
        <f>SUM(S15:S17)</f>
        <v>0</v>
      </c>
      <c r="U18" s="26">
        <f>SUM(U15:U17)</f>
        <v>0</v>
      </c>
      <c r="V18" s="26">
        <f t="shared" si="1"/>
        <v>0</v>
      </c>
      <c r="W18" s="26">
        <f>SUM(W15:W17)</f>
        <v>0</v>
      </c>
      <c r="AA18" s="26">
        <f>SUM(AA15:AA17)</f>
        <v>0</v>
      </c>
      <c r="AB18" s="160"/>
      <c r="AC18" s="218"/>
      <c r="AD18" s="160"/>
      <c r="AE18" s="160"/>
      <c r="AF18" s="160"/>
    </row>
    <row r="19" spans="1:37" s="26" customFormat="1">
      <c r="A19" s="154"/>
      <c r="B19" s="542">
        <f t="shared" si="0"/>
        <v>5</v>
      </c>
      <c r="C19" s="26" t="s">
        <v>177</v>
      </c>
      <c r="F19" s="173"/>
      <c r="G19" s="128">
        <f t="shared" ref="G19:G83" si="2">SUM(H19:AA19)</f>
        <v>-27004</v>
      </c>
      <c r="H19" s="62">
        <v>-27028</v>
      </c>
      <c r="I19" s="128">
        <v>0</v>
      </c>
      <c r="J19" s="62"/>
      <c r="K19" s="62"/>
      <c r="L19" s="62">
        <v>24</v>
      </c>
      <c r="M19" s="62"/>
      <c r="N19" s="62"/>
      <c r="O19" s="62"/>
      <c r="P19" s="128"/>
      <c r="Q19" s="128"/>
      <c r="R19" s="128"/>
      <c r="S19" s="62"/>
      <c r="T19" s="62"/>
      <c r="U19" s="62"/>
      <c r="V19" s="62"/>
      <c r="W19" s="62"/>
      <c r="X19" s="62"/>
      <c r="Y19" s="62"/>
      <c r="Z19" s="62"/>
      <c r="AA19" s="62"/>
      <c r="AB19" s="160"/>
      <c r="AC19" s="218"/>
      <c r="AD19" s="160"/>
      <c r="AE19" s="160"/>
      <c r="AF19" s="160"/>
      <c r="AK19" s="62"/>
    </row>
    <row r="20" spans="1:37" s="26" customFormat="1">
      <c r="A20" s="154"/>
      <c r="B20" s="542">
        <f t="shared" si="0"/>
        <v>6</v>
      </c>
      <c r="D20" s="26" t="s">
        <v>178</v>
      </c>
      <c r="F20" s="173"/>
      <c r="G20" s="129">
        <f t="shared" ca="1" si="2"/>
        <v>-77635</v>
      </c>
      <c r="H20" s="26">
        <f t="shared" ref="H20:V20" si="3">SUM(H18:H19)</f>
        <v>-76114</v>
      </c>
      <c r="I20" s="129">
        <f t="shared" ca="1" si="3"/>
        <v>-1545</v>
      </c>
      <c r="J20" s="26">
        <f t="shared" si="3"/>
        <v>0</v>
      </c>
      <c r="K20" s="26">
        <f t="shared" si="3"/>
        <v>0</v>
      </c>
      <c r="L20" s="26">
        <f t="shared" si="3"/>
        <v>24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129">
        <f t="shared" si="3"/>
        <v>0</v>
      </c>
      <c r="Q20" s="129">
        <f>SUM(Q18:Q19)</f>
        <v>0</v>
      </c>
      <c r="R20" s="129">
        <f>SUM(R18:R19)</f>
        <v>0</v>
      </c>
      <c r="S20" s="26">
        <f>SUM(S18:S19)</f>
        <v>0</v>
      </c>
      <c r="U20" s="26">
        <f>SUM(U18:U19)</f>
        <v>0</v>
      </c>
      <c r="V20" s="26">
        <f t="shared" si="3"/>
        <v>0</v>
      </c>
      <c r="W20" s="26">
        <f>SUM(W18:W19)</f>
        <v>0</v>
      </c>
      <c r="AA20" s="26">
        <f>SUM(AA18:AA19)</f>
        <v>0</v>
      </c>
      <c r="AB20" s="160"/>
      <c r="AC20" s="218"/>
      <c r="AD20" s="160"/>
      <c r="AE20" s="160"/>
      <c r="AF20" s="160"/>
    </row>
    <row r="21" spans="1:37" s="26" customFormat="1">
      <c r="A21" s="154"/>
      <c r="B21" s="542">
        <f t="shared" si="0"/>
        <v>7</v>
      </c>
      <c r="F21" s="173"/>
      <c r="G21" s="127">
        <f t="shared" si="2"/>
        <v>0</v>
      </c>
      <c r="H21" s="61"/>
      <c r="I21" s="127"/>
      <c r="J21" s="61"/>
      <c r="K21" s="61"/>
      <c r="L21" s="61"/>
      <c r="M21" s="61"/>
      <c r="N21" s="61"/>
      <c r="O21" s="61"/>
      <c r="P21" s="127"/>
      <c r="Q21" s="127"/>
      <c r="R21" s="127"/>
      <c r="S21" s="61"/>
      <c r="T21" s="61"/>
      <c r="U21" s="61"/>
      <c r="V21" s="61"/>
      <c r="W21" s="61"/>
      <c r="X21" s="61"/>
      <c r="Y21" s="674"/>
      <c r="Z21" s="674"/>
      <c r="AA21" s="61"/>
      <c r="AB21" s="160"/>
      <c r="AC21" s="218"/>
      <c r="AD21" s="160"/>
      <c r="AE21" s="160"/>
      <c r="AF21" s="160"/>
      <c r="AK21" s="61"/>
    </row>
    <row r="22" spans="1:37" s="26" customFormat="1">
      <c r="A22" s="154"/>
      <c r="B22" s="542">
        <f t="shared" si="0"/>
        <v>8</v>
      </c>
      <c r="C22" s="26" t="s">
        <v>51</v>
      </c>
      <c r="F22" s="173"/>
      <c r="G22" s="127">
        <f t="shared" si="2"/>
        <v>0</v>
      </c>
      <c r="H22" s="61"/>
      <c r="I22" s="127"/>
      <c r="J22" s="61"/>
      <c r="K22" s="61"/>
      <c r="L22" s="61"/>
      <c r="M22" s="61"/>
      <c r="N22" s="61"/>
      <c r="O22" s="61"/>
      <c r="P22" s="127"/>
      <c r="Q22" s="127"/>
      <c r="R22" s="127"/>
      <c r="S22" s="61"/>
      <c r="T22" s="61"/>
      <c r="U22" s="61"/>
      <c r="V22" s="61"/>
      <c r="W22" s="61"/>
      <c r="X22" s="61"/>
      <c r="Y22" s="674"/>
      <c r="Z22" s="674"/>
      <c r="AA22" s="61"/>
      <c r="AB22" s="160"/>
      <c r="AC22" s="218"/>
      <c r="AD22" s="160"/>
      <c r="AE22" s="160"/>
      <c r="AF22" s="160"/>
      <c r="AK22" s="61"/>
    </row>
    <row r="23" spans="1:37" s="26" customFormat="1">
      <c r="A23" s="154"/>
      <c r="B23" s="542">
        <f t="shared" si="0"/>
        <v>9</v>
      </c>
      <c r="C23" s="26" t="s">
        <v>179</v>
      </c>
      <c r="F23" s="173"/>
      <c r="G23" s="127">
        <f t="shared" si="2"/>
        <v>0</v>
      </c>
      <c r="H23" s="61"/>
      <c r="I23" s="127"/>
      <c r="J23" s="61"/>
      <c r="K23" s="61"/>
      <c r="L23" s="61"/>
      <c r="M23" s="61"/>
      <c r="N23" s="61"/>
      <c r="O23" s="61"/>
      <c r="P23" s="127"/>
      <c r="Q23" s="127"/>
      <c r="R23" s="127"/>
      <c r="S23" s="61"/>
      <c r="T23" s="61"/>
      <c r="U23" s="61"/>
      <c r="V23" s="61"/>
      <c r="W23" s="61"/>
      <c r="X23" s="61"/>
      <c r="Y23" s="674"/>
      <c r="Z23" s="674"/>
      <c r="AA23" s="61"/>
      <c r="AB23" s="160"/>
      <c r="AC23" s="218"/>
      <c r="AD23" s="160"/>
      <c r="AE23" s="160"/>
      <c r="AF23" s="160"/>
      <c r="AK23" s="61"/>
    </row>
    <row r="24" spans="1:37" s="26" customFormat="1">
      <c r="A24" s="154"/>
      <c r="B24" s="542">
        <f t="shared" si="0"/>
        <v>10</v>
      </c>
      <c r="D24" s="26" t="s">
        <v>180</v>
      </c>
      <c r="F24" s="173"/>
      <c r="G24" s="127">
        <f t="shared" ca="1" si="2"/>
        <v>1113.3094200000151</v>
      </c>
      <c r="H24" s="61">
        <v>1004</v>
      </c>
      <c r="I24" s="127">
        <f ca="1">+'DPK-6 PF-2 ProdFctrCalc'!I75</f>
        <v>-5340.6045799999847</v>
      </c>
      <c r="J24" s="61">
        <v>599.053</v>
      </c>
      <c r="K24" s="61">
        <v>-28.318000000000001</v>
      </c>
      <c r="L24" s="127">
        <v>103</v>
      </c>
      <c r="M24" s="61"/>
      <c r="N24" s="61"/>
      <c r="O24" s="61"/>
      <c r="P24" s="127">
        <v>0</v>
      </c>
      <c r="Q24" s="127"/>
      <c r="R24" s="127">
        <v>1677</v>
      </c>
      <c r="S24" s="61"/>
      <c r="T24" s="61"/>
      <c r="U24" s="61">
        <v>1227.21</v>
      </c>
      <c r="V24" s="61"/>
      <c r="W24" s="61"/>
      <c r="X24" s="61">
        <f>1150.257+65.712</f>
        <v>1215.9690000000001</v>
      </c>
      <c r="Y24" s="674"/>
      <c r="Z24" s="674">
        <v>656</v>
      </c>
      <c r="AA24" s="61"/>
      <c r="AB24" s="160"/>
      <c r="AC24" s="218"/>
      <c r="AD24" s="160"/>
      <c r="AE24" s="160"/>
      <c r="AF24" s="160"/>
      <c r="AK24" s="61"/>
    </row>
    <row r="25" spans="1:37" s="26" customFormat="1">
      <c r="A25" s="154"/>
      <c r="B25" s="542">
        <f t="shared" si="0"/>
        <v>11</v>
      </c>
      <c r="D25" s="26" t="s">
        <v>181</v>
      </c>
      <c r="F25" s="173"/>
      <c r="G25" s="127">
        <f t="shared" si="2"/>
        <v>-66497</v>
      </c>
      <c r="H25" s="674">
        <v>-66497</v>
      </c>
      <c r="I25" s="127"/>
      <c r="J25" s="61"/>
      <c r="K25" s="61"/>
      <c r="L25" s="61"/>
      <c r="M25" s="61"/>
      <c r="N25" s="61"/>
      <c r="O25" s="61"/>
      <c r="P25" s="127"/>
      <c r="Q25" s="127"/>
      <c r="R25" s="127"/>
      <c r="S25" s="61"/>
      <c r="T25" s="61"/>
      <c r="U25" s="61"/>
      <c r="V25" s="61"/>
      <c r="W25" s="61"/>
      <c r="X25" s="61"/>
      <c r="Y25" s="674"/>
      <c r="Z25" s="674"/>
      <c r="AA25" s="61"/>
      <c r="AB25" s="160"/>
      <c r="AC25" s="218"/>
      <c r="AD25" s="160"/>
      <c r="AE25" s="160"/>
      <c r="AF25" s="160"/>
      <c r="AK25" s="61"/>
    </row>
    <row r="26" spans="1:37" s="26" customFormat="1">
      <c r="A26" s="154"/>
      <c r="B26" s="542">
        <f t="shared" si="0"/>
        <v>12</v>
      </c>
      <c r="D26" s="26" t="s">
        <v>182</v>
      </c>
      <c r="F26" s="173"/>
      <c r="G26" s="127">
        <f t="shared" si="2"/>
        <v>7238.8090000000002</v>
      </c>
      <c r="H26" s="61"/>
      <c r="I26" s="61"/>
      <c r="J26" s="61"/>
      <c r="K26" s="61"/>
      <c r="L26" s="61"/>
      <c r="M26" s="61">
        <f>+(M59*2.73%)/2+(M60*2.06%)/2</f>
        <v>0</v>
      </c>
      <c r="N26" s="61">
        <f>337+64+81+14</f>
        <v>496</v>
      </c>
      <c r="O26" s="841">
        <v>438.80900000000003</v>
      </c>
      <c r="P26" s="127"/>
      <c r="Q26" s="127"/>
      <c r="R26" s="127">
        <v>1959</v>
      </c>
      <c r="S26" s="61">
        <v>829</v>
      </c>
      <c r="T26" s="61">
        <v>3516</v>
      </c>
      <c r="U26" s="61"/>
      <c r="V26" s="61"/>
      <c r="W26" s="61"/>
      <c r="X26" s="61"/>
      <c r="Y26" s="674"/>
      <c r="Z26" s="674"/>
      <c r="AA26" s="61"/>
      <c r="AB26" s="160"/>
      <c r="AC26" s="218"/>
      <c r="AD26" s="160"/>
      <c r="AE26" s="160"/>
      <c r="AF26" s="160"/>
      <c r="AK26" s="61"/>
    </row>
    <row r="27" spans="1:37" s="26" customFormat="1">
      <c r="A27" s="154"/>
      <c r="B27" s="542">
        <f t="shared" si="0"/>
        <v>13</v>
      </c>
      <c r="D27" s="26" t="s">
        <v>183</v>
      </c>
      <c r="F27" s="173"/>
      <c r="G27" s="128">
        <f t="shared" si="2"/>
        <v>555.93358000000001</v>
      </c>
      <c r="H27" s="62"/>
      <c r="I27" s="62"/>
      <c r="J27" s="62"/>
      <c r="K27" s="62"/>
      <c r="L27" s="62"/>
      <c r="M27" s="62">
        <f>(M63-M64-M65)*0.015</f>
        <v>0</v>
      </c>
      <c r="N27" s="62">
        <f>(N63-N64)*0.015</f>
        <v>328.17858000000001</v>
      </c>
      <c r="O27" s="842">
        <v>227.755</v>
      </c>
      <c r="P27" s="128"/>
      <c r="Q27" s="128"/>
      <c r="R27" s="128"/>
      <c r="S27" s="62"/>
      <c r="T27" s="62"/>
      <c r="U27" s="62"/>
      <c r="V27" s="62"/>
      <c r="W27" s="62"/>
      <c r="X27" s="62"/>
      <c r="Y27" s="62"/>
      <c r="Z27" s="62"/>
      <c r="AA27" s="62"/>
      <c r="AB27" s="160"/>
      <c r="AC27" s="218"/>
      <c r="AD27" s="160"/>
      <c r="AE27" s="160"/>
      <c r="AF27" s="160"/>
      <c r="AK27" s="62"/>
    </row>
    <row r="28" spans="1:37" s="26" customFormat="1">
      <c r="A28" s="154"/>
      <c r="B28" s="542">
        <f t="shared" si="0"/>
        <v>14</v>
      </c>
      <c r="E28" s="26" t="s">
        <v>184</v>
      </c>
      <c r="F28" s="173"/>
      <c r="G28" s="129">
        <f t="shared" ca="1" si="2"/>
        <v>-57588.947999999982</v>
      </c>
      <c r="H28" s="26">
        <f t="shared" ref="H28:V28" si="4">SUM(H24:H27)</f>
        <v>-65493</v>
      </c>
      <c r="I28" s="26">
        <f t="shared" ca="1" si="4"/>
        <v>-5340.6045799999847</v>
      </c>
      <c r="J28" s="26">
        <f t="shared" si="4"/>
        <v>599.053</v>
      </c>
      <c r="K28" s="26">
        <f t="shared" si="4"/>
        <v>-28.318000000000001</v>
      </c>
      <c r="L28" s="26">
        <f t="shared" si="4"/>
        <v>103</v>
      </c>
      <c r="M28" s="26">
        <f t="shared" si="4"/>
        <v>0</v>
      </c>
      <c r="N28" s="26">
        <f t="shared" si="4"/>
        <v>824.17858000000001</v>
      </c>
      <c r="O28" s="26">
        <f t="shared" si="4"/>
        <v>666.56400000000008</v>
      </c>
      <c r="P28" s="129">
        <f t="shared" si="4"/>
        <v>0</v>
      </c>
      <c r="Q28" s="129">
        <f>SUM(Q24:Q27)</f>
        <v>0</v>
      </c>
      <c r="R28" s="129">
        <f>SUM(R24:R27)</f>
        <v>3636</v>
      </c>
      <c r="S28" s="26">
        <f>SUM(S24:S27)</f>
        <v>829</v>
      </c>
      <c r="T28" s="26">
        <f>SUM(T24:T27)</f>
        <v>3516</v>
      </c>
      <c r="U28" s="26">
        <f>SUM(U24:U27)</f>
        <v>1227.21</v>
      </c>
      <c r="V28" s="26">
        <f t="shared" si="4"/>
        <v>0</v>
      </c>
      <c r="W28" s="26">
        <f>SUM(W24:W27)</f>
        <v>0</v>
      </c>
      <c r="X28" s="26">
        <f>SUM(X24:X27)</f>
        <v>1215.9690000000001</v>
      </c>
      <c r="Y28" s="26">
        <f>SUM(Y24:Y27)</f>
        <v>0</v>
      </c>
      <c r="Z28" s="26">
        <f>SUM(Z24:Z27)</f>
        <v>656</v>
      </c>
      <c r="AA28" s="26">
        <f>SUM(AA24:AA27)</f>
        <v>0</v>
      </c>
      <c r="AB28" s="160"/>
      <c r="AC28" s="218"/>
      <c r="AD28" s="160"/>
      <c r="AE28" s="160"/>
      <c r="AF28" s="160"/>
    </row>
    <row r="29" spans="1:37" s="26" customFormat="1">
      <c r="A29" s="154"/>
      <c r="B29" s="542">
        <f t="shared" si="0"/>
        <v>15</v>
      </c>
      <c r="F29" s="173"/>
      <c r="G29" s="127">
        <f t="shared" si="2"/>
        <v>0</v>
      </c>
      <c r="H29" s="61"/>
      <c r="I29" s="61"/>
      <c r="J29" s="61"/>
      <c r="K29" s="61"/>
      <c r="L29" s="61"/>
      <c r="M29" s="61"/>
      <c r="N29" s="61"/>
      <c r="O29" s="61"/>
      <c r="P29" s="127"/>
      <c r="Q29" s="127"/>
      <c r="R29" s="127"/>
      <c r="S29" s="61"/>
      <c r="T29" s="61"/>
      <c r="U29" s="61"/>
      <c r="V29" s="61"/>
      <c r="W29" s="61"/>
      <c r="X29" s="61"/>
      <c r="Y29" s="674"/>
      <c r="Z29" s="674"/>
      <c r="AA29" s="61"/>
      <c r="AB29" s="160"/>
      <c r="AC29" s="218"/>
      <c r="AD29" s="160"/>
      <c r="AE29" s="160"/>
      <c r="AF29" s="160"/>
      <c r="AK29" s="61"/>
    </row>
    <row r="30" spans="1:37" s="26" customFormat="1">
      <c r="A30" s="160"/>
      <c r="B30" s="542">
        <f t="shared" si="0"/>
        <v>16</v>
      </c>
      <c r="C30" s="26" t="s">
        <v>185</v>
      </c>
      <c r="F30" s="173"/>
      <c r="G30" s="127">
        <f t="shared" si="2"/>
        <v>0</v>
      </c>
      <c r="H30" s="61"/>
      <c r="I30" s="61"/>
      <c r="J30" s="61"/>
      <c r="K30" s="61"/>
      <c r="L30" s="61"/>
      <c r="M30" s="61"/>
      <c r="N30" s="61"/>
      <c r="O30" s="61"/>
      <c r="P30" s="127"/>
      <c r="Q30" s="127"/>
      <c r="R30" s="127"/>
      <c r="S30" s="61"/>
      <c r="T30" s="61"/>
      <c r="U30" s="61"/>
      <c r="V30" s="61"/>
      <c r="W30" s="61"/>
      <c r="X30" s="61"/>
      <c r="Y30" s="674"/>
      <c r="Z30" s="674"/>
      <c r="AA30" s="61"/>
      <c r="AB30" s="160"/>
      <c r="AC30" s="218"/>
      <c r="AD30" s="160"/>
      <c r="AE30" s="160"/>
      <c r="AF30" s="160"/>
      <c r="AK30" s="61"/>
    </row>
    <row r="31" spans="1:37" s="26" customFormat="1">
      <c r="A31" s="160"/>
      <c r="B31" s="542">
        <f t="shared" si="0"/>
        <v>17</v>
      </c>
      <c r="D31" s="26" t="s">
        <v>180</v>
      </c>
      <c r="F31" s="173"/>
      <c r="G31" s="127">
        <f t="shared" si="2"/>
        <v>1414.002</v>
      </c>
      <c r="H31" s="61"/>
      <c r="I31" s="61"/>
      <c r="J31" s="61">
        <v>495.55900000000003</v>
      </c>
      <c r="K31" s="61"/>
      <c r="L31" s="61"/>
      <c r="M31" s="61"/>
      <c r="N31" s="61"/>
      <c r="O31" s="61"/>
      <c r="P31" s="127">
        <v>0</v>
      </c>
      <c r="Q31" s="127"/>
      <c r="R31" s="127"/>
      <c r="S31" s="61"/>
      <c r="T31" s="61"/>
      <c r="U31" s="61"/>
      <c r="V31" s="61"/>
      <c r="W31" s="61"/>
      <c r="X31" s="61">
        <v>918.44299999999998</v>
      </c>
      <c r="Y31" s="674"/>
      <c r="Z31" s="674"/>
      <c r="AA31" s="61"/>
      <c r="AB31" s="160"/>
      <c r="AC31" s="218"/>
      <c r="AD31" s="160"/>
      <c r="AE31" s="160"/>
      <c r="AF31" s="160"/>
      <c r="AK31" s="61"/>
    </row>
    <row r="32" spans="1:37" s="26" customFormat="1">
      <c r="A32" s="160"/>
      <c r="B32" s="542">
        <f t="shared" si="0"/>
        <v>18</v>
      </c>
      <c r="D32" s="26" t="s">
        <v>186</v>
      </c>
      <c r="F32" s="173"/>
      <c r="G32" s="127">
        <f t="shared" si="2"/>
        <v>97</v>
      </c>
      <c r="H32" s="61"/>
      <c r="I32" s="61"/>
      <c r="J32" s="61"/>
      <c r="K32" s="61"/>
      <c r="L32" s="61"/>
      <c r="M32" s="61"/>
      <c r="N32" s="61">
        <f>31+66</f>
        <v>97</v>
      </c>
      <c r="O32" s="61"/>
      <c r="P32" s="127"/>
      <c r="Q32" s="127"/>
      <c r="R32" s="127"/>
      <c r="S32" s="61"/>
      <c r="T32" s="61"/>
      <c r="U32" s="61"/>
      <c r="V32" s="61"/>
      <c r="W32" s="61"/>
      <c r="X32" s="61"/>
      <c r="Y32" s="674"/>
      <c r="Z32" s="674"/>
      <c r="AA32" s="61"/>
      <c r="AB32" s="160"/>
      <c r="AC32" s="218"/>
      <c r="AD32" s="160"/>
      <c r="AE32" s="160"/>
      <c r="AF32" s="160"/>
      <c r="AK32" s="61"/>
    </row>
    <row r="33" spans="1:45" s="26" customFormat="1">
      <c r="A33" s="160"/>
      <c r="B33" s="542">
        <f t="shared" si="0"/>
        <v>19</v>
      </c>
      <c r="D33" s="26" t="s">
        <v>183</v>
      </c>
      <c r="F33" s="173"/>
      <c r="G33" s="128">
        <f t="shared" si="2"/>
        <v>0</v>
      </c>
      <c r="H33" s="62"/>
      <c r="I33" s="62"/>
      <c r="J33" s="62"/>
      <c r="K33" s="62"/>
      <c r="L33" s="62"/>
      <c r="M33" s="62"/>
      <c r="N33" s="62"/>
      <c r="O33" s="62"/>
      <c r="P33" s="128"/>
      <c r="Q33" s="128"/>
      <c r="R33" s="128"/>
      <c r="S33" s="62"/>
      <c r="T33" s="62"/>
      <c r="U33" s="62"/>
      <c r="V33" s="62"/>
      <c r="W33" s="62"/>
      <c r="X33" s="62"/>
      <c r="Y33" s="62"/>
      <c r="Z33" s="62"/>
      <c r="AA33" s="62"/>
      <c r="AB33" s="160"/>
      <c r="AC33" s="218"/>
      <c r="AD33" s="160"/>
      <c r="AE33" s="160"/>
      <c r="AF33" s="160"/>
      <c r="AK33" s="62"/>
    </row>
    <row r="34" spans="1:45" s="26" customFormat="1">
      <c r="A34" s="160"/>
      <c r="B34" s="542">
        <f t="shared" si="0"/>
        <v>20</v>
      </c>
      <c r="E34" s="26" t="s">
        <v>187</v>
      </c>
      <c r="F34" s="173"/>
      <c r="G34" s="129">
        <f t="shared" si="2"/>
        <v>1511.002</v>
      </c>
      <c r="H34" s="26">
        <f t="shared" ref="H34:V34" si="5">SUM(H31:H33)</f>
        <v>0</v>
      </c>
      <c r="I34" s="26">
        <f t="shared" si="5"/>
        <v>0</v>
      </c>
      <c r="J34" s="26">
        <f t="shared" si="5"/>
        <v>495.55900000000003</v>
      </c>
      <c r="K34" s="26">
        <f t="shared" si="5"/>
        <v>0</v>
      </c>
      <c r="L34" s="26">
        <f t="shared" si="5"/>
        <v>0</v>
      </c>
      <c r="M34" s="26">
        <f t="shared" si="5"/>
        <v>0</v>
      </c>
      <c r="N34" s="26">
        <f t="shared" si="5"/>
        <v>97</v>
      </c>
      <c r="O34" s="26">
        <f t="shared" si="5"/>
        <v>0</v>
      </c>
      <c r="P34" s="129">
        <f t="shared" si="5"/>
        <v>0</v>
      </c>
      <c r="Q34" s="129">
        <f>SUM(Q31:Q33)</f>
        <v>0</v>
      </c>
      <c r="R34" s="129">
        <f>SUM(R31:R33)</f>
        <v>0</v>
      </c>
      <c r="S34" s="26">
        <f>SUM(S31:S33)</f>
        <v>0</v>
      </c>
      <c r="T34" s="26">
        <f>SUM(T31:T33)</f>
        <v>0</v>
      </c>
      <c r="U34" s="26">
        <f>SUM(U31:U33)</f>
        <v>0</v>
      </c>
      <c r="V34" s="26">
        <f t="shared" si="5"/>
        <v>0</v>
      </c>
      <c r="W34" s="26">
        <f>SUM(W31:W33)</f>
        <v>0</v>
      </c>
      <c r="X34" s="26">
        <f>SUM(X31:X33)</f>
        <v>918.44299999999998</v>
      </c>
      <c r="Y34" s="26">
        <f>SUM(Y31:Y33)</f>
        <v>0</v>
      </c>
      <c r="Z34" s="26">
        <f>SUM(Z31:Z33)</f>
        <v>0</v>
      </c>
      <c r="AA34" s="26">
        <f>SUM(AA31:AA33)</f>
        <v>0</v>
      </c>
      <c r="AB34" s="160"/>
      <c r="AC34" s="218"/>
      <c r="AD34" s="160"/>
      <c r="AE34" s="160"/>
      <c r="AF34" s="160"/>
    </row>
    <row r="35" spans="1:45" s="26" customFormat="1">
      <c r="A35" s="160"/>
      <c r="B35" s="542">
        <f t="shared" si="0"/>
        <v>21</v>
      </c>
      <c r="F35" s="173"/>
      <c r="G35" s="127">
        <f t="shared" si="2"/>
        <v>0</v>
      </c>
      <c r="H35" s="61"/>
      <c r="I35" s="61"/>
      <c r="J35" s="61"/>
      <c r="K35" s="61"/>
      <c r="L35" s="61"/>
      <c r="M35" s="61"/>
      <c r="N35" s="61"/>
      <c r="O35" s="61"/>
      <c r="P35" s="127"/>
      <c r="Q35" s="127"/>
      <c r="R35" s="127"/>
      <c r="S35" s="61"/>
      <c r="T35" s="61"/>
      <c r="U35" s="61"/>
      <c r="V35" s="61"/>
      <c r="W35" s="61"/>
      <c r="X35" s="61"/>
      <c r="Y35" s="674"/>
      <c r="Z35" s="674"/>
      <c r="AA35" s="61"/>
      <c r="AB35" s="160"/>
      <c r="AC35" s="218"/>
      <c r="AD35" s="160"/>
      <c r="AE35" s="160"/>
      <c r="AF35" s="160"/>
      <c r="AK35" s="61"/>
    </row>
    <row r="36" spans="1:45" s="26" customFormat="1">
      <c r="A36" s="160"/>
      <c r="B36" s="542">
        <f t="shared" si="0"/>
        <v>22</v>
      </c>
      <c r="C36" s="26" t="s">
        <v>188</v>
      </c>
      <c r="F36" s="173"/>
      <c r="G36" s="127">
        <f t="shared" si="2"/>
        <v>590.20299999999997</v>
      </c>
      <c r="H36" s="61"/>
      <c r="I36" s="61"/>
      <c r="J36" s="61">
        <v>201.499</v>
      </c>
      <c r="K36" s="61"/>
      <c r="L36" s="61"/>
      <c r="M36" s="61"/>
      <c r="N36" s="61"/>
      <c r="O36" s="61"/>
      <c r="P36" s="127"/>
      <c r="Q36" s="127"/>
      <c r="R36" s="127"/>
      <c r="S36" s="61"/>
      <c r="T36" s="61"/>
      <c r="U36" s="61"/>
      <c r="V36" s="61"/>
      <c r="W36" s="61"/>
      <c r="X36" s="61">
        <v>388.70400000000001</v>
      </c>
      <c r="Y36" s="674"/>
      <c r="Z36" s="674"/>
      <c r="AA36" s="61"/>
      <c r="AB36" s="160"/>
      <c r="AC36" s="218"/>
      <c r="AD36" s="160"/>
      <c r="AE36" s="160"/>
      <c r="AF36" s="160"/>
      <c r="AK36" s="61"/>
      <c r="AL36" s="104"/>
      <c r="AM36" s="103"/>
      <c r="AP36" s="107"/>
      <c r="AQ36" s="106"/>
      <c r="AR36" s="106"/>
      <c r="AS36" s="106"/>
    </row>
    <row r="37" spans="1:45" s="26" customFormat="1">
      <c r="A37" s="160"/>
      <c r="B37" s="542">
        <f t="shared" si="0"/>
        <v>23</v>
      </c>
      <c r="C37" s="26" t="s">
        <v>189</v>
      </c>
      <c r="F37" s="173"/>
      <c r="G37" s="127">
        <f t="shared" si="2"/>
        <v>33.525999999999996</v>
      </c>
      <c r="H37" s="61"/>
      <c r="I37" s="61"/>
      <c r="J37" s="61">
        <v>11.262</v>
      </c>
      <c r="K37" s="61"/>
      <c r="L37" s="61"/>
      <c r="M37" s="61"/>
      <c r="N37" s="61"/>
      <c r="O37" s="61"/>
      <c r="P37" s="127"/>
      <c r="Q37" s="127"/>
      <c r="R37" s="127"/>
      <c r="S37" s="61"/>
      <c r="T37" s="61"/>
      <c r="U37" s="61"/>
      <c r="V37" s="61"/>
      <c r="W37" s="61"/>
      <c r="X37" s="61">
        <v>22.263999999999999</v>
      </c>
      <c r="Y37" s="674"/>
      <c r="Z37" s="674"/>
      <c r="AA37" s="61"/>
      <c r="AB37" s="160"/>
      <c r="AC37" s="218"/>
      <c r="AD37" s="160"/>
      <c r="AE37" s="160"/>
      <c r="AF37" s="160"/>
      <c r="AK37" s="61"/>
      <c r="AN37" s="105"/>
      <c r="AP37" s="108"/>
      <c r="AQ37" s="108"/>
      <c r="AR37" s="108"/>
      <c r="AS37" s="106"/>
    </row>
    <row r="38" spans="1:45" s="26" customFormat="1">
      <c r="A38" s="160"/>
      <c r="B38" s="542">
        <f t="shared" si="0"/>
        <v>24</v>
      </c>
      <c r="C38" s="26" t="s">
        <v>190</v>
      </c>
      <c r="F38" s="173"/>
      <c r="G38" s="127">
        <f t="shared" si="2"/>
        <v>52.249000000000002</v>
      </c>
      <c r="H38" s="61"/>
      <c r="I38" s="61"/>
      <c r="J38" s="61">
        <v>17.552</v>
      </c>
      <c r="K38" s="61"/>
      <c r="L38" s="61"/>
      <c r="M38" s="61"/>
      <c r="N38" s="61"/>
      <c r="O38" s="61"/>
      <c r="P38" s="127"/>
      <c r="Q38" s="127"/>
      <c r="R38" s="127"/>
      <c r="S38" s="61"/>
      <c r="T38" s="61"/>
      <c r="U38" s="61"/>
      <c r="V38" s="61"/>
      <c r="W38" s="61"/>
      <c r="X38" s="61">
        <v>34.697000000000003</v>
      </c>
      <c r="Y38" s="674"/>
      <c r="Z38" s="674"/>
      <c r="AA38" s="61"/>
      <c r="AB38" s="160"/>
      <c r="AC38" s="218"/>
      <c r="AD38" s="160"/>
      <c r="AE38" s="160"/>
      <c r="AF38" s="160"/>
      <c r="AK38" s="61"/>
      <c r="AN38" s="105"/>
    </row>
    <row r="39" spans="1:45" s="26" customFormat="1">
      <c r="A39" s="160"/>
      <c r="B39" s="542">
        <f t="shared" si="0"/>
        <v>25</v>
      </c>
      <c r="F39" s="173"/>
      <c r="G39" s="127">
        <f t="shared" si="2"/>
        <v>0</v>
      </c>
      <c r="H39" s="61"/>
      <c r="I39" s="61"/>
      <c r="J39" s="61"/>
      <c r="K39" s="61"/>
      <c r="L39" s="61"/>
      <c r="M39" s="61"/>
      <c r="N39" s="61"/>
      <c r="O39" s="61"/>
      <c r="P39" s="127"/>
      <c r="Q39" s="127"/>
      <c r="R39" s="127"/>
      <c r="S39" s="61"/>
      <c r="T39" s="61"/>
      <c r="U39" s="61"/>
      <c r="V39" s="61"/>
      <c r="W39" s="61"/>
      <c r="X39" s="61"/>
      <c r="Y39" s="674"/>
      <c r="Z39" s="674"/>
      <c r="AA39" s="61"/>
      <c r="AB39" s="160"/>
      <c r="AC39" s="218"/>
      <c r="AD39" s="160"/>
      <c r="AE39" s="160"/>
      <c r="AF39" s="160"/>
      <c r="AK39" s="61"/>
    </row>
    <row r="40" spans="1:45" s="26" customFormat="1">
      <c r="A40" s="160"/>
      <c r="B40" s="542">
        <f t="shared" si="0"/>
        <v>26</v>
      </c>
      <c r="C40" s="26" t="s">
        <v>191</v>
      </c>
      <c r="F40" s="173"/>
      <c r="G40" s="127">
        <f t="shared" si="2"/>
        <v>0</v>
      </c>
      <c r="H40" s="61"/>
      <c r="I40" s="61"/>
      <c r="J40" s="61"/>
      <c r="K40" s="61"/>
      <c r="L40" s="61"/>
      <c r="M40" s="61"/>
      <c r="N40" s="61"/>
      <c r="O40" s="61"/>
      <c r="P40" s="127"/>
      <c r="Q40" s="127"/>
      <c r="R40" s="127"/>
      <c r="S40" s="61"/>
      <c r="T40" s="61"/>
      <c r="U40" s="61"/>
      <c r="V40" s="61"/>
      <c r="W40" s="61"/>
      <c r="X40" s="61"/>
      <c r="Y40" s="674"/>
      <c r="Z40" s="674"/>
      <c r="AA40" s="61"/>
      <c r="AB40" s="160"/>
      <c r="AC40" s="218"/>
      <c r="AD40" s="160"/>
      <c r="AE40" s="160"/>
      <c r="AF40" s="160"/>
      <c r="AK40" s="61"/>
    </row>
    <row r="41" spans="1:45" s="26" customFormat="1">
      <c r="A41" s="160"/>
      <c r="B41" s="542">
        <f t="shared" si="0"/>
        <v>27</v>
      </c>
      <c r="D41" s="26" t="s">
        <v>180</v>
      </c>
      <c r="F41" s="173"/>
      <c r="G41" s="127">
        <f t="shared" si="2"/>
        <v>2419.4349999999999</v>
      </c>
      <c r="H41" s="61"/>
      <c r="I41" s="61"/>
      <c r="J41" s="61">
        <v>413.82400000000001</v>
      </c>
      <c r="K41" s="61">
        <v>179.506</v>
      </c>
      <c r="L41" s="61"/>
      <c r="M41" s="61"/>
      <c r="N41" s="61"/>
      <c r="O41" s="61"/>
      <c r="P41" s="127"/>
      <c r="Q41" s="127">
        <v>0</v>
      </c>
      <c r="R41" s="127"/>
      <c r="S41" s="61"/>
      <c r="T41" s="61"/>
      <c r="U41" s="61"/>
      <c r="V41" s="61">
        <v>-17.414999999999999</v>
      </c>
      <c r="W41" s="61"/>
      <c r="X41" s="61">
        <f>944.929+967.123</f>
        <v>1912.0520000000001</v>
      </c>
      <c r="Y41" s="674">
        <v>-68.531999999999996</v>
      </c>
      <c r="Z41" s="674"/>
      <c r="AA41" s="61"/>
      <c r="AB41" s="160"/>
      <c r="AC41" s="218"/>
      <c r="AD41" s="160"/>
      <c r="AE41" s="160"/>
      <c r="AF41" s="160"/>
      <c r="AK41" s="61"/>
    </row>
    <row r="42" spans="1:45" s="26" customFormat="1">
      <c r="A42" s="160"/>
      <c r="B42" s="542">
        <f t="shared" si="0"/>
        <v>28</v>
      </c>
      <c r="D42" s="26" t="s">
        <v>186</v>
      </c>
      <c r="F42" s="173"/>
      <c r="G42" s="127">
        <f t="shared" si="2"/>
        <v>0</v>
      </c>
      <c r="H42" s="61"/>
      <c r="I42" s="61"/>
      <c r="J42" s="61"/>
      <c r="K42" s="61"/>
      <c r="L42" s="61"/>
      <c r="M42" s="61">
        <f>(+M58/30)/2</f>
        <v>0</v>
      </c>
      <c r="N42" s="61"/>
      <c r="O42" s="61"/>
      <c r="P42" s="127"/>
      <c r="Q42" s="127"/>
      <c r="R42" s="127"/>
      <c r="S42" s="61"/>
      <c r="T42" s="61"/>
      <c r="U42" s="61"/>
      <c r="V42" s="61"/>
      <c r="W42" s="61"/>
      <c r="X42" s="61"/>
      <c r="Y42" s="674"/>
      <c r="Z42" s="674"/>
      <c r="AA42" s="61"/>
      <c r="AB42" s="160"/>
      <c r="AC42" s="218"/>
      <c r="AD42" s="160"/>
      <c r="AE42" s="160"/>
      <c r="AF42" s="160"/>
      <c r="AK42" s="61"/>
    </row>
    <row r="43" spans="1:45" s="26" customFormat="1">
      <c r="A43" s="160"/>
      <c r="B43" s="542">
        <f t="shared" si="0"/>
        <v>29</v>
      </c>
      <c r="D43" s="26" t="s">
        <v>183</v>
      </c>
      <c r="F43" s="173"/>
      <c r="G43" s="127">
        <f t="shared" si="2"/>
        <v>0</v>
      </c>
      <c r="H43" s="62"/>
      <c r="I43" s="62"/>
      <c r="J43" s="62"/>
      <c r="K43" s="62"/>
      <c r="L43" s="62"/>
      <c r="M43" s="62"/>
      <c r="N43" s="62"/>
      <c r="O43" s="62"/>
      <c r="P43" s="128"/>
      <c r="Q43" s="128"/>
      <c r="R43" s="128"/>
      <c r="S43" s="62"/>
      <c r="T43" s="62"/>
      <c r="U43" s="62"/>
      <c r="V43" s="62"/>
      <c r="W43" s="62"/>
      <c r="X43" s="62"/>
      <c r="Y43" s="62"/>
      <c r="Z43" s="62"/>
      <c r="AA43" s="62"/>
      <c r="AB43" s="160"/>
      <c r="AC43" s="218"/>
      <c r="AD43" s="160"/>
      <c r="AE43" s="160"/>
      <c r="AF43" s="160"/>
      <c r="AK43" s="62"/>
    </row>
    <row r="44" spans="1:45" s="26" customFormat="1">
      <c r="A44" s="160"/>
      <c r="B44" s="542">
        <f t="shared" si="0"/>
        <v>30</v>
      </c>
      <c r="E44" s="26" t="s">
        <v>192</v>
      </c>
      <c r="F44" s="173"/>
      <c r="G44" s="302">
        <f t="shared" si="2"/>
        <v>2419.4349999999999</v>
      </c>
      <c r="H44" s="66">
        <f t="shared" ref="H44:V44" si="6">SUM(H41:H43)</f>
        <v>0</v>
      </c>
      <c r="I44" s="66">
        <f t="shared" si="6"/>
        <v>0</v>
      </c>
      <c r="J44" s="66">
        <f t="shared" si="6"/>
        <v>413.82400000000001</v>
      </c>
      <c r="K44" s="66">
        <f t="shared" si="6"/>
        <v>179.506</v>
      </c>
      <c r="L44" s="66">
        <f t="shared" si="6"/>
        <v>0</v>
      </c>
      <c r="M44" s="66">
        <f t="shared" si="6"/>
        <v>0</v>
      </c>
      <c r="N44" s="66">
        <f t="shared" si="6"/>
        <v>0</v>
      </c>
      <c r="O44" s="66">
        <f t="shared" si="6"/>
        <v>0</v>
      </c>
      <c r="P44" s="130">
        <f t="shared" si="6"/>
        <v>0</v>
      </c>
      <c r="Q44" s="130">
        <f>SUM(Q41:Q43)</f>
        <v>0</v>
      </c>
      <c r="R44" s="130">
        <f>SUM(R41:R43)</f>
        <v>0</v>
      </c>
      <c r="S44" s="66">
        <f>SUM(S41:S43)</f>
        <v>0</v>
      </c>
      <c r="T44" s="66">
        <f>SUM(T41:T43)</f>
        <v>0</v>
      </c>
      <c r="U44" s="66">
        <f>SUM(U41:U43)</f>
        <v>0</v>
      </c>
      <c r="V44" s="66">
        <f t="shared" si="6"/>
        <v>-17.414999999999999</v>
      </c>
      <c r="W44" s="66">
        <f>SUM(W41:W43)</f>
        <v>0</v>
      </c>
      <c r="X44" s="66">
        <f>SUM(X41:X43)</f>
        <v>1912.0520000000001</v>
      </c>
      <c r="Y44" s="66">
        <f>SUM(Y41:Y43)</f>
        <v>-68.531999999999996</v>
      </c>
      <c r="Z44" s="66">
        <f>SUM(Z41:Z43)</f>
        <v>0</v>
      </c>
      <c r="AA44" s="66">
        <f>SUM(AA41:AA43)</f>
        <v>0</v>
      </c>
      <c r="AB44" s="160"/>
      <c r="AC44" s="218"/>
      <c r="AD44" s="160"/>
      <c r="AE44" s="160"/>
      <c r="AF44" s="160"/>
      <c r="AK44" s="66"/>
    </row>
    <row r="45" spans="1:45" s="26" customFormat="1" ht="18" customHeight="1">
      <c r="A45" s="160"/>
      <c r="B45" s="542">
        <f t="shared" si="0"/>
        <v>31</v>
      </c>
      <c r="C45" s="26" t="s">
        <v>193</v>
      </c>
      <c r="F45" s="173"/>
      <c r="G45" s="130">
        <f t="shared" ca="1" si="2"/>
        <v>-52982.532999999989</v>
      </c>
      <c r="H45" s="66">
        <f t="shared" ref="H45:V45" si="7">H44+H38+H37+H36+H34+H28</f>
        <v>-65493</v>
      </c>
      <c r="I45" s="66">
        <f t="shared" ca="1" si="7"/>
        <v>-5340.6045799999847</v>
      </c>
      <c r="J45" s="66">
        <f t="shared" si="7"/>
        <v>1738.7490000000003</v>
      </c>
      <c r="K45" s="66">
        <f t="shared" si="7"/>
        <v>151.18799999999999</v>
      </c>
      <c r="L45" s="66">
        <f t="shared" si="7"/>
        <v>103</v>
      </c>
      <c r="M45" s="66">
        <f t="shared" si="7"/>
        <v>0</v>
      </c>
      <c r="N45" s="66">
        <f t="shared" si="7"/>
        <v>921.17858000000001</v>
      </c>
      <c r="O45" s="66">
        <f t="shared" si="7"/>
        <v>666.56400000000008</v>
      </c>
      <c r="P45" s="130">
        <f t="shared" si="7"/>
        <v>0</v>
      </c>
      <c r="Q45" s="130">
        <f>Q44+Q38+Q37+Q36+Q34+Q28</f>
        <v>0</v>
      </c>
      <c r="R45" s="130">
        <f>R44+R38+R37+R36+R34+R28</f>
        <v>3636</v>
      </c>
      <c r="S45" s="66">
        <f>S44+S38+S37+S36+S34+S28</f>
        <v>829</v>
      </c>
      <c r="T45" s="66">
        <f>T44+T38+T37+T36+T34+T28</f>
        <v>3516</v>
      </c>
      <c r="U45" s="66">
        <f>U44+U38+U37+U36+U34+U28</f>
        <v>1227.21</v>
      </c>
      <c r="V45" s="66">
        <f t="shared" si="7"/>
        <v>-17.414999999999999</v>
      </c>
      <c r="W45" s="66">
        <f>W44+W38+W37+W36+W34+W28</f>
        <v>0</v>
      </c>
      <c r="X45" s="66">
        <f>X44+X38+X37+X36+X34+X28</f>
        <v>4492.1289999999999</v>
      </c>
      <c r="Y45" s="66">
        <f>Y44+Y38+Y37+Y36+Y34+Y28</f>
        <v>-68.531999999999996</v>
      </c>
      <c r="Z45" s="66">
        <f>Z44+Z38+Z37+Z36+Z34+Z28</f>
        <v>656</v>
      </c>
      <c r="AA45" s="66">
        <f>AA44+AA38+AA37+AA36+AA34+AA28</f>
        <v>0</v>
      </c>
      <c r="AB45" s="160"/>
      <c r="AC45" s="218"/>
      <c r="AD45" s="160"/>
      <c r="AE45" s="160"/>
      <c r="AF45" s="160"/>
      <c r="AK45" s="66"/>
    </row>
    <row r="46" spans="1:45" s="26" customFormat="1">
      <c r="A46" s="160"/>
      <c r="B46" s="542">
        <f t="shared" si="0"/>
        <v>32</v>
      </c>
      <c r="F46" s="173"/>
      <c r="G46" s="129"/>
      <c r="P46" s="129"/>
      <c r="Q46" s="129"/>
      <c r="R46" s="129"/>
      <c r="AB46" s="160"/>
      <c r="AC46" s="218"/>
      <c r="AD46" s="160"/>
      <c r="AE46" s="160"/>
      <c r="AF46" s="160"/>
    </row>
    <row r="47" spans="1:45" s="26" customFormat="1">
      <c r="A47" s="160"/>
      <c r="B47" s="542">
        <f t="shared" si="0"/>
        <v>33</v>
      </c>
      <c r="C47" s="26" t="s">
        <v>194</v>
      </c>
      <c r="F47" s="173"/>
      <c r="G47" s="129">
        <f t="shared" ca="1" si="2"/>
        <v>-24652.467000000015</v>
      </c>
      <c r="H47" s="26">
        <f t="shared" ref="H47:V47" si="8">H20-H45</f>
        <v>-10621</v>
      </c>
      <c r="I47" s="26">
        <f t="shared" ca="1" si="8"/>
        <v>3795.6045799999847</v>
      </c>
      <c r="J47" s="26">
        <f t="shared" si="8"/>
        <v>-1738.7490000000003</v>
      </c>
      <c r="K47" s="26">
        <f t="shared" si="8"/>
        <v>-151.18799999999999</v>
      </c>
      <c r="L47" s="26">
        <f t="shared" si="8"/>
        <v>-79</v>
      </c>
      <c r="M47" s="26">
        <f t="shared" si="8"/>
        <v>0</v>
      </c>
      <c r="N47" s="26">
        <f t="shared" si="8"/>
        <v>-921.17858000000001</v>
      </c>
      <c r="O47" s="26">
        <f t="shared" si="8"/>
        <v>-666.56400000000008</v>
      </c>
      <c r="P47" s="129">
        <f t="shared" si="8"/>
        <v>0</v>
      </c>
      <c r="Q47" s="129">
        <f>Q20-Q45</f>
        <v>0</v>
      </c>
      <c r="R47" s="129">
        <f>R20-R45</f>
        <v>-3636</v>
      </c>
      <c r="S47" s="129">
        <f t="shared" ref="S47:U47" si="9">S20-S45</f>
        <v>-829</v>
      </c>
      <c r="T47" s="129">
        <f t="shared" si="9"/>
        <v>-3516</v>
      </c>
      <c r="U47" s="129">
        <f t="shared" si="9"/>
        <v>-1227.21</v>
      </c>
      <c r="V47" s="26">
        <f t="shared" si="8"/>
        <v>17.414999999999999</v>
      </c>
      <c r="W47" s="26">
        <f>W20-W45</f>
        <v>0</v>
      </c>
      <c r="X47" s="26">
        <f>X20-X45</f>
        <v>-4492.1289999999999</v>
      </c>
      <c r="Y47" s="26">
        <f>Y20-Y45</f>
        <v>68.531999999999996</v>
      </c>
      <c r="Z47" s="26">
        <f>Z20-Z45</f>
        <v>-656</v>
      </c>
      <c r="AA47" s="26">
        <f>AA20-AA45</f>
        <v>0</v>
      </c>
      <c r="AB47" s="160"/>
      <c r="AC47" s="218"/>
      <c r="AD47" s="160"/>
      <c r="AE47" s="160"/>
      <c r="AF47" s="160"/>
    </row>
    <row r="48" spans="1:45" s="26" customFormat="1">
      <c r="A48" s="160"/>
      <c r="B48" s="542">
        <f t="shared" ref="B48:B71" si="10">1+B47</f>
        <v>34</v>
      </c>
      <c r="G48" s="127">
        <f t="shared" si="2"/>
        <v>0</v>
      </c>
      <c r="H48" s="61"/>
      <c r="I48" s="61"/>
      <c r="J48" s="61"/>
      <c r="K48" s="61"/>
      <c r="L48" s="61"/>
      <c r="M48" s="61"/>
      <c r="N48" s="61"/>
      <c r="O48" s="61"/>
      <c r="P48" s="127"/>
      <c r="Q48" s="127"/>
      <c r="R48" s="127"/>
      <c r="S48" s="61"/>
      <c r="T48" s="61"/>
      <c r="U48" s="61"/>
      <c r="V48" s="61"/>
      <c r="W48" s="61"/>
      <c r="X48" s="61"/>
      <c r="Y48" s="674"/>
      <c r="Z48" s="674"/>
      <c r="AA48" s="61"/>
      <c r="AB48" s="160"/>
      <c r="AC48" s="218"/>
      <c r="AD48" s="160"/>
      <c r="AE48" s="160"/>
      <c r="AF48" s="160"/>
      <c r="AK48" s="61"/>
    </row>
    <row r="49" spans="1:45" s="26" customFormat="1">
      <c r="A49" s="160"/>
      <c r="B49" s="542">
        <f t="shared" si="10"/>
        <v>35</v>
      </c>
      <c r="C49" s="26" t="s">
        <v>195</v>
      </c>
      <c r="F49" s="173"/>
      <c r="G49" s="127">
        <f t="shared" si="2"/>
        <v>0</v>
      </c>
      <c r="H49" s="61"/>
      <c r="I49" s="61"/>
      <c r="J49" s="61"/>
      <c r="K49" s="61"/>
      <c r="L49" s="61"/>
      <c r="M49" s="61"/>
      <c r="N49" s="61"/>
      <c r="O49" s="61"/>
      <c r="P49" s="127"/>
      <c r="Q49" s="127"/>
      <c r="R49" s="127"/>
      <c r="S49" s="61"/>
      <c r="T49" s="61"/>
      <c r="U49" s="61"/>
      <c r="V49" s="61"/>
      <c r="W49" s="61"/>
      <c r="X49" s="61"/>
      <c r="Y49" s="674"/>
      <c r="Z49" s="674"/>
      <c r="AA49" s="61"/>
      <c r="AB49" s="160"/>
      <c r="AC49" s="218"/>
      <c r="AD49" s="160"/>
      <c r="AE49" s="160"/>
      <c r="AF49" s="160"/>
      <c r="AK49" s="61"/>
    </row>
    <row r="50" spans="1:45" s="26" customFormat="1" ht="12">
      <c r="A50" s="160"/>
      <c r="B50" s="542">
        <f t="shared" si="10"/>
        <v>36</v>
      </c>
      <c r="C50" s="26" t="s">
        <v>196</v>
      </c>
      <c r="F50" s="173"/>
      <c r="G50" s="127">
        <f ca="1">SUM(H50:AA50)</f>
        <v>-8075</v>
      </c>
      <c r="H50" s="674">
        <f>+H98</f>
        <v>-3717</v>
      </c>
      <c r="I50" s="674">
        <f ca="1">+I98</f>
        <v>1328</v>
      </c>
      <c r="J50" s="61">
        <f>+J98</f>
        <v>-609</v>
      </c>
      <c r="K50" s="61">
        <f>+K98</f>
        <v>-53</v>
      </c>
      <c r="L50" s="61">
        <f t="shared" ref="L50:AA50" si="11">+L98</f>
        <v>-28</v>
      </c>
      <c r="P50" s="127">
        <f t="shared" si="11"/>
        <v>0</v>
      </c>
      <c r="Q50" s="127">
        <f t="shared" si="11"/>
        <v>0</v>
      </c>
      <c r="R50" s="127">
        <f>+R98</f>
        <v>-1273</v>
      </c>
      <c r="S50" s="127">
        <f>+S98</f>
        <v>-290</v>
      </c>
      <c r="T50" s="127">
        <f t="shared" ref="T50:U50" si="12">+T98</f>
        <v>-1231</v>
      </c>
      <c r="U50" s="127">
        <f t="shared" si="12"/>
        <v>-430</v>
      </c>
      <c r="V50" s="61">
        <f t="shared" si="11"/>
        <v>6</v>
      </c>
      <c r="W50" s="61">
        <f t="shared" si="11"/>
        <v>0</v>
      </c>
      <c r="X50" s="61">
        <f t="shared" si="11"/>
        <v>-1572</v>
      </c>
      <c r="Y50" s="674">
        <f t="shared" ref="Y50:Z50" si="13">+Y98</f>
        <v>24</v>
      </c>
      <c r="Z50" s="674">
        <f t="shared" si="13"/>
        <v>-230</v>
      </c>
      <c r="AA50" s="61">
        <f t="shared" si="11"/>
        <v>0</v>
      </c>
      <c r="AB50" s="160"/>
      <c r="AC50" s="160"/>
      <c r="AD50" s="160"/>
      <c r="AE50" s="160"/>
      <c r="AF50" s="160"/>
      <c r="AK50" s="61"/>
      <c r="AO50" s="25"/>
    </row>
    <row r="51" spans="1:45" s="26" customFormat="1" ht="12">
      <c r="A51" s="160"/>
      <c r="B51" s="542">
        <f t="shared" si="10"/>
        <v>37</v>
      </c>
      <c r="C51" s="26" t="s">
        <v>197</v>
      </c>
      <c r="F51" s="173"/>
      <c r="G51" s="214">
        <f t="shared" si="2"/>
        <v>-555</v>
      </c>
      <c r="H51" s="61"/>
      <c r="I51" s="61"/>
      <c r="J51" s="61"/>
      <c r="K51" s="61"/>
      <c r="L51" s="61"/>
      <c r="M51" s="61">
        <f>+M98</f>
        <v>0</v>
      </c>
      <c r="N51" s="61">
        <f>+N98</f>
        <v>-322</v>
      </c>
      <c r="O51" s="61">
        <f>+O98</f>
        <v>-233</v>
      </c>
      <c r="P51" s="127"/>
      <c r="Q51" s="127"/>
      <c r="R51" s="127"/>
      <c r="S51" s="61"/>
      <c r="T51" s="61"/>
      <c r="U51" s="61"/>
      <c r="V51" s="61"/>
      <c r="W51" s="61"/>
      <c r="X51" s="61"/>
      <c r="Y51" s="674"/>
      <c r="Z51" s="674"/>
      <c r="AA51" s="61"/>
      <c r="AB51" s="160"/>
      <c r="AC51" s="160"/>
      <c r="AD51" s="160"/>
      <c r="AE51" s="160"/>
      <c r="AF51" s="160"/>
      <c r="AK51" s="61"/>
      <c r="AN51" s="25"/>
      <c r="AO51" s="2"/>
    </row>
    <row r="52" spans="1:45" s="26" customFormat="1" ht="12">
      <c r="A52" s="160"/>
      <c r="B52" s="542">
        <f t="shared" si="10"/>
        <v>38</v>
      </c>
      <c r="F52" s="173"/>
      <c r="G52" s="128">
        <f t="shared" si="2"/>
        <v>0</v>
      </c>
      <c r="H52" s="62"/>
      <c r="I52" s="62"/>
      <c r="J52" s="62"/>
      <c r="K52" s="62"/>
      <c r="L52" s="62"/>
      <c r="M52" s="62"/>
      <c r="N52" s="62"/>
      <c r="O52" s="62"/>
      <c r="P52" s="128"/>
      <c r="Q52" s="128"/>
      <c r="R52" s="128"/>
      <c r="S52" s="62"/>
      <c r="T52" s="62"/>
      <c r="U52" s="62"/>
      <c r="V52" s="62"/>
      <c r="W52" s="62"/>
      <c r="X52" s="62"/>
      <c r="Y52" s="62"/>
      <c r="Z52" s="62"/>
      <c r="AA52" s="62"/>
      <c r="AB52" s="160"/>
      <c r="AC52" s="160"/>
      <c r="AD52" s="160"/>
      <c r="AE52" s="160"/>
      <c r="AF52" s="160"/>
      <c r="AK52" s="62"/>
      <c r="AN52" s="2"/>
      <c r="AO52" s="2"/>
      <c r="AP52" s="2"/>
      <c r="AQ52" s="2"/>
      <c r="AR52" s="2"/>
      <c r="AS52" s="2"/>
    </row>
    <row r="53" spans="1:45">
      <c r="B53" s="542">
        <f t="shared" si="10"/>
        <v>39</v>
      </c>
      <c r="F53" s="173"/>
      <c r="AP53" s="25"/>
      <c r="AQ53" s="25"/>
      <c r="AR53" s="25"/>
      <c r="AS53" s="25"/>
    </row>
    <row r="54" spans="1:45" s="25" customFormat="1" ht="12.75" thickBot="1">
      <c r="A54" s="159"/>
      <c r="B54" s="542">
        <f t="shared" si="10"/>
        <v>40</v>
      </c>
      <c r="C54" s="25" t="s">
        <v>198</v>
      </c>
      <c r="F54" s="173"/>
      <c r="G54" s="131">
        <f t="shared" ca="1" si="2"/>
        <v>-16022.467000000015</v>
      </c>
      <c r="H54" s="65">
        <f t="shared" ref="H54:V54" si="14">H47-SUM(H50:H52)</f>
        <v>-6904</v>
      </c>
      <c r="I54" s="65">
        <f t="shared" ca="1" si="14"/>
        <v>2467.6045799999847</v>
      </c>
      <c r="J54" s="65">
        <f t="shared" si="14"/>
        <v>-1129.7490000000003</v>
      </c>
      <c r="K54" s="65">
        <f t="shared" si="14"/>
        <v>-98.187999999999988</v>
      </c>
      <c r="L54" s="65">
        <f t="shared" si="14"/>
        <v>-51</v>
      </c>
      <c r="M54" s="65">
        <f>M47-SUM(M51:M52)</f>
        <v>0</v>
      </c>
      <c r="N54" s="65">
        <f>N47-SUM(N51:N52)</f>
        <v>-599.17858000000001</v>
      </c>
      <c r="O54" s="65">
        <f>O47-SUM(O51:O52)</f>
        <v>-433.56400000000008</v>
      </c>
      <c r="P54" s="131">
        <f t="shared" si="14"/>
        <v>0</v>
      </c>
      <c r="Q54" s="131">
        <f>Q47-SUM(Q50:Q52)</f>
        <v>0</v>
      </c>
      <c r="R54" s="131">
        <f>R47-SUM(R50:R52)</f>
        <v>-2363</v>
      </c>
      <c r="S54" s="65">
        <f>S47-SUM(S50:S52)</f>
        <v>-539</v>
      </c>
      <c r="T54" s="65">
        <f>T47-SUM(T50:T52)</f>
        <v>-2285</v>
      </c>
      <c r="U54" s="65">
        <f>U47-SUM(U50:U52)</f>
        <v>-797.21</v>
      </c>
      <c r="V54" s="65">
        <f t="shared" si="14"/>
        <v>11.414999999999999</v>
      </c>
      <c r="W54" s="65">
        <f>W47-SUM(W50:W52)</f>
        <v>0</v>
      </c>
      <c r="X54" s="65">
        <f>X47-SUM(X50:X52)</f>
        <v>-2920.1289999999999</v>
      </c>
      <c r="Y54" s="65">
        <f>Y47-SUM(Y50:Y52)</f>
        <v>44.531999999999996</v>
      </c>
      <c r="Z54" s="65">
        <f>Z47-SUM(Z50:Z52)</f>
        <v>-426</v>
      </c>
      <c r="AA54" s="65">
        <f>AA47-SUM(AA50:AA52)</f>
        <v>0</v>
      </c>
      <c r="AB54" s="159"/>
      <c r="AC54" s="159"/>
      <c r="AD54" s="159"/>
      <c r="AE54" s="159"/>
      <c r="AF54" s="159"/>
      <c r="AK54" s="65"/>
      <c r="AN54" s="2"/>
      <c r="AO54" s="2"/>
      <c r="AP54" s="2"/>
      <c r="AQ54" s="2"/>
      <c r="AR54" s="2"/>
      <c r="AS54" s="2"/>
    </row>
    <row r="55" spans="1:45" ht="16.5" thickTop="1">
      <c r="B55" s="542">
        <f t="shared" si="10"/>
        <v>41</v>
      </c>
      <c r="C55" s="162"/>
      <c r="D55" s="162"/>
      <c r="E55" s="162"/>
      <c r="F55" s="162"/>
    </row>
    <row r="56" spans="1:45">
      <c r="B56" s="542">
        <f t="shared" si="10"/>
        <v>42</v>
      </c>
      <c r="C56" s="874" t="s">
        <v>62</v>
      </c>
      <c r="D56" s="874"/>
      <c r="E56" s="874"/>
      <c r="F56" s="875"/>
    </row>
    <row r="57" spans="1:45">
      <c r="B57" s="542">
        <f t="shared" si="10"/>
        <v>43</v>
      </c>
      <c r="C57" s="2" t="s">
        <v>199</v>
      </c>
      <c r="F57" s="162"/>
      <c r="O57" s="61"/>
      <c r="AP57" s="25"/>
      <c r="AQ57" s="25"/>
      <c r="AR57" s="25"/>
      <c r="AS57" s="25"/>
    </row>
    <row r="58" spans="1:45" s="25" customFormat="1" ht="12">
      <c r="A58" s="159"/>
      <c r="B58" s="542">
        <f t="shared" si="10"/>
        <v>44</v>
      </c>
      <c r="D58" s="25" t="s">
        <v>200</v>
      </c>
      <c r="F58" s="173"/>
      <c r="G58" s="127">
        <f t="shared" si="2"/>
        <v>52569</v>
      </c>
      <c r="H58" s="64"/>
      <c r="I58" s="64"/>
      <c r="J58" s="64"/>
      <c r="K58" s="64"/>
      <c r="L58" s="64"/>
      <c r="M58" s="64"/>
      <c r="N58" s="64"/>
      <c r="O58" s="61"/>
      <c r="P58" s="126"/>
      <c r="Q58" s="126"/>
      <c r="R58" s="127">
        <v>26703</v>
      </c>
      <c r="S58" s="674">
        <v>25866</v>
      </c>
      <c r="T58" s="64"/>
      <c r="U58" s="64"/>
      <c r="V58" s="64"/>
      <c r="W58" s="64"/>
      <c r="X58" s="64"/>
      <c r="Y58" s="64"/>
      <c r="Z58" s="64"/>
      <c r="AA58" s="64"/>
      <c r="AB58" s="159"/>
      <c r="AC58" s="159"/>
      <c r="AD58" s="159"/>
      <c r="AE58" s="159"/>
      <c r="AF58" s="159"/>
      <c r="AK58" s="64"/>
      <c r="AN58" s="2"/>
      <c r="AO58" s="2"/>
      <c r="AP58" s="26"/>
      <c r="AQ58" s="26"/>
      <c r="AR58" s="26"/>
      <c r="AS58" s="26"/>
    </row>
    <row r="59" spans="1:45" s="26" customFormat="1" ht="12">
      <c r="A59" s="160"/>
      <c r="B59" s="542">
        <f t="shared" si="10"/>
        <v>45</v>
      </c>
      <c r="D59" s="26" t="s">
        <v>201</v>
      </c>
      <c r="F59" s="173"/>
      <c r="G59" s="127">
        <f t="shared" ca="1" si="2"/>
        <v>14631.999999999893</v>
      </c>
      <c r="H59" s="61"/>
      <c r="I59" s="61">
        <f ca="1">+'DPK-6 PF-2 ProdFctrCalc'!J75</f>
        <v>-20360.691000000108</v>
      </c>
      <c r="J59" s="61"/>
      <c r="K59" s="61"/>
      <c r="L59" s="61"/>
      <c r="M59" s="61"/>
      <c r="N59" s="61">
        <f>12204+3207</f>
        <v>15411</v>
      </c>
      <c r="O59" s="793">
        <v>15183.691000000001</v>
      </c>
      <c r="P59" s="127"/>
      <c r="Q59" s="127"/>
      <c r="R59" s="127"/>
      <c r="S59" s="61"/>
      <c r="T59" s="674">
        <v>4398</v>
      </c>
      <c r="U59" s="61"/>
      <c r="V59" s="61"/>
      <c r="W59" s="61"/>
      <c r="X59" s="61"/>
      <c r="Y59" s="674"/>
      <c r="Z59" s="674"/>
      <c r="AA59" s="61"/>
      <c r="AB59" s="160"/>
      <c r="AC59" s="160"/>
      <c r="AD59" s="160"/>
      <c r="AE59" s="160"/>
      <c r="AF59" s="160"/>
      <c r="AK59" s="61"/>
      <c r="AN59" s="2"/>
      <c r="AO59" s="2"/>
    </row>
    <row r="60" spans="1:45" s="26" customFormat="1" ht="12">
      <c r="A60" s="160"/>
      <c r="B60" s="542">
        <f t="shared" si="10"/>
        <v>46</v>
      </c>
      <c r="D60" s="26" t="s">
        <v>202</v>
      </c>
      <c r="F60" s="173"/>
      <c r="G60" s="127">
        <f t="shared" si="2"/>
        <v>3801</v>
      </c>
      <c r="H60" s="61"/>
      <c r="I60" s="61"/>
      <c r="J60" s="61"/>
      <c r="K60" s="61"/>
      <c r="L60" s="61"/>
      <c r="M60" s="61"/>
      <c r="N60" s="61">
        <f>3118+683</f>
        <v>3801</v>
      </c>
      <c r="O60" s="61"/>
      <c r="P60" s="127"/>
      <c r="Q60" s="127"/>
      <c r="R60" s="127"/>
      <c r="S60" s="61"/>
      <c r="T60" s="61"/>
      <c r="U60" s="61"/>
      <c r="V60" s="61"/>
      <c r="W60" s="61"/>
      <c r="X60" s="61"/>
      <c r="Y60" s="674"/>
      <c r="Z60" s="674"/>
      <c r="AA60" s="61"/>
      <c r="AB60" s="160"/>
      <c r="AC60" s="160"/>
      <c r="AD60" s="160"/>
      <c r="AE60" s="160"/>
      <c r="AF60" s="160"/>
      <c r="AK60" s="61"/>
      <c r="AN60" s="2"/>
      <c r="AO60" s="2"/>
    </row>
    <row r="61" spans="1:45" s="26" customFormat="1" ht="12">
      <c r="A61" s="160"/>
      <c r="B61" s="542">
        <f t="shared" si="10"/>
        <v>47</v>
      </c>
      <c r="D61" s="26" t="s">
        <v>185</v>
      </c>
      <c r="F61" s="173"/>
      <c r="G61" s="127">
        <f t="shared" si="2"/>
        <v>3540</v>
      </c>
      <c r="H61" s="61"/>
      <c r="I61" s="61"/>
      <c r="J61" s="61"/>
      <c r="K61" s="61"/>
      <c r="L61" s="61"/>
      <c r="M61" s="61"/>
      <c r="N61" s="61">
        <f>1141+2399</f>
        <v>3540</v>
      </c>
      <c r="O61" s="127"/>
      <c r="P61" s="127"/>
      <c r="Q61" s="127"/>
      <c r="R61" s="127"/>
      <c r="S61" s="61"/>
      <c r="T61" s="61"/>
      <c r="U61" s="61"/>
      <c r="V61" s="61"/>
      <c r="W61" s="61"/>
      <c r="X61" s="61"/>
      <c r="Y61" s="674"/>
      <c r="Z61" s="674"/>
      <c r="AA61" s="61"/>
      <c r="AB61" s="160"/>
      <c r="AC61" s="160"/>
      <c r="AD61" s="160"/>
      <c r="AE61" s="160"/>
      <c r="AF61" s="160"/>
      <c r="AK61" s="61"/>
      <c r="AN61" s="2"/>
      <c r="AO61" s="2"/>
    </row>
    <row r="62" spans="1:45" s="26" customFormat="1" ht="12">
      <c r="A62" s="160"/>
      <c r="B62" s="542">
        <f t="shared" si="10"/>
        <v>48</v>
      </c>
      <c r="D62" s="26" t="s">
        <v>203</v>
      </c>
      <c r="F62" s="173"/>
      <c r="G62" s="128">
        <f t="shared" si="2"/>
        <v>0</v>
      </c>
      <c r="H62" s="62"/>
      <c r="I62" s="62"/>
      <c r="J62" s="62"/>
      <c r="K62" s="62"/>
      <c r="L62" s="62"/>
      <c r="M62" s="62"/>
      <c r="N62" s="62"/>
      <c r="O62" s="128"/>
      <c r="P62" s="128"/>
      <c r="Q62" s="128"/>
      <c r="R62" s="128"/>
      <c r="S62" s="62"/>
      <c r="T62" s="62"/>
      <c r="U62" s="62"/>
      <c r="V62" s="62"/>
      <c r="W62" s="62"/>
      <c r="X62" s="62"/>
      <c r="Y62" s="62"/>
      <c r="Z62" s="62"/>
      <c r="AA62" s="62"/>
      <c r="AB62" s="160"/>
      <c r="AC62" s="160"/>
      <c r="AD62" s="160"/>
      <c r="AE62" s="160"/>
      <c r="AF62" s="160"/>
      <c r="AK62" s="62"/>
      <c r="AN62" s="2"/>
      <c r="AO62" s="2"/>
    </row>
    <row r="63" spans="1:45" s="26" customFormat="1" ht="12">
      <c r="A63" s="160"/>
      <c r="B63" s="542">
        <f t="shared" si="10"/>
        <v>49</v>
      </c>
      <c r="E63" s="26" t="s">
        <v>204</v>
      </c>
      <c r="F63" s="173"/>
      <c r="G63" s="129">
        <f t="shared" ca="1" si="2"/>
        <v>74541.999999999884</v>
      </c>
      <c r="H63" s="26">
        <f t="shared" ref="H63:V63" si="15">SUM(H58:H62)</f>
        <v>0</v>
      </c>
      <c r="I63" s="26">
        <f t="shared" ca="1" si="15"/>
        <v>-20360.691000000108</v>
      </c>
      <c r="J63" s="26">
        <f t="shared" si="15"/>
        <v>0</v>
      </c>
      <c r="K63" s="26">
        <f t="shared" si="15"/>
        <v>0</v>
      </c>
      <c r="L63" s="26">
        <f t="shared" si="15"/>
        <v>0</v>
      </c>
      <c r="M63" s="26">
        <f t="shared" si="15"/>
        <v>0</v>
      </c>
      <c r="N63" s="26">
        <f t="shared" si="15"/>
        <v>22752</v>
      </c>
      <c r="O63" s="129">
        <f t="shared" si="15"/>
        <v>15183.691000000001</v>
      </c>
      <c r="P63" s="129">
        <f t="shared" si="15"/>
        <v>0</v>
      </c>
      <c r="Q63" s="129">
        <f>SUM(Q58:Q62)</f>
        <v>0</v>
      </c>
      <c r="R63" s="129">
        <f>SUM(R58:R62)</f>
        <v>26703</v>
      </c>
      <c r="S63" s="26">
        <f>SUM(S58:S62)</f>
        <v>25866</v>
      </c>
      <c r="T63" s="26">
        <f>SUM(T58:T62)</f>
        <v>4398</v>
      </c>
      <c r="U63" s="26">
        <f>SUM(U58:U62)</f>
        <v>0</v>
      </c>
      <c r="V63" s="26">
        <f t="shared" si="15"/>
        <v>0</v>
      </c>
      <c r="W63" s="26">
        <f>SUM(W58:W62)</f>
        <v>0</v>
      </c>
      <c r="X63" s="26">
        <f>SUM(X58:X62)</f>
        <v>0</v>
      </c>
      <c r="Y63" s="26">
        <f>SUM(Y58:Y62)</f>
        <v>0</v>
      </c>
      <c r="Z63" s="26">
        <f>SUM(Z58:Z62)</f>
        <v>0</v>
      </c>
      <c r="AA63" s="26">
        <f>SUM(AA58:AA62)</f>
        <v>0</v>
      </c>
      <c r="AB63" s="160"/>
      <c r="AC63" s="160"/>
      <c r="AD63" s="160"/>
      <c r="AE63" s="160"/>
      <c r="AF63" s="160"/>
      <c r="AN63" s="2"/>
      <c r="AO63" s="2"/>
    </row>
    <row r="64" spans="1:45" s="26" customFormat="1" ht="18" customHeight="1">
      <c r="A64" s="160"/>
      <c r="B64" s="542">
        <f t="shared" si="10"/>
        <v>50</v>
      </c>
      <c r="C64" s="26" t="s">
        <v>205</v>
      </c>
      <c r="F64" s="173"/>
      <c r="G64" s="127">
        <f t="shared" ca="1" si="2"/>
        <v>-5847.5490000000136</v>
      </c>
      <c r="H64" s="61"/>
      <c r="I64" s="61">
        <f ca="1">-'DPK-6 PF-2 ProdFctrCalc'!K75</f>
        <v>-7122.9770000000135</v>
      </c>
      <c r="J64" s="61"/>
      <c r="K64" s="61"/>
      <c r="L64" s="61"/>
      <c r="M64" s="61"/>
      <c r="N64" s="61">
        <v>873.428</v>
      </c>
      <c r="O64" s="127">
        <v>402</v>
      </c>
      <c r="P64" s="127"/>
      <c r="Q64" s="127"/>
      <c r="R64" s="127"/>
      <c r="S64" s="61"/>
      <c r="T64" s="61"/>
      <c r="U64" s="61"/>
      <c r="V64" s="61"/>
      <c r="W64" s="61"/>
      <c r="X64" s="61"/>
      <c r="Y64" s="674"/>
      <c r="Z64" s="674"/>
      <c r="AA64" s="61"/>
      <c r="AB64" s="160"/>
      <c r="AC64" s="160"/>
      <c r="AD64" s="160"/>
      <c r="AE64" s="160"/>
      <c r="AF64" s="160"/>
      <c r="AK64" s="61"/>
      <c r="AN64" s="2"/>
      <c r="AO64" s="2"/>
    </row>
    <row r="65" spans="1:45" s="26" customFormat="1" ht="12">
      <c r="A65" s="160"/>
      <c r="B65" s="542">
        <f t="shared" si="10"/>
        <v>51</v>
      </c>
      <c r="C65" s="26" t="s">
        <v>206</v>
      </c>
      <c r="F65" s="173"/>
      <c r="G65" s="128">
        <f t="shared" si="2"/>
        <v>1223</v>
      </c>
      <c r="H65" s="62"/>
      <c r="I65" s="62"/>
      <c r="J65" s="62"/>
      <c r="K65" s="62"/>
      <c r="L65" s="62"/>
      <c r="M65" s="62"/>
      <c r="N65" s="62"/>
      <c r="O65" s="128"/>
      <c r="P65" s="128"/>
      <c r="Q65" s="128"/>
      <c r="R65" s="128">
        <v>560</v>
      </c>
      <c r="S65" s="62">
        <v>663</v>
      </c>
      <c r="T65" s="62"/>
      <c r="U65" s="62"/>
      <c r="V65" s="62"/>
      <c r="W65" s="62"/>
      <c r="X65" s="62"/>
      <c r="Y65" s="62"/>
      <c r="Z65" s="62"/>
      <c r="AA65" s="62"/>
      <c r="AB65" s="160"/>
      <c r="AC65" s="160"/>
      <c r="AD65" s="160"/>
      <c r="AE65" s="160"/>
      <c r="AF65" s="160"/>
      <c r="AK65" s="62"/>
      <c r="AN65" s="2"/>
      <c r="AO65" s="2"/>
    </row>
    <row r="66" spans="1:45" s="26" customFormat="1" ht="12">
      <c r="A66" s="160"/>
      <c r="B66" s="542">
        <f t="shared" si="10"/>
        <v>52</v>
      </c>
      <c r="D66" s="26" t="s">
        <v>207</v>
      </c>
      <c r="F66" s="173"/>
      <c r="G66" s="129">
        <f t="shared" ca="1" si="2"/>
        <v>-4624.5490000000136</v>
      </c>
      <c r="H66" s="26">
        <f t="shared" ref="H66:V66" si="16">SUM(H64:H65)</f>
        <v>0</v>
      </c>
      <c r="I66" s="26">
        <f t="shared" ca="1" si="16"/>
        <v>-7122.9770000000135</v>
      </c>
      <c r="J66" s="26">
        <f t="shared" si="16"/>
        <v>0</v>
      </c>
      <c r="K66" s="26">
        <f t="shared" si="16"/>
        <v>0</v>
      </c>
      <c r="L66" s="26">
        <f t="shared" si="16"/>
        <v>0</v>
      </c>
      <c r="M66" s="26">
        <f t="shared" si="16"/>
        <v>0</v>
      </c>
      <c r="N66" s="26">
        <f t="shared" si="16"/>
        <v>873.428</v>
      </c>
      <c r="O66" s="129">
        <f t="shared" si="16"/>
        <v>402</v>
      </c>
      <c r="P66" s="129">
        <f t="shared" si="16"/>
        <v>0</v>
      </c>
      <c r="Q66" s="129">
        <f>SUM(Q64:Q65)</f>
        <v>0</v>
      </c>
      <c r="R66" s="129">
        <f>SUM(R64:R65)</f>
        <v>560</v>
      </c>
      <c r="S66" s="26">
        <f>SUM(S64:S65)</f>
        <v>663</v>
      </c>
      <c r="T66" s="26">
        <f>SUM(T64:T65)</f>
        <v>0</v>
      </c>
      <c r="U66" s="26">
        <f>SUM(U64:U65)</f>
        <v>0</v>
      </c>
      <c r="V66" s="26">
        <f t="shared" si="16"/>
        <v>0</v>
      </c>
      <c r="W66" s="26">
        <f>SUM(W64:W65)</f>
        <v>0</v>
      </c>
      <c r="X66" s="26">
        <f>SUM(X64:X65)</f>
        <v>0</v>
      </c>
      <c r="Y66" s="26">
        <f>SUM(Y64:Y65)</f>
        <v>0</v>
      </c>
      <c r="Z66" s="26">
        <f>SUM(Z64:Z65)</f>
        <v>0</v>
      </c>
      <c r="AA66" s="26">
        <f>SUM(AA64:AA65)</f>
        <v>0</v>
      </c>
      <c r="AB66" s="160"/>
      <c r="AC66" s="160"/>
      <c r="AD66" s="160"/>
      <c r="AE66" s="160"/>
      <c r="AF66" s="160"/>
      <c r="AN66" s="2"/>
      <c r="AO66" s="2"/>
    </row>
    <row r="67" spans="1:45" s="26" customFormat="1" ht="12">
      <c r="A67" s="160"/>
      <c r="B67" s="542">
        <f t="shared" si="10"/>
        <v>53</v>
      </c>
      <c r="C67" s="26" t="s">
        <v>208</v>
      </c>
      <c r="F67" s="176"/>
      <c r="G67" s="127">
        <f t="shared" si="2"/>
        <v>0</v>
      </c>
      <c r="H67" s="61"/>
      <c r="I67" s="61"/>
      <c r="J67" s="61"/>
      <c r="K67" s="61"/>
      <c r="L67" s="61"/>
      <c r="M67" s="61"/>
      <c r="N67" s="61"/>
      <c r="O67" s="127"/>
      <c r="P67" s="127"/>
      <c r="Q67" s="127"/>
      <c r="R67" s="127"/>
      <c r="S67" s="61"/>
      <c r="T67" s="61"/>
      <c r="U67" s="61"/>
      <c r="V67" s="61"/>
      <c r="W67" s="61"/>
      <c r="X67" s="61"/>
      <c r="Y67" s="674"/>
      <c r="Z67" s="674"/>
      <c r="AA67" s="61"/>
      <c r="AB67" s="160"/>
      <c r="AC67" s="160"/>
      <c r="AD67" s="160"/>
      <c r="AE67" s="160"/>
      <c r="AF67" s="160"/>
      <c r="AK67" s="61"/>
      <c r="AN67" s="2"/>
      <c r="AO67" s="2"/>
    </row>
    <row r="68" spans="1:45" s="26" customFormat="1" ht="12">
      <c r="A68" s="160"/>
      <c r="B68" s="542">
        <f t="shared" si="10"/>
        <v>54</v>
      </c>
      <c r="C68" s="26" t="s">
        <v>470</v>
      </c>
      <c r="F68" s="176"/>
      <c r="G68" s="127"/>
      <c r="H68" s="61"/>
      <c r="I68" s="61"/>
      <c r="J68" s="61"/>
      <c r="K68" s="61"/>
      <c r="L68" s="61"/>
      <c r="M68" s="61"/>
      <c r="N68" s="61"/>
      <c r="O68" s="127"/>
      <c r="P68" s="127"/>
      <c r="Q68" s="127"/>
      <c r="R68" s="127"/>
      <c r="S68" s="61"/>
      <c r="T68" s="61"/>
      <c r="U68" s="61"/>
      <c r="V68" s="61"/>
      <c r="W68" s="61"/>
      <c r="X68" s="61"/>
      <c r="Y68" s="674"/>
      <c r="Z68" s="674"/>
      <c r="AA68" s="61"/>
      <c r="AB68" s="160"/>
      <c r="AC68" s="160"/>
      <c r="AD68" s="160"/>
      <c r="AE68" s="160"/>
      <c r="AF68" s="160"/>
      <c r="AK68" s="61"/>
      <c r="AN68" s="2"/>
      <c r="AO68" s="2"/>
    </row>
    <row r="69" spans="1:45" s="26" customFormat="1" ht="12">
      <c r="A69" s="160"/>
      <c r="B69" s="542">
        <f t="shared" si="10"/>
        <v>55</v>
      </c>
      <c r="C69" s="26" t="s">
        <v>242</v>
      </c>
      <c r="F69" s="173"/>
      <c r="G69" s="128">
        <f t="shared" ca="1" si="2"/>
        <v>-11679.222000000007</v>
      </c>
      <c r="H69" s="62"/>
      <c r="I69" s="62">
        <f ca="1">+'DPK-6 PF-2 ProdFctrCalc'!L75</f>
        <v>1877.8919999999925</v>
      </c>
      <c r="J69" s="62"/>
      <c r="K69" s="62"/>
      <c r="L69" s="62"/>
      <c r="M69" s="62"/>
      <c r="N69" s="62">
        <v>-626.16999999999996</v>
      </c>
      <c r="O69" s="128">
        <v>-189.94399999999999</v>
      </c>
      <c r="P69" s="128"/>
      <c r="Q69" s="128"/>
      <c r="R69" s="128">
        <v>-2818</v>
      </c>
      <c r="S69" s="62">
        <v>-8384</v>
      </c>
      <c r="T69" s="62">
        <v>-1539</v>
      </c>
      <c r="U69" s="62"/>
      <c r="V69" s="62"/>
      <c r="W69" s="62"/>
      <c r="X69" s="62"/>
      <c r="Y69" s="62"/>
      <c r="Z69" s="62"/>
      <c r="AA69" s="62"/>
      <c r="AB69" s="160"/>
      <c r="AC69" s="160"/>
      <c r="AD69" s="160"/>
      <c r="AE69" s="160"/>
      <c r="AF69" s="160"/>
      <c r="AK69" s="62"/>
      <c r="AN69" s="2"/>
      <c r="AO69" s="2"/>
    </row>
    <row r="70" spans="1:45" s="26" customFormat="1" ht="12">
      <c r="A70" s="160"/>
      <c r="B70" s="542">
        <f t="shared" si="10"/>
        <v>56</v>
      </c>
      <c r="F70" s="173"/>
      <c r="G70" s="129"/>
      <c r="O70" s="129"/>
      <c r="P70" s="129"/>
      <c r="Q70" s="129"/>
      <c r="R70" s="129"/>
      <c r="AB70" s="160"/>
      <c r="AC70" s="160"/>
      <c r="AD70" s="160"/>
      <c r="AE70" s="160"/>
      <c r="AF70" s="160"/>
      <c r="AN70" s="2"/>
      <c r="AO70" s="2"/>
      <c r="AP70" s="25"/>
      <c r="AQ70" s="25"/>
      <c r="AR70" s="25"/>
      <c r="AS70" s="25"/>
    </row>
    <row r="71" spans="1:45" s="25" customFormat="1" ht="12.75" thickBot="1">
      <c r="A71" s="160"/>
      <c r="B71" s="542">
        <f t="shared" si="10"/>
        <v>57</v>
      </c>
      <c r="C71" s="25" t="s">
        <v>209</v>
      </c>
      <c r="F71" s="162"/>
      <c r="G71" s="301">
        <f t="shared" ca="1" si="2"/>
        <v>67487.326999999903</v>
      </c>
      <c r="H71" s="300">
        <f>H63+H66+H67+H69</f>
        <v>0</v>
      </c>
      <c r="I71" s="300">
        <f ca="1">I63-I66+I67+I69</f>
        <v>-11359.822000000102</v>
      </c>
      <c r="J71" s="300">
        <f t="shared" ref="J71:V71" si="17">J63-J66+J67+J69</f>
        <v>0</v>
      </c>
      <c r="K71" s="300">
        <f t="shared" si="17"/>
        <v>0</v>
      </c>
      <c r="L71" s="300">
        <f t="shared" si="17"/>
        <v>0</v>
      </c>
      <c r="M71" s="300">
        <f t="shared" si="17"/>
        <v>0</v>
      </c>
      <c r="N71" s="300">
        <f t="shared" si="17"/>
        <v>21252.402000000002</v>
      </c>
      <c r="O71" s="301">
        <f t="shared" si="17"/>
        <v>14591.747000000001</v>
      </c>
      <c r="P71" s="301">
        <f t="shared" si="17"/>
        <v>0</v>
      </c>
      <c r="Q71" s="301">
        <f>Q63-Q66+Q67+Q69</f>
        <v>0</v>
      </c>
      <c r="R71" s="301">
        <f>R63-R66+R67+R69</f>
        <v>23325</v>
      </c>
      <c r="S71" s="300">
        <f>S63-S66+S67+S69</f>
        <v>16819</v>
      </c>
      <c r="T71" s="300">
        <f>T63-T66+T67+T69</f>
        <v>2859</v>
      </c>
      <c r="U71" s="300">
        <f>U63-U66+U67+U69</f>
        <v>0</v>
      </c>
      <c r="V71" s="300">
        <f t="shared" si="17"/>
        <v>0</v>
      </c>
      <c r="W71" s="300">
        <f>W63-W66+W67+W69</f>
        <v>0</v>
      </c>
      <c r="X71" s="300">
        <f>X63-X66+X67+X69</f>
        <v>0</v>
      </c>
      <c r="Y71" s="300">
        <f>Y63-Y66+Y67+Y69</f>
        <v>0</v>
      </c>
      <c r="Z71" s="300">
        <f>Z63-Z66+Z67+Z69</f>
        <v>0</v>
      </c>
      <c r="AA71" s="300">
        <f>AA63-AA66+AA67+AA69</f>
        <v>0</v>
      </c>
      <c r="AB71" s="159"/>
      <c r="AC71" s="159"/>
      <c r="AD71" s="159"/>
      <c r="AE71" s="159"/>
      <c r="AF71" s="159"/>
      <c r="AK71" s="65"/>
      <c r="AN71" s="2"/>
      <c r="AO71" s="2"/>
      <c r="AP71" s="2"/>
      <c r="AQ71" s="2"/>
      <c r="AR71" s="2"/>
      <c r="AS71" s="2"/>
    </row>
    <row r="72" spans="1:45" ht="27" customHeight="1" thickTop="1">
      <c r="A72" s="160"/>
      <c r="B72" s="24"/>
      <c r="C72" s="215"/>
      <c r="D72" s="215"/>
      <c r="E72" s="215"/>
      <c r="F72" s="215"/>
      <c r="G72" s="178"/>
    </row>
    <row r="73" spans="1:45" s="154" customFormat="1">
      <c r="B73" s="441"/>
      <c r="C73" s="212"/>
      <c r="D73" s="212"/>
      <c r="E73" s="212"/>
      <c r="F73" s="212"/>
      <c r="G73" s="442"/>
      <c r="H73" s="156"/>
      <c r="I73" s="156"/>
      <c r="J73" s="156"/>
      <c r="K73" s="156"/>
      <c r="L73" s="156"/>
      <c r="M73" s="156"/>
      <c r="N73" s="156"/>
      <c r="O73" s="156"/>
      <c r="P73" s="100"/>
      <c r="Q73" s="100"/>
      <c r="R73" s="100"/>
      <c r="S73" s="156"/>
      <c r="T73" s="156"/>
      <c r="U73" s="156"/>
      <c r="V73" s="156"/>
      <c r="W73" s="156"/>
      <c r="X73" s="156"/>
      <c r="Y73" s="156"/>
      <c r="Z73" s="156"/>
      <c r="AA73" s="156"/>
      <c r="AB73" s="218"/>
      <c r="AC73" s="218"/>
      <c r="AD73" s="218"/>
      <c r="AE73" s="218"/>
      <c r="AF73" s="218"/>
      <c r="AG73" s="218"/>
      <c r="AH73" s="218"/>
      <c r="AI73" s="218"/>
      <c r="AJ73" s="218"/>
      <c r="AK73" s="156"/>
    </row>
    <row r="74" spans="1:45">
      <c r="B74" s="202">
        <v>1</v>
      </c>
      <c r="C74" s="187"/>
      <c r="D74" s="181"/>
      <c r="E74" s="182"/>
      <c r="F74" s="166"/>
      <c r="G74" s="132"/>
    </row>
    <row r="75" spans="1:45">
      <c r="B75" s="202">
        <f>+B74+1</f>
        <v>2</v>
      </c>
      <c r="C75" s="876" t="s">
        <v>265</v>
      </c>
      <c r="D75" s="874"/>
      <c r="E75" s="874"/>
      <c r="F75" s="875"/>
      <c r="G75" s="150"/>
    </row>
    <row r="76" spans="1:45">
      <c r="B76" s="202">
        <f>+B75+1</f>
        <v>3</v>
      </c>
      <c r="C76" s="187"/>
      <c r="D76" s="181" t="s">
        <v>266</v>
      </c>
      <c r="E76" s="182"/>
      <c r="F76" s="166"/>
      <c r="G76" s="176">
        <f t="shared" ca="1" si="2"/>
        <v>-77635</v>
      </c>
      <c r="H76" s="176">
        <f t="shared" ref="H76:V76" si="18">+H20</f>
        <v>-76114</v>
      </c>
      <c r="I76" s="176">
        <f t="shared" ca="1" si="18"/>
        <v>-1545</v>
      </c>
      <c r="J76" s="176">
        <f t="shared" si="18"/>
        <v>0</v>
      </c>
      <c r="K76" s="176">
        <f t="shared" si="18"/>
        <v>0</v>
      </c>
      <c r="L76" s="176">
        <f t="shared" si="18"/>
        <v>24</v>
      </c>
      <c r="M76" s="176">
        <f t="shared" si="18"/>
        <v>0</v>
      </c>
      <c r="N76" s="176">
        <f t="shared" si="18"/>
        <v>0</v>
      </c>
      <c r="O76" s="176">
        <f t="shared" si="18"/>
        <v>0</v>
      </c>
      <c r="P76" s="333">
        <f t="shared" si="18"/>
        <v>0</v>
      </c>
      <c r="Q76" s="695">
        <f>+Q20</f>
        <v>0</v>
      </c>
      <c r="R76" s="333">
        <f>+R20</f>
        <v>0</v>
      </c>
      <c r="S76" s="176">
        <f>+S20</f>
        <v>0</v>
      </c>
      <c r="T76" s="394">
        <f>+T20</f>
        <v>0</v>
      </c>
      <c r="U76" s="394">
        <f>+U20</f>
        <v>0</v>
      </c>
      <c r="V76" s="176">
        <f t="shared" si="18"/>
        <v>0</v>
      </c>
      <c r="W76" s="176">
        <f>+W20</f>
        <v>0</v>
      </c>
      <c r="X76" s="394">
        <f>+X20</f>
        <v>0</v>
      </c>
      <c r="Y76" s="394">
        <f>+Y20</f>
        <v>0</v>
      </c>
      <c r="Z76" s="394">
        <f>+Z20</f>
        <v>0</v>
      </c>
      <c r="AA76" s="394">
        <f>+AA20</f>
        <v>0</v>
      </c>
    </row>
    <row r="77" spans="1:45">
      <c r="B77" s="202">
        <f>+B76+1</f>
        <v>4</v>
      </c>
      <c r="C77" s="187"/>
      <c r="D77" s="181" t="s">
        <v>267</v>
      </c>
      <c r="E77" s="182"/>
      <c r="F77" s="166"/>
      <c r="G77" s="176">
        <f t="shared" ca="1" si="2"/>
        <v>52982.532999999989</v>
      </c>
      <c r="H77" s="176">
        <f t="shared" ref="H77:V77" si="19">-H45</f>
        <v>65493</v>
      </c>
      <c r="I77" s="176">
        <f t="shared" ca="1" si="19"/>
        <v>5340.6045799999847</v>
      </c>
      <c r="J77" s="176">
        <f t="shared" si="19"/>
        <v>-1738.7490000000003</v>
      </c>
      <c r="K77" s="176">
        <f t="shared" si="19"/>
        <v>-151.18799999999999</v>
      </c>
      <c r="L77" s="176">
        <f t="shared" si="19"/>
        <v>-103</v>
      </c>
      <c r="M77" s="176">
        <f t="shared" si="19"/>
        <v>0</v>
      </c>
      <c r="N77" s="176">
        <f t="shared" si="19"/>
        <v>-921.17858000000001</v>
      </c>
      <c r="O77" s="176">
        <f t="shared" si="19"/>
        <v>-666.56400000000008</v>
      </c>
      <c r="P77" s="333">
        <f t="shared" si="19"/>
        <v>0</v>
      </c>
      <c r="Q77" s="695">
        <f>-Q45</f>
        <v>0</v>
      </c>
      <c r="R77" s="333">
        <f>-R45</f>
        <v>-3636</v>
      </c>
      <c r="S77" s="176">
        <f>-S45</f>
        <v>-829</v>
      </c>
      <c r="T77" s="394">
        <f>-T45</f>
        <v>-3516</v>
      </c>
      <c r="U77" s="394">
        <f>-U45</f>
        <v>-1227.21</v>
      </c>
      <c r="V77" s="176">
        <f t="shared" si="19"/>
        <v>17.414999999999999</v>
      </c>
      <c r="W77" s="176">
        <f>-W45</f>
        <v>0</v>
      </c>
      <c r="X77" s="394">
        <f>-X45</f>
        <v>-4492.1289999999999</v>
      </c>
      <c r="Y77" s="394">
        <f>-Y45</f>
        <v>68.531999999999996</v>
      </c>
      <c r="Z77" s="394">
        <f>-Z45</f>
        <v>-656</v>
      </c>
      <c r="AA77" s="394">
        <f>-AA45</f>
        <v>0</v>
      </c>
    </row>
    <row r="78" spans="1:45">
      <c r="B78" s="202">
        <f>+B77+1</f>
        <v>5</v>
      </c>
      <c r="C78" s="187"/>
      <c r="D78" s="181" t="s">
        <v>286</v>
      </c>
      <c r="E78" s="182"/>
      <c r="F78" s="166"/>
      <c r="G78" s="176">
        <f>SUM(H78:X78)</f>
        <v>0</v>
      </c>
      <c r="H78" s="100"/>
      <c r="I78" s="100"/>
      <c r="J78" s="100"/>
      <c r="K78" s="100"/>
      <c r="L78" s="100"/>
      <c r="M78" s="100"/>
      <c r="N78" s="100"/>
      <c r="O78" s="100"/>
      <c r="S78" s="100"/>
      <c r="T78" s="395"/>
      <c r="V78" s="100"/>
      <c r="W78" s="100"/>
      <c r="X78" s="395"/>
      <c r="Y78" s="395"/>
      <c r="Z78" s="395"/>
    </row>
    <row r="79" spans="1:45">
      <c r="B79" s="202">
        <f>+B78+1</f>
        <v>6</v>
      </c>
      <c r="C79" s="187"/>
      <c r="D79" s="181"/>
      <c r="E79" s="182"/>
      <c r="F79" s="184" t="s">
        <v>268</v>
      </c>
      <c r="G79" s="185">
        <f t="shared" ca="1" si="2"/>
        <v>-24652.467000000015</v>
      </c>
      <c r="H79" s="185">
        <f t="shared" ref="H79:N79" si="20">SUM(H76:H78)</f>
        <v>-10621</v>
      </c>
      <c r="I79" s="185">
        <f t="shared" ca="1" si="20"/>
        <v>3795.6045799999847</v>
      </c>
      <c r="J79" s="185">
        <f t="shared" si="20"/>
        <v>-1738.7490000000003</v>
      </c>
      <c r="K79" s="185">
        <f t="shared" si="20"/>
        <v>-151.18799999999999</v>
      </c>
      <c r="L79" s="185">
        <f t="shared" si="20"/>
        <v>-79</v>
      </c>
      <c r="M79" s="185">
        <f t="shared" si="20"/>
        <v>0</v>
      </c>
      <c r="N79" s="185">
        <f t="shared" si="20"/>
        <v>-921.17858000000001</v>
      </c>
      <c r="O79" s="185">
        <f t="shared" ref="O79:AA79" si="21">SUM(O76:O78)</f>
        <v>-666.56400000000008</v>
      </c>
      <c r="P79" s="185">
        <f t="shared" si="21"/>
        <v>0</v>
      </c>
      <c r="Q79" s="185">
        <f t="shared" si="21"/>
        <v>0</v>
      </c>
      <c r="R79" s="185">
        <f t="shared" si="21"/>
        <v>-3636</v>
      </c>
      <c r="S79" s="185">
        <f t="shared" si="21"/>
        <v>-829</v>
      </c>
      <c r="T79" s="185">
        <f t="shared" si="21"/>
        <v>-3516</v>
      </c>
      <c r="U79" s="185">
        <f t="shared" si="21"/>
        <v>-1227.21</v>
      </c>
      <c r="V79" s="185">
        <f t="shared" si="21"/>
        <v>17.414999999999999</v>
      </c>
      <c r="W79" s="185">
        <f t="shared" si="21"/>
        <v>0</v>
      </c>
      <c r="X79" s="185">
        <f t="shared" si="21"/>
        <v>-4492.1289999999999</v>
      </c>
      <c r="Y79" s="185">
        <f t="shared" ref="Y79:Z79" si="22">SUM(Y76:Y78)</f>
        <v>68.531999999999996</v>
      </c>
      <c r="Z79" s="185">
        <f t="shared" si="22"/>
        <v>-656</v>
      </c>
      <c r="AA79" s="185">
        <f t="shared" si="21"/>
        <v>0</v>
      </c>
    </row>
    <row r="80" spans="1:45">
      <c r="B80" s="202"/>
      <c r="C80" s="187"/>
      <c r="D80" s="181"/>
      <c r="E80" s="182"/>
      <c r="F80" s="184"/>
      <c r="G80" s="186"/>
    </row>
    <row r="81" spans="2:27">
      <c r="B81" s="202">
        <f>+B79+1</f>
        <v>7</v>
      </c>
      <c r="C81" s="187"/>
      <c r="D81" s="187" t="s">
        <v>269</v>
      </c>
      <c r="E81" s="182"/>
      <c r="F81" s="166"/>
      <c r="G81" s="188"/>
    </row>
    <row r="82" spans="2:27">
      <c r="B82" s="202">
        <f t="shared" ref="B82:B98" si="23">+B81+1</f>
        <v>8</v>
      </c>
      <c r="C82" s="187"/>
      <c r="D82" s="181" t="s">
        <v>270</v>
      </c>
      <c r="E82" s="182"/>
      <c r="F82" s="166"/>
      <c r="G82" s="188">
        <f t="shared" si="2"/>
        <v>0</v>
      </c>
    </row>
    <row r="83" spans="2:27">
      <c r="B83" s="203">
        <f t="shared" si="23"/>
        <v>9</v>
      </c>
      <c r="C83" s="187"/>
      <c r="D83" s="181" t="s">
        <v>281</v>
      </c>
      <c r="E83" s="182"/>
      <c r="F83" s="166"/>
      <c r="G83" s="188">
        <f t="shared" si="2"/>
        <v>0</v>
      </c>
    </row>
    <row r="84" spans="2:27">
      <c r="B84" s="203">
        <f t="shared" si="23"/>
        <v>10</v>
      </c>
      <c r="C84" s="187"/>
      <c r="D84" s="181" t="s">
        <v>271</v>
      </c>
      <c r="E84" s="181"/>
      <c r="F84" s="166"/>
      <c r="G84" s="188">
        <f>SUM(H84:AA84)</f>
        <v>0</v>
      </c>
    </row>
    <row r="85" spans="2:27">
      <c r="B85" s="203">
        <f t="shared" si="23"/>
        <v>11</v>
      </c>
      <c r="C85" s="187"/>
      <c r="D85" s="181"/>
      <c r="E85" s="182"/>
      <c r="F85" s="166"/>
      <c r="G85" s="176"/>
    </row>
    <row r="86" spans="2:27">
      <c r="B86" s="203">
        <f t="shared" si="23"/>
        <v>12</v>
      </c>
      <c r="C86" s="187"/>
      <c r="D86" s="166"/>
      <c r="E86" s="182"/>
      <c r="F86" s="191" t="s">
        <v>272</v>
      </c>
      <c r="G86" s="192">
        <f>SUM(H86:AA86)</f>
        <v>0</v>
      </c>
      <c r="H86" s="192">
        <f t="shared" ref="H86:N86" si="24">SUM(H82:H84)</f>
        <v>0</v>
      </c>
      <c r="I86" s="192">
        <f t="shared" si="24"/>
        <v>0</v>
      </c>
      <c r="J86" s="192">
        <f t="shared" si="24"/>
        <v>0</v>
      </c>
      <c r="K86" s="192">
        <f t="shared" si="24"/>
        <v>0</v>
      </c>
      <c r="L86" s="192">
        <f t="shared" si="24"/>
        <v>0</v>
      </c>
      <c r="M86" s="192">
        <f t="shared" si="24"/>
        <v>0</v>
      </c>
      <c r="N86" s="192">
        <f t="shared" si="24"/>
        <v>0</v>
      </c>
      <c r="O86" s="192">
        <f t="shared" ref="O86:AA86" si="25">SUM(O82:O84)</f>
        <v>0</v>
      </c>
      <c r="P86" s="192">
        <f t="shared" si="25"/>
        <v>0</v>
      </c>
      <c r="Q86" s="192">
        <f t="shared" si="25"/>
        <v>0</v>
      </c>
      <c r="R86" s="192">
        <f t="shared" si="25"/>
        <v>0</v>
      </c>
      <c r="S86" s="192">
        <f t="shared" si="25"/>
        <v>0</v>
      </c>
      <c r="T86" s="192">
        <f t="shared" si="25"/>
        <v>0</v>
      </c>
      <c r="U86" s="192">
        <f t="shared" si="25"/>
        <v>0</v>
      </c>
      <c r="V86" s="192">
        <f t="shared" si="25"/>
        <v>0</v>
      </c>
      <c r="W86" s="192">
        <f t="shared" si="25"/>
        <v>0</v>
      </c>
      <c r="X86" s="192">
        <f t="shared" si="25"/>
        <v>0</v>
      </c>
      <c r="Y86" s="192">
        <f t="shared" ref="Y86:Z86" si="26">SUM(Y82:Y84)</f>
        <v>0</v>
      </c>
      <c r="Z86" s="192">
        <f t="shared" si="26"/>
        <v>0</v>
      </c>
      <c r="AA86" s="192">
        <f t="shared" si="25"/>
        <v>0</v>
      </c>
    </row>
    <row r="87" spans="2:27">
      <c r="B87" s="203">
        <f t="shared" si="23"/>
        <v>13</v>
      </c>
      <c r="C87" s="187"/>
      <c r="D87" s="191"/>
      <c r="E87" s="182"/>
      <c r="F87" s="166"/>
      <c r="G87" s="186"/>
    </row>
    <row r="88" spans="2:27">
      <c r="B88" s="203">
        <f t="shared" si="23"/>
        <v>14</v>
      </c>
      <c r="C88" s="187"/>
      <c r="D88" s="187" t="s">
        <v>273</v>
      </c>
      <c r="E88" s="182"/>
      <c r="F88" s="166"/>
      <c r="G88" s="188"/>
    </row>
    <row r="89" spans="2:27">
      <c r="B89" s="203">
        <f t="shared" si="23"/>
        <v>15</v>
      </c>
      <c r="C89" s="187"/>
      <c r="D89" s="187" t="s">
        <v>274</v>
      </c>
      <c r="E89" s="182"/>
      <c r="F89" s="166"/>
      <c r="G89" s="188">
        <f>SUM(H89:AA89)</f>
        <v>0</v>
      </c>
    </row>
    <row r="90" spans="2:27">
      <c r="B90" s="203">
        <f t="shared" si="23"/>
        <v>16</v>
      </c>
      <c r="C90" s="187"/>
      <c r="D90" s="181"/>
      <c r="E90" s="181" t="s">
        <v>285</v>
      </c>
      <c r="F90" s="166"/>
      <c r="G90" s="188">
        <f>SUM(H90:AA90)</f>
        <v>0</v>
      </c>
    </row>
    <row r="91" spans="2:27">
      <c r="B91" s="203">
        <f t="shared" si="23"/>
        <v>17</v>
      </c>
      <c r="C91" s="187"/>
      <c r="D91" s="181"/>
      <c r="E91" s="181" t="s">
        <v>271</v>
      </c>
      <c r="F91" s="166"/>
      <c r="G91" s="188">
        <f>SUM(H91:AA91)</f>
        <v>0</v>
      </c>
    </row>
    <row r="92" spans="2:27">
      <c r="B92" s="203">
        <f t="shared" si="23"/>
        <v>18</v>
      </c>
      <c r="C92" s="187"/>
      <c r="D92" s="166"/>
      <c r="E92" s="182"/>
      <c r="F92" s="191" t="s">
        <v>275</v>
      </c>
      <c r="G92" s="192">
        <f>SUM(H92:AA92)</f>
        <v>0</v>
      </c>
      <c r="H92" s="192">
        <f t="shared" ref="H92:N92" si="27">SUM(H89:H91)</f>
        <v>0</v>
      </c>
      <c r="I92" s="192">
        <f t="shared" si="27"/>
        <v>0</v>
      </c>
      <c r="J92" s="192">
        <f t="shared" si="27"/>
        <v>0</v>
      </c>
      <c r="K92" s="192">
        <f t="shared" si="27"/>
        <v>0</v>
      </c>
      <c r="L92" s="192">
        <f t="shared" si="27"/>
        <v>0</v>
      </c>
      <c r="M92" s="192">
        <f t="shared" si="27"/>
        <v>0</v>
      </c>
      <c r="N92" s="192">
        <f t="shared" si="27"/>
        <v>0</v>
      </c>
      <c r="O92" s="192">
        <f t="shared" ref="O92:AA92" si="28">SUM(O89:O91)</f>
        <v>0</v>
      </c>
      <c r="P92" s="192">
        <f t="shared" si="28"/>
        <v>0</v>
      </c>
      <c r="Q92" s="192">
        <f t="shared" si="28"/>
        <v>0</v>
      </c>
      <c r="R92" s="192">
        <f t="shared" si="28"/>
        <v>0</v>
      </c>
      <c r="S92" s="192">
        <f t="shared" si="28"/>
        <v>0</v>
      </c>
      <c r="T92" s="192">
        <f t="shared" si="28"/>
        <v>0</v>
      </c>
      <c r="U92" s="192">
        <f t="shared" si="28"/>
        <v>0</v>
      </c>
      <c r="V92" s="192">
        <f t="shared" si="28"/>
        <v>0</v>
      </c>
      <c r="W92" s="192">
        <f t="shared" si="28"/>
        <v>0</v>
      </c>
      <c r="X92" s="192">
        <f t="shared" si="28"/>
        <v>0</v>
      </c>
      <c r="Y92" s="192">
        <f t="shared" ref="Y92:Z92" si="29">SUM(Y89:Y91)</f>
        <v>0</v>
      </c>
      <c r="Z92" s="192">
        <f t="shared" si="29"/>
        <v>0</v>
      </c>
      <c r="AA92" s="192">
        <f t="shared" si="28"/>
        <v>0</v>
      </c>
    </row>
    <row r="93" spans="2:27">
      <c r="B93" s="203">
        <f t="shared" si="23"/>
        <v>19</v>
      </c>
      <c r="C93" s="187"/>
      <c r="D93" s="191"/>
      <c r="E93" s="182"/>
      <c r="F93" s="166"/>
      <c r="G93" s="193">
        <f>SUM(H93:AA93)</f>
        <v>0</v>
      </c>
    </row>
    <row r="94" spans="2:27">
      <c r="B94" s="203">
        <f t="shared" si="23"/>
        <v>20</v>
      </c>
      <c r="C94" s="187"/>
      <c r="D94" s="181" t="s">
        <v>280</v>
      </c>
      <c r="E94" s="182"/>
      <c r="F94" s="166"/>
      <c r="G94" s="186">
        <f ca="1">+G79+G86-G92</f>
        <v>-24652.467000000015</v>
      </c>
      <c r="H94" s="186">
        <f>+H79+H86-H92</f>
        <v>-10621</v>
      </c>
      <c r="I94" s="186">
        <f t="shared" ref="I94:N94" ca="1" si="30">+I76+I77+I78+I86-I92</f>
        <v>3795.6045799999847</v>
      </c>
      <c r="J94" s="186">
        <f t="shared" si="30"/>
        <v>-1738.7490000000003</v>
      </c>
      <c r="K94" s="186">
        <f t="shared" si="30"/>
        <v>-151.18799999999999</v>
      </c>
      <c r="L94" s="186">
        <f t="shared" si="30"/>
        <v>-79</v>
      </c>
      <c r="M94" s="186">
        <f t="shared" si="30"/>
        <v>0</v>
      </c>
      <c r="N94" s="186">
        <f t="shared" si="30"/>
        <v>-921.17858000000001</v>
      </c>
      <c r="O94" s="186">
        <f t="shared" ref="O94:AA94" si="31">+O76+O77+O78+O86-O92</f>
        <v>-666.56400000000008</v>
      </c>
      <c r="P94" s="186">
        <f t="shared" si="31"/>
        <v>0</v>
      </c>
      <c r="Q94" s="186">
        <f t="shared" si="31"/>
        <v>0</v>
      </c>
      <c r="R94" s="186">
        <f t="shared" si="31"/>
        <v>-3636</v>
      </c>
      <c r="S94" s="186">
        <f t="shared" si="31"/>
        <v>-829</v>
      </c>
      <c r="T94" s="186">
        <f t="shared" si="31"/>
        <v>-3516</v>
      </c>
      <c r="U94" s="186">
        <f t="shared" si="31"/>
        <v>-1227.21</v>
      </c>
      <c r="V94" s="186">
        <f t="shared" si="31"/>
        <v>17.414999999999999</v>
      </c>
      <c r="W94" s="186">
        <f t="shared" si="31"/>
        <v>0</v>
      </c>
      <c r="X94" s="186">
        <f t="shared" si="31"/>
        <v>-4492.1289999999999</v>
      </c>
      <c r="Y94" s="186">
        <f t="shared" ref="Y94:Z94" si="32">+Y76+Y77+Y78+Y86-Y92</f>
        <v>68.531999999999996</v>
      </c>
      <c r="Z94" s="186">
        <f t="shared" si="32"/>
        <v>-656</v>
      </c>
      <c r="AA94" s="186">
        <f t="shared" si="31"/>
        <v>0</v>
      </c>
    </row>
    <row r="95" spans="2:27">
      <c r="B95" s="203">
        <f t="shared" si="23"/>
        <v>21</v>
      </c>
      <c r="C95" s="187"/>
      <c r="D95" s="181" t="s">
        <v>276</v>
      </c>
      <c r="E95" s="182"/>
      <c r="F95" s="166"/>
      <c r="G95" s="216">
        <v>0.35</v>
      </c>
      <c r="H95" s="216">
        <f>+G95</f>
        <v>0.35</v>
      </c>
      <c r="I95" s="216">
        <f t="shared" ref="I95:N95" si="33">+H95</f>
        <v>0.35</v>
      </c>
      <c r="J95" s="216">
        <f t="shared" si="33"/>
        <v>0.35</v>
      </c>
      <c r="K95" s="216">
        <f t="shared" si="33"/>
        <v>0.35</v>
      </c>
      <c r="L95" s="216">
        <f t="shared" si="33"/>
        <v>0.35</v>
      </c>
      <c r="M95" s="216">
        <f t="shared" si="33"/>
        <v>0.35</v>
      </c>
      <c r="N95" s="216">
        <f t="shared" si="33"/>
        <v>0.35</v>
      </c>
      <c r="O95" s="216">
        <f>+N95</f>
        <v>0.35</v>
      </c>
      <c r="P95" s="216">
        <f>+G95</f>
        <v>0.35</v>
      </c>
      <c r="Q95" s="216">
        <f>+J95</f>
        <v>0.35</v>
      </c>
      <c r="R95" s="216">
        <f>+K95</f>
        <v>0.35</v>
      </c>
      <c r="S95" s="216">
        <f>+R95</f>
        <v>0.35</v>
      </c>
      <c r="T95" s="216">
        <f>+S95</f>
        <v>0.35</v>
      </c>
      <c r="U95" s="216">
        <f>+T95</f>
        <v>0.35</v>
      </c>
      <c r="V95" s="216">
        <f>+O95</f>
        <v>0.35</v>
      </c>
      <c r="W95" s="216">
        <f>+V95</f>
        <v>0.35</v>
      </c>
      <c r="X95" s="216">
        <f>+W95</f>
        <v>0.35</v>
      </c>
      <c r="Y95" s="216">
        <f>+X95</f>
        <v>0.35</v>
      </c>
      <c r="Z95" s="216">
        <f>+Y95</f>
        <v>0.35</v>
      </c>
      <c r="AA95" s="216">
        <f>+X95</f>
        <v>0.35</v>
      </c>
    </row>
    <row r="96" spans="2:27">
      <c r="B96" s="203">
        <f t="shared" si="23"/>
        <v>22</v>
      </c>
      <c r="C96" s="187"/>
      <c r="D96" s="187" t="s">
        <v>277</v>
      </c>
      <c r="E96" s="182"/>
      <c r="F96" s="166"/>
      <c r="G96" s="193">
        <f ca="1">SUM(H96:AA96)</f>
        <v>-8395.0660500000049</v>
      </c>
      <c r="H96" s="193">
        <f t="shared" ref="H96:N96" si="34">H94*H95</f>
        <v>-3717.35</v>
      </c>
      <c r="I96" s="193">
        <f t="shared" ca="1" si="34"/>
        <v>1328.4616029999945</v>
      </c>
      <c r="J96" s="193">
        <f t="shared" si="34"/>
        <v>-608.56215000000009</v>
      </c>
      <c r="K96" s="193">
        <f t="shared" si="34"/>
        <v>-52.91579999999999</v>
      </c>
      <c r="L96" s="193">
        <f t="shared" si="34"/>
        <v>-27.65</v>
      </c>
      <c r="M96" s="193">
        <f t="shared" si="34"/>
        <v>0</v>
      </c>
      <c r="N96" s="193">
        <f t="shared" si="34"/>
        <v>-322.41250299999996</v>
      </c>
      <c r="O96" s="193"/>
      <c r="P96" s="193">
        <f t="shared" ref="P96:AA96" si="35">P94*P95</f>
        <v>0</v>
      </c>
      <c r="Q96" s="193">
        <f t="shared" si="35"/>
        <v>0</v>
      </c>
      <c r="R96" s="193">
        <f t="shared" si="35"/>
        <v>-1272.5999999999999</v>
      </c>
      <c r="S96" s="193">
        <f t="shared" si="35"/>
        <v>-290.14999999999998</v>
      </c>
      <c r="T96" s="193">
        <f t="shared" si="35"/>
        <v>-1230.5999999999999</v>
      </c>
      <c r="U96" s="193">
        <f t="shared" si="35"/>
        <v>-429.52350000000001</v>
      </c>
      <c r="V96" s="193">
        <f t="shared" si="35"/>
        <v>6.0952499999999992</v>
      </c>
      <c r="W96" s="193">
        <f t="shared" si="35"/>
        <v>0</v>
      </c>
      <c r="X96" s="193">
        <f t="shared" si="35"/>
        <v>-1572.24515</v>
      </c>
      <c r="Y96" s="193">
        <f t="shared" ref="Y96:Z96" si="36">Y94*Y95</f>
        <v>23.986199999999997</v>
      </c>
      <c r="Z96" s="193">
        <f t="shared" si="36"/>
        <v>-229.6</v>
      </c>
      <c r="AA96" s="193">
        <f t="shared" si="35"/>
        <v>0</v>
      </c>
    </row>
    <row r="97" spans="2:27">
      <c r="B97" s="203">
        <f t="shared" si="23"/>
        <v>23</v>
      </c>
      <c r="C97" s="187"/>
      <c r="D97" s="181" t="s">
        <v>278</v>
      </c>
      <c r="E97" s="182"/>
      <c r="F97" s="166"/>
      <c r="G97" s="217">
        <f>SUM(H97:AA97)</f>
        <v>-233.29740000000001</v>
      </c>
      <c r="H97" s="217">
        <f>+(H89-H82+H90)*H95</f>
        <v>0</v>
      </c>
      <c r="I97" s="217">
        <f t="shared" ref="I97:N97" si="37">+(I89-I82+I90)*I95</f>
        <v>0</v>
      </c>
      <c r="J97" s="217">
        <f t="shared" si="37"/>
        <v>0</v>
      </c>
      <c r="K97" s="217">
        <f t="shared" si="37"/>
        <v>0</v>
      </c>
      <c r="L97" s="217">
        <f t="shared" si="37"/>
        <v>0</v>
      </c>
      <c r="M97" s="217">
        <f t="shared" si="37"/>
        <v>0</v>
      </c>
      <c r="N97" s="217">
        <f t="shared" si="37"/>
        <v>0</v>
      </c>
      <c r="O97" s="217">
        <f>+O94*O95</f>
        <v>-233.29740000000001</v>
      </c>
      <c r="P97" s="696">
        <f t="shared" ref="P97:AA97" si="38">+(P89-P82+P90)*P95</f>
        <v>0</v>
      </c>
      <c r="Q97" s="696">
        <f t="shared" si="38"/>
        <v>0</v>
      </c>
      <c r="R97" s="696">
        <f t="shared" si="38"/>
        <v>0</v>
      </c>
      <c r="S97" s="217">
        <f t="shared" si="38"/>
        <v>0</v>
      </c>
      <c r="T97" s="217">
        <f t="shared" si="38"/>
        <v>0</v>
      </c>
      <c r="U97" s="217">
        <f t="shared" si="38"/>
        <v>0</v>
      </c>
      <c r="V97" s="217">
        <f t="shared" si="38"/>
        <v>0</v>
      </c>
      <c r="W97" s="217">
        <f t="shared" si="38"/>
        <v>0</v>
      </c>
      <c r="X97" s="217">
        <f t="shared" si="38"/>
        <v>0</v>
      </c>
      <c r="Y97" s="217">
        <f t="shared" ref="Y97:Z97" si="39">+(Y89-Y82+Y90)*Y95</f>
        <v>0</v>
      </c>
      <c r="Z97" s="217">
        <f t="shared" si="39"/>
        <v>0</v>
      </c>
      <c r="AA97" s="217">
        <f t="shared" si="38"/>
        <v>0</v>
      </c>
    </row>
    <row r="98" spans="2:27" ht="16.5" thickBot="1">
      <c r="B98" s="203">
        <f t="shared" si="23"/>
        <v>24</v>
      </c>
      <c r="C98" s="187"/>
      <c r="D98" s="198" t="s">
        <v>279</v>
      </c>
      <c r="E98" s="199"/>
      <c r="F98" s="166"/>
      <c r="G98" s="213">
        <f ca="1">ROUNDUP(+G96+G97,0)</f>
        <v>-8629</v>
      </c>
      <c r="H98" s="213">
        <f t="shared" ref="H98:I98" si="40">ROUND(+H96+H97,0)</f>
        <v>-3717</v>
      </c>
      <c r="I98" s="213">
        <f t="shared" ca="1" si="40"/>
        <v>1328</v>
      </c>
      <c r="J98" s="213">
        <f>ROUND(+J96+J97,0)</f>
        <v>-609</v>
      </c>
      <c r="K98" s="213">
        <f t="shared" ref="K98:AA98" si="41">ROUND(+K96+K97,0)</f>
        <v>-53</v>
      </c>
      <c r="L98" s="213">
        <f t="shared" si="41"/>
        <v>-28</v>
      </c>
      <c r="M98" s="213">
        <f t="shared" si="41"/>
        <v>0</v>
      </c>
      <c r="N98" s="213">
        <f t="shared" si="41"/>
        <v>-322</v>
      </c>
      <c r="O98" s="213">
        <f t="shared" si="41"/>
        <v>-233</v>
      </c>
      <c r="P98" s="213">
        <f t="shared" si="41"/>
        <v>0</v>
      </c>
      <c r="Q98" s="213">
        <f t="shared" si="41"/>
        <v>0</v>
      </c>
      <c r="R98" s="213">
        <f t="shared" si="41"/>
        <v>-1273</v>
      </c>
      <c r="S98" s="213">
        <f t="shared" si="41"/>
        <v>-290</v>
      </c>
      <c r="T98" s="213">
        <f t="shared" si="41"/>
        <v>-1231</v>
      </c>
      <c r="U98" s="213">
        <f t="shared" si="41"/>
        <v>-430</v>
      </c>
      <c r="V98" s="213">
        <f t="shared" si="41"/>
        <v>6</v>
      </c>
      <c r="W98" s="213">
        <f t="shared" si="41"/>
        <v>0</v>
      </c>
      <c r="X98" s="213">
        <f t="shared" si="41"/>
        <v>-1572</v>
      </c>
      <c r="Y98" s="213">
        <f t="shared" si="41"/>
        <v>24</v>
      </c>
      <c r="Z98" s="213">
        <f t="shared" si="41"/>
        <v>-230</v>
      </c>
      <c r="AA98" s="213">
        <f t="shared" si="41"/>
        <v>0</v>
      </c>
    </row>
    <row r="99" spans="2:27" ht="16.5" thickTop="1"/>
    <row r="101" spans="2:27">
      <c r="G101" s="100">
        <f ca="1">+G96+G97</f>
        <v>-8628.3634500000044</v>
      </c>
    </row>
  </sheetData>
  <mergeCells count="3">
    <mergeCell ref="C75:F75"/>
    <mergeCell ref="C13:F13"/>
    <mergeCell ref="C56:F56"/>
  </mergeCells>
  <phoneticPr fontId="0" type="noConversion"/>
  <pageMargins left="0.75" right="0.51" top="0.75" bottom="0.5" header="0.5" footer="0.5"/>
  <pageSetup scale="70" firstPageNumber="2" fitToWidth="5" orientation="portrait" r:id="rId1"/>
  <headerFooter>
    <oddHeader>&amp;RExhibit No. _____(DPK-2)
Docket UE-090134  UG-090135
Page &amp;P of &amp;N</oddHeader>
    <oddFooter xml:space="preserve">&amp;RRESPONSE TO BENCH REQUEST # 2 Supplemental
Revised for Settlement and Accepted Rebuttal Corrections      </oddFooter>
  </headerFooter>
  <rowBreaks count="1" manualBreakCount="1">
    <brk id="72" min="6" max="17" man="1"/>
  </rowBreaks>
  <colBreaks count="3" manualBreakCount="3">
    <brk id="10" min="12" max="70" man="1"/>
    <brk id="14" min="12" max="70" man="1"/>
    <brk id="3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indexed="47"/>
    <pageSetUpPr fitToPage="1"/>
  </sheetPr>
  <dimension ref="A1:Z104"/>
  <sheetViews>
    <sheetView topLeftCell="B1" zoomScale="69" zoomScaleNormal="69" workbookViewId="0">
      <pane xSplit="5" ySplit="12" topLeftCell="G13" activePane="bottomRight" state="frozen"/>
      <selection activeCell="J45" sqref="J45"/>
      <selection pane="topRight" activeCell="J45" sqref="J45"/>
      <selection pane="bottomLeft" activeCell="J45" sqref="J45"/>
      <selection pane="bottomRight" activeCell="J45" sqref="J45"/>
    </sheetView>
  </sheetViews>
  <sheetFormatPr defaultRowHeight="15.75"/>
  <cols>
    <col min="1" max="2" width="9" style="444"/>
    <col min="3" max="3" width="6.25" style="444" customWidth="1"/>
    <col min="4" max="4" width="9" style="444"/>
    <col min="5" max="5" width="31.5" style="444" customWidth="1"/>
    <col min="6" max="6" width="3.625" style="444" customWidth="1"/>
    <col min="7" max="7" width="9.25" style="444" bestFit="1" customWidth="1"/>
    <col min="8" max="8" width="17" style="444" customWidth="1"/>
    <col min="9" max="9" width="3.875" style="444" customWidth="1"/>
    <col min="10" max="10" width="10.125" style="444" hidden="1" customWidth="1"/>
    <col min="11" max="11" width="12" style="445" hidden="1" customWidth="1"/>
    <col min="12" max="12" width="21.375" style="444" customWidth="1"/>
    <col min="13" max="13" width="3.375" style="444" customWidth="1"/>
    <col min="14" max="14" width="9.125" style="444" customWidth="1"/>
    <col min="15" max="15" width="12" style="444" bestFit="1" customWidth="1"/>
    <col min="16" max="17" width="12" style="444" hidden="1" customWidth="1"/>
    <col min="18" max="18" width="10.125" style="444" hidden="1" customWidth="1"/>
    <col min="19" max="19" width="12" style="445" hidden="1" customWidth="1"/>
    <col min="20" max="20" width="24.875" style="445" customWidth="1"/>
    <col min="21" max="21" width="19.5" style="444" customWidth="1"/>
    <col min="22" max="22" width="9" style="444"/>
    <col min="23" max="23" width="13.25" style="444" customWidth="1"/>
    <col min="24" max="16384" width="9" style="444"/>
  </cols>
  <sheetData>
    <row r="1" spans="1:26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</row>
    <row r="2" spans="1:26">
      <c r="A2" s="443"/>
      <c r="B2" s="443"/>
      <c r="C2" s="443"/>
      <c r="D2" s="523" t="s">
        <v>468</v>
      </c>
      <c r="E2" s="524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</row>
    <row r="3" spans="1:26">
      <c r="A3" s="443"/>
      <c r="B3" s="443"/>
      <c r="C3" s="397"/>
      <c r="D3" s="398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U3" s="548"/>
      <c r="V3" s="443"/>
      <c r="W3" s="443"/>
      <c r="X3" s="443"/>
      <c r="Y3" s="443"/>
      <c r="Z3" s="443"/>
    </row>
    <row r="4" spans="1:26">
      <c r="A4" s="443"/>
      <c r="B4" s="577"/>
      <c r="C4" s="399" t="s">
        <v>282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00"/>
      <c r="P4" s="400"/>
      <c r="Q4" s="400"/>
      <c r="R4" s="374"/>
      <c r="U4" s="549"/>
      <c r="V4" s="443"/>
      <c r="W4" s="443"/>
      <c r="X4" s="443"/>
      <c r="Y4" s="443"/>
      <c r="Z4" s="443"/>
    </row>
    <row r="5" spans="1:26">
      <c r="A5" s="443"/>
      <c r="B5" s="443"/>
      <c r="C5" s="579" t="s">
        <v>636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U5" s="549"/>
      <c r="V5" s="443"/>
      <c r="W5" s="443"/>
      <c r="X5" s="443"/>
      <c r="Y5" s="443"/>
      <c r="Z5" s="443"/>
    </row>
    <row r="6" spans="1:26">
      <c r="A6" s="443"/>
      <c r="B6" s="443"/>
      <c r="C6" s="399" t="s">
        <v>620</v>
      </c>
      <c r="D6" s="374"/>
      <c r="E6" s="374"/>
      <c r="F6" s="374"/>
      <c r="G6" s="374"/>
      <c r="H6" s="374"/>
      <c r="I6" s="374"/>
      <c r="J6" s="374"/>
      <c r="K6" s="374"/>
      <c r="M6" s="374"/>
      <c r="N6" s="374"/>
      <c r="O6" s="374"/>
      <c r="P6" s="374"/>
      <c r="Q6" s="374"/>
      <c r="R6" s="401"/>
      <c r="V6" s="443"/>
      <c r="W6" s="443"/>
      <c r="X6" s="443"/>
      <c r="Y6" s="443"/>
      <c r="Z6" s="443"/>
    </row>
    <row r="7" spans="1:26">
      <c r="A7" s="443"/>
      <c r="B7" s="443"/>
      <c r="C7" s="399" t="s">
        <v>360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U7" s="374"/>
      <c r="V7" s="443"/>
      <c r="W7" s="443"/>
      <c r="X7" s="443"/>
      <c r="Y7" s="443"/>
      <c r="Z7" s="443"/>
    </row>
    <row r="8" spans="1:26">
      <c r="A8" s="443"/>
      <c r="B8" s="443"/>
      <c r="D8" s="446"/>
      <c r="E8" s="447" t="s">
        <v>245</v>
      </c>
      <c r="F8" s="447"/>
      <c r="G8" s="447" t="s">
        <v>246</v>
      </c>
      <c r="H8" s="447" t="s">
        <v>247</v>
      </c>
      <c r="I8" s="374"/>
      <c r="J8" s="481"/>
      <c r="K8" s="509"/>
      <c r="L8" s="448" t="s">
        <v>467</v>
      </c>
      <c r="M8" s="449"/>
      <c r="N8" s="450" t="s">
        <v>248</v>
      </c>
      <c r="O8" s="447" t="s">
        <v>249</v>
      </c>
      <c r="P8" s="447"/>
      <c r="Q8" s="447"/>
      <c r="R8" s="481"/>
      <c r="S8" s="510"/>
      <c r="T8" s="451" t="s">
        <v>250</v>
      </c>
      <c r="U8" s="447" t="s">
        <v>251</v>
      </c>
      <c r="V8" s="443"/>
      <c r="W8" s="443"/>
      <c r="X8" s="443"/>
      <c r="Y8" s="443"/>
      <c r="Z8" s="443"/>
    </row>
    <row r="9" spans="1:26">
      <c r="A9" s="443"/>
      <c r="B9" s="443"/>
      <c r="D9" s="446"/>
      <c r="E9" s="452"/>
      <c r="F9" s="452"/>
      <c r="G9" s="882" t="s">
        <v>653</v>
      </c>
      <c r="H9" s="883"/>
      <c r="I9" s="883"/>
      <c r="J9" s="883"/>
      <c r="K9" s="883"/>
      <c r="L9" s="884"/>
      <c r="M9" s="426"/>
      <c r="N9" s="882" t="s">
        <v>643</v>
      </c>
      <c r="O9" s="883"/>
      <c r="P9" s="883"/>
      <c r="Q9" s="883"/>
      <c r="R9" s="883"/>
      <c r="S9" s="883"/>
      <c r="T9" s="884"/>
      <c r="U9" s="453" t="s">
        <v>395</v>
      </c>
      <c r="V9" s="443"/>
      <c r="W9" s="443"/>
      <c r="X9" s="443"/>
      <c r="Y9" s="443"/>
      <c r="Z9" s="443"/>
    </row>
    <row r="10" spans="1:26">
      <c r="A10" s="443"/>
      <c r="B10" s="443"/>
      <c r="C10" s="402" t="s">
        <v>11</v>
      </c>
      <c r="D10" s="447"/>
      <c r="E10" s="846" t="s">
        <v>654</v>
      </c>
      <c r="G10" s="880" t="s">
        <v>563</v>
      </c>
      <c r="H10" s="881"/>
      <c r="I10" s="880" t="s">
        <v>440</v>
      </c>
      <c r="J10" s="885"/>
      <c r="K10" s="885"/>
      <c r="L10" s="881"/>
      <c r="M10" s="457"/>
      <c r="N10" s="885" t="s">
        <v>555</v>
      </c>
      <c r="O10" s="881"/>
      <c r="P10" s="675"/>
      <c r="Q10" s="675"/>
      <c r="R10" s="880" t="s">
        <v>440</v>
      </c>
      <c r="S10" s="885"/>
      <c r="T10" s="881"/>
      <c r="U10" s="461" t="s">
        <v>163</v>
      </c>
      <c r="V10" s="443"/>
      <c r="W10" s="443"/>
      <c r="X10" s="443"/>
      <c r="Y10" s="443"/>
      <c r="Z10" s="443"/>
    </row>
    <row r="11" spans="1:26">
      <c r="A11" s="443"/>
      <c r="B11" s="443"/>
      <c r="C11" s="403" t="s">
        <v>29</v>
      </c>
      <c r="D11" s="462"/>
      <c r="E11" s="463"/>
      <c r="F11" s="463"/>
      <c r="G11" s="464" t="s">
        <v>393</v>
      </c>
      <c r="H11" s="465" t="s">
        <v>394</v>
      </c>
      <c r="I11" s="462"/>
      <c r="J11" s="466" t="s">
        <v>393</v>
      </c>
      <c r="K11" s="467" t="s">
        <v>31</v>
      </c>
      <c r="L11" s="467" t="s">
        <v>473</v>
      </c>
      <c r="M11" s="457"/>
      <c r="N11" s="458" t="s">
        <v>393</v>
      </c>
      <c r="O11" s="464" t="s">
        <v>31</v>
      </c>
      <c r="P11" s="464"/>
      <c r="Q11" s="464"/>
      <c r="R11" s="464" t="s">
        <v>393</v>
      </c>
      <c r="S11" s="464" t="s">
        <v>31</v>
      </c>
      <c r="T11" s="467" t="s">
        <v>474</v>
      </c>
      <c r="U11" s="468" t="s">
        <v>473</v>
      </c>
      <c r="V11" s="443"/>
      <c r="W11" s="443"/>
      <c r="X11" s="443"/>
      <c r="Y11" s="443"/>
      <c r="Z11" s="443"/>
    </row>
    <row r="12" spans="1:26" ht="21.75" customHeight="1">
      <c r="A12" s="443"/>
      <c r="B12" s="443"/>
      <c r="C12" s="404">
        <v>1</v>
      </c>
      <c r="D12" s="406" t="s">
        <v>411</v>
      </c>
      <c r="E12" s="469" t="s">
        <v>407</v>
      </c>
      <c r="F12" s="469"/>
      <c r="G12" s="470">
        <v>68538</v>
      </c>
      <c r="H12" s="471">
        <v>1053828</v>
      </c>
      <c r="I12" s="472"/>
      <c r="J12" s="473">
        <f>+((H12*V87)-G12)/K95</f>
        <v>29588.747059665278</v>
      </c>
      <c r="K12" s="474"/>
      <c r="L12" s="475">
        <f>+J12</f>
        <v>29588.747059665278</v>
      </c>
      <c r="M12" s="457"/>
      <c r="N12" s="472">
        <f>+G12</f>
        <v>68538</v>
      </c>
      <c r="O12" s="471">
        <f>+H12</f>
        <v>1053828</v>
      </c>
      <c r="P12" s="471"/>
      <c r="Q12" s="471"/>
      <c r="R12" s="473">
        <f>+J12</f>
        <v>29588.747059665278</v>
      </c>
      <c r="S12" s="476"/>
      <c r="T12" s="475">
        <f>+R12</f>
        <v>29588.747059665278</v>
      </c>
      <c r="U12" s="477" t="s">
        <v>475</v>
      </c>
      <c r="V12" s="443"/>
      <c r="W12" s="443"/>
      <c r="X12" s="443"/>
      <c r="Y12" s="443"/>
      <c r="Z12" s="443"/>
    </row>
    <row r="13" spans="1:26" ht="21.75" customHeight="1">
      <c r="A13" s="443"/>
      <c r="B13" s="443"/>
      <c r="C13" s="404">
        <f t="shared" ref="C13:C43" si="0">+C12+1</f>
        <v>2</v>
      </c>
      <c r="D13" s="877" t="s">
        <v>165</v>
      </c>
      <c r="E13" s="878"/>
      <c r="F13" s="566"/>
      <c r="G13" s="478"/>
      <c r="H13" s="480"/>
      <c r="I13" s="478"/>
      <c r="J13" s="478"/>
      <c r="L13" s="479"/>
      <c r="M13" s="457"/>
      <c r="N13" s="745"/>
      <c r="O13" s="480"/>
      <c r="P13" s="478"/>
      <c r="Q13" s="676"/>
      <c r="R13" s="478"/>
      <c r="T13" s="479"/>
      <c r="U13" s="538"/>
      <c r="V13" s="443"/>
      <c r="W13" s="443"/>
      <c r="X13" s="443"/>
      <c r="Y13" s="443"/>
      <c r="Z13" s="443"/>
    </row>
    <row r="14" spans="1:26" ht="21.75" customHeight="1">
      <c r="A14" s="443"/>
      <c r="B14" s="443"/>
      <c r="C14" s="404">
        <f t="shared" si="0"/>
        <v>3</v>
      </c>
      <c r="D14" s="724" t="s">
        <v>443</v>
      </c>
      <c r="E14" s="734" t="s">
        <v>486</v>
      </c>
      <c r="F14" s="747"/>
      <c r="G14" s="738"/>
      <c r="H14" s="736">
        <v>-142713</v>
      </c>
      <c r="I14" s="734"/>
      <c r="J14" s="739"/>
      <c r="K14" s="725">
        <f>(+H14*$L$79)/$K$95</f>
        <v>-18930.405512956768</v>
      </c>
      <c r="L14" s="735">
        <f t="shared" ref="L14:L38" si="1">+J14+K14</f>
        <v>-18930.405512956768</v>
      </c>
      <c r="M14" s="457"/>
      <c r="N14" s="736">
        <f>+'DPK-2 Restating Adj Sch 1.2'!$H$53</f>
        <v>0</v>
      </c>
      <c r="O14" s="746">
        <f>+'DPK-2 Restating Adj Sch 1.2'!$H$71</f>
        <v>-142713</v>
      </c>
      <c r="P14" s="486"/>
      <c r="Q14" s="485"/>
      <c r="R14" s="487">
        <f t="shared" ref="R14:R37" si="2">-N14/$K$95</f>
        <v>0</v>
      </c>
      <c r="S14" s="433">
        <f>+O14*$L$79/'DPK-2 Revenue Conv Factor Sch 3'!$H$25</f>
        <v>-18930.405512956768</v>
      </c>
      <c r="T14" s="484">
        <f t="shared" ref="T14:T37" si="3">+R14+S14</f>
        <v>-18930.405512956768</v>
      </c>
      <c r="U14" s="539">
        <f>+T14-L14</f>
        <v>0</v>
      </c>
      <c r="V14" s="443"/>
      <c r="W14" s="443"/>
      <c r="X14" s="443"/>
      <c r="Y14" s="443"/>
      <c r="Z14" s="443"/>
    </row>
    <row r="15" spans="1:26" ht="21.75" customHeight="1">
      <c r="A15" s="443"/>
      <c r="B15" s="443"/>
      <c r="C15" s="404">
        <f t="shared" si="0"/>
        <v>4</v>
      </c>
      <c r="D15" s="733" t="s">
        <v>444</v>
      </c>
      <c r="E15" s="734" t="s">
        <v>476</v>
      </c>
      <c r="F15" s="748"/>
      <c r="G15" s="738"/>
      <c r="H15" s="736">
        <v>-126</v>
      </c>
      <c r="I15" s="734"/>
      <c r="J15" s="739"/>
      <c r="K15" s="725">
        <f t="shared" ref="K15:K21" si="4">(+H15*$L$79)/$K$95</f>
        <v>-16.713481565327285</v>
      </c>
      <c r="L15" s="735">
        <f t="shared" si="1"/>
        <v>-16.713481565327285</v>
      </c>
      <c r="M15" s="457"/>
      <c r="N15" s="736">
        <f>+'DPK-2 Restating Adj Sch 1.2'!$I$53</f>
        <v>0</v>
      </c>
      <c r="O15" s="746">
        <f>+'DPK-2 Restating Adj Sch 1.2'!I71</f>
        <v>-126</v>
      </c>
      <c r="P15" s="486"/>
      <c r="Q15" s="485"/>
      <c r="R15" s="487">
        <f t="shared" si="2"/>
        <v>0</v>
      </c>
      <c r="S15" s="433">
        <f>+O15*$L$79/'DPK-2 Revenue Conv Factor Sch 3'!$H$25</f>
        <v>-16.713481565327285</v>
      </c>
      <c r="T15" s="484">
        <f t="shared" si="3"/>
        <v>-16.713481565327285</v>
      </c>
      <c r="U15" s="539">
        <f t="shared" ref="U15:U37" si="5">ROUND(+T15-L15,0)</f>
        <v>0</v>
      </c>
      <c r="V15" s="443"/>
      <c r="W15" s="443"/>
      <c r="X15" s="443"/>
      <c r="Y15" s="443"/>
      <c r="Z15" s="443"/>
    </row>
    <row r="16" spans="1:26" ht="21.75" customHeight="1">
      <c r="A16" s="443"/>
      <c r="B16" s="443"/>
      <c r="C16" s="404">
        <f t="shared" si="0"/>
        <v>5</v>
      </c>
      <c r="D16" s="733" t="s">
        <v>445</v>
      </c>
      <c r="E16" s="734" t="s">
        <v>487</v>
      </c>
      <c r="F16" s="748"/>
      <c r="G16" s="738">
        <v>202</v>
      </c>
      <c r="H16" s="736">
        <v>-1956</v>
      </c>
      <c r="I16" s="734"/>
      <c r="J16" s="739">
        <f>-G16/$K$95</f>
        <v>-324.78338395344986</v>
      </c>
      <c r="K16" s="725">
        <f t="shared" si="4"/>
        <v>-259.45690429984262</v>
      </c>
      <c r="L16" s="735">
        <f t="shared" si="1"/>
        <v>-584.24028825329242</v>
      </c>
      <c r="M16" s="457"/>
      <c r="N16" s="736">
        <f>+'DPK-2 Restating Adj Sch 1.2'!$J$53</f>
        <v>202</v>
      </c>
      <c r="O16" s="746">
        <f>+'DPK-2 Restating Adj Sch 1.2'!J71</f>
        <v>-1956</v>
      </c>
      <c r="P16" s="486"/>
      <c r="Q16" s="485"/>
      <c r="R16" s="487">
        <f t="shared" si="2"/>
        <v>-324.78338395344986</v>
      </c>
      <c r="S16" s="433">
        <f>+O16*$L$79/'DPK-2 Revenue Conv Factor Sch 3'!$H$25</f>
        <v>-259.45690429984262</v>
      </c>
      <c r="T16" s="484">
        <f t="shared" si="3"/>
        <v>-584.24028825329242</v>
      </c>
      <c r="U16" s="539">
        <f t="shared" si="5"/>
        <v>0</v>
      </c>
      <c r="V16" s="443"/>
      <c r="W16" s="443"/>
      <c r="X16" s="443"/>
      <c r="Y16" s="443"/>
      <c r="Z16" s="443"/>
    </row>
    <row r="17" spans="1:26" ht="21.75" customHeight="1">
      <c r="A17" s="443"/>
      <c r="B17" s="443"/>
      <c r="C17" s="404">
        <f t="shared" si="0"/>
        <v>6</v>
      </c>
      <c r="D17" s="733" t="s">
        <v>446</v>
      </c>
      <c r="E17" s="734" t="s">
        <v>396</v>
      </c>
      <c r="F17" s="748"/>
      <c r="G17" s="738"/>
      <c r="H17" s="736">
        <v>436</v>
      </c>
      <c r="I17" s="734"/>
      <c r="J17" s="739">
        <f t="shared" ref="J17:J38" si="6">-G17/$K$95</f>
        <v>0</v>
      </c>
      <c r="K17" s="725">
        <f t="shared" si="4"/>
        <v>57.833952083195996</v>
      </c>
      <c r="L17" s="735">
        <f t="shared" si="1"/>
        <v>57.833952083195996</v>
      </c>
      <c r="M17" s="457"/>
      <c r="N17" s="736">
        <f>+'DPK-2 Restating Adj Sch 1.2'!$K$53</f>
        <v>0</v>
      </c>
      <c r="O17" s="746">
        <f>+'DPK-2 Restating Adj Sch 1.2'!K71</f>
        <v>436</v>
      </c>
      <c r="P17" s="486"/>
      <c r="Q17" s="485"/>
      <c r="R17" s="487">
        <f t="shared" si="2"/>
        <v>0</v>
      </c>
      <c r="S17" s="433">
        <f>+O17*$L$79/'DPK-2 Revenue Conv Factor Sch 3'!$H$25</f>
        <v>57.833952083195996</v>
      </c>
      <c r="T17" s="484">
        <f t="shared" si="3"/>
        <v>57.833952083195996</v>
      </c>
      <c r="U17" s="539">
        <f t="shared" si="5"/>
        <v>0</v>
      </c>
      <c r="V17" s="443"/>
      <c r="W17" s="443"/>
      <c r="X17" s="443"/>
      <c r="Y17" s="443"/>
      <c r="Z17" s="443"/>
    </row>
    <row r="18" spans="1:26" ht="21.75" customHeight="1">
      <c r="A18" s="443"/>
      <c r="B18" s="443"/>
      <c r="C18" s="404">
        <f t="shared" si="0"/>
        <v>7</v>
      </c>
      <c r="D18" s="733" t="s">
        <v>447</v>
      </c>
      <c r="E18" s="734" t="s">
        <v>397</v>
      </c>
      <c r="F18" s="748"/>
      <c r="G18" s="738">
        <v>-56</v>
      </c>
      <c r="H18" s="736">
        <v>-854</v>
      </c>
      <c r="I18" s="734"/>
      <c r="J18" s="739">
        <f t="shared" si="6"/>
        <v>90.038957927689069</v>
      </c>
      <c r="K18" s="725">
        <f t="shared" si="4"/>
        <v>-113.28026394277381</v>
      </c>
      <c r="L18" s="735">
        <f t="shared" si="1"/>
        <v>-23.241306015084746</v>
      </c>
      <c r="M18" s="457"/>
      <c r="N18" s="736">
        <f>+'DPK-2 Restating Adj Sch 1.2'!$L$53</f>
        <v>-56</v>
      </c>
      <c r="O18" s="746">
        <f>+'DPK-2 Restating Adj Sch 1.2'!L71</f>
        <v>-854</v>
      </c>
      <c r="P18" s="486"/>
      <c r="Q18" s="485"/>
      <c r="R18" s="487">
        <f t="shared" si="2"/>
        <v>90.038957927689069</v>
      </c>
      <c r="S18" s="433">
        <f>+O18*$L$79/'DPK-2 Revenue Conv Factor Sch 3'!$H$25</f>
        <v>-113.28026394277381</v>
      </c>
      <c r="T18" s="484">
        <f t="shared" si="3"/>
        <v>-23.241306015084746</v>
      </c>
      <c r="U18" s="539">
        <f t="shared" si="5"/>
        <v>0</v>
      </c>
      <c r="V18" s="443"/>
      <c r="W18" s="443"/>
      <c r="X18" s="443"/>
      <c r="Y18" s="443"/>
      <c r="Z18" s="443"/>
    </row>
    <row r="19" spans="1:26" ht="21.75" customHeight="1">
      <c r="A19" s="443"/>
      <c r="B19" s="443"/>
      <c r="C19" s="404">
        <f t="shared" si="0"/>
        <v>8</v>
      </c>
      <c r="D19" s="733" t="s">
        <v>448</v>
      </c>
      <c r="E19" s="734" t="s">
        <v>353</v>
      </c>
      <c r="F19" s="748"/>
      <c r="G19" s="738"/>
      <c r="H19" s="736">
        <v>-231</v>
      </c>
      <c r="I19" s="734"/>
      <c r="J19" s="739">
        <f t="shared" si="6"/>
        <v>0</v>
      </c>
      <c r="K19" s="725">
        <f t="shared" si="4"/>
        <v>-30.641382869766691</v>
      </c>
      <c r="L19" s="735">
        <f t="shared" si="1"/>
        <v>-30.641382869766691</v>
      </c>
      <c r="M19" s="457"/>
      <c r="N19" s="736">
        <f>+'DPK-2 Restating Adj Sch 1.2'!$M$53</f>
        <v>0</v>
      </c>
      <c r="O19" s="746">
        <f>+'DPK-2 Restating Adj Sch 1.2'!M71</f>
        <v>-231</v>
      </c>
      <c r="P19" s="486"/>
      <c r="Q19" s="485"/>
      <c r="R19" s="487">
        <f t="shared" si="2"/>
        <v>0</v>
      </c>
      <c r="S19" s="433">
        <f>+O19*$L$79/'DPK-2 Revenue Conv Factor Sch 3'!$H$25</f>
        <v>-30.641382869766691</v>
      </c>
      <c r="T19" s="484">
        <f t="shared" si="3"/>
        <v>-30.641382869766691</v>
      </c>
      <c r="U19" s="539">
        <f t="shared" si="5"/>
        <v>0</v>
      </c>
      <c r="V19" s="443"/>
      <c r="W19" s="443"/>
      <c r="X19" s="443"/>
      <c r="Y19" s="443"/>
      <c r="Z19" s="443"/>
    </row>
    <row r="20" spans="1:26" ht="21.75" customHeight="1">
      <c r="A20" s="443"/>
      <c r="B20" s="443"/>
      <c r="C20" s="404">
        <f t="shared" si="0"/>
        <v>9</v>
      </c>
      <c r="D20" s="733" t="s">
        <v>449</v>
      </c>
      <c r="E20" s="734" t="s">
        <v>606</v>
      </c>
      <c r="F20" s="748"/>
      <c r="G20" s="738">
        <v>39</v>
      </c>
      <c r="H20" s="736">
        <v>0</v>
      </c>
      <c r="I20" s="734"/>
      <c r="J20" s="739">
        <f t="shared" si="6"/>
        <v>-62.70570284249775</v>
      </c>
      <c r="K20" s="725">
        <f t="shared" si="4"/>
        <v>0</v>
      </c>
      <c r="L20" s="735">
        <f t="shared" si="1"/>
        <v>-62.70570284249775</v>
      </c>
      <c r="M20" s="457"/>
      <c r="N20" s="736">
        <f>+'DPK-2 Restating Adj Sch 1.2'!$N$53</f>
        <v>39</v>
      </c>
      <c r="O20" s="746">
        <f>+'DPK-2 Restating Adj Sch 1.2'!N71</f>
        <v>0</v>
      </c>
      <c r="P20" s="486"/>
      <c r="Q20" s="485"/>
      <c r="R20" s="487">
        <f t="shared" si="2"/>
        <v>-62.70570284249775</v>
      </c>
      <c r="S20" s="433">
        <f>+O20*$L$79/'DPK-2 Revenue Conv Factor Sch 3'!$H$25</f>
        <v>0</v>
      </c>
      <c r="T20" s="484">
        <f t="shared" si="3"/>
        <v>-62.70570284249775</v>
      </c>
      <c r="U20" s="539">
        <f t="shared" si="5"/>
        <v>0</v>
      </c>
      <c r="V20" s="443"/>
      <c r="W20" s="443"/>
      <c r="X20" s="443"/>
      <c r="Y20" s="443"/>
      <c r="Z20" s="443"/>
    </row>
    <row r="21" spans="1:26" ht="21.75" customHeight="1">
      <c r="A21" s="443"/>
      <c r="B21" s="443"/>
      <c r="C21" s="404">
        <f t="shared" si="0"/>
        <v>10</v>
      </c>
      <c r="D21" s="733" t="s">
        <v>450</v>
      </c>
      <c r="E21" s="734" t="s">
        <v>354</v>
      </c>
      <c r="F21" s="748"/>
      <c r="G21" s="738"/>
      <c r="H21" s="736">
        <v>18422</v>
      </c>
      <c r="I21" s="734"/>
      <c r="J21" s="739">
        <f t="shared" si="6"/>
        <v>0</v>
      </c>
      <c r="K21" s="725">
        <f t="shared" si="4"/>
        <v>2443.6171221941208</v>
      </c>
      <c r="L21" s="735">
        <f t="shared" si="1"/>
        <v>2443.6171221941208</v>
      </c>
      <c r="M21" s="457"/>
      <c r="N21" s="736">
        <f>+'DPK-2 Restating Adj Sch 1.2'!$O$53</f>
        <v>0</v>
      </c>
      <c r="O21" s="746">
        <f>+'DPK-2 Restating Adj Sch 1.2'!$O$71</f>
        <v>18422</v>
      </c>
      <c r="P21" s="486"/>
      <c r="Q21" s="485"/>
      <c r="R21" s="487">
        <f t="shared" si="2"/>
        <v>0</v>
      </c>
      <c r="S21" s="433">
        <f>+O21*$L$79/'DPK-2 Revenue Conv Factor Sch 3'!$H$25</f>
        <v>2443.6171221941208</v>
      </c>
      <c r="T21" s="484">
        <f t="shared" si="3"/>
        <v>2443.6171221941208</v>
      </c>
      <c r="U21" s="539">
        <f t="shared" si="5"/>
        <v>0</v>
      </c>
      <c r="V21" s="443"/>
      <c r="W21" s="443"/>
      <c r="X21" s="443"/>
      <c r="Y21" s="443"/>
      <c r="Z21" s="443"/>
    </row>
    <row r="22" spans="1:26" ht="21.75" customHeight="1">
      <c r="A22" s="443"/>
      <c r="B22" s="443"/>
      <c r="C22" s="520">
        <f t="shared" si="0"/>
        <v>11</v>
      </c>
      <c r="D22" s="733" t="s">
        <v>451</v>
      </c>
      <c r="E22" s="734" t="s">
        <v>398</v>
      </c>
      <c r="F22" s="748"/>
      <c r="G22" s="738">
        <v>-22</v>
      </c>
      <c r="H22" s="736"/>
      <c r="I22" s="734"/>
      <c r="J22" s="739">
        <f t="shared" si="6"/>
        <v>35.372447757306425</v>
      </c>
      <c r="K22" s="734"/>
      <c r="L22" s="735">
        <f t="shared" si="1"/>
        <v>35.372447757306425</v>
      </c>
      <c r="M22" s="731"/>
      <c r="N22" s="736">
        <f>+'DPK-2 Restating Adj Sch 1.2'!$P$53</f>
        <v>-22.1</v>
      </c>
      <c r="O22" s="746">
        <f>+'DPK-2 Restating Adj Sch 1.2'!$P$71</f>
        <v>0</v>
      </c>
      <c r="P22" s="738"/>
      <c r="Q22" s="736"/>
      <c r="R22" s="739">
        <f t="shared" si="2"/>
        <v>35.533231610748729</v>
      </c>
      <c r="S22" s="734"/>
      <c r="T22" s="735">
        <f t="shared" si="3"/>
        <v>35.533231610748729</v>
      </c>
      <c r="U22" s="746">
        <f t="shared" si="5"/>
        <v>0</v>
      </c>
      <c r="V22" s="443"/>
      <c r="W22" s="443"/>
      <c r="X22" s="443"/>
      <c r="Y22" s="443"/>
      <c r="Z22" s="443"/>
    </row>
    <row r="23" spans="1:26" ht="21.75" customHeight="1">
      <c r="A23" s="443"/>
      <c r="B23" s="443"/>
      <c r="C23" s="520">
        <f t="shared" si="0"/>
        <v>12</v>
      </c>
      <c r="D23" s="733" t="s">
        <v>452</v>
      </c>
      <c r="E23" s="734" t="s">
        <v>402</v>
      </c>
      <c r="F23" s="748"/>
      <c r="G23" s="738">
        <f>+N23</f>
        <v>-127.46370000000013</v>
      </c>
      <c r="H23" s="736"/>
      <c r="I23" s="734"/>
      <c r="J23" s="739">
        <f t="shared" si="6"/>
        <v>204.94104860013559</v>
      </c>
      <c r="K23" s="734"/>
      <c r="L23" s="735">
        <f t="shared" si="1"/>
        <v>204.94104860013559</v>
      </c>
      <c r="M23" s="731"/>
      <c r="N23" s="736">
        <f>+'DPK-2 Restating Adj Sch 1.2'!$Q$53</f>
        <v>-127.46370000000013</v>
      </c>
      <c r="O23" s="746">
        <f>+'DPK-2 Restating Adj Sch 1.2'!$Q$71</f>
        <v>0</v>
      </c>
      <c r="P23" s="738"/>
      <c r="Q23" s="736"/>
      <c r="R23" s="739">
        <f t="shared" si="2"/>
        <v>204.94104860013559</v>
      </c>
      <c r="S23" s="734"/>
      <c r="T23" s="735">
        <f t="shared" si="3"/>
        <v>204.94104860013559</v>
      </c>
      <c r="U23" s="746">
        <f t="shared" si="5"/>
        <v>0</v>
      </c>
      <c r="V23" s="443"/>
      <c r="W23" s="443"/>
      <c r="X23" s="443"/>
      <c r="Y23" s="443"/>
      <c r="Z23" s="443"/>
    </row>
    <row r="24" spans="1:26" ht="21.75" customHeight="1">
      <c r="A24" s="443"/>
      <c r="B24" s="443"/>
      <c r="C24" s="520">
        <f t="shared" si="0"/>
        <v>13</v>
      </c>
      <c r="D24" s="733" t="s">
        <v>453</v>
      </c>
      <c r="E24" s="734" t="s">
        <v>403</v>
      </c>
      <c r="F24" s="748"/>
      <c r="G24" s="738">
        <v>69.550000000000011</v>
      </c>
      <c r="H24" s="736"/>
      <c r="I24" s="734"/>
      <c r="J24" s="739">
        <f t="shared" si="6"/>
        <v>-111.825170069121</v>
      </c>
      <c r="K24" s="734"/>
      <c r="L24" s="735">
        <f t="shared" si="1"/>
        <v>-111.825170069121</v>
      </c>
      <c r="M24" s="731"/>
      <c r="N24" s="736">
        <f>+'DPK-2 Restating Adj Sch 1.2'!$R$53</f>
        <v>70.2</v>
      </c>
      <c r="O24" s="746">
        <f>+'DPK-2 Restating Adj Sch 1.2'!$R$71</f>
        <v>0</v>
      </c>
      <c r="P24" s="738"/>
      <c r="Q24" s="736"/>
      <c r="R24" s="739">
        <f t="shared" si="2"/>
        <v>-112.87026511649594</v>
      </c>
      <c r="S24" s="734"/>
      <c r="T24" s="735">
        <f t="shared" si="3"/>
        <v>-112.87026511649594</v>
      </c>
      <c r="U24" s="746">
        <f t="shared" si="5"/>
        <v>-1</v>
      </c>
      <c r="V24" s="443"/>
      <c r="W24" s="443"/>
      <c r="X24" s="443"/>
      <c r="Y24" s="443"/>
      <c r="Z24" s="443"/>
    </row>
    <row r="25" spans="1:26" ht="21.75" customHeight="1">
      <c r="A25" s="443"/>
      <c r="B25" s="443"/>
      <c r="C25" s="520">
        <f t="shared" si="0"/>
        <v>14</v>
      </c>
      <c r="D25" s="733" t="s">
        <v>454</v>
      </c>
      <c r="E25" s="734" t="s">
        <v>404</v>
      </c>
      <c r="F25" s="748"/>
      <c r="G25" s="738">
        <v>-52</v>
      </c>
      <c r="H25" s="736"/>
      <c r="I25" s="734"/>
      <c r="J25" s="739">
        <f t="shared" si="6"/>
        <v>83.607603789997</v>
      </c>
      <c r="K25" s="734"/>
      <c r="L25" s="735">
        <f t="shared" si="1"/>
        <v>83.607603789997</v>
      </c>
      <c r="M25" s="731"/>
      <c r="N25" s="736">
        <f>+'DPK-2 Restating Adj Sch 1.2'!$S$53</f>
        <v>-52</v>
      </c>
      <c r="O25" s="746">
        <f>+'DPK-2 Restating Adj Sch 1.2'!$S$71</f>
        <v>0</v>
      </c>
      <c r="P25" s="738"/>
      <c r="Q25" s="736"/>
      <c r="R25" s="739">
        <f t="shared" si="2"/>
        <v>83.607603789997</v>
      </c>
      <c r="S25" s="734"/>
      <c r="T25" s="735">
        <f t="shared" si="3"/>
        <v>83.607603789997</v>
      </c>
      <c r="U25" s="746">
        <f t="shared" si="5"/>
        <v>0</v>
      </c>
      <c r="V25" s="443"/>
      <c r="W25" s="443"/>
      <c r="X25" s="443"/>
      <c r="Y25" s="443"/>
      <c r="Z25" s="443"/>
    </row>
    <row r="26" spans="1:26" ht="21.75" customHeight="1">
      <c r="A26" s="443"/>
      <c r="B26" s="443"/>
      <c r="C26" s="520">
        <f t="shared" si="0"/>
        <v>15</v>
      </c>
      <c r="D26" s="733" t="s">
        <v>455</v>
      </c>
      <c r="E26" s="734" t="s">
        <v>399</v>
      </c>
      <c r="F26" s="748"/>
      <c r="G26" s="738">
        <v>-56</v>
      </c>
      <c r="H26" s="736"/>
      <c r="I26" s="734"/>
      <c r="J26" s="739">
        <f t="shared" si="6"/>
        <v>90.038957927689069</v>
      </c>
      <c r="K26" s="734"/>
      <c r="L26" s="735">
        <f t="shared" si="1"/>
        <v>90.038957927689069</v>
      </c>
      <c r="M26" s="731"/>
      <c r="N26" s="736">
        <f>+'DPK-2 Restating Adj Sch 1.2'!$T$53</f>
        <v>-55.900000000000006</v>
      </c>
      <c r="O26" s="746">
        <f>+'DPK-2 Restating Adj Sch 1.2'!$T$71</f>
        <v>0</v>
      </c>
      <c r="P26" s="738"/>
      <c r="Q26" s="736"/>
      <c r="R26" s="739">
        <f t="shared" si="2"/>
        <v>89.878174074246786</v>
      </c>
      <c r="S26" s="734"/>
      <c r="T26" s="735">
        <f t="shared" si="3"/>
        <v>89.878174074246786</v>
      </c>
      <c r="U26" s="746">
        <f t="shared" si="5"/>
        <v>0</v>
      </c>
      <c r="V26" s="443"/>
      <c r="W26" s="443"/>
      <c r="X26" s="443"/>
      <c r="Y26" s="443"/>
      <c r="Z26" s="443"/>
    </row>
    <row r="27" spans="1:26" ht="21.75" customHeight="1">
      <c r="A27" s="443"/>
      <c r="B27" s="443"/>
      <c r="C27" s="520">
        <f t="shared" si="0"/>
        <v>16</v>
      </c>
      <c r="D27" s="733" t="s">
        <v>456</v>
      </c>
      <c r="E27" s="734" t="s">
        <v>406</v>
      </c>
      <c r="F27" s="748"/>
      <c r="G27" s="738">
        <v>-1751</v>
      </c>
      <c r="H27" s="736"/>
      <c r="I27" s="734"/>
      <c r="J27" s="739">
        <f t="shared" si="6"/>
        <v>2815.3252737747066</v>
      </c>
      <c r="K27" s="734"/>
      <c r="L27" s="735">
        <f t="shared" si="1"/>
        <v>2815.3252737747066</v>
      </c>
      <c r="M27" s="731"/>
      <c r="N27" s="736">
        <f>+'DPK-2 Restating Adj Sch 1.2'!$U$53</f>
        <v>-1751</v>
      </c>
      <c r="O27" s="746">
        <f>+'DPK-2 Restating Adj Sch 1.2'!$U$71</f>
        <v>0</v>
      </c>
      <c r="P27" s="738"/>
      <c r="Q27" s="736"/>
      <c r="R27" s="739">
        <f t="shared" si="2"/>
        <v>2815.3252737747066</v>
      </c>
      <c r="S27" s="734"/>
      <c r="T27" s="735">
        <f t="shared" si="3"/>
        <v>2815.3252737747066</v>
      </c>
      <c r="U27" s="746">
        <f t="shared" si="5"/>
        <v>0</v>
      </c>
      <c r="V27" s="443"/>
      <c r="W27" s="443"/>
      <c r="X27" s="443"/>
      <c r="Y27" s="443"/>
      <c r="Z27" s="443"/>
    </row>
    <row r="28" spans="1:26" ht="21.75" customHeight="1">
      <c r="A28" s="443"/>
      <c r="B28" s="443"/>
      <c r="C28" s="520">
        <f t="shared" si="0"/>
        <v>17</v>
      </c>
      <c r="D28" s="733" t="s">
        <v>457</v>
      </c>
      <c r="E28" s="734" t="s">
        <v>400</v>
      </c>
      <c r="F28" s="748"/>
      <c r="G28" s="738">
        <v>-8844</v>
      </c>
      <c r="H28" s="736"/>
      <c r="I28" s="734"/>
      <c r="J28" s="739">
        <f t="shared" si="6"/>
        <v>14219.723998437181</v>
      </c>
      <c r="K28" s="734"/>
      <c r="L28" s="735">
        <f t="shared" si="1"/>
        <v>14219.723998437181</v>
      </c>
      <c r="M28" s="731"/>
      <c r="N28" s="736">
        <f>+'DPK-2 Restating Adj Sch 1.2'!$V$53</f>
        <v>-8844</v>
      </c>
      <c r="O28" s="746">
        <f>+'DPK-2 Restating Adj Sch 1.2'!$V$71</f>
        <v>0</v>
      </c>
      <c r="P28" s="738"/>
      <c r="Q28" s="736"/>
      <c r="R28" s="739">
        <f t="shared" si="2"/>
        <v>14219.723998437181</v>
      </c>
      <c r="S28" s="734"/>
      <c r="T28" s="735">
        <f t="shared" si="3"/>
        <v>14219.723998437181</v>
      </c>
      <c r="U28" s="746">
        <f t="shared" si="5"/>
        <v>0</v>
      </c>
      <c r="V28" s="443"/>
      <c r="W28" s="443"/>
      <c r="X28" s="443"/>
      <c r="Y28" s="443"/>
      <c r="Z28" s="443"/>
    </row>
    <row r="29" spans="1:26" ht="21.75" customHeight="1">
      <c r="A29" s="443"/>
      <c r="B29" s="443"/>
      <c r="C29" s="520">
        <f t="shared" si="0"/>
        <v>18</v>
      </c>
      <c r="D29" s="733" t="s">
        <v>458</v>
      </c>
      <c r="E29" s="734" t="s">
        <v>401</v>
      </c>
      <c r="F29" s="748"/>
      <c r="G29" s="738">
        <v>-5.85</v>
      </c>
      <c r="H29" s="736"/>
      <c r="I29" s="734"/>
      <c r="J29" s="739">
        <f t="shared" si="6"/>
        <v>9.4058554263746608</v>
      </c>
      <c r="K29" s="734"/>
      <c r="L29" s="735">
        <f t="shared" si="1"/>
        <v>9.4058554263746608</v>
      </c>
      <c r="M29" s="731"/>
      <c r="N29" s="736">
        <f>+'DPK-2 Restating Adj Sch 1.2'!$W$53</f>
        <v>-5.85</v>
      </c>
      <c r="O29" s="746">
        <f>+'DPK-2 Restating Adj Sch 1.2'!$W$71</f>
        <v>0</v>
      </c>
      <c r="P29" s="738"/>
      <c r="Q29" s="736"/>
      <c r="R29" s="739">
        <f t="shared" si="2"/>
        <v>9.4058554263746608</v>
      </c>
      <c r="S29" s="734"/>
      <c r="T29" s="735">
        <f t="shared" si="3"/>
        <v>9.4058554263746608</v>
      </c>
      <c r="U29" s="746">
        <f t="shared" si="5"/>
        <v>0</v>
      </c>
      <c r="V29" s="443"/>
      <c r="W29" s="443"/>
      <c r="X29" s="443"/>
      <c r="Y29" s="443"/>
      <c r="Z29" s="443"/>
    </row>
    <row r="30" spans="1:26" ht="21.75" customHeight="1">
      <c r="A30" s="443"/>
      <c r="B30" s="443"/>
      <c r="C30" s="520">
        <f t="shared" si="0"/>
        <v>19</v>
      </c>
      <c r="D30" s="733" t="s">
        <v>459</v>
      </c>
      <c r="E30" s="734" t="s">
        <v>355</v>
      </c>
      <c r="F30" s="748"/>
      <c r="G30" s="738">
        <v>335</v>
      </c>
      <c r="H30" s="736"/>
      <c r="I30" s="734"/>
      <c r="J30" s="739">
        <f t="shared" si="6"/>
        <v>-538.62590903171144</v>
      </c>
      <c r="K30" s="734"/>
      <c r="L30" s="735">
        <f t="shared" si="1"/>
        <v>-538.62590903171144</v>
      </c>
      <c r="M30" s="731"/>
      <c r="N30" s="736">
        <f>+'DPK-2 Restating Adj Sch 1.2'!$X$53</f>
        <v>335.4</v>
      </c>
      <c r="O30" s="746">
        <f>+'DPK-2 Restating Adj Sch 1.2'!$X$71</f>
        <v>0</v>
      </c>
      <c r="P30" s="738"/>
      <c r="Q30" s="736"/>
      <c r="R30" s="739">
        <f t="shared" si="2"/>
        <v>-539.26904444548063</v>
      </c>
      <c r="S30" s="734"/>
      <c r="T30" s="735">
        <f t="shared" si="3"/>
        <v>-539.26904444548063</v>
      </c>
      <c r="U30" s="746">
        <f t="shared" si="5"/>
        <v>-1</v>
      </c>
      <c r="V30" s="443"/>
      <c r="W30" s="443"/>
      <c r="X30" s="443"/>
      <c r="Y30" s="443"/>
      <c r="Z30" s="443"/>
    </row>
    <row r="31" spans="1:26" ht="21.75" customHeight="1">
      <c r="A31" s="443"/>
      <c r="B31" s="443"/>
      <c r="C31" s="520">
        <f t="shared" si="0"/>
        <v>20</v>
      </c>
      <c r="D31" s="733" t="s">
        <v>460</v>
      </c>
      <c r="E31" s="734" t="s">
        <v>488</v>
      </c>
      <c r="F31" s="748"/>
      <c r="G31" s="738">
        <v>5</v>
      </c>
      <c r="H31" s="736"/>
      <c r="I31" s="734"/>
      <c r="J31" s="739">
        <f t="shared" si="6"/>
        <v>-8.0391926721150959</v>
      </c>
      <c r="K31" s="734"/>
      <c r="L31" s="735">
        <f t="shared" si="1"/>
        <v>-8.0391926721150959</v>
      </c>
      <c r="M31" s="731"/>
      <c r="N31" s="736">
        <f>+'DPK-2 Restating Adj Sch 1.2'!$Y$53</f>
        <v>5.2</v>
      </c>
      <c r="O31" s="746">
        <f>+'DPK-2 Restating Adj Sch 1.2'!$Y$71</f>
        <v>0</v>
      </c>
      <c r="P31" s="738"/>
      <c r="Q31" s="736"/>
      <c r="R31" s="739">
        <f t="shared" si="2"/>
        <v>-8.3607603789997</v>
      </c>
      <c r="S31" s="734"/>
      <c r="T31" s="735">
        <f t="shared" si="3"/>
        <v>-8.3607603789997</v>
      </c>
      <c r="U31" s="746">
        <f t="shared" si="5"/>
        <v>0</v>
      </c>
      <c r="V31" s="443"/>
      <c r="W31" s="443"/>
      <c r="X31" s="443"/>
      <c r="Y31" s="443"/>
      <c r="Z31" s="443"/>
    </row>
    <row r="32" spans="1:26" ht="21.75" customHeight="1">
      <c r="A32" s="443"/>
      <c r="B32" s="443"/>
      <c r="C32" s="520">
        <f t="shared" si="0"/>
        <v>21</v>
      </c>
      <c r="D32" s="733" t="s">
        <v>461</v>
      </c>
      <c r="E32" s="734" t="s">
        <v>356</v>
      </c>
      <c r="F32" s="748"/>
      <c r="G32" s="738">
        <v>-20</v>
      </c>
      <c r="H32" s="736"/>
      <c r="I32" s="734"/>
      <c r="J32" s="739">
        <f t="shared" si="6"/>
        <v>32.156770688460384</v>
      </c>
      <c r="K32" s="734"/>
      <c r="L32" s="735">
        <f t="shared" si="1"/>
        <v>32.156770688460384</v>
      </c>
      <c r="M32" s="731"/>
      <c r="N32" s="736">
        <f>+'DPK-2 Restating Adj Sch 1.2'!$Z$53</f>
        <v>-20.149999999999999</v>
      </c>
      <c r="O32" s="746">
        <f>+'DPK-2 Restating Adj Sch 1.2'!$Z$71</f>
        <v>0</v>
      </c>
      <c r="P32" s="738"/>
      <c r="Q32" s="736"/>
      <c r="R32" s="739">
        <f t="shared" si="2"/>
        <v>32.397946468623836</v>
      </c>
      <c r="S32" s="734"/>
      <c r="T32" s="735">
        <f t="shared" si="3"/>
        <v>32.397946468623836</v>
      </c>
      <c r="U32" s="746">
        <f t="shared" si="5"/>
        <v>0</v>
      </c>
      <c r="V32" s="443"/>
      <c r="W32" s="443"/>
      <c r="X32" s="443"/>
      <c r="Y32" s="443"/>
      <c r="Z32" s="443"/>
    </row>
    <row r="33" spans="1:26" ht="21.75" customHeight="1">
      <c r="A33" s="443"/>
      <c r="B33" s="443"/>
      <c r="C33" s="520">
        <f t="shared" si="0"/>
        <v>22</v>
      </c>
      <c r="D33" s="733" t="s">
        <v>462</v>
      </c>
      <c r="E33" s="734" t="s">
        <v>405</v>
      </c>
      <c r="F33" s="748"/>
      <c r="G33" s="738">
        <v>79</v>
      </c>
      <c r="H33" s="736"/>
      <c r="I33" s="734"/>
      <c r="J33" s="739">
        <f t="shared" si="6"/>
        <v>-127.01924421941851</v>
      </c>
      <c r="K33" s="734"/>
      <c r="L33" s="735">
        <f t="shared" si="1"/>
        <v>-127.01924421941851</v>
      </c>
      <c r="M33" s="731"/>
      <c r="N33" s="736">
        <f>+'DPK-2 Restating Adj Sch 1.2'!$AA$53</f>
        <v>79.300000000000011</v>
      </c>
      <c r="O33" s="746">
        <f>+'DPK-2 Restating Adj Sch 1.2'!$AA$71</f>
        <v>0</v>
      </c>
      <c r="P33" s="738"/>
      <c r="Q33" s="736"/>
      <c r="R33" s="739">
        <f t="shared" si="2"/>
        <v>-127.50159577974544</v>
      </c>
      <c r="S33" s="734"/>
      <c r="T33" s="735">
        <f t="shared" si="3"/>
        <v>-127.50159577974544</v>
      </c>
      <c r="U33" s="746">
        <f t="shared" si="5"/>
        <v>0</v>
      </c>
      <c r="V33" s="443"/>
      <c r="W33" s="443"/>
      <c r="X33" s="443"/>
      <c r="Y33" s="443"/>
      <c r="Z33" s="443"/>
    </row>
    <row r="34" spans="1:26" ht="21.75" customHeight="1">
      <c r="A34" s="443"/>
      <c r="B34" s="443"/>
      <c r="C34" s="520">
        <f t="shared" si="0"/>
        <v>23</v>
      </c>
      <c r="D34" s="733" t="s">
        <v>463</v>
      </c>
      <c r="E34" s="734" t="s">
        <v>357</v>
      </c>
      <c r="F34" s="748"/>
      <c r="G34" s="738">
        <v>23394</v>
      </c>
      <c r="H34" s="736"/>
      <c r="I34" s="734"/>
      <c r="J34" s="739">
        <f t="shared" si="6"/>
        <v>-37613.774674292108</v>
      </c>
      <c r="K34" s="734"/>
      <c r="L34" s="735">
        <f t="shared" si="1"/>
        <v>-37613.774674292108</v>
      </c>
      <c r="M34" s="731"/>
      <c r="N34" s="736">
        <f>+'DPK-2 Restating Adj Sch 1.2'!$AB$53</f>
        <v>23394.15</v>
      </c>
      <c r="O34" s="746">
        <f>+'DPK-2 Restating Adj Sch 1.2'!$AB$71</f>
        <v>0</v>
      </c>
      <c r="P34" s="738"/>
      <c r="Q34" s="736"/>
      <c r="R34" s="739">
        <f t="shared" si="2"/>
        <v>-37614.015850072275</v>
      </c>
      <c r="S34" s="734"/>
      <c r="T34" s="735">
        <f t="shared" si="3"/>
        <v>-37614.015850072275</v>
      </c>
      <c r="U34" s="746">
        <f t="shared" si="5"/>
        <v>0</v>
      </c>
      <c r="V34" s="443"/>
      <c r="W34" s="443"/>
      <c r="X34" s="443"/>
      <c r="Y34" s="443"/>
      <c r="Z34" s="443"/>
    </row>
    <row r="35" spans="1:26" ht="21.75" customHeight="1">
      <c r="A35" s="443"/>
      <c r="B35" s="443"/>
      <c r="C35" s="520">
        <f t="shared" si="0"/>
        <v>24</v>
      </c>
      <c r="D35" s="733" t="s">
        <v>607</v>
      </c>
      <c r="E35" s="734" t="s">
        <v>608</v>
      </c>
      <c r="F35" s="748"/>
      <c r="G35" s="738">
        <v>113</v>
      </c>
      <c r="H35" s="736"/>
      <c r="I35" s="734"/>
      <c r="J35" s="739">
        <f t="shared" si="6"/>
        <v>-181.68575438980116</v>
      </c>
      <c r="K35" s="734"/>
      <c r="L35" s="735">
        <f t="shared" si="1"/>
        <v>-181.68575438980116</v>
      </c>
      <c r="M35" s="731"/>
      <c r="N35" s="736">
        <f>+'DPK-2 Restating Adj Sch 1.2'!$AC$53</f>
        <v>139.10000000000002</v>
      </c>
      <c r="O35" s="746">
        <f>+'DPK-2 Restating Adj Sch 1.2'!$AC$71</f>
        <v>0</v>
      </c>
      <c r="P35" s="729"/>
      <c r="Q35" s="540"/>
      <c r="R35" s="739">
        <f t="shared" si="2"/>
        <v>-223.650340138242</v>
      </c>
      <c r="S35" s="739"/>
      <c r="T35" s="735">
        <f t="shared" si="3"/>
        <v>-223.650340138242</v>
      </c>
      <c r="U35" s="746">
        <f t="shared" si="5"/>
        <v>-42</v>
      </c>
      <c r="V35" s="443"/>
      <c r="W35" s="443"/>
      <c r="X35" s="443">
        <f>334-U35</f>
        <v>376</v>
      </c>
      <c r="Y35" s="443"/>
      <c r="Z35" s="443"/>
    </row>
    <row r="36" spans="1:26" ht="21.75" customHeight="1">
      <c r="A36" s="443"/>
      <c r="B36" s="443"/>
      <c r="C36" s="520">
        <f t="shared" si="0"/>
        <v>25</v>
      </c>
      <c r="D36" s="733" t="s">
        <v>464</v>
      </c>
      <c r="E36" s="734" t="s">
        <v>490</v>
      </c>
      <c r="F36" s="748" t="s">
        <v>631</v>
      </c>
      <c r="G36" s="738">
        <v>965</v>
      </c>
      <c r="H36" s="736"/>
      <c r="I36" s="734"/>
      <c r="J36" s="739">
        <f t="shared" si="6"/>
        <v>-1551.5641857182136</v>
      </c>
      <c r="K36" s="739"/>
      <c r="L36" s="735">
        <f t="shared" si="1"/>
        <v>-1551.5641857182136</v>
      </c>
      <c r="M36" s="731"/>
      <c r="N36" s="736">
        <f ca="1">+'DPK-2 Restating Adj Sch 1.2'!$AD$53</f>
        <v>706.95957223499931</v>
      </c>
      <c r="O36" s="746">
        <f>+'DPK-2 Restating Adj Sch 1.2'!$AD$71</f>
        <v>0</v>
      </c>
      <c r="P36" s="738"/>
      <c r="Q36" s="736"/>
      <c r="R36" s="739">
        <f t="shared" ca="1" si="2"/>
        <v>-1136.6768425186458</v>
      </c>
      <c r="S36" s="741"/>
      <c r="T36" s="735">
        <f t="shared" ca="1" si="3"/>
        <v>-1136.6768425186458</v>
      </c>
      <c r="U36" s="746">
        <f t="shared" ca="1" si="5"/>
        <v>415</v>
      </c>
      <c r="V36" s="443"/>
      <c r="W36" s="443"/>
      <c r="X36" s="443">
        <f>+X35*K95</f>
        <v>233.85432799999998</v>
      </c>
      <c r="Y36" s="443"/>
      <c r="Z36" s="443"/>
    </row>
    <row r="37" spans="1:26" ht="21.75" customHeight="1">
      <c r="A37" s="443"/>
      <c r="B37" s="443"/>
      <c r="C37" s="520">
        <f t="shared" si="0"/>
        <v>26</v>
      </c>
      <c r="D37" s="733" t="s">
        <v>465</v>
      </c>
      <c r="E37" s="766" t="s">
        <v>557</v>
      </c>
      <c r="F37" s="748" t="s">
        <v>631</v>
      </c>
      <c r="G37" s="738">
        <v>0</v>
      </c>
      <c r="H37" s="736"/>
      <c r="I37" s="734"/>
      <c r="J37" s="739">
        <f t="shared" si="6"/>
        <v>0</v>
      </c>
      <c r="K37" s="741"/>
      <c r="L37" s="735">
        <f t="shared" si="1"/>
        <v>0</v>
      </c>
      <c r="M37" s="751"/>
      <c r="N37" s="736">
        <f>+'DPK-2 Restating Adj Sch 1.2'!$AE$53</f>
        <v>-6.7522000000000002</v>
      </c>
      <c r="O37" s="746">
        <f>+'DPK-2 Restating Adj Sch 1.2'!$AE$71</f>
        <v>-2473.2559999999999</v>
      </c>
      <c r="P37" s="767"/>
      <c r="Q37" s="768"/>
      <c r="R37" s="739">
        <f t="shared" si="2"/>
        <v>10.856447352131111</v>
      </c>
      <c r="S37" s="725">
        <f>+O37*$L$79/'DPK-2 Revenue Conv Factor Sch 3'!$H$25</f>
        <v>-328.06919493916746</v>
      </c>
      <c r="T37" s="751">
        <f t="shared" si="3"/>
        <v>-317.21274758703635</v>
      </c>
      <c r="U37" s="746">
        <f t="shared" si="5"/>
        <v>-317</v>
      </c>
      <c r="V37" s="443"/>
      <c r="W37" s="443"/>
      <c r="X37" s="443"/>
      <c r="Y37" s="443"/>
      <c r="Z37" s="443"/>
    </row>
    <row r="38" spans="1:26" s="728" customFormat="1" ht="21.75" customHeight="1">
      <c r="A38" s="727"/>
      <c r="B38" s="727"/>
      <c r="C38" s="520">
        <f t="shared" si="0"/>
        <v>27</v>
      </c>
      <c r="D38" s="733" t="s">
        <v>472</v>
      </c>
      <c r="E38" s="766" t="s">
        <v>618</v>
      </c>
      <c r="F38" s="748" t="s">
        <v>631</v>
      </c>
      <c r="G38" s="738">
        <v>0</v>
      </c>
      <c r="H38" s="736"/>
      <c r="I38" s="734"/>
      <c r="J38" s="739">
        <f t="shared" si="6"/>
        <v>0</v>
      </c>
      <c r="K38" s="739"/>
      <c r="L38" s="797">
        <f t="shared" si="1"/>
        <v>0</v>
      </c>
      <c r="M38" s="751"/>
      <c r="N38" s="736">
        <f>+'DPK-2 Restating Adj Sch 1.2'!$AF$53</f>
        <v>14.950000000000001</v>
      </c>
      <c r="O38" s="769">
        <f>+'DPK-2 Restating Adj Sch 1.2'!$AF$71</f>
        <v>0</v>
      </c>
      <c r="P38" s="767"/>
      <c r="Q38" s="768"/>
      <c r="R38" s="739">
        <f t="shared" ref="R38" si="7">-N38/$K$95</f>
        <v>-24.037186089624139</v>
      </c>
      <c r="S38" s="725">
        <f>+O38*$L$79/'DPK-2 Revenue Conv Factor Sch 3'!$H$25</f>
        <v>0</v>
      </c>
      <c r="T38" s="751">
        <f t="shared" ref="T38" si="8">+R38+S38</f>
        <v>-24.037186089624139</v>
      </c>
      <c r="U38" s="746">
        <f t="shared" ref="U38" si="9">ROUND(+T38-L38,0)</f>
        <v>-24</v>
      </c>
      <c r="V38" s="727"/>
      <c r="W38" s="727"/>
      <c r="X38" s="727"/>
      <c r="Y38" s="727"/>
      <c r="Z38" s="727"/>
    </row>
    <row r="39" spans="1:26" ht="21.75" customHeight="1">
      <c r="A39" s="443"/>
      <c r="B39" s="481"/>
      <c r="C39" s="520">
        <f t="shared" si="0"/>
        <v>28</v>
      </c>
      <c r="D39" s="729"/>
      <c r="E39" s="755" t="s">
        <v>621</v>
      </c>
      <c r="F39" s="750"/>
      <c r="G39" s="740">
        <f>SUM(G14:G38)</f>
        <v>14267.236299999999</v>
      </c>
      <c r="H39" s="740">
        <f>SUM(H14:H38)</f>
        <v>-127022</v>
      </c>
      <c r="I39" s="732"/>
      <c r="J39" s="740">
        <f t="shared" ref="J39" si="10">SUM(J14:J38)</f>
        <v>-22939.412302858898</v>
      </c>
      <c r="K39" s="740">
        <f t="shared" ref="K39" si="11">SUM(K14:K38)</f>
        <v>-16849.046471357156</v>
      </c>
      <c r="L39" s="740">
        <f t="shared" ref="L39" si="12">SUM(L14:L38)</f>
        <v>-39788.458774216051</v>
      </c>
      <c r="M39" s="751"/>
      <c r="N39" s="740">
        <f t="shared" ref="N39" ca="1" si="13">SUM(N14:N38)</f>
        <v>14045.043672235</v>
      </c>
      <c r="O39" s="740">
        <f>SUM(O14:O38)</f>
        <v>-129495.25599999999</v>
      </c>
      <c r="P39" s="740">
        <f t="shared" ref="P39:U39" si="14">SUM(P14:P38)</f>
        <v>0</v>
      </c>
      <c r="Q39" s="740">
        <f t="shared" si="14"/>
        <v>0</v>
      </c>
      <c r="R39" s="740">
        <f t="shared" ca="1" si="14"/>
        <v>-22582.162433873622</v>
      </c>
      <c r="S39" s="740">
        <f t="shared" si="14"/>
        <v>-17177.115666296322</v>
      </c>
      <c r="T39" s="740">
        <f t="shared" ca="1" si="14"/>
        <v>-39759.278100169948</v>
      </c>
      <c r="U39" s="740">
        <f t="shared" ca="1" si="14"/>
        <v>30</v>
      </c>
      <c r="V39" s="443"/>
      <c r="W39" s="443"/>
      <c r="X39" s="443"/>
      <c r="Y39" s="443"/>
      <c r="Z39" s="443"/>
    </row>
    <row r="40" spans="1:26" ht="21.75" customHeight="1">
      <c r="A40" s="443"/>
      <c r="B40" s="481"/>
      <c r="C40" s="520">
        <f t="shared" si="0"/>
        <v>29</v>
      </c>
      <c r="D40" s="729"/>
      <c r="E40" s="729"/>
      <c r="F40" s="749"/>
      <c r="G40" s="729"/>
      <c r="H40" s="729"/>
      <c r="I40" s="734"/>
      <c r="J40" s="734"/>
      <c r="K40" s="734"/>
      <c r="L40" s="483"/>
      <c r="M40" s="751"/>
      <c r="N40" s="729"/>
      <c r="O40" s="729"/>
      <c r="P40" s="729"/>
      <c r="Q40" s="729"/>
      <c r="R40" s="738"/>
      <c r="S40" s="734"/>
      <c r="T40" s="483"/>
      <c r="U40" s="540"/>
      <c r="V40" s="443"/>
      <c r="W40" s="443"/>
      <c r="X40" s="443"/>
      <c r="Y40" s="443"/>
      <c r="Z40" s="443"/>
    </row>
    <row r="41" spans="1:26" ht="21.75" customHeight="1">
      <c r="A41" s="443"/>
      <c r="B41" s="481" t="s">
        <v>485</v>
      </c>
      <c r="C41" s="520">
        <f t="shared" si="0"/>
        <v>30</v>
      </c>
      <c r="D41" s="729"/>
      <c r="E41" s="488" t="s">
        <v>410</v>
      </c>
      <c r="F41" s="748"/>
      <c r="G41" s="528">
        <f>+G12+SUM(G13:G37)</f>
        <v>82805.236300000004</v>
      </c>
      <c r="H41" s="732">
        <f>+H12+SUM(H13:H37)</f>
        <v>926806</v>
      </c>
      <c r="I41" s="732"/>
      <c r="J41" s="732">
        <f>+J12+SUM(J13:J37)</f>
        <v>6649.33475680638</v>
      </c>
      <c r="K41" s="732">
        <f>+K12+SUM(K13:K37)</f>
        <v>-16849.046471357156</v>
      </c>
      <c r="L41" s="732">
        <f>+L12+SUM(L14:L38)</f>
        <v>-10199.711714550773</v>
      </c>
      <c r="M41" s="751"/>
      <c r="N41" s="732">
        <f ca="1">+N12+SUM(N13:N38)</f>
        <v>82583.043672234999</v>
      </c>
      <c r="O41" s="732">
        <f t="shared" ref="O41:T41" si="15">+O12+SUM(O13:O38)</f>
        <v>924332.74399999995</v>
      </c>
      <c r="P41" s="732">
        <f t="shared" si="15"/>
        <v>0</v>
      </c>
      <c r="Q41" s="732">
        <f t="shared" si="15"/>
        <v>0</v>
      </c>
      <c r="R41" s="732">
        <f t="shared" ca="1" si="15"/>
        <v>7006.5846257916564</v>
      </c>
      <c r="S41" s="732">
        <f t="shared" si="15"/>
        <v>-17177.115666296322</v>
      </c>
      <c r="T41" s="732">
        <f t="shared" ca="1" si="15"/>
        <v>-10170.531040504669</v>
      </c>
      <c r="U41" s="732"/>
      <c r="V41" s="443"/>
      <c r="W41" s="443"/>
      <c r="X41" s="443"/>
      <c r="Y41" s="443"/>
      <c r="Z41" s="443"/>
    </row>
    <row r="42" spans="1:26" ht="21.75" customHeight="1">
      <c r="A42" s="443"/>
      <c r="B42" s="481"/>
      <c r="C42" s="520">
        <f t="shared" si="0"/>
        <v>31</v>
      </c>
      <c r="D42" s="729"/>
      <c r="E42" s="734"/>
      <c r="F42" s="748"/>
      <c r="G42" s="734"/>
      <c r="H42" s="734"/>
      <c r="I42" s="734"/>
      <c r="J42" s="734"/>
      <c r="K42" s="738"/>
      <c r="L42" s="738"/>
      <c r="M42" s="751"/>
      <c r="N42" s="738"/>
      <c r="O42" s="738"/>
      <c r="P42" s="738"/>
      <c r="Q42" s="738"/>
      <c r="R42" s="738"/>
      <c r="S42" s="738"/>
      <c r="T42" s="738"/>
      <c r="U42" s="736"/>
      <c r="V42" s="443"/>
      <c r="W42" s="443"/>
      <c r="X42" s="443"/>
      <c r="Y42" s="443"/>
      <c r="Z42" s="443"/>
    </row>
    <row r="43" spans="1:26" ht="21.75" customHeight="1">
      <c r="A43" s="443"/>
      <c r="B43" s="481"/>
      <c r="C43" s="520">
        <f t="shared" si="0"/>
        <v>32</v>
      </c>
      <c r="D43" s="886" t="s">
        <v>412</v>
      </c>
      <c r="E43" s="887"/>
      <c r="F43" s="873"/>
      <c r="G43" s="823"/>
      <c r="H43" s="823"/>
      <c r="I43" s="823"/>
      <c r="J43" s="823"/>
      <c r="K43" s="823"/>
      <c r="L43" s="823"/>
      <c r="M43" s="731"/>
      <c r="N43" s="823"/>
      <c r="O43" s="823"/>
      <c r="P43" s="823"/>
      <c r="Q43" s="823"/>
      <c r="R43" s="823"/>
      <c r="S43" s="823"/>
      <c r="T43" s="823"/>
      <c r="U43" s="822"/>
      <c r="V43" s="443"/>
      <c r="W43" s="443"/>
      <c r="X43" s="443"/>
      <c r="Y43" s="443"/>
      <c r="Z43" s="443"/>
    </row>
    <row r="44" spans="1:26" ht="21.75" customHeight="1">
      <c r="A44" s="443"/>
      <c r="B44" s="443"/>
      <c r="C44" s="520">
        <f>+C37+1</f>
        <v>27</v>
      </c>
      <c r="D44" s="863" t="s">
        <v>418</v>
      </c>
      <c r="E44" s="864" t="s">
        <v>413</v>
      </c>
      <c r="F44" s="865" t="s">
        <v>494</v>
      </c>
      <c r="G44" s="866">
        <v>-6904</v>
      </c>
      <c r="H44" s="867">
        <v>0</v>
      </c>
      <c r="I44" s="866"/>
      <c r="J44" s="866">
        <f>-G44/$K$95</f>
        <v>11100.517241656524</v>
      </c>
      <c r="K44" s="868">
        <v>0</v>
      </c>
      <c r="L44" s="869">
        <f t="shared" ref="L44:L63" si="16">+J44+K44</f>
        <v>11100.517241656524</v>
      </c>
      <c r="M44" s="870"/>
      <c r="N44" s="871">
        <f>+'DPK-2 Pro Forma Adj Sch 1.3'!H54</f>
        <v>-6904</v>
      </c>
      <c r="O44" s="866">
        <f>+'DPK-2 Pro Forma Adj Sch 1.3'!H71</f>
        <v>0</v>
      </c>
      <c r="P44" s="866"/>
      <c r="Q44" s="866"/>
      <c r="R44" s="869">
        <f t="shared" ref="R44:R65" si="17">-N44/$K$95</f>
        <v>11100.517241656524</v>
      </c>
      <c r="S44" s="868">
        <f>+O44*$L$79/'DPK-2 Revenue Conv Factor Sch 3'!$H$25</f>
        <v>0</v>
      </c>
      <c r="T44" s="869">
        <f t="shared" ref="T44:T65" si="18">+R44+S44</f>
        <v>11100.517241656524</v>
      </c>
      <c r="U44" s="872">
        <f t="shared" ref="U44:U54" si="19">ROUND(+T44-L44,0)</f>
        <v>0</v>
      </c>
      <c r="V44" s="443"/>
      <c r="W44" s="443"/>
      <c r="X44" s="443"/>
      <c r="Y44" s="443"/>
      <c r="Z44" s="443"/>
    </row>
    <row r="45" spans="1:26" ht="21.75" customHeight="1">
      <c r="A45" s="443"/>
      <c r="B45" s="443"/>
      <c r="C45" s="520">
        <f t="shared" ref="C45:C82" si="20">+C44+1</f>
        <v>28</v>
      </c>
      <c r="D45" s="730" t="s">
        <v>419</v>
      </c>
      <c r="E45" s="729" t="s">
        <v>414</v>
      </c>
      <c r="F45" s="748" t="s">
        <v>631</v>
      </c>
      <c r="G45" s="739">
        <v>2014</v>
      </c>
      <c r="H45" s="741">
        <v>-5926</v>
      </c>
      <c r="I45" s="742"/>
      <c r="J45" s="739">
        <f t="shared" ref="J45:J63" si="21">-G45/$K$95</f>
        <v>-3238.1868083279605</v>
      </c>
      <c r="K45" s="725">
        <f>(+H45*$L$79)/$K$95</f>
        <v>-786.06422028674206</v>
      </c>
      <c r="L45" s="737">
        <f t="shared" si="16"/>
        <v>-4024.2510286147026</v>
      </c>
      <c r="M45" s="731"/>
      <c r="N45" s="744">
        <f ca="1">+'DPK-2 Pro Forma Adj Sch 1.3'!I54</f>
        <v>2467.6045799999847</v>
      </c>
      <c r="O45" s="742">
        <f ca="1">+'DPK-2 Pro Forma Adj Sch 1.3'!I71</f>
        <v>-11359.822000000102</v>
      </c>
      <c r="P45" s="742">
        <f ca="1">+G45-N45</f>
        <v>-453.60457999998471</v>
      </c>
      <c r="Q45" s="742">
        <f ca="1">+H45-O45</f>
        <v>5433.822000000102</v>
      </c>
      <c r="R45" s="737">
        <f t="shared" ca="1" si="17"/>
        <v>-3967.5097314427053</v>
      </c>
      <c r="S45" s="725">
        <f ca="1">+O45*$L$79/'DPK-2 Revenue Conv Factor Sch 3'!$H$25</f>
        <v>-1506.8426633523891</v>
      </c>
      <c r="T45" s="737">
        <f t="shared" ca="1" si="18"/>
        <v>-5474.3523947950944</v>
      </c>
      <c r="U45" s="746">
        <f t="shared" ca="1" si="19"/>
        <v>-1450</v>
      </c>
      <c r="V45" s="443">
        <v>6175</v>
      </c>
      <c r="W45" s="443">
        <f ca="1">+V45-U45</f>
        <v>7625</v>
      </c>
      <c r="X45" s="443"/>
      <c r="Y45" s="443"/>
      <c r="Z45" s="443"/>
    </row>
    <row r="46" spans="1:26" ht="21.75" customHeight="1">
      <c r="A46" s="443"/>
      <c r="B46" s="443"/>
      <c r="C46" s="520">
        <f t="shared" si="20"/>
        <v>29</v>
      </c>
      <c r="D46" s="730" t="s">
        <v>420</v>
      </c>
      <c r="E46" s="729" t="s">
        <v>415</v>
      </c>
      <c r="F46" s="748" t="s">
        <v>631</v>
      </c>
      <c r="G46" s="739">
        <v>-1552</v>
      </c>
      <c r="H46" s="741">
        <v>0</v>
      </c>
      <c r="I46" s="742"/>
      <c r="J46" s="739">
        <f t="shared" si="21"/>
        <v>2495.3654054245258</v>
      </c>
      <c r="K46" s="725">
        <f t="shared" ref="K46:K56" si="22">(+H46*$L$79)/$K$95</f>
        <v>0</v>
      </c>
      <c r="L46" s="737">
        <f t="shared" si="16"/>
        <v>2495.3654054245258</v>
      </c>
      <c r="M46" s="731"/>
      <c r="N46" s="744">
        <f>+'DPK-2 Pro Forma Adj Sch 1.3'!J54</f>
        <v>-1129.7490000000003</v>
      </c>
      <c r="O46" s="742">
        <f>+'DPK-2 Pro Forma Adj Sch 1.3'!J71</f>
        <v>0</v>
      </c>
      <c r="P46" s="742"/>
      <c r="Q46" s="742"/>
      <c r="R46" s="737">
        <f t="shared" si="17"/>
        <v>1816.4539764258718</v>
      </c>
      <c r="S46" s="725">
        <f>+O46*$L$79/'DPK-2 Revenue Conv Factor Sch 3'!$H$25</f>
        <v>0</v>
      </c>
      <c r="T46" s="737">
        <f t="shared" si="18"/>
        <v>1816.4539764258718</v>
      </c>
      <c r="U46" s="746">
        <f t="shared" si="19"/>
        <v>-679</v>
      </c>
      <c r="V46" s="443"/>
      <c r="W46" s="443"/>
      <c r="X46" s="443"/>
      <c r="Y46" s="443"/>
      <c r="Z46" s="443"/>
    </row>
    <row r="47" spans="1:26" ht="21.75" customHeight="1">
      <c r="A47" s="443"/>
      <c r="B47" s="443"/>
      <c r="C47" s="520">
        <f t="shared" si="20"/>
        <v>30</v>
      </c>
      <c r="D47" s="730" t="s">
        <v>421</v>
      </c>
      <c r="E47" s="729" t="s">
        <v>416</v>
      </c>
      <c r="F47" s="748" t="s">
        <v>631</v>
      </c>
      <c r="G47" s="739">
        <v>-123</v>
      </c>
      <c r="H47" s="741">
        <v>0</v>
      </c>
      <c r="I47" s="742"/>
      <c r="J47" s="739">
        <f t="shared" si="21"/>
        <v>197.76413973403135</v>
      </c>
      <c r="K47" s="725">
        <f t="shared" si="22"/>
        <v>0</v>
      </c>
      <c r="L47" s="737">
        <f t="shared" si="16"/>
        <v>197.76413973403135</v>
      </c>
      <c r="M47" s="731"/>
      <c r="N47" s="744">
        <f>+'DPK-2 Pro Forma Adj Sch 1.3'!K54</f>
        <v>-98.187999999999988</v>
      </c>
      <c r="O47" s="742">
        <f>+'DPK-2 Pro Forma Adj Sch 1.3'!K71</f>
        <v>0</v>
      </c>
      <c r="P47" s="742"/>
      <c r="Q47" s="742"/>
      <c r="R47" s="737">
        <f t="shared" si="17"/>
        <v>157.8704500179274</v>
      </c>
      <c r="S47" s="725">
        <f>+O47*$L$79/'DPK-2 Revenue Conv Factor Sch 3'!$H$25</f>
        <v>0</v>
      </c>
      <c r="T47" s="737">
        <f t="shared" si="18"/>
        <v>157.8704500179274</v>
      </c>
      <c r="U47" s="746">
        <f t="shared" si="19"/>
        <v>-40</v>
      </c>
      <c r="V47" s="443"/>
      <c r="W47" s="443"/>
      <c r="X47" s="443"/>
      <c r="Y47" s="443"/>
      <c r="Z47" s="443"/>
    </row>
    <row r="48" spans="1:26" ht="21.75" customHeight="1">
      <c r="A48" s="443"/>
      <c r="B48" s="443"/>
      <c r="C48" s="520">
        <f t="shared" si="20"/>
        <v>31</v>
      </c>
      <c r="D48" s="730" t="s">
        <v>422</v>
      </c>
      <c r="E48" s="729" t="s">
        <v>417</v>
      </c>
      <c r="F48" s="748"/>
      <c r="G48" s="739">
        <v>-51</v>
      </c>
      <c r="H48" s="741">
        <v>0</v>
      </c>
      <c r="I48" s="742"/>
      <c r="J48" s="739">
        <f t="shared" si="21"/>
        <v>81.999765255573976</v>
      </c>
      <c r="K48" s="725">
        <f t="shared" si="22"/>
        <v>0</v>
      </c>
      <c r="L48" s="737">
        <f t="shared" si="16"/>
        <v>81.999765255573976</v>
      </c>
      <c r="M48" s="731"/>
      <c r="N48" s="744">
        <f>+'DPK-2 Pro Forma Adj Sch 1.3'!L54</f>
        <v>-51</v>
      </c>
      <c r="O48" s="742">
        <f>+'DPK-2 Pro Forma Adj Sch 1.3'!L71</f>
        <v>0</v>
      </c>
      <c r="P48" s="742"/>
      <c r="Q48" s="742"/>
      <c r="R48" s="737">
        <f t="shared" si="17"/>
        <v>81.999765255573976</v>
      </c>
      <c r="S48" s="725">
        <f>+O48*$L$79/'DPK-2 Revenue Conv Factor Sch 3'!$H$25</f>
        <v>0</v>
      </c>
      <c r="T48" s="737">
        <f t="shared" si="18"/>
        <v>81.999765255573976</v>
      </c>
      <c r="U48" s="746">
        <f t="shared" si="19"/>
        <v>0</v>
      </c>
      <c r="V48" s="443"/>
      <c r="W48" s="443"/>
      <c r="X48" s="443"/>
      <c r="Y48" s="443"/>
      <c r="Z48" s="443"/>
    </row>
    <row r="49" spans="1:26" ht="21.75" customHeight="1">
      <c r="A49" s="443"/>
      <c r="B49" s="443"/>
      <c r="C49" s="520">
        <f t="shared" si="20"/>
        <v>32</v>
      </c>
      <c r="D49" s="730" t="s">
        <v>423</v>
      </c>
      <c r="E49" s="729" t="s">
        <v>533</v>
      </c>
      <c r="F49" s="748" t="s">
        <v>631</v>
      </c>
      <c r="G49" s="739">
        <v>-473</v>
      </c>
      <c r="H49" s="741">
        <v>21445</v>
      </c>
      <c r="I49" s="742"/>
      <c r="J49" s="739">
        <f t="shared" si="21"/>
        <v>760.5076267820881</v>
      </c>
      <c r="K49" s="725">
        <f t="shared" si="22"/>
        <v>2844.6080330828859</v>
      </c>
      <c r="L49" s="737">
        <f t="shared" si="16"/>
        <v>3605.1156598649741</v>
      </c>
      <c r="M49" s="731"/>
      <c r="N49" s="744">
        <f>+'DPK-2 Pro Forma Adj Sch 1.3'!M54</f>
        <v>0</v>
      </c>
      <c r="O49" s="742">
        <f>+'DPK-2 Pro Forma Adj Sch 1.3'!M71</f>
        <v>0</v>
      </c>
      <c r="P49" s="742">
        <f>+G49-N49</f>
        <v>-473</v>
      </c>
      <c r="Q49" s="742">
        <f>+H49-O49</f>
        <v>21445</v>
      </c>
      <c r="R49" s="737">
        <f t="shared" si="17"/>
        <v>0</v>
      </c>
      <c r="S49" s="725">
        <f>+O49*$L$79/'DPK-2 Revenue Conv Factor Sch 3'!$H$25</f>
        <v>0</v>
      </c>
      <c r="T49" s="737">
        <f t="shared" si="18"/>
        <v>0</v>
      </c>
      <c r="U49" s="746">
        <f t="shared" si="19"/>
        <v>-3605</v>
      </c>
      <c r="V49" s="443"/>
      <c r="W49" s="443"/>
      <c r="X49" s="443"/>
      <c r="Y49" s="443"/>
      <c r="Z49" s="443"/>
    </row>
    <row r="50" spans="1:26" ht="21.75" customHeight="1">
      <c r="A50" s="443"/>
      <c r="B50" s="443"/>
      <c r="C50" s="520">
        <f t="shared" si="20"/>
        <v>33</v>
      </c>
      <c r="D50" s="730" t="s">
        <v>424</v>
      </c>
      <c r="E50" s="729" t="s">
        <v>609</v>
      </c>
      <c r="F50" s="748" t="s">
        <v>631</v>
      </c>
      <c r="G50" s="739">
        <v>-2906</v>
      </c>
      <c r="H50" s="741">
        <v>22936</v>
      </c>
      <c r="I50" s="742"/>
      <c r="J50" s="739">
        <f t="shared" si="21"/>
        <v>4672.3787810332933</v>
      </c>
      <c r="K50" s="725">
        <f t="shared" si="22"/>
        <v>3042.3842316059254</v>
      </c>
      <c r="L50" s="737">
        <f t="shared" si="16"/>
        <v>7714.7630126392187</v>
      </c>
      <c r="M50" s="731"/>
      <c r="N50" s="744">
        <f>+'DPK-2 Pro Forma Adj Sch 1.3'!N54</f>
        <v>-599.17858000000001</v>
      </c>
      <c r="O50" s="742">
        <f>+'DPK-2 Pro Forma Adj Sch 1.3'!N71</f>
        <v>21252.402000000002</v>
      </c>
      <c r="P50" s="742">
        <f>+G50-N50</f>
        <v>-2306.8214200000002</v>
      </c>
      <c r="Q50" s="742">
        <f>+H50-O50</f>
        <v>1683.5979999999981</v>
      </c>
      <c r="R50" s="737">
        <f t="shared" si="17"/>
        <v>963.38240992486578</v>
      </c>
      <c r="S50" s="725">
        <f>+O50*$L$79/'DPK-2 Revenue Conv Factor Sch 3'!$H$25</f>
        <v>2819.0605479835299</v>
      </c>
      <c r="T50" s="737">
        <f t="shared" si="18"/>
        <v>3782.4429579083958</v>
      </c>
      <c r="U50" s="746">
        <f t="shared" si="19"/>
        <v>-3932</v>
      </c>
      <c r="V50" s="443"/>
      <c r="W50" s="443"/>
      <c r="X50" s="443"/>
      <c r="Y50" s="443"/>
      <c r="Z50" s="443"/>
    </row>
    <row r="51" spans="1:26" ht="21.75" customHeight="1">
      <c r="A51" s="443"/>
      <c r="B51" s="443"/>
      <c r="C51" s="520">
        <f t="shared" si="20"/>
        <v>34</v>
      </c>
      <c r="D51" s="730" t="s">
        <v>425</v>
      </c>
      <c r="E51" s="729" t="s">
        <v>610</v>
      </c>
      <c r="F51" s="748" t="s">
        <v>631</v>
      </c>
      <c r="G51" s="739">
        <v>-156</v>
      </c>
      <c r="H51" s="741">
        <v>5386</v>
      </c>
      <c r="I51" s="742"/>
      <c r="J51" s="739">
        <f t="shared" si="21"/>
        <v>250.822811369991</v>
      </c>
      <c r="K51" s="725">
        <f t="shared" si="22"/>
        <v>714.4350135781965</v>
      </c>
      <c r="L51" s="737">
        <f t="shared" si="16"/>
        <v>965.25782494818748</v>
      </c>
      <c r="M51" s="731"/>
      <c r="N51" s="744">
        <f>+'DPK-2 Pro Forma Adj Sch 1.3'!O54</f>
        <v>-433.56400000000008</v>
      </c>
      <c r="O51" s="742">
        <f>+'DPK-2 Pro Forma Adj Sch 1.3'!O71</f>
        <v>14591.747000000001</v>
      </c>
      <c r="P51" s="742"/>
      <c r="Q51" s="742"/>
      <c r="R51" s="737">
        <f t="shared" si="17"/>
        <v>697.10090633858204</v>
      </c>
      <c r="S51" s="725">
        <f>+O51*$L$79/'DPK-2 Revenue Conv Factor Sch 3'!$H$25</f>
        <v>1935.5467816699979</v>
      </c>
      <c r="T51" s="737">
        <f t="shared" si="18"/>
        <v>2632.6476880085802</v>
      </c>
      <c r="U51" s="746">
        <f t="shared" si="19"/>
        <v>1667</v>
      </c>
      <c r="V51" s="443"/>
      <c r="W51" s="443"/>
      <c r="X51" s="443"/>
      <c r="Y51" s="443"/>
      <c r="Z51" s="443"/>
    </row>
    <row r="52" spans="1:26" ht="21.75" customHeight="1">
      <c r="A52" s="443"/>
      <c r="B52" s="443"/>
      <c r="C52" s="520">
        <f t="shared" si="20"/>
        <v>35</v>
      </c>
      <c r="D52" s="730" t="s">
        <v>426</v>
      </c>
      <c r="E52" s="729" t="s">
        <v>534</v>
      </c>
      <c r="F52" s="748" t="s">
        <v>631</v>
      </c>
      <c r="G52" s="739">
        <v>-1883</v>
      </c>
      <c r="H52" s="741">
        <v>0</v>
      </c>
      <c r="I52" s="742"/>
      <c r="J52" s="739">
        <f t="shared" si="21"/>
        <v>3027.5599603185451</v>
      </c>
      <c r="K52" s="725">
        <f t="shared" si="22"/>
        <v>0</v>
      </c>
      <c r="L52" s="737">
        <f>+J52+K52</f>
        <v>3027.5599603185451</v>
      </c>
      <c r="M52" s="731"/>
      <c r="N52" s="744">
        <f>+'DPK-2 Pro Forma Adj Sch 1.3'!P54</f>
        <v>0</v>
      </c>
      <c r="O52" s="742">
        <f>+'DPK-2 Pro Forma Adj Sch 1.3'!P71</f>
        <v>0</v>
      </c>
      <c r="P52" s="742">
        <f>+G52-N52</f>
        <v>-1883</v>
      </c>
      <c r="Q52" s="742">
        <f>+H52-O52</f>
        <v>0</v>
      </c>
      <c r="R52" s="737">
        <f t="shared" si="17"/>
        <v>0</v>
      </c>
      <c r="S52" s="725">
        <f>+O52*$L$79/'DPK-2 Revenue Conv Factor Sch 3'!$H$25</f>
        <v>0</v>
      </c>
      <c r="T52" s="737">
        <f t="shared" si="18"/>
        <v>0</v>
      </c>
      <c r="U52" s="746">
        <f t="shared" si="19"/>
        <v>-3028</v>
      </c>
      <c r="V52" s="443"/>
      <c r="W52" s="443"/>
      <c r="X52" s="443"/>
      <c r="Y52" s="443"/>
      <c r="Z52" s="443"/>
    </row>
    <row r="53" spans="1:26" ht="21.75" customHeight="1">
      <c r="A53" s="443"/>
      <c r="B53" s="443"/>
      <c r="C53" s="520">
        <f t="shared" si="20"/>
        <v>36</v>
      </c>
      <c r="D53" s="730" t="s">
        <v>427</v>
      </c>
      <c r="E53" s="729" t="s">
        <v>594</v>
      </c>
      <c r="F53" s="748" t="s">
        <v>631</v>
      </c>
      <c r="G53" s="739">
        <v>-693</v>
      </c>
      <c r="H53" s="741">
        <v>0</v>
      </c>
      <c r="I53" s="742"/>
      <c r="J53" s="739">
        <f t="shared" si="21"/>
        <v>1114.2321043551524</v>
      </c>
      <c r="K53" s="725">
        <f t="shared" si="22"/>
        <v>0</v>
      </c>
      <c r="L53" s="737">
        <f>+J53+K53</f>
        <v>1114.2321043551524</v>
      </c>
      <c r="M53" s="731"/>
      <c r="N53" s="744">
        <f>+'DPK-2 Pro Forma Adj Sch 1.3'!Q54</f>
        <v>0</v>
      </c>
      <c r="O53" s="742">
        <f>+'DPK-2 Pro Forma Adj Sch 1.3'!Q71</f>
        <v>0</v>
      </c>
      <c r="P53" s="742">
        <f>+G53-N53</f>
        <v>-693</v>
      </c>
      <c r="Q53" s="742">
        <f>+H53-O53</f>
        <v>0</v>
      </c>
      <c r="R53" s="737">
        <f>-N53/$K$95</f>
        <v>0</v>
      </c>
      <c r="S53" s="725">
        <f>+O53*$L$79/'DPK-2 Revenue Conv Factor Sch 3'!$H$25</f>
        <v>0</v>
      </c>
      <c r="T53" s="737">
        <f t="shared" si="18"/>
        <v>0</v>
      </c>
      <c r="U53" s="746">
        <f t="shared" si="19"/>
        <v>-1114</v>
      </c>
      <c r="V53" s="443"/>
      <c r="W53" s="443"/>
      <c r="X53" s="443"/>
      <c r="Y53" s="443"/>
      <c r="Z53" s="443"/>
    </row>
    <row r="54" spans="1:26" ht="21.75" customHeight="1">
      <c r="A54" s="443"/>
      <c r="B54" s="443"/>
      <c r="C54" s="520">
        <f t="shared" si="20"/>
        <v>37</v>
      </c>
      <c r="D54" s="730" t="s">
        <v>428</v>
      </c>
      <c r="E54" s="729" t="s">
        <v>535</v>
      </c>
      <c r="F54" s="749"/>
      <c r="G54" s="739">
        <v>-2549</v>
      </c>
      <c r="H54" s="741">
        <v>22530</v>
      </c>
      <c r="I54" s="742"/>
      <c r="J54" s="739">
        <f t="shared" si="21"/>
        <v>4098.3804242442757</v>
      </c>
      <c r="K54" s="725">
        <f t="shared" si="22"/>
        <v>2988.5296798954264</v>
      </c>
      <c r="L54" s="737">
        <f t="shared" si="16"/>
        <v>7086.9101041397025</v>
      </c>
      <c r="M54" s="731"/>
      <c r="N54" s="744">
        <f>+'DPK-2 Pro Forma Adj Sch 1.3'!R54</f>
        <v>-2363</v>
      </c>
      <c r="O54" s="742">
        <f>+'DPK-2 Pro Forma Adj Sch 1.3'!R71</f>
        <v>23325</v>
      </c>
      <c r="P54" s="742"/>
      <c r="Q54" s="742"/>
      <c r="R54" s="737">
        <f>-N54/$K$95</f>
        <v>3799.3224568415944</v>
      </c>
      <c r="S54" s="725">
        <f>+O54*$L$79/'DPK-2 Revenue Conv Factor Sch 3'!$H$25</f>
        <v>3093.9837897718962</v>
      </c>
      <c r="T54" s="737">
        <f t="shared" si="18"/>
        <v>6893.3062466134907</v>
      </c>
      <c r="U54" s="746">
        <f t="shared" si="19"/>
        <v>-194</v>
      </c>
      <c r="V54" s="443"/>
      <c r="W54" s="443"/>
      <c r="X54" s="443"/>
      <c r="Y54" s="443"/>
      <c r="Z54" s="443"/>
    </row>
    <row r="55" spans="1:26" ht="21.75" customHeight="1">
      <c r="A55" s="443"/>
      <c r="B55" s="443"/>
      <c r="C55" s="520">
        <f t="shared" si="20"/>
        <v>38</v>
      </c>
      <c r="D55" s="730" t="s">
        <v>530</v>
      </c>
      <c r="E55" s="729" t="s">
        <v>536</v>
      </c>
      <c r="F55" s="749"/>
      <c r="G55" s="739">
        <v>-539</v>
      </c>
      <c r="H55" s="741">
        <v>16819</v>
      </c>
      <c r="I55" s="742"/>
      <c r="J55" s="739">
        <f t="shared" si="21"/>
        <v>866.62497005400735</v>
      </c>
      <c r="K55" s="725">
        <f t="shared" si="22"/>
        <v>2230.9844956130128</v>
      </c>
      <c r="L55" s="737">
        <f t="shared" si="16"/>
        <v>3097.6094656670202</v>
      </c>
      <c r="M55" s="731"/>
      <c r="N55" s="744">
        <f>+'DPK-2 Pro Forma Adj Sch 1.3'!S54</f>
        <v>-539</v>
      </c>
      <c r="O55" s="742">
        <f>+'DPK-2 Pro Forma Adj Sch 1.3'!S71</f>
        <v>16819</v>
      </c>
      <c r="P55" s="742"/>
      <c r="Q55" s="742"/>
      <c r="R55" s="737">
        <f t="shared" si="17"/>
        <v>866.62497005400735</v>
      </c>
      <c r="S55" s="725">
        <f>+O55*$L$79/'DPK-2 Revenue Conv Factor Sch 3'!$H$25</f>
        <v>2230.9844956130128</v>
      </c>
      <c r="T55" s="737">
        <f t="shared" si="18"/>
        <v>3097.6094656670202</v>
      </c>
      <c r="U55" s="746">
        <f>+R55-J55</f>
        <v>0</v>
      </c>
      <c r="V55" s="443"/>
      <c r="W55" s="443"/>
      <c r="X55" s="443"/>
      <c r="Y55" s="443"/>
      <c r="Z55" s="443"/>
    </row>
    <row r="56" spans="1:26" ht="21.75" customHeight="1">
      <c r="A56" s="443"/>
      <c r="B56" s="443"/>
      <c r="C56" s="520">
        <f t="shared" si="20"/>
        <v>39</v>
      </c>
      <c r="D56" s="730" t="s">
        <v>531</v>
      </c>
      <c r="E56" s="729" t="s">
        <v>537</v>
      </c>
      <c r="F56" s="749"/>
      <c r="G56" s="739">
        <v>-2285</v>
      </c>
      <c r="H56" s="741">
        <v>2859</v>
      </c>
      <c r="I56" s="742"/>
      <c r="J56" s="739">
        <f t="shared" si="21"/>
        <v>3673.9110511565987</v>
      </c>
      <c r="K56" s="725">
        <f t="shared" si="22"/>
        <v>379.23685551802146</v>
      </c>
      <c r="L56" s="737">
        <f t="shared" si="16"/>
        <v>4053.1479066746201</v>
      </c>
      <c r="M56" s="731"/>
      <c r="N56" s="744">
        <f>+'DPK-2 Pro Forma Adj Sch 1.3'!T54</f>
        <v>-2285</v>
      </c>
      <c r="O56" s="742">
        <f>+'DPK-2 Pro Forma Adj Sch 1.3'!$T$71</f>
        <v>2859</v>
      </c>
      <c r="P56" s="742"/>
      <c r="Q56" s="742"/>
      <c r="R56" s="737">
        <f t="shared" si="17"/>
        <v>3673.9110511565987</v>
      </c>
      <c r="S56" s="725">
        <f>+O56*$L$79/'DPK-2 Revenue Conv Factor Sch 3'!$H$25</f>
        <v>379.23685551802146</v>
      </c>
      <c r="T56" s="737">
        <f t="shared" si="18"/>
        <v>4053.1479066746201</v>
      </c>
      <c r="U56" s="746">
        <f>+R56-J56</f>
        <v>0</v>
      </c>
      <c r="V56" s="443"/>
      <c r="W56" s="443"/>
      <c r="X56" s="443"/>
      <c r="Y56" s="443"/>
      <c r="Z56" s="443"/>
    </row>
    <row r="57" spans="1:26" ht="21.75" customHeight="1">
      <c r="A57" s="443"/>
      <c r="B57" s="443"/>
      <c r="C57" s="520">
        <f t="shared" si="20"/>
        <v>40</v>
      </c>
      <c r="D57" s="730" t="s">
        <v>532</v>
      </c>
      <c r="E57" s="729" t="s">
        <v>538</v>
      </c>
      <c r="F57" s="748" t="s">
        <v>631</v>
      </c>
      <c r="G57" s="739">
        <v>-609</v>
      </c>
      <c r="H57" s="741">
        <v>0</v>
      </c>
      <c r="I57" s="742"/>
      <c r="J57" s="739">
        <f t="shared" si="21"/>
        <v>979.1736674636187</v>
      </c>
      <c r="K57" s="725">
        <v>0</v>
      </c>
      <c r="L57" s="737">
        <f>+J57+K57</f>
        <v>979.1736674636187</v>
      </c>
      <c r="M57" s="731"/>
      <c r="N57" s="744">
        <f>+'DPK-2 Pro Forma Adj Sch 1.3'!$U$54</f>
        <v>-797.21</v>
      </c>
      <c r="O57" s="742">
        <f>+'DPK-2 Pro Forma Adj Sch 1.3'!$U$71</f>
        <v>0</v>
      </c>
      <c r="P57" s="742">
        <f>+G57-N57</f>
        <v>188.21000000000004</v>
      </c>
      <c r="Q57" s="742">
        <f>+H57-O57</f>
        <v>0</v>
      </c>
      <c r="R57" s="737">
        <f t="shared" ref="R57" si="23">-N57/$K$95</f>
        <v>1281.7849580273751</v>
      </c>
      <c r="S57" s="725">
        <f>+O57*$L$79/'DPK-2 Revenue Conv Factor Sch 3'!$H$25</f>
        <v>0</v>
      </c>
      <c r="T57" s="737">
        <f t="shared" ref="T57" si="24">+R57+S57</f>
        <v>1281.7849580273751</v>
      </c>
      <c r="U57" s="746">
        <f t="shared" ref="U57:U65" si="25">ROUND(+T57-L57,0)</f>
        <v>303</v>
      </c>
      <c r="V57" s="443"/>
      <c r="W57" s="443"/>
      <c r="X57" s="443"/>
      <c r="Y57" s="443"/>
      <c r="Z57" s="443"/>
    </row>
    <row r="58" spans="1:26" s="728" customFormat="1" ht="21.75" customHeight="1">
      <c r="A58" s="727"/>
      <c r="B58" s="727"/>
      <c r="C58" s="520">
        <f t="shared" si="20"/>
        <v>41</v>
      </c>
      <c r="D58" s="730" t="s">
        <v>558</v>
      </c>
      <c r="E58" s="729" t="s">
        <v>529</v>
      </c>
      <c r="F58" s="748" t="s">
        <v>631</v>
      </c>
      <c r="G58" s="739">
        <v>-357</v>
      </c>
      <c r="H58" s="741">
        <v>0</v>
      </c>
      <c r="I58" s="737"/>
      <c r="J58" s="739">
        <f t="shared" si="21"/>
        <v>573.99835678901786</v>
      </c>
      <c r="K58" s="725">
        <v>0</v>
      </c>
      <c r="L58" s="737">
        <f t="shared" si="16"/>
        <v>573.99835678901786</v>
      </c>
      <c r="M58" s="731"/>
      <c r="N58" s="744">
        <f>+'DPK-2 Pro Forma Adj Sch 1.3'!$V$54</f>
        <v>11.414999999999999</v>
      </c>
      <c r="O58" s="742">
        <f>+'DPK-2 Pro Forma Adj Sch 1.3'!$V$71</f>
        <v>0</v>
      </c>
      <c r="P58" s="742"/>
      <c r="Q58" s="742"/>
      <c r="R58" s="737">
        <f t="shared" ref="R58:R63" si="26">-N58/$K$95</f>
        <v>-18.353476870438762</v>
      </c>
      <c r="S58" s="725">
        <f>+O58*$L$79/'DPK-2 Revenue Conv Factor Sch 3'!$H$25</f>
        <v>0</v>
      </c>
      <c r="T58" s="737">
        <f t="shared" ref="T58:T63" si="27">+R58+S58</f>
        <v>-18.353476870438762</v>
      </c>
      <c r="U58" s="746">
        <f t="shared" ref="U58:U63" si="28">ROUND(+T58-L58,0)</f>
        <v>-592</v>
      </c>
      <c r="V58" s="727"/>
      <c r="W58" s="727"/>
      <c r="X58" s="727"/>
      <c r="Y58" s="727"/>
      <c r="Z58" s="727"/>
    </row>
    <row r="59" spans="1:26" s="728" customFormat="1" ht="21.75" customHeight="1">
      <c r="A59" s="727"/>
      <c r="B59" s="727"/>
      <c r="C59" s="520">
        <f t="shared" si="20"/>
        <v>42</v>
      </c>
      <c r="D59" s="863" t="s">
        <v>611</v>
      </c>
      <c r="E59" s="864" t="s">
        <v>612</v>
      </c>
      <c r="F59" s="865" t="s">
        <v>494</v>
      </c>
      <c r="G59" s="866">
        <v>0</v>
      </c>
      <c r="H59" s="867"/>
      <c r="I59" s="866"/>
      <c r="J59" s="866">
        <f t="shared" si="21"/>
        <v>0</v>
      </c>
      <c r="K59" s="868">
        <v>0</v>
      </c>
      <c r="L59" s="869">
        <f t="shared" si="16"/>
        <v>0</v>
      </c>
      <c r="M59" s="870"/>
      <c r="N59" s="871">
        <f>+'DPK-2 Pro Forma Adj Sch 1.3'!$W$54</f>
        <v>0</v>
      </c>
      <c r="O59" s="866">
        <f>+'DPK-2 Pro Forma Adj Sch 1.3'!$W$71</f>
        <v>0</v>
      </c>
      <c r="P59" s="866"/>
      <c r="Q59" s="866"/>
      <c r="R59" s="869">
        <f t="shared" si="26"/>
        <v>0</v>
      </c>
      <c r="S59" s="868">
        <f>+O59*$L$79/'DPK-2 Revenue Conv Factor Sch 3'!$H$25</f>
        <v>0</v>
      </c>
      <c r="T59" s="869">
        <f t="shared" si="27"/>
        <v>0</v>
      </c>
      <c r="U59" s="872">
        <f t="shared" si="28"/>
        <v>0</v>
      </c>
      <c r="V59" s="727"/>
      <c r="W59" s="727"/>
      <c r="X59" s="727"/>
      <c r="Y59" s="727"/>
      <c r="Z59" s="727"/>
    </row>
    <row r="60" spans="1:26" s="728" customFormat="1" ht="21.75" customHeight="1">
      <c r="A60" s="727"/>
      <c r="B60" s="727"/>
      <c r="C60" s="520">
        <f t="shared" si="20"/>
        <v>43</v>
      </c>
      <c r="D60" s="730" t="s">
        <v>613</v>
      </c>
      <c r="E60" s="729" t="s">
        <v>614</v>
      </c>
      <c r="F60" s="748" t="s">
        <v>631</v>
      </c>
      <c r="G60" s="739">
        <v>-2920</v>
      </c>
      <c r="H60" s="741">
        <v>0</v>
      </c>
      <c r="I60" s="742"/>
      <c r="J60" s="739">
        <f t="shared" si="21"/>
        <v>4694.8885205152155</v>
      </c>
      <c r="K60" s="725">
        <v>0</v>
      </c>
      <c r="L60" s="737">
        <f>+J60+K60</f>
        <v>4694.8885205152155</v>
      </c>
      <c r="M60" s="731"/>
      <c r="N60" s="744">
        <f>+'DPK-2 Pro Forma Adj Sch 1.3'!$X$54</f>
        <v>-2920.1289999999999</v>
      </c>
      <c r="O60" s="742">
        <f>+'DPK-2 Pro Forma Adj Sch 1.3'!$X$71</f>
        <v>0</v>
      </c>
      <c r="P60" s="742"/>
      <c r="Q60" s="742"/>
      <c r="R60" s="737">
        <f t="shared" si="26"/>
        <v>4695.0959316861563</v>
      </c>
      <c r="S60" s="725">
        <f>+O60*$L$79/'DPK-2 Revenue Conv Factor Sch 3'!$H$25</f>
        <v>0</v>
      </c>
      <c r="T60" s="737">
        <f t="shared" si="27"/>
        <v>4695.0959316861563</v>
      </c>
      <c r="U60" s="746">
        <f t="shared" si="28"/>
        <v>0</v>
      </c>
      <c r="V60" s="727"/>
      <c r="W60" s="727"/>
      <c r="X60" s="727"/>
      <c r="Y60" s="727"/>
      <c r="Z60" s="727"/>
    </row>
    <row r="61" spans="1:26" s="728" customFormat="1" ht="21.75" customHeight="1">
      <c r="A61" s="727"/>
      <c r="B61" s="727"/>
      <c r="C61" s="520">
        <f t="shared" si="20"/>
        <v>44</v>
      </c>
      <c r="D61" s="730" t="s">
        <v>615</v>
      </c>
      <c r="E61" s="729" t="s">
        <v>579</v>
      </c>
      <c r="F61" s="748" t="s">
        <v>631</v>
      </c>
      <c r="G61" s="739">
        <v>-142</v>
      </c>
      <c r="H61" s="741">
        <v>0</v>
      </c>
      <c r="I61" s="737"/>
      <c r="J61" s="739">
        <f t="shared" si="21"/>
        <v>228.31307188806872</v>
      </c>
      <c r="K61" s="725">
        <v>0</v>
      </c>
      <c r="L61" s="737">
        <f t="shared" ref="L61:L62" si="29">+J61+K61</f>
        <v>228.31307188806872</v>
      </c>
      <c r="M61" s="731"/>
      <c r="N61" s="744">
        <f>+'DPK-2 Pro Forma Adj Sch 1.3'!$Y$54</f>
        <v>44.531999999999996</v>
      </c>
      <c r="O61" s="742">
        <f>+'DPK-2 Pro Forma Adj Sch 1.3'!$Y$71</f>
        <v>0</v>
      </c>
      <c r="P61" s="742"/>
      <c r="Q61" s="742"/>
      <c r="R61" s="737">
        <f t="shared" si="26"/>
        <v>-71.600265614925888</v>
      </c>
      <c r="S61" s="725">
        <f>+O61*$L$79/'DPK-2 Revenue Conv Factor Sch 3'!$H$25</f>
        <v>0</v>
      </c>
      <c r="T61" s="737">
        <f t="shared" si="27"/>
        <v>-71.600265614925888</v>
      </c>
      <c r="U61" s="746">
        <f t="shared" si="28"/>
        <v>-300</v>
      </c>
      <c r="V61" s="727"/>
      <c r="W61" s="727"/>
      <c r="X61" s="727"/>
      <c r="Y61" s="727"/>
      <c r="Z61" s="727"/>
    </row>
    <row r="62" spans="1:26" s="728" customFormat="1" ht="21.75" customHeight="1">
      <c r="A62" s="727"/>
      <c r="B62" s="727"/>
      <c r="C62" s="404">
        <f t="shared" si="20"/>
        <v>45</v>
      </c>
      <c r="D62" s="730" t="s">
        <v>616</v>
      </c>
      <c r="E62" s="729" t="s">
        <v>617</v>
      </c>
      <c r="F62" s="749"/>
      <c r="G62" s="739">
        <v>-426</v>
      </c>
      <c r="H62" s="741"/>
      <c r="I62" s="737"/>
      <c r="J62" s="739">
        <f t="shared" si="21"/>
        <v>684.93921566420613</v>
      </c>
      <c r="K62" s="725">
        <v>0</v>
      </c>
      <c r="L62" s="737">
        <f t="shared" si="29"/>
        <v>684.93921566420613</v>
      </c>
      <c r="M62" s="731"/>
      <c r="N62" s="744">
        <f>+'DPK-2 Pro Forma Adj Sch 1.3'!$Z$54</f>
        <v>-426</v>
      </c>
      <c r="O62" s="742">
        <f>+'DPK-2 Pro Forma Adj Sch 1.3'!$Z$71</f>
        <v>0</v>
      </c>
      <c r="P62" s="742"/>
      <c r="Q62" s="742"/>
      <c r="R62" s="737">
        <f t="shared" si="26"/>
        <v>684.93921566420613</v>
      </c>
      <c r="S62" s="725">
        <f>+O62*$L$79/'DPK-2 Revenue Conv Factor Sch 3'!$H$25</f>
        <v>0</v>
      </c>
      <c r="T62" s="737">
        <f t="shared" si="27"/>
        <v>684.93921566420613</v>
      </c>
      <c r="U62" s="746">
        <f t="shared" si="28"/>
        <v>0</v>
      </c>
      <c r="V62" s="727"/>
      <c r="W62" s="727"/>
      <c r="X62" s="727"/>
      <c r="Y62" s="727"/>
      <c r="Z62" s="727"/>
    </row>
    <row r="63" spans="1:26" s="728" customFormat="1" ht="21.75" customHeight="1">
      <c r="A63" s="727"/>
      <c r="B63" s="727"/>
      <c r="C63" s="404">
        <f t="shared" si="20"/>
        <v>46</v>
      </c>
      <c r="D63" s="730"/>
      <c r="E63" s="723"/>
      <c r="F63" s="722"/>
      <c r="G63" s="725"/>
      <c r="H63" s="721"/>
      <c r="I63" s="726"/>
      <c r="J63" s="739">
        <f t="shared" si="21"/>
        <v>0</v>
      </c>
      <c r="K63" s="725">
        <v>0</v>
      </c>
      <c r="L63" s="726">
        <f t="shared" si="16"/>
        <v>0</v>
      </c>
      <c r="M63" s="731"/>
      <c r="N63" s="744">
        <f>+'DPK-2 Pro Forma Adj Sch 1.3'!$AA$54</f>
        <v>0</v>
      </c>
      <c r="O63" s="742">
        <f>+'DPK-2 Pro Forma Adj Sch 1.3'!$AA$71</f>
        <v>0</v>
      </c>
      <c r="P63" s="742"/>
      <c r="Q63" s="742"/>
      <c r="R63" s="737">
        <f t="shared" si="26"/>
        <v>0</v>
      </c>
      <c r="S63" s="725">
        <f>+O63*$L$79/'DPK-2 Revenue Conv Factor Sch 3'!$H$25</f>
        <v>0</v>
      </c>
      <c r="T63" s="737">
        <f t="shared" si="27"/>
        <v>0</v>
      </c>
      <c r="U63" s="746">
        <f t="shared" si="28"/>
        <v>0</v>
      </c>
      <c r="V63" s="727"/>
      <c r="W63" s="727"/>
      <c r="X63" s="727"/>
      <c r="Y63" s="727"/>
      <c r="Z63" s="727"/>
    </row>
    <row r="64" spans="1:26" s="728" customFormat="1" ht="21.75" customHeight="1">
      <c r="A64" s="727"/>
      <c r="B64" s="727"/>
      <c r="C64" s="404">
        <f t="shared" si="20"/>
        <v>47</v>
      </c>
      <c r="D64" s="730"/>
      <c r="E64" s="729"/>
      <c r="F64" s="749"/>
      <c r="G64" s="739"/>
      <c r="H64" s="741"/>
      <c r="I64" s="737"/>
      <c r="J64" s="739"/>
      <c r="K64" s="725"/>
      <c r="L64" s="737"/>
      <c r="M64" s="731"/>
      <c r="N64" s="744">
        <f>+'DPK-2 Pro Forma Adj Sch 1.3'!$AB$54</f>
        <v>0</v>
      </c>
      <c r="O64" s="744">
        <f>+'DPK-2 Pro Forma Adj Sch 1.3'!$AB$71</f>
        <v>0</v>
      </c>
      <c r="P64" s="742"/>
      <c r="Q64" s="742"/>
      <c r="R64" s="737"/>
      <c r="S64" s="725"/>
      <c r="T64" s="737"/>
      <c r="U64" s="746"/>
      <c r="V64" s="727"/>
      <c r="W64" s="727"/>
      <c r="X64" s="727"/>
      <c r="Y64" s="727"/>
      <c r="Z64" s="727"/>
    </row>
    <row r="65" spans="1:26" ht="21.75" customHeight="1">
      <c r="A65" s="443"/>
      <c r="B65" s="443"/>
      <c r="C65" s="404">
        <f t="shared" si="20"/>
        <v>48</v>
      </c>
      <c r="D65" s="466"/>
      <c r="E65" s="574"/>
      <c r="F65" s="541"/>
      <c r="G65" s="529"/>
      <c r="H65" s="673"/>
      <c r="I65" s="511"/>
      <c r="J65" s="667"/>
      <c r="K65" s="433"/>
      <c r="L65" s="434"/>
      <c r="M65" s="512"/>
      <c r="N65" s="744">
        <f>+'DPK-2 Pro Forma Adj Sch 1.3'!$AC$54</f>
        <v>0</v>
      </c>
      <c r="O65" s="744">
        <f>+'DPK-2 Pro Forma Adj Sch 1.3'!$AC$71</f>
        <v>0</v>
      </c>
      <c r="P65" s="490"/>
      <c r="Q65" s="490"/>
      <c r="R65" s="491">
        <f t="shared" si="17"/>
        <v>0</v>
      </c>
      <c r="S65" s="433">
        <f>+O65*$U$79/'DPK-2 Revenue Conv Factor Sch 3'!$H$25</f>
        <v>0</v>
      </c>
      <c r="T65" s="434">
        <f t="shared" si="18"/>
        <v>0</v>
      </c>
      <c r="U65" s="539">
        <f t="shared" si="25"/>
        <v>0</v>
      </c>
      <c r="V65" s="443"/>
      <c r="W65" s="443"/>
      <c r="X65" s="443"/>
      <c r="Y65" s="443"/>
      <c r="Z65" s="443"/>
    </row>
    <row r="66" spans="1:26" ht="26.25" customHeight="1">
      <c r="A66" s="443"/>
      <c r="B66" s="443"/>
      <c r="C66" s="404">
        <f t="shared" si="20"/>
        <v>49</v>
      </c>
      <c r="D66" s="446"/>
      <c r="E66" s="492" t="s">
        <v>429</v>
      </c>
      <c r="F66" s="492"/>
      <c r="G66" s="470">
        <f>SUM(G44:G65)</f>
        <v>-22554</v>
      </c>
      <c r="H66" s="470">
        <f>SUM(H44:H65)</f>
        <v>86049</v>
      </c>
      <c r="I66" s="472"/>
      <c r="J66" s="470">
        <f>SUM(J44:J65)</f>
        <v>36263.190305376775</v>
      </c>
      <c r="K66" s="470">
        <f>SUM(K44:K65)</f>
        <v>11414.114089006727</v>
      </c>
      <c r="L66" s="470">
        <f>SUM(L44:L65)</f>
        <v>47677.3043943835</v>
      </c>
      <c r="M66" s="457"/>
      <c r="N66" s="470">
        <f t="shared" ref="N66:U66" ca="1" si="30">SUM(N44:N65)</f>
        <v>-16022.467000000015</v>
      </c>
      <c r="O66" s="470">
        <f t="shared" ca="1" si="30"/>
        <v>67487.326999999903</v>
      </c>
      <c r="P66" s="470"/>
      <c r="Q66" s="470"/>
      <c r="R66" s="470">
        <f t="shared" ca="1" si="30"/>
        <v>25761.539859121214</v>
      </c>
      <c r="S66" s="470">
        <f t="shared" ca="1" si="30"/>
        <v>8951.9698072040701</v>
      </c>
      <c r="T66" s="470">
        <f t="shared" ca="1" si="30"/>
        <v>34713.509666325284</v>
      </c>
      <c r="U66" s="473">
        <f t="shared" ca="1" si="30"/>
        <v>-12964</v>
      </c>
      <c r="V66" s="443"/>
      <c r="W66" s="443"/>
      <c r="X66" s="443"/>
      <c r="Y66" s="443"/>
      <c r="Z66" s="443"/>
    </row>
    <row r="67" spans="1:26" s="496" customFormat="1" ht="18.75" customHeight="1">
      <c r="A67" s="493"/>
      <c r="B67" s="493"/>
      <c r="C67" s="404">
        <f t="shared" si="20"/>
        <v>50</v>
      </c>
      <c r="D67" s="494"/>
      <c r="E67" s="495"/>
      <c r="F67" s="495"/>
      <c r="G67" s="464" t="s">
        <v>393</v>
      </c>
      <c r="H67" s="465" t="s">
        <v>394</v>
      </c>
      <c r="I67" s="478"/>
      <c r="J67" s="472"/>
      <c r="K67" s="472"/>
      <c r="L67" s="472" t="s">
        <v>163</v>
      </c>
      <c r="M67" s="457"/>
      <c r="N67" s="668" t="s">
        <v>393</v>
      </c>
      <c r="O67" s="464" t="s">
        <v>31</v>
      </c>
      <c r="P67" s="675"/>
      <c r="Q67" s="675"/>
      <c r="R67" s="472"/>
      <c r="S67" s="472"/>
      <c r="T67" s="472" t="s">
        <v>163</v>
      </c>
      <c r="U67" s="472"/>
      <c r="V67" s="443"/>
      <c r="W67" s="443"/>
      <c r="X67" s="443"/>
      <c r="Y67" s="443"/>
      <c r="Z67" s="493"/>
    </row>
    <row r="68" spans="1:26" ht="21.75" customHeight="1">
      <c r="A68" s="443"/>
      <c r="B68" s="443"/>
      <c r="C68" s="404">
        <f t="shared" si="20"/>
        <v>51</v>
      </c>
      <c r="D68" s="446"/>
      <c r="E68" s="492" t="s">
        <v>439</v>
      </c>
      <c r="F68" s="492"/>
      <c r="G68" s="826">
        <f>+G41+G66</f>
        <v>60251.236300000004</v>
      </c>
      <c r="H68" s="832">
        <f>+H41+H66</f>
        <v>1012855</v>
      </c>
      <c r="I68" s="826"/>
      <c r="J68" s="821">
        <f>+J66+J41</f>
        <v>42912.525062183151</v>
      </c>
      <c r="K68" s="821">
        <f>+K66+K41</f>
        <v>-5434.9323823504292</v>
      </c>
      <c r="L68" s="821">
        <f>+L66+L41</f>
        <v>37477.592679832727</v>
      </c>
      <c r="M68" s="820"/>
      <c r="N68" s="825">
        <f ca="1">+N41+N66</f>
        <v>66560.57667223498</v>
      </c>
      <c r="O68" s="821">
        <f ca="1">+O41+O66</f>
        <v>991820.07099999988</v>
      </c>
      <c r="P68" s="821"/>
      <c r="Q68" s="821"/>
      <c r="R68" s="821">
        <f ca="1">+R66+R41</f>
        <v>32768.124484912871</v>
      </c>
      <c r="S68" s="821">
        <f ca="1">+S66+S41</f>
        <v>-8225.1458590922521</v>
      </c>
      <c r="T68" s="821">
        <f ca="1">+T66+T41</f>
        <v>24542.978625820615</v>
      </c>
      <c r="U68" s="826">
        <f ca="1">+U66+U39</f>
        <v>-12934</v>
      </c>
      <c r="V68" s="443"/>
      <c r="W68" s="443" t="s">
        <v>564</v>
      </c>
      <c r="X68" s="443"/>
      <c r="Y68" s="443"/>
      <c r="Z68" s="443"/>
    </row>
    <row r="69" spans="1:26" ht="21.75" customHeight="1">
      <c r="A69" s="443"/>
      <c r="B69" s="443"/>
      <c r="C69" s="404">
        <f t="shared" si="20"/>
        <v>52</v>
      </c>
      <c r="L69" s="446"/>
      <c r="M69" s="513"/>
      <c r="N69" s="514"/>
      <c r="O69" s="515" t="s">
        <v>477</v>
      </c>
      <c r="P69" s="515"/>
      <c r="Q69" s="515"/>
      <c r="R69" s="446"/>
      <c r="S69" s="482"/>
      <c r="T69" s="516">
        <f ca="1">-T68+X69</f>
        <v>3.2741809263825417E-11</v>
      </c>
      <c r="U69" s="489">
        <f ca="1">+T69</f>
        <v>3.2741809263825417E-11</v>
      </c>
      <c r="V69" s="443"/>
      <c r="W69" s="443" t="s">
        <v>565</v>
      </c>
      <c r="X69" s="443">
        <f ca="1">+'DPK-2 Results Sch1.1'!L15</f>
        <v>24542.978625820648</v>
      </c>
      <c r="Y69" s="443"/>
      <c r="Z69" s="443"/>
    </row>
    <row r="70" spans="1:26" ht="21.75" customHeight="1">
      <c r="A70" s="443"/>
      <c r="B70" s="443"/>
      <c r="C70" s="404">
        <f t="shared" si="20"/>
        <v>53</v>
      </c>
      <c r="L70" s="824"/>
      <c r="M70" s="829"/>
      <c r="N70" s="830"/>
      <c r="O70" s="831" t="s">
        <v>478</v>
      </c>
      <c r="P70" s="831"/>
      <c r="Q70" s="831"/>
      <c r="R70" s="829"/>
      <c r="S70" s="855" t="s">
        <v>163</v>
      </c>
      <c r="T70" s="856">
        <f ca="1">+T68+T69</f>
        <v>24542.978625820648</v>
      </c>
      <c r="U70" s="856">
        <f ca="1">+U68+U69</f>
        <v>-12933.999999999967</v>
      </c>
      <c r="V70" s="443"/>
      <c r="W70" s="443"/>
      <c r="X70" s="443"/>
      <c r="Y70" s="443"/>
      <c r="Z70" s="443"/>
    </row>
    <row r="71" spans="1:26" ht="21.75" customHeight="1">
      <c r="A71" s="443"/>
      <c r="B71" s="443"/>
      <c r="C71" s="404">
        <f t="shared" si="20"/>
        <v>54</v>
      </c>
      <c r="D71" s="445"/>
      <c r="M71" s="498"/>
      <c r="S71" s="444"/>
      <c r="T71" s="444"/>
      <c r="V71" s="443"/>
      <c r="W71" s="443"/>
      <c r="X71" s="443"/>
      <c r="Y71" s="443"/>
      <c r="Z71" s="443"/>
    </row>
    <row r="72" spans="1:26" ht="21.75" customHeight="1">
      <c r="A72" s="443"/>
      <c r="B72" s="443"/>
      <c r="C72" s="404">
        <f t="shared" si="20"/>
        <v>55</v>
      </c>
      <c r="D72" s="445"/>
      <c r="E72" s="754"/>
      <c r="F72" s="729"/>
      <c r="H72" s="672" t="s">
        <v>479</v>
      </c>
      <c r="T72" s="672" t="s">
        <v>480</v>
      </c>
      <c r="V72" s="443"/>
      <c r="W72" s="443"/>
      <c r="X72" s="443"/>
      <c r="Y72" s="443"/>
      <c r="Z72" s="443"/>
    </row>
    <row r="73" spans="1:26" ht="21.75" customHeight="1">
      <c r="A73" s="443"/>
      <c r="B73" s="443"/>
      <c r="C73" s="404">
        <f t="shared" si="20"/>
        <v>56</v>
      </c>
      <c r="D73" s="445"/>
      <c r="E73" s="729"/>
      <c r="F73" s="729"/>
      <c r="L73" s="244"/>
      <c r="U73" s="246"/>
      <c r="V73" s="443"/>
      <c r="W73" s="443"/>
      <c r="X73" s="443"/>
      <c r="Y73" s="443"/>
      <c r="Z73" s="443"/>
    </row>
    <row r="74" spans="1:26" ht="21.75" customHeight="1">
      <c r="A74" s="443"/>
      <c r="B74" s="443"/>
      <c r="C74" s="404">
        <f t="shared" si="20"/>
        <v>57</v>
      </c>
      <c r="D74" s="445"/>
      <c r="E74" s="753"/>
      <c r="F74" s="753"/>
      <c r="G74" s="239" t="s">
        <v>166</v>
      </c>
      <c r="H74" s="224"/>
      <c r="L74" s="239" t="s">
        <v>157</v>
      </c>
      <c r="O74" s="239" t="s">
        <v>166</v>
      </c>
      <c r="P74" s="239"/>
      <c r="Q74" s="239"/>
      <c r="T74" s="224"/>
      <c r="U74" s="239" t="s">
        <v>157</v>
      </c>
      <c r="V74" s="443"/>
      <c r="W74" s="443"/>
      <c r="X74" s="443"/>
      <c r="Y74" s="443"/>
      <c r="Z74" s="443"/>
    </row>
    <row r="75" spans="1:26">
      <c r="A75" s="443"/>
      <c r="B75" s="443"/>
      <c r="C75" s="404">
        <f t="shared" si="20"/>
        <v>58</v>
      </c>
      <c r="E75" s="729"/>
      <c r="F75" s="729"/>
      <c r="G75" s="242" t="s">
        <v>315</v>
      </c>
      <c r="H75" s="428" t="s">
        <v>158</v>
      </c>
      <c r="L75" s="242" t="s">
        <v>158</v>
      </c>
      <c r="O75" s="242" t="s">
        <v>315</v>
      </c>
      <c r="P75" s="391"/>
      <c r="Q75" s="391"/>
      <c r="T75" s="428" t="s">
        <v>158</v>
      </c>
      <c r="U75" s="242" t="s">
        <v>158</v>
      </c>
      <c r="V75" s="443"/>
      <c r="W75" s="443"/>
      <c r="X75" s="443"/>
      <c r="Y75" s="443"/>
      <c r="Z75" s="443"/>
    </row>
    <row r="76" spans="1:26">
      <c r="A76" s="443"/>
      <c r="B76" s="443"/>
      <c r="C76" s="404">
        <f t="shared" si="20"/>
        <v>59</v>
      </c>
      <c r="D76" s="445"/>
      <c r="E76" s="499" t="s">
        <v>240</v>
      </c>
      <c r="F76" s="499"/>
      <c r="G76" s="240">
        <f>+O76</f>
        <v>0.53499999999999992</v>
      </c>
      <c r="H76" s="430">
        <f>+T76</f>
        <v>6.5699999999999995E-2</v>
      </c>
      <c r="L76" s="244">
        <f>ROUND(+G76*H76,4)</f>
        <v>3.5099999999999999E-2</v>
      </c>
      <c r="O76" s="246">
        <f>+'DPK-2 Capital Structure Sch 4 '!F16</f>
        <v>0.53499999999999992</v>
      </c>
      <c r="P76" s="246"/>
      <c r="Q76" s="246"/>
      <c r="T76" s="430">
        <f>+'DPK-2 Capital Structure Sch 4 '!G16</f>
        <v>6.5699999999999995E-2</v>
      </c>
      <c r="U76" s="843">
        <f>ROUND(+O76*T76,4)</f>
        <v>3.5099999999999999E-2</v>
      </c>
      <c r="V76" s="443"/>
      <c r="W76" s="678"/>
      <c r="X76" s="443"/>
      <c r="Y76" s="443"/>
      <c r="Z76" s="443"/>
    </row>
    <row r="77" spans="1:26" ht="21.75" customHeight="1">
      <c r="A77" s="443"/>
      <c r="B77" s="443"/>
      <c r="C77" s="404">
        <f t="shared" si="20"/>
        <v>60</v>
      </c>
      <c r="E77" s="499" t="s">
        <v>319</v>
      </c>
      <c r="F77" s="499"/>
      <c r="G77" s="245"/>
      <c r="H77" s="430"/>
      <c r="L77" s="244">
        <f>+G77*H77</f>
        <v>0</v>
      </c>
      <c r="O77" s="246">
        <f>+'DPK-2 Capital Structure Sch 4 '!F17</f>
        <v>0</v>
      </c>
      <c r="P77" s="246"/>
      <c r="Q77" s="246"/>
      <c r="T77" s="430">
        <f>+'DPK-2 Capital Structure Sch 4 '!G17</f>
        <v>0</v>
      </c>
      <c r="U77" s="244">
        <f>+O77*T77</f>
        <v>0</v>
      </c>
      <c r="V77" s="443"/>
      <c r="W77" s="443"/>
      <c r="X77" s="443"/>
      <c r="Y77" s="443"/>
      <c r="Z77" s="443"/>
    </row>
    <row r="78" spans="1:26" ht="21.75" customHeight="1">
      <c r="A78" s="443"/>
      <c r="B78" s="443"/>
      <c r="C78" s="404">
        <f t="shared" si="20"/>
        <v>61</v>
      </c>
      <c r="E78" s="499" t="s">
        <v>320</v>
      </c>
      <c r="F78" s="499"/>
      <c r="G78" s="246">
        <f>+O78</f>
        <v>0.46500000000000002</v>
      </c>
      <c r="H78" s="430">
        <f>+T78</f>
        <v>0.10199999999999999</v>
      </c>
      <c r="L78" s="244">
        <f>+G78*H78</f>
        <v>4.743E-2</v>
      </c>
      <c r="M78" s="445"/>
      <c r="N78" s="858" t="s">
        <v>652</v>
      </c>
      <c r="O78" s="859">
        <f>+'DPK-2 Capital Structure Sch 4 '!F18</f>
        <v>0.46500000000000002</v>
      </c>
      <c r="P78" s="859"/>
      <c r="Q78" s="859"/>
      <c r="R78" s="860"/>
      <c r="S78" s="861"/>
      <c r="T78" s="862">
        <f>+'DPK-2 Capital Structure Sch 4 '!G18</f>
        <v>0.10199999999999999</v>
      </c>
      <c r="U78" s="244">
        <f>+O78*T78</f>
        <v>4.743E-2</v>
      </c>
      <c r="V78" s="443"/>
      <c r="W78" s="677"/>
      <c r="X78" s="443"/>
      <c r="Y78" s="443"/>
      <c r="Z78" s="443"/>
    </row>
    <row r="79" spans="1:26" ht="21.75" customHeight="1">
      <c r="A79" s="443"/>
      <c r="B79" s="443"/>
      <c r="C79" s="404">
        <f t="shared" si="20"/>
        <v>62</v>
      </c>
      <c r="E79" s="247" t="s">
        <v>161</v>
      </c>
      <c r="F79" s="247"/>
      <c r="G79" s="248">
        <f>+G76+G78</f>
        <v>1</v>
      </c>
      <c r="H79" s="224"/>
      <c r="L79" s="752">
        <f>ROUND(SUM(L76:L78),4)</f>
        <v>8.2500000000000004E-2</v>
      </c>
      <c r="O79" s="857">
        <f>SUM(O76:O78)</f>
        <v>1</v>
      </c>
      <c r="P79" s="500"/>
      <c r="Q79" s="500"/>
      <c r="T79" s="224"/>
      <c r="U79" s="827">
        <f>ROUND(SUM(U76:U78),4)</f>
        <v>8.2500000000000004E-2</v>
      </c>
      <c r="V79" s="443"/>
      <c r="W79" s="677"/>
      <c r="X79" s="443"/>
      <c r="Y79" s="443"/>
      <c r="Z79" s="443"/>
    </row>
    <row r="80" spans="1:26" ht="21.75" customHeight="1">
      <c r="A80" s="443"/>
      <c r="B80" s="443"/>
      <c r="C80" s="404">
        <f t="shared" si="20"/>
        <v>63</v>
      </c>
      <c r="E80" s="247"/>
      <c r="F80" s="247"/>
      <c r="G80" s="500"/>
      <c r="H80" s="224"/>
      <c r="L80" s="501"/>
      <c r="O80" s="500"/>
      <c r="P80" s="500"/>
      <c r="Q80" s="500"/>
      <c r="T80" s="224"/>
      <c r="U80" s="501"/>
      <c r="V80" s="443"/>
      <c r="W80" s="677"/>
      <c r="X80" s="443"/>
      <c r="Y80" s="443"/>
      <c r="Z80" s="443"/>
    </row>
    <row r="81" spans="1:26" ht="21.75" customHeight="1">
      <c r="A81" s="443"/>
      <c r="B81" s="443"/>
      <c r="C81" s="404">
        <f t="shared" si="20"/>
        <v>64</v>
      </c>
      <c r="D81" s="743" t="s">
        <v>619</v>
      </c>
      <c r="E81" s="247"/>
      <c r="F81" s="247"/>
      <c r="G81" s="500"/>
      <c r="H81" s="224"/>
      <c r="L81" s="501"/>
      <c r="O81" s="500"/>
      <c r="P81" s="500"/>
      <c r="Q81" s="500"/>
      <c r="T81" s="224"/>
      <c r="U81" s="501"/>
      <c r="V81" s="443"/>
      <c r="W81" s="677"/>
      <c r="X81" s="443"/>
      <c r="Y81" s="443"/>
      <c r="Z81" s="443"/>
    </row>
    <row r="82" spans="1:26" ht="18" customHeight="1">
      <c r="A82" s="443"/>
      <c r="B82" s="443"/>
      <c r="C82" s="404">
        <f t="shared" si="20"/>
        <v>65</v>
      </c>
      <c r="D82" s="502" t="s">
        <v>489</v>
      </c>
      <c r="G82" s="445"/>
      <c r="H82" s="445"/>
      <c r="I82" s="445"/>
      <c r="J82" s="478"/>
      <c r="K82" s="444"/>
      <c r="M82" s="445"/>
      <c r="O82" s="445"/>
      <c r="P82" s="445"/>
      <c r="Q82" s="445"/>
      <c r="R82" s="478"/>
      <c r="V82" s="443"/>
      <c r="W82" s="443"/>
      <c r="X82" s="443"/>
      <c r="Y82" s="443"/>
      <c r="Z82" s="443"/>
    </row>
    <row r="83" spans="1:26">
      <c r="A83" s="443"/>
      <c r="B83" s="443"/>
      <c r="C83" s="443"/>
      <c r="D83" s="443"/>
      <c r="E83" s="443"/>
      <c r="F83" s="443"/>
      <c r="G83" s="443"/>
      <c r="H83" s="443"/>
      <c r="I83" s="443"/>
      <c r="J83" s="443"/>
      <c r="K83" s="443"/>
      <c r="L83" s="493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</row>
    <row r="84" spans="1:26">
      <c r="A84" s="443"/>
      <c r="B84" s="443"/>
      <c r="C84" s="443"/>
      <c r="D84" s="443"/>
      <c r="E84" s="443"/>
      <c r="F84" s="443"/>
      <c r="G84" s="443"/>
      <c r="H84" s="443"/>
      <c r="I84" s="443"/>
      <c r="J84" s="443"/>
      <c r="K84" s="443"/>
      <c r="L84" s="49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</row>
    <row r="85" spans="1:26">
      <c r="A85" s="443"/>
      <c r="B85" s="443"/>
      <c r="C85" s="443"/>
      <c r="D85" s="443"/>
      <c r="E85" s="443"/>
      <c r="F85" s="443"/>
      <c r="G85" s="443"/>
      <c r="H85" s="443"/>
      <c r="I85" s="443"/>
      <c r="J85" s="443"/>
      <c r="K85" s="443"/>
      <c r="L85" s="493"/>
      <c r="M85" s="443"/>
      <c r="N85" s="443"/>
      <c r="O85" s="443"/>
      <c r="P85" s="443"/>
      <c r="Q85" s="443"/>
      <c r="R85" s="443"/>
      <c r="S85" s="443"/>
      <c r="T85" s="503"/>
      <c r="U85" s="445"/>
      <c r="V85" s="504" t="s">
        <v>441</v>
      </c>
      <c r="W85" s="443"/>
      <c r="X85" s="443"/>
      <c r="Y85" s="443"/>
      <c r="Z85" s="443"/>
    </row>
    <row r="86" spans="1:26">
      <c r="A86" s="443"/>
      <c r="B86" s="443"/>
      <c r="C86" s="443"/>
      <c r="D86" s="443"/>
      <c r="E86" s="443"/>
      <c r="F86" s="443"/>
      <c r="G86" s="443"/>
      <c r="H86" s="443"/>
      <c r="I86" s="443"/>
      <c r="J86" s="443"/>
      <c r="K86" s="443"/>
      <c r="L86" s="493"/>
      <c r="M86" s="443"/>
      <c r="N86" s="443"/>
      <c r="O86" s="443"/>
      <c r="P86" s="443"/>
      <c r="Q86" s="443"/>
      <c r="R86" s="443"/>
      <c r="S86" s="443"/>
      <c r="T86" s="478"/>
      <c r="U86" s="495" t="s">
        <v>481</v>
      </c>
      <c r="V86" s="498">
        <f>+U79</f>
        <v>8.2500000000000004E-2</v>
      </c>
      <c r="W86" s="443"/>
      <c r="X86" s="443"/>
      <c r="Y86" s="443"/>
      <c r="Z86" s="443"/>
    </row>
    <row r="87" spans="1:26">
      <c r="A87" s="443"/>
      <c r="B87" s="443"/>
      <c r="C87" s="443"/>
      <c r="D87" s="443"/>
      <c r="E87" s="443"/>
      <c r="F87" s="443"/>
      <c r="G87" s="443"/>
      <c r="H87" s="443"/>
      <c r="I87" s="443"/>
      <c r="J87" s="443"/>
      <c r="K87" s="443"/>
      <c r="L87" s="493"/>
      <c r="M87" s="443"/>
      <c r="N87" s="443"/>
      <c r="O87" s="443"/>
      <c r="P87" s="443"/>
      <c r="Q87" s="443"/>
      <c r="R87" s="443"/>
      <c r="S87" s="443"/>
      <c r="T87" s="478"/>
      <c r="U87" s="495" t="s">
        <v>482</v>
      </c>
      <c r="V87" s="505">
        <f>+L79</f>
        <v>8.2500000000000004E-2</v>
      </c>
      <c r="W87" s="443"/>
      <c r="X87" s="443"/>
      <c r="Y87" s="443"/>
      <c r="Z87" s="443"/>
    </row>
    <row r="88" spans="1:26">
      <c r="A88" s="443"/>
      <c r="B88" s="443"/>
      <c r="C88" s="443"/>
      <c r="D88" s="443"/>
      <c r="E88" s="443"/>
      <c r="F88" s="443"/>
      <c r="G88" s="443"/>
      <c r="H88" s="443"/>
      <c r="I88" s="443"/>
      <c r="J88" s="443"/>
      <c r="K88" s="443"/>
      <c r="L88" s="493"/>
      <c r="M88" s="443"/>
      <c r="N88" s="443"/>
      <c r="O88" s="443"/>
      <c r="P88" s="443"/>
      <c r="Q88" s="443"/>
      <c r="R88" s="443"/>
      <c r="S88" s="443"/>
      <c r="T88" s="478"/>
      <c r="U88" s="495" t="s">
        <v>483</v>
      </c>
      <c r="V88" s="506">
        <f>+V86-V87</f>
        <v>0</v>
      </c>
      <c r="W88" s="443"/>
      <c r="X88" s="443"/>
      <c r="Y88" s="443"/>
      <c r="Z88" s="443"/>
    </row>
    <row r="89" spans="1:26">
      <c r="A89" s="443"/>
      <c r="B89" s="443"/>
      <c r="C89" s="443"/>
      <c r="D89" s="443"/>
      <c r="E89" s="443"/>
      <c r="F89" s="443"/>
      <c r="G89" s="443"/>
      <c r="H89" s="443"/>
      <c r="I89" s="443"/>
      <c r="J89" s="443"/>
      <c r="K89" s="443"/>
      <c r="L89" s="493"/>
      <c r="M89" s="443"/>
      <c r="N89" s="443"/>
      <c r="O89" s="443"/>
      <c r="P89" s="443"/>
      <c r="Q89" s="443"/>
      <c r="R89" s="443"/>
      <c r="S89" s="443"/>
      <c r="T89" s="444"/>
      <c r="U89" s="497" t="s">
        <v>484</v>
      </c>
      <c r="V89" s="463">
        <f ca="1">+O68</f>
        <v>991820.07099999988</v>
      </c>
      <c r="W89" s="443"/>
      <c r="X89" s="443"/>
      <c r="Y89" s="443"/>
      <c r="Z89" s="443"/>
    </row>
    <row r="90" spans="1:26">
      <c r="A90" s="443"/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93"/>
      <c r="M90" s="443"/>
      <c r="N90" s="443"/>
      <c r="O90" s="443"/>
      <c r="P90" s="443"/>
      <c r="Q90" s="443"/>
      <c r="R90" s="443"/>
      <c r="S90" s="443"/>
      <c r="U90" s="497" t="s">
        <v>477</v>
      </c>
      <c r="V90" s="445">
        <f ca="1">+V88*V89</f>
        <v>0</v>
      </c>
      <c r="W90" s="443"/>
      <c r="X90" s="443"/>
      <c r="Y90" s="443"/>
      <c r="Z90" s="443"/>
    </row>
    <row r="91" spans="1:26">
      <c r="A91" s="443"/>
      <c r="B91" s="443"/>
      <c r="C91" s="443"/>
      <c r="D91" s="443"/>
      <c r="E91" s="443"/>
      <c r="F91" s="443"/>
      <c r="G91" s="443"/>
      <c r="H91" s="443"/>
      <c r="I91" s="443"/>
      <c r="J91" s="443"/>
      <c r="K91" s="443"/>
      <c r="L91" s="493"/>
      <c r="M91" s="443"/>
      <c r="N91" s="443"/>
      <c r="O91" s="443"/>
      <c r="P91" s="443"/>
      <c r="Q91" s="443"/>
      <c r="R91" s="443"/>
      <c r="S91" s="443"/>
      <c r="T91" s="444"/>
      <c r="U91" s="497" t="s">
        <v>162</v>
      </c>
      <c r="V91" s="498">
        <f>+'DPK-2 Revenue Conv Factor Sch 3'!H25</f>
        <v>0.62195299999999998</v>
      </c>
      <c r="W91" s="443"/>
      <c r="X91" s="443"/>
      <c r="Y91" s="443"/>
      <c r="Z91" s="443"/>
    </row>
    <row r="92" spans="1:26" ht="16.5" thickBot="1">
      <c r="A92" s="443"/>
      <c r="B92" s="443"/>
      <c r="C92" s="443"/>
      <c r="D92" s="443"/>
      <c r="E92" s="443"/>
      <c r="F92" s="443"/>
      <c r="G92" s="443"/>
      <c r="H92" s="443"/>
      <c r="I92" s="443"/>
      <c r="J92" s="443"/>
      <c r="K92" s="443"/>
      <c r="L92" s="493"/>
      <c r="M92" s="443"/>
      <c r="N92" s="443"/>
      <c r="O92" s="443"/>
      <c r="P92" s="443"/>
      <c r="Q92" s="443"/>
      <c r="R92" s="443"/>
      <c r="S92" s="443"/>
      <c r="T92" s="444"/>
      <c r="U92" s="497" t="s">
        <v>440</v>
      </c>
      <c r="V92" s="507">
        <f ca="1">+V90/V91</f>
        <v>0</v>
      </c>
      <c r="W92" s="443"/>
      <c r="X92" s="443"/>
      <c r="Y92" s="443"/>
      <c r="Z92" s="443"/>
    </row>
    <row r="93" spans="1:26" ht="16.5" thickTop="1">
      <c r="A93" s="443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9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</row>
    <row r="95" spans="1:26">
      <c r="J95" s="497" t="s">
        <v>436</v>
      </c>
      <c r="K95" s="508">
        <f>+V91</f>
        <v>0.62195299999999998</v>
      </c>
    </row>
    <row r="96" spans="1:26">
      <c r="H96" s="443" t="s">
        <v>432</v>
      </c>
      <c r="I96" s="443"/>
      <c r="J96" s="443" t="s">
        <v>433</v>
      </c>
      <c r="K96" s="443"/>
      <c r="L96" s="493" t="s">
        <v>434</v>
      </c>
      <c r="M96" s="443"/>
      <c r="N96" s="443"/>
    </row>
    <row r="97" spans="2:23">
      <c r="H97" s="443" t="s">
        <v>437</v>
      </c>
      <c r="I97" s="443"/>
      <c r="J97" s="443" t="s">
        <v>438</v>
      </c>
      <c r="K97" s="443"/>
      <c r="L97" s="493" t="s">
        <v>435</v>
      </c>
      <c r="M97" s="443"/>
      <c r="N97" s="443"/>
    </row>
    <row r="101" spans="2:23">
      <c r="G101" s="877" t="s">
        <v>282</v>
      </c>
      <c r="H101" s="878"/>
      <c r="I101" s="878"/>
      <c r="J101" s="878"/>
      <c r="K101" s="878"/>
      <c r="L101" s="879"/>
      <c r="M101" s="426"/>
      <c r="N101" s="877" t="s">
        <v>409</v>
      </c>
      <c r="O101" s="878"/>
      <c r="P101" s="878"/>
      <c r="Q101" s="878"/>
      <c r="R101" s="878"/>
      <c r="S101" s="878"/>
      <c r="T101" s="879"/>
      <c r="U101" s="453" t="s">
        <v>395</v>
      </c>
    </row>
    <row r="102" spans="2:23">
      <c r="G102" s="880" t="s">
        <v>408</v>
      </c>
      <c r="H102" s="881"/>
      <c r="J102" s="454" t="s">
        <v>440</v>
      </c>
      <c r="K102" s="455"/>
      <c r="L102" s="456" t="s">
        <v>163</v>
      </c>
      <c r="M102" s="457"/>
      <c r="N102" s="458" t="s">
        <v>409</v>
      </c>
      <c r="O102" s="533"/>
      <c r="P102" s="675"/>
      <c r="Q102" s="675"/>
      <c r="R102" s="459"/>
      <c r="S102" s="460"/>
      <c r="T102" s="456" t="s">
        <v>163</v>
      </c>
      <c r="U102" s="461" t="s">
        <v>163</v>
      </c>
    </row>
    <row r="103" spans="2:23">
      <c r="G103" s="464" t="s">
        <v>393</v>
      </c>
      <c r="H103" s="465" t="s">
        <v>394</v>
      </c>
      <c r="I103" s="462"/>
      <c r="J103" s="466" t="s">
        <v>393</v>
      </c>
      <c r="K103" s="467" t="s">
        <v>31</v>
      </c>
      <c r="L103" s="467" t="s">
        <v>473</v>
      </c>
      <c r="M103" s="457"/>
      <c r="N103" s="458" t="s">
        <v>393</v>
      </c>
      <c r="O103" s="464" t="s">
        <v>31</v>
      </c>
      <c r="P103" s="464"/>
      <c r="Q103" s="464"/>
      <c r="R103" s="464" t="s">
        <v>393</v>
      </c>
      <c r="S103" s="464" t="s">
        <v>31</v>
      </c>
      <c r="T103" s="467" t="s">
        <v>474</v>
      </c>
      <c r="U103" s="468" t="s">
        <v>473</v>
      </c>
      <c r="W103" s="572" t="s">
        <v>497</v>
      </c>
    </row>
    <row r="104" spans="2:23">
      <c r="B104" s="444" t="s">
        <v>509</v>
      </c>
      <c r="D104" s="567" t="s">
        <v>443</v>
      </c>
      <c r="E104" s="537" t="s">
        <v>486</v>
      </c>
      <c r="F104" s="568" t="s">
        <v>494</v>
      </c>
      <c r="G104" s="537"/>
      <c r="H104" s="528">
        <f>+H68</f>
        <v>1012855</v>
      </c>
      <c r="I104" s="537"/>
      <c r="J104" s="569"/>
      <c r="K104" s="570">
        <f>+H104*$L$79/'DPK-2 Revenue Conv Factor Sch 3'!$H$25</f>
        <v>134351.85214959976</v>
      </c>
      <c r="L104" s="475">
        <f>+J104+K104</f>
        <v>134351.85214959976</v>
      </c>
      <c r="M104" s="571"/>
      <c r="N104" s="537"/>
      <c r="O104" s="528">
        <v>-139670.65</v>
      </c>
      <c r="P104" s="537"/>
      <c r="Q104" s="537"/>
      <c r="R104" s="569">
        <f>-N104/$K$95</f>
        <v>0</v>
      </c>
      <c r="S104" s="570">
        <f>+O104*$L$79/'DPK-2 Revenue Conv Factor Sch 3'!$H$25</f>
        <v>-18526.847888827615</v>
      </c>
      <c r="T104" s="475">
        <f>+R104+S104</f>
        <v>-18526.847888827615</v>
      </c>
      <c r="U104" s="516">
        <f>+T104-L104</f>
        <v>-152878.70003842737</v>
      </c>
      <c r="W104" s="572">
        <f>-U104*1000</f>
        <v>152878700.03842738</v>
      </c>
    </row>
  </sheetData>
  <mergeCells count="11">
    <mergeCell ref="N101:T101"/>
    <mergeCell ref="G102:H102"/>
    <mergeCell ref="N9:T9"/>
    <mergeCell ref="N10:O10"/>
    <mergeCell ref="D43:E43"/>
    <mergeCell ref="G10:H10"/>
    <mergeCell ref="D13:E13"/>
    <mergeCell ref="G9:L9"/>
    <mergeCell ref="G101:L101"/>
    <mergeCell ref="I10:L10"/>
    <mergeCell ref="R10:T10"/>
  </mergeCells>
  <phoneticPr fontId="41" type="noConversion"/>
  <pageMargins left="0.56999999999999995" right="0.23" top="0.28999999999999998" bottom="0.37" header="0.17" footer="0.21"/>
  <pageSetup scale="46" orientation="portrait" r:id="rId1"/>
  <headerFooter>
    <oddHeader>&amp;RExhibit No. _____(DPK-2)
Docket UE-090134  UG-090135
Page &amp;P of &amp;N</oddHeader>
    <oddFooter>&amp;RRESPONSE TO BENCH REQUEST # 2 Supplemental
Revised for Settlement and Accepted Rebuttal Corrections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 enableFormatConditionsCalculation="0">
    <tabColor indexed="47"/>
  </sheetPr>
  <dimension ref="A1:R55"/>
  <sheetViews>
    <sheetView topLeftCell="A11" workbookViewId="0">
      <selection activeCell="J45" sqref="J45"/>
    </sheetView>
  </sheetViews>
  <sheetFormatPr defaultRowHeight="15.75"/>
  <cols>
    <col min="2" max="2" width="15.875" customWidth="1"/>
    <col min="3" max="3" width="6.75" style="410" customWidth="1"/>
    <col min="5" max="5" width="23.25" customWidth="1"/>
    <col min="7" max="7" width="12.625" customWidth="1"/>
    <col min="8" max="8" width="2.875" customWidth="1"/>
    <col min="9" max="9" width="12.25" customWidth="1"/>
    <col min="10" max="10" width="4.875" customWidth="1"/>
    <col min="11" max="11" width="13.375" customWidth="1"/>
    <col min="13" max="13" width="9.875" customWidth="1"/>
  </cols>
  <sheetData>
    <row r="1" spans="1:18">
      <c r="A1" s="218"/>
      <c r="B1" s="218"/>
      <c r="C1" s="409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>
      <c r="A2" s="218"/>
      <c r="B2" s="218"/>
      <c r="C2" s="409"/>
      <c r="D2" s="409"/>
      <c r="E2" s="409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>
      <c r="A3" s="218"/>
      <c r="B3" s="218"/>
      <c r="C3" s="560" t="str">
        <f>+'DPK-2 Results Sch1.1'!B3</f>
        <v>Avista Corporation</v>
      </c>
      <c r="D3" s="276"/>
      <c r="E3" s="278"/>
      <c r="F3" s="276"/>
      <c r="G3" s="276"/>
      <c r="H3" s="276"/>
      <c r="I3" s="276"/>
      <c r="J3" s="548"/>
      <c r="K3" s="218"/>
      <c r="L3" s="218"/>
      <c r="M3" s="218"/>
      <c r="N3" s="218"/>
      <c r="O3" s="218"/>
      <c r="P3" s="218"/>
      <c r="Q3" s="218"/>
      <c r="R3" s="218"/>
    </row>
    <row r="4" spans="1:18">
      <c r="A4" s="218"/>
      <c r="B4" s="576"/>
      <c r="C4" s="299" t="s">
        <v>442</v>
      </c>
      <c r="D4" s="276"/>
      <c r="E4" s="279"/>
      <c r="F4" s="276"/>
      <c r="G4" s="276"/>
      <c r="H4" s="276"/>
      <c r="I4" s="276"/>
      <c r="J4" s="549"/>
      <c r="K4" s="218"/>
      <c r="L4" s="218"/>
      <c r="M4" s="218"/>
      <c r="N4" s="218"/>
      <c r="O4" s="218"/>
      <c r="P4" s="218"/>
      <c r="Q4" s="218"/>
      <c r="R4" s="218"/>
    </row>
    <row r="5" spans="1:18">
      <c r="A5" s="218"/>
      <c r="B5" s="218"/>
      <c r="C5" s="381" t="s">
        <v>637</v>
      </c>
      <c r="D5" s="276"/>
      <c r="E5" s="279"/>
      <c r="F5" s="276"/>
      <c r="G5" s="276"/>
      <c r="H5" s="276"/>
      <c r="I5" s="276"/>
      <c r="J5" s="762"/>
      <c r="K5" s="218"/>
      <c r="L5" s="218"/>
      <c r="M5" s="218"/>
      <c r="N5" s="218"/>
      <c r="O5" s="218"/>
      <c r="P5" s="218"/>
      <c r="Q5" s="218"/>
      <c r="R5" s="218"/>
    </row>
    <row r="6" spans="1:18">
      <c r="A6" s="218"/>
      <c r="B6" s="218"/>
      <c r="C6" s="561" t="str">
        <f>+'DPK-2 Results Sch1.1'!B7</f>
        <v>(000's of Dollars)</v>
      </c>
      <c r="D6" s="276"/>
      <c r="E6" s="276"/>
      <c r="F6" s="276"/>
      <c r="G6" s="276"/>
      <c r="H6" s="276"/>
      <c r="I6" s="276"/>
      <c r="J6" s="276"/>
      <c r="K6" s="218"/>
      <c r="L6" s="218"/>
      <c r="M6" s="218"/>
      <c r="N6" s="218"/>
      <c r="O6" s="218"/>
      <c r="P6" s="218"/>
      <c r="Q6" s="218"/>
      <c r="R6" s="218"/>
    </row>
    <row r="7" spans="1:18">
      <c r="A7" s="218"/>
      <c r="B7" s="218"/>
      <c r="C7" s="277"/>
      <c r="D7" s="276"/>
      <c r="E7" s="276"/>
      <c r="F7" s="280"/>
      <c r="G7" s="276"/>
      <c r="H7" s="276"/>
      <c r="I7" s="276"/>
      <c r="J7" s="276"/>
      <c r="K7" s="218"/>
      <c r="L7" s="218"/>
      <c r="M7" s="218"/>
      <c r="N7" s="218"/>
      <c r="O7" s="218"/>
      <c r="P7" s="218"/>
      <c r="Q7" s="218"/>
      <c r="R7" s="218"/>
    </row>
    <row r="8" spans="1:18">
      <c r="A8" s="218"/>
      <c r="B8" s="218"/>
      <c r="D8" s="279"/>
      <c r="E8" s="276"/>
      <c r="F8" s="280"/>
      <c r="G8" s="276"/>
      <c r="H8" s="276"/>
      <c r="I8" s="276"/>
      <c r="J8" s="276"/>
      <c r="K8" s="218"/>
      <c r="L8" s="218"/>
      <c r="M8" s="218"/>
      <c r="N8" s="218"/>
      <c r="O8" s="218"/>
      <c r="P8" s="218"/>
      <c r="Q8" s="218"/>
      <c r="R8" s="218"/>
    </row>
    <row r="9" spans="1:18">
      <c r="A9" s="218"/>
      <c r="B9" s="218"/>
      <c r="C9" s="298" t="s">
        <v>11</v>
      </c>
      <c r="D9" s="281"/>
      <c r="E9" s="276"/>
      <c r="F9" s="276"/>
      <c r="G9" s="276"/>
      <c r="H9" s="276"/>
      <c r="I9" s="276"/>
      <c r="J9" s="276"/>
      <c r="K9" s="218"/>
      <c r="L9" s="218"/>
      <c r="M9" s="218"/>
      <c r="N9" s="218"/>
      <c r="O9" s="218"/>
      <c r="P9" s="218"/>
      <c r="Q9" s="218"/>
      <c r="R9" s="218"/>
    </row>
    <row r="10" spans="1:18">
      <c r="A10" s="218"/>
      <c r="B10" s="218"/>
      <c r="C10" s="413" t="s">
        <v>29</v>
      </c>
      <c r="D10" s="276"/>
      <c r="E10" s="276"/>
      <c r="F10" s="276"/>
      <c r="G10" s="276"/>
      <c r="H10" s="276"/>
      <c r="I10" s="276"/>
      <c r="J10" s="283"/>
      <c r="K10" s="218"/>
      <c r="L10" s="218"/>
      <c r="M10" s="218"/>
      <c r="N10" s="218"/>
      <c r="O10" s="218"/>
      <c r="P10" s="218"/>
      <c r="Q10" s="218"/>
      <c r="R10" s="218"/>
    </row>
    <row r="11" spans="1:18">
      <c r="A11" s="218"/>
      <c r="B11" s="218"/>
      <c r="C11" s="411">
        <v>1</v>
      </c>
      <c r="D11" s="276"/>
      <c r="E11" s="888" t="s">
        <v>329</v>
      </c>
      <c r="F11" s="888"/>
      <c r="G11" s="888"/>
      <c r="H11" s="284"/>
      <c r="I11" s="772"/>
      <c r="J11" s="283"/>
      <c r="K11" s="218"/>
      <c r="L11" s="218"/>
      <c r="M11" s="218"/>
      <c r="N11" s="218"/>
      <c r="O11" s="218"/>
      <c r="P11" s="218"/>
      <c r="Q11" s="218"/>
      <c r="R11" s="218"/>
    </row>
    <row r="12" spans="1:18">
      <c r="A12" s="218"/>
      <c r="B12" s="218"/>
      <c r="C12" s="411">
        <f t="shared" ref="C12:C38" si="0">+C11+1</f>
        <v>2</v>
      </c>
      <c r="D12" s="276"/>
      <c r="E12" s="285"/>
      <c r="F12" s="285"/>
      <c r="G12" s="286"/>
      <c r="H12" s="286"/>
      <c r="I12" s="773"/>
      <c r="J12" s="283"/>
      <c r="K12" s="218"/>
      <c r="L12" s="218"/>
      <c r="M12" s="218"/>
      <c r="N12" s="218"/>
      <c r="O12" s="218"/>
      <c r="P12" s="218"/>
      <c r="Q12" s="218"/>
      <c r="R12" s="218"/>
    </row>
    <row r="13" spans="1:18">
      <c r="A13" s="218"/>
      <c r="B13" s="218"/>
      <c r="C13" s="411">
        <f t="shared" si="0"/>
        <v>3</v>
      </c>
      <c r="D13" s="276"/>
      <c r="E13" s="285"/>
      <c r="F13" s="285"/>
      <c r="G13" s="284" t="s">
        <v>330</v>
      </c>
      <c r="H13" s="284"/>
      <c r="I13" s="772"/>
      <c r="J13" s="283"/>
      <c r="K13" s="218"/>
      <c r="L13" s="218"/>
      <c r="M13" s="218"/>
      <c r="N13" s="218"/>
      <c r="O13" s="218"/>
      <c r="P13" s="218"/>
      <c r="Q13" s="218"/>
      <c r="R13" s="218"/>
    </row>
    <row r="14" spans="1:18">
      <c r="A14" s="218"/>
      <c r="B14" s="218"/>
      <c r="C14" s="411">
        <f t="shared" si="0"/>
        <v>4</v>
      </c>
      <c r="D14" s="276"/>
      <c r="E14" s="285"/>
      <c r="F14" s="285"/>
      <c r="G14" s="287" t="s">
        <v>10</v>
      </c>
      <c r="H14" s="284"/>
      <c r="I14" s="772"/>
      <c r="J14" s="283"/>
      <c r="K14" s="218"/>
      <c r="L14" s="218"/>
      <c r="M14" s="218"/>
      <c r="N14" s="218"/>
      <c r="O14" s="218"/>
      <c r="P14" s="218"/>
      <c r="Q14" s="218"/>
      <c r="R14" s="218"/>
    </row>
    <row r="15" spans="1:18">
      <c r="A15" s="218"/>
      <c r="B15" s="218"/>
      <c r="C15" s="411">
        <f t="shared" si="0"/>
        <v>5</v>
      </c>
      <c r="D15" s="276"/>
      <c r="E15" s="285"/>
      <c r="F15" s="285"/>
      <c r="G15" s="288" t="s">
        <v>253</v>
      </c>
      <c r="H15" s="284"/>
      <c r="I15" s="780" t="s">
        <v>259</v>
      </c>
      <c r="K15" s="218"/>
      <c r="L15" s="218"/>
      <c r="M15" s="218"/>
      <c r="N15" s="218"/>
      <c r="O15" s="218"/>
      <c r="P15" s="218"/>
      <c r="Q15" s="218"/>
      <c r="R15" s="218"/>
    </row>
    <row r="16" spans="1:18">
      <c r="A16" s="218"/>
      <c r="B16" s="218"/>
      <c r="C16" s="411">
        <f t="shared" si="0"/>
        <v>6</v>
      </c>
      <c r="D16" s="276"/>
      <c r="E16" s="276"/>
      <c r="F16" s="276"/>
      <c r="G16" s="276"/>
      <c r="H16" s="284"/>
      <c r="I16" s="774"/>
      <c r="K16" s="218"/>
      <c r="L16" s="218"/>
      <c r="M16" s="218"/>
      <c r="N16" s="218"/>
      <c r="O16" s="218"/>
      <c r="P16" s="218"/>
      <c r="Q16" s="218"/>
      <c r="R16" s="218"/>
    </row>
    <row r="17" spans="1:18">
      <c r="A17" s="218"/>
      <c r="B17" s="218"/>
      <c r="C17" s="411">
        <f t="shared" si="0"/>
        <v>7</v>
      </c>
      <c r="D17" s="276"/>
      <c r="E17" s="289"/>
      <c r="F17" s="290" t="s">
        <v>331</v>
      </c>
      <c r="G17" s="525">
        <f ca="1">+'DPK-2 Results Sch1.1'!M71</f>
        <v>991820.071</v>
      </c>
      <c r="H17" s="525"/>
      <c r="I17" s="775" t="s">
        <v>504</v>
      </c>
      <c r="K17" s="218"/>
      <c r="L17" s="218"/>
      <c r="M17" s="525">
        <f ca="1">+G17</f>
        <v>991820.071</v>
      </c>
      <c r="N17" s="218"/>
      <c r="O17" s="218"/>
      <c r="P17" s="218"/>
      <c r="Q17" s="218"/>
      <c r="R17" s="218"/>
    </row>
    <row r="18" spans="1:18">
      <c r="A18" s="218"/>
      <c r="B18" s="218"/>
      <c r="C18" s="411">
        <f t="shared" si="0"/>
        <v>8</v>
      </c>
      <c r="D18" s="276"/>
      <c r="E18" s="289"/>
      <c r="F18" s="290" t="s">
        <v>332</v>
      </c>
      <c r="G18" s="291">
        <f>+'DPK-2 Capital Structure Sch 4 '!H19</f>
        <v>8.2500000000000004E-2</v>
      </c>
      <c r="H18" s="291"/>
      <c r="I18" s="775" t="s">
        <v>500</v>
      </c>
      <c r="K18" s="218"/>
      <c r="L18" s="218"/>
      <c r="M18" s="291">
        <v>8.43E-2</v>
      </c>
      <c r="N18" s="218"/>
      <c r="O18" s="218"/>
      <c r="P18" s="218"/>
      <c r="Q18" s="218"/>
      <c r="R18" s="218"/>
    </row>
    <row r="19" spans="1:18">
      <c r="A19" s="218"/>
      <c r="B19" s="218"/>
      <c r="C19" s="411">
        <f t="shared" si="0"/>
        <v>9</v>
      </c>
      <c r="D19" s="276"/>
      <c r="E19" s="292"/>
      <c r="F19" s="290" t="s">
        <v>333</v>
      </c>
      <c r="G19" s="293">
        <f ca="1">+G17*G18</f>
        <v>81825.155857500009</v>
      </c>
      <c r="H19" s="559"/>
      <c r="I19" s="775" t="s">
        <v>334</v>
      </c>
      <c r="K19" s="218"/>
      <c r="L19" s="218"/>
      <c r="M19" s="293">
        <f ca="1">+M17*M18</f>
        <v>83610.431985300005</v>
      </c>
      <c r="N19" s="218"/>
      <c r="O19" s="218"/>
      <c r="P19" s="218"/>
      <c r="Q19" s="218"/>
      <c r="R19" s="218"/>
    </row>
    <row r="20" spans="1:18">
      <c r="A20" s="218"/>
      <c r="B20" s="218"/>
      <c r="C20" s="411">
        <f t="shared" si="0"/>
        <v>10</v>
      </c>
      <c r="D20" s="276"/>
      <c r="E20" s="292"/>
      <c r="F20" s="227"/>
      <c r="G20" s="228"/>
      <c r="H20" s="228"/>
      <c r="I20" s="775"/>
      <c r="K20" s="218"/>
      <c r="L20" s="218"/>
      <c r="M20" s="228"/>
      <c r="N20" s="218"/>
      <c r="O20" s="218"/>
      <c r="P20" s="218"/>
      <c r="Q20" s="218"/>
      <c r="R20" s="218"/>
    </row>
    <row r="21" spans="1:18" ht="16.5" thickBot="1">
      <c r="A21" s="218"/>
      <c r="B21" s="218"/>
      <c r="C21" s="411">
        <f t="shared" si="0"/>
        <v>11</v>
      </c>
      <c r="D21" s="276"/>
      <c r="E21" s="292"/>
      <c r="F21" s="290" t="s">
        <v>335</v>
      </c>
      <c r="G21" s="294">
        <f ca="1">+'DPK-2 Results Sch1.1'!K54</f>
        <v>66560.57667223498</v>
      </c>
      <c r="H21" s="294"/>
      <c r="I21" s="775" t="s">
        <v>505</v>
      </c>
      <c r="K21" s="218"/>
      <c r="L21" s="218"/>
      <c r="M21" s="294">
        <v>51824</v>
      </c>
      <c r="N21" s="218"/>
      <c r="O21" s="218"/>
      <c r="P21" s="218"/>
      <c r="Q21" s="218"/>
      <c r="R21" s="218"/>
    </row>
    <row r="22" spans="1:18" ht="16.5" thickBot="1">
      <c r="A22" s="218"/>
      <c r="B22" s="218"/>
      <c r="C22" s="411">
        <f t="shared" si="0"/>
        <v>12</v>
      </c>
      <c r="D22" s="276"/>
      <c r="E22" s="276"/>
      <c r="F22" s="276"/>
      <c r="G22" s="276"/>
      <c r="H22" s="276"/>
      <c r="I22" s="776"/>
      <c r="K22" s="564" t="s">
        <v>491</v>
      </c>
      <c r="L22" s="218"/>
      <c r="M22" s="276"/>
      <c r="N22" s="218"/>
      <c r="O22" s="218"/>
      <c r="P22" s="218"/>
      <c r="Q22" s="218"/>
      <c r="R22" s="218"/>
    </row>
    <row r="23" spans="1:18" ht="16.5" thickBot="1">
      <c r="A23" s="218"/>
      <c r="B23" s="218"/>
      <c r="C23" s="411">
        <f t="shared" si="0"/>
        <v>13</v>
      </c>
      <c r="D23" s="276"/>
      <c r="E23" s="295"/>
      <c r="F23" s="290" t="s">
        <v>336</v>
      </c>
      <c r="G23" s="296">
        <f ca="1">+G19-G21</f>
        <v>15264.579185265029</v>
      </c>
      <c r="H23" s="296"/>
      <c r="I23" s="775" t="s">
        <v>501</v>
      </c>
      <c r="K23" s="565">
        <f ca="1">+G23*1000</f>
        <v>15264579.185265029</v>
      </c>
      <c r="L23" s="218"/>
      <c r="M23" s="296">
        <f ca="1">+M19-M21</f>
        <v>31786.431985300005</v>
      </c>
      <c r="N23" s="218"/>
      <c r="O23" s="218"/>
      <c r="P23" s="218"/>
      <c r="Q23" s="218"/>
      <c r="R23" s="218"/>
    </row>
    <row r="24" spans="1:18">
      <c r="A24" s="218"/>
      <c r="B24" s="218"/>
      <c r="C24" s="411">
        <f t="shared" si="0"/>
        <v>14</v>
      </c>
      <c r="D24" s="276"/>
      <c r="E24" s="295"/>
      <c r="F24" s="290"/>
      <c r="G24" s="228"/>
      <c r="H24" s="228"/>
      <c r="I24" s="775"/>
      <c r="K24" s="218"/>
      <c r="L24" s="218"/>
      <c r="M24" s="228"/>
      <c r="N24" s="218"/>
      <c r="O24" s="218"/>
      <c r="P24" s="218"/>
      <c r="Q24" s="218"/>
      <c r="R24" s="218"/>
    </row>
    <row r="25" spans="1:18">
      <c r="A25" s="218"/>
      <c r="B25" s="218"/>
      <c r="C25" s="411">
        <f t="shared" si="0"/>
        <v>15</v>
      </c>
      <c r="D25" s="276"/>
      <c r="E25" s="295"/>
      <c r="F25" s="290" t="s">
        <v>168</v>
      </c>
      <c r="G25" s="297">
        <f>+'DPK-2 Revenue Conv Factor Sch 3'!H25</f>
        <v>0.62195299999999998</v>
      </c>
      <c r="H25" s="297"/>
      <c r="I25" s="775" t="s">
        <v>502</v>
      </c>
      <c r="K25" s="218"/>
      <c r="L25" s="218"/>
      <c r="M25" s="297">
        <f>+G25</f>
        <v>0.62195299999999998</v>
      </c>
      <c r="N25" s="218"/>
      <c r="O25" s="218"/>
      <c r="P25" s="218"/>
      <c r="Q25" s="218"/>
      <c r="R25" s="218"/>
    </row>
    <row r="26" spans="1:18">
      <c r="A26" s="218"/>
      <c r="B26" s="218"/>
      <c r="C26" s="411">
        <f t="shared" si="0"/>
        <v>16</v>
      </c>
      <c r="D26" s="276"/>
      <c r="E26" s="276"/>
      <c r="F26" s="276"/>
      <c r="G26" s="276"/>
      <c r="H26" s="276"/>
      <c r="I26" s="776"/>
      <c r="K26" s="218"/>
      <c r="L26" s="218"/>
      <c r="M26" s="276"/>
      <c r="N26" s="218"/>
      <c r="O26" s="218"/>
      <c r="P26" s="218"/>
      <c r="Q26" s="218"/>
      <c r="R26" s="218"/>
    </row>
    <row r="27" spans="1:18">
      <c r="A27" s="218"/>
      <c r="B27" s="218"/>
      <c r="C27" s="411">
        <f t="shared" si="0"/>
        <v>17</v>
      </c>
      <c r="D27" s="276"/>
      <c r="E27" s="295"/>
      <c r="F27" s="290" t="s">
        <v>337</v>
      </c>
      <c r="G27" s="293">
        <f ca="1">+G23/G25</f>
        <v>24542.978625820648</v>
      </c>
      <c r="H27" s="559"/>
      <c r="I27" s="775" t="s">
        <v>338</v>
      </c>
      <c r="K27" s="218"/>
      <c r="L27" s="218"/>
      <c r="M27" s="293">
        <f ca="1">+M23/M25</f>
        <v>51107.450217781741</v>
      </c>
      <c r="N27" s="218"/>
      <c r="O27" s="218"/>
      <c r="P27" s="218"/>
      <c r="Q27" s="218"/>
      <c r="R27" s="218"/>
    </row>
    <row r="28" spans="1:18">
      <c r="A28" s="218"/>
      <c r="B28" s="218"/>
      <c r="C28" s="411">
        <f t="shared" si="0"/>
        <v>18</v>
      </c>
      <c r="D28" s="276"/>
      <c r="E28" s="276"/>
      <c r="F28" s="276"/>
      <c r="G28" s="276"/>
      <c r="H28" s="276"/>
      <c r="I28" s="776"/>
      <c r="K28" s="218"/>
      <c r="L28" s="218"/>
      <c r="M28" s="276"/>
      <c r="N28" s="218"/>
      <c r="O28" s="218"/>
      <c r="P28" s="218"/>
      <c r="Q28" s="218"/>
      <c r="R28" s="218"/>
    </row>
    <row r="29" spans="1:18">
      <c r="A29" s="218"/>
      <c r="B29" s="218"/>
      <c r="C29" s="411">
        <f t="shared" si="0"/>
        <v>19</v>
      </c>
      <c r="D29" s="276"/>
      <c r="E29" s="276"/>
      <c r="F29" s="276" t="s">
        <v>430</v>
      </c>
      <c r="G29" s="407">
        <v>69762</v>
      </c>
      <c r="H29" s="407"/>
      <c r="I29" s="777"/>
      <c r="K29" s="218"/>
      <c r="L29" s="218"/>
      <c r="M29" s="407"/>
      <c r="N29" s="218"/>
      <c r="O29" s="218"/>
      <c r="P29" s="218"/>
      <c r="Q29" s="218"/>
      <c r="R29" s="218"/>
    </row>
    <row r="30" spans="1:18" ht="16.5" thickBot="1">
      <c r="A30" s="218"/>
      <c r="B30" s="218"/>
      <c r="C30" s="411">
        <f t="shared" si="0"/>
        <v>20</v>
      </c>
      <c r="D30" s="276"/>
      <c r="E30" s="276"/>
      <c r="F30" s="276" t="s">
        <v>395</v>
      </c>
      <c r="G30" s="408">
        <f ca="1">+G27-G29</f>
        <v>-45219.021374179356</v>
      </c>
      <c r="H30" s="407"/>
      <c r="I30" s="775" t="s">
        <v>503</v>
      </c>
      <c r="K30" s="218"/>
      <c r="L30" s="218"/>
      <c r="M30" s="408"/>
      <c r="N30" s="218"/>
      <c r="O30" s="218"/>
      <c r="P30" s="218"/>
      <c r="Q30" s="218"/>
      <c r="R30" s="218"/>
    </row>
    <row r="31" spans="1:18" ht="16.5" thickTop="1">
      <c r="A31" s="218"/>
      <c r="B31" s="218"/>
      <c r="C31" s="411">
        <f t="shared" si="0"/>
        <v>21</v>
      </c>
      <c r="D31" s="298"/>
      <c r="E31" s="276"/>
      <c r="F31" s="276"/>
      <c r="G31" s="276"/>
      <c r="H31" s="276"/>
      <c r="I31" s="778"/>
      <c r="J31" s="276"/>
      <c r="K31" s="218"/>
      <c r="L31" s="218"/>
      <c r="M31" s="218"/>
      <c r="N31" s="218"/>
      <c r="O31" s="218"/>
      <c r="P31" s="218"/>
      <c r="Q31" s="218"/>
      <c r="R31" s="218"/>
    </row>
    <row r="32" spans="1:18">
      <c r="A32" s="218"/>
      <c r="B32" s="218"/>
      <c r="C32" s="411">
        <f t="shared" si="0"/>
        <v>22</v>
      </c>
      <c r="D32" s="298"/>
      <c r="E32" s="276"/>
      <c r="F32" s="276"/>
      <c r="I32" s="779"/>
      <c r="J32" s="276"/>
      <c r="K32" s="218"/>
      <c r="L32" s="218"/>
      <c r="M32" s="218"/>
      <c r="N32" s="218"/>
      <c r="O32" s="218"/>
      <c r="P32" s="218"/>
      <c r="Q32" s="218"/>
      <c r="R32" s="218"/>
    </row>
    <row r="33" spans="1:18">
      <c r="A33" s="218"/>
      <c r="B33" s="218"/>
      <c r="C33" s="411">
        <f t="shared" si="0"/>
        <v>23</v>
      </c>
      <c r="D33" s="298"/>
      <c r="E33" s="276"/>
      <c r="F33" s="276"/>
      <c r="G33" s="276"/>
      <c r="H33" s="276"/>
      <c r="I33" s="276"/>
      <c r="J33" s="276"/>
      <c r="K33" s="218"/>
      <c r="L33" s="218"/>
      <c r="M33" s="218"/>
      <c r="N33" s="218"/>
      <c r="O33" s="218"/>
      <c r="P33" s="218"/>
      <c r="Q33" s="218"/>
      <c r="R33" s="218"/>
    </row>
    <row r="34" spans="1:18">
      <c r="A34" s="218"/>
      <c r="B34" s="218"/>
      <c r="C34" s="411">
        <f t="shared" si="0"/>
        <v>24</v>
      </c>
      <c r="D34" s="282"/>
      <c r="E34" s="276"/>
      <c r="F34" s="276"/>
      <c r="G34" s="276"/>
      <c r="H34" s="276"/>
      <c r="I34" s="276"/>
      <c r="J34" s="276"/>
      <c r="K34" s="218"/>
      <c r="L34" s="218"/>
      <c r="M34" s="218"/>
      <c r="N34" s="218"/>
      <c r="O34" s="218"/>
      <c r="P34" s="218"/>
      <c r="Q34" s="218"/>
      <c r="R34" s="218"/>
    </row>
    <row r="35" spans="1:18">
      <c r="A35" s="218"/>
      <c r="B35" s="218"/>
      <c r="C35" s="411">
        <f t="shared" si="0"/>
        <v>25</v>
      </c>
      <c r="D35" s="298"/>
      <c r="E35" s="276"/>
      <c r="F35" s="276"/>
      <c r="G35" s="276"/>
      <c r="H35" s="276"/>
      <c r="I35" s="276"/>
      <c r="J35" s="276"/>
      <c r="K35" s="218"/>
      <c r="L35" s="218"/>
      <c r="M35" s="218"/>
      <c r="N35" s="218"/>
      <c r="O35" s="218"/>
      <c r="P35" s="218"/>
      <c r="Q35" s="218"/>
      <c r="R35" s="218"/>
    </row>
    <row r="36" spans="1:18">
      <c r="A36" s="218"/>
      <c r="B36" s="218"/>
      <c r="C36" s="411">
        <f t="shared" si="0"/>
        <v>26</v>
      </c>
      <c r="D36" s="298"/>
      <c r="E36" s="276"/>
      <c r="F36" s="276"/>
      <c r="G36" s="276"/>
      <c r="H36" s="276"/>
      <c r="I36" s="276"/>
      <c r="J36" s="276"/>
      <c r="K36" s="218"/>
      <c r="L36" s="218"/>
      <c r="M36" s="218"/>
      <c r="N36" s="218"/>
      <c r="O36" s="218"/>
      <c r="P36" s="218"/>
      <c r="Q36" s="218"/>
      <c r="R36" s="218"/>
    </row>
    <row r="37" spans="1:18">
      <c r="A37" s="218"/>
      <c r="B37" s="218"/>
      <c r="C37" s="411">
        <f t="shared" si="0"/>
        <v>27</v>
      </c>
      <c r="D37" s="298"/>
      <c r="E37" s="276"/>
      <c r="F37" s="276"/>
      <c r="G37" s="276"/>
      <c r="H37" s="276"/>
      <c r="I37" s="276"/>
      <c r="J37" s="276"/>
      <c r="K37" s="218"/>
      <c r="L37" s="218"/>
      <c r="M37" s="218"/>
      <c r="N37" s="218"/>
      <c r="O37" s="218"/>
      <c r="P37" s="218"/>
      <c r="Q37" s="218"/>
      <c r="R37" s="218"/>
    </row>
    <row r="38" spans="1:18">
      <c r="A38" s="218"/>
      <c r="B38" s="218"/>
      <c r="C38" s="411">
        <f t="shared" si="0"/>
        <v>28</v>
      </c>
      <c r="D38" s="298"/>
      <c r="E38" s="276"/>
      <c r="F38" s="276"/>
      <c r="G38" s="276"/>
      <c r="H38" s="276"/>
      <c r="I38" s="276"/>
      <c r="J38" s="276"/>
      <c r="K38" s="218"/>
      <c r="L38" s="218"/>
      <c r="M38" s="218"/>
      <c r="N38" s="218"/>
      <c r="O38" s="218"/>
      <c r="P38" s="218"/>
      <c r="Q38" s="218"/>
      <c r="R38" s="218"/>
    </row>
    <row r="39" spans="1:18">
      <c r="A39" s="218"/>
      <c r="B39" s="218"/>
      <c r="C39" s="412"/>
      <c r="I39" s="839" t="s">
        <v>651</v>
      </c>
      <c r="K39" s="218"/>
      <c r="L39" s="218"/>
      <c r="M39" s="218"/>
      <c r="N39" s="218"/>
      <c r="O39" s="218"/>
      <c r="P39" s="218"/>
      <c r="Q39" s="218"/>
      <c r="R39" s="218"/>
    </row>
    <row r="40" spans="1:18">
      <c r="A40" s="218"/>
      <c r="B40" s="218"/>
      <c r="I40" s="839" t="s">
        <v>647</v>
      </c>
      <c r="K40" s="218"/>
      <c r="L40" s="218"/>
      <c r="M40" s="218"/>
      <c r="N40" s="218"/>
      <c r="O40" s="218"/>
      <c r="P40" s="218"/>
      <c r="Q40" s="218"/>
      <c r="R40" s="218"/>
    </row>
    <row r="41" spans="1:18">
      <c r="A41" s="218"/>
      <c r="B41" s="218"/>
      <c r="K41" s="218"/>
      <c r="L41" s="218"/>
      <c r="M41" s="218"/>
      <c r="N41" s="218"/>
      <c r="O41" s="218"/>
      <c r="P41" s="218"/>
      <c r="Q41" s="218"/>
      <c r="R41" s="218"/>
    </row>
    <row r="42" spans="1:18">
      <c r="A42" s="218"/>
      <c r="B42" s="218"/>
      <c r="K42" s="218"/>
      <c r="L42" s="218"/>
      <c r="M42" s="218"/>
      <c r="N42" s="218"/>
      <c r="O42" s="218"/>
      <c r="P42" s="218"/>
      <c r="Q42" s="218"/>
      <c r="R42" s="218"/>
    </row>
    <row r="43" spans="1:18">
      <c r="A43" s="218"/>
      <c r="B43" s="218"/>
      <c r="K43" s="218"/>
      <c r="L43" s="218"/>
      <c r="M43" s="218"/>
      <c r="N43" s="218"/>
      <c r="O43" s="218"/>
      <c r="P43" s="218"/>
      <c r="Q43" s="218"/>
      <c r="R43" s="218"/>
    </row>
    <row r="44" spans="1:18">
      <c r="A44" s="218"/>
      <c r="B44" s="218"/>
      <c r="K44" s="218"/>
      <c r="L44" s="218"/>
      <c r="M44" s="218"/>
      <c r="N44" s="218"/>
      <c r="O44" s="218"/>
      <c r="P44" s="218"/>
      <c r="Q44" s="218"/>
      <c r="R44" s="218"/>
    </row>
    <row r="45" spans="1:18">
      <c r="A45" s="218"/>
      <c r="B45" s="218"/>
      <c r="C45" s="409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</row>
    <row r="46" spans="1:18">
      <c r="A46" s="218"/>
      <c r="B46" s="218"/>
      <c r="C46" s="409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</row>
    <row r="47" spans="1:18">
      <c r="A47" s="218"/>
      <c r="B47" s="218"/>
      <c r="C47" s="409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</row>
    <row r="48" spans="1:18">
      <c r="A48" s="218"/>
      <c r="B48" s="218"/>
      <c r="C48" s="409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</row>
    <row r="49" spans="1:18">
      <c r="A49" s="218"/>
      <c r="B49" s="218"/>
      <c r="C49" s="409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18">
      <c r="A50" s="218"/>
      <c r="B50" s="218"/>
      <c r="C50" s="409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1" spans="1:18">
      <c r="A51" s="218"/>
      <c r="B51" s="218"/>
      <c r="C51" s="409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</row>
    <row r="52" spans="1:18">
      <c r="A52" s="218"/>
      <c r="B52" s="218"/>
      <c r="C52" s="409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</row>
    <row r="53" spans="1:18">
      <c r="A53" s="218"/>
      <c r="B53" s="218"/>
      <c r="C53" s="409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</row>
    <row r="54" spans="1:18">
      <c r="A54" s="218"/>
      <c r="B54" s="218"/>
      <c r="C54" s="409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</row>
    <row r="55" spans="1:18">
      <c r="A55" s="218"/>
      <c r="B55" s="218"/>
      <c r="C55" s="409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</row>
  </sheetData>
  <mergeCells count="1">
    <mergeCell ref="E11:G11"/>
  </mergeCells>
  <phoneticPr fontId="41" type="noConversion"/>
  <pageMargins left="0.75" right="0.75" top="1" bottom="1" header="0.5" footer="0.5"/>
  <pageSetup orientation="portrait" r:id="rId1"/>
  <headerFooter alignWithMargins="0">
    <oddHeader>&amp;RExhibit No. _____(DPK-2)
Docket UE-090134  UG-090135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indexed="47"/>
  </sheetPr>
  <dimension ref="A1:R51"/>
  <sheetViews>
    <sheetView workbookViewId="0">
      <selection activeCell="J45" sqref="J45"/>
    </sheetView>
  </sheetViews>
  <sheetFormatPr defaultRowHeight="15.75"/>
  <cols>
    <col min="3" max="3" width="4" customWidth="1"/>
    <col min="6" max="6" width="19.25" customWidth="1"/>
    <col min="7" max="7" width="3.25" customWidth="1"/>
    <col min="8" max="8" width="11.5" customWidth="1"/>
    <col min="9" max="9" width="3" customWidth="1"/>
    <col min="10" max="10" width="10.125" bestFit="1" customWidth="1"/>
    <col min="12" max="12" width="13.625" customWidth="1"/>
    <col min="14" max="14" width="14.125" bestFit="1" customWidth="1"/>
    <col min="15" max="15" width="10.5" customWidth="1"/>
  </cols>
  <sheetData>
    <row r="1" spans="1:18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>
      <c r="A3" s="218"/>
      <c r="B3" s="218"/>
      <c r="C3" s="550" t="s">
        <v>282</v>
      </c>
      <c r="D3" s="251"/>
      <c r="E3" s="252"/>
      <c r="F3" s="253"/>
      <c r="G3" s="253"/>
      <c r="H3" s="253"/>
      <c r="I3" s="253"/>
      <c r="J3" s="548"/>
      <c r="K3" s="218"/>
      <c r="L3" s="218">
        <f ca="1">+L13</f>
        <v>24542.978625820648</v>
      </c>
      <c r="M3" s="218">
        <f ca="1">+L3</f>
        <v>24542.978625820648</v>
      </c>
      <c r="N3" s="218">
        <f ca="1">+M3</f>
        <v>24542.978625820648</v>
      </c>
      <c r="O3" s="218"/>
      <c r="P3" s="218"/>
      <c r="Q3" s="218"/>
      <c r="R3" s="218"/>
    </row>
    <row r="4" spans="1:18">
      <c r="A4" s="218"/>
      <c r="B4" s="576"/>
      <c r="C4" s="580" t="s">
        <v>442</v>
      </c>
      <c r="D4" s="251"/>
      <c r="E4" s="254"/>
      <c r="F4" s="253"/>
      <c r="G4" s="253"/>
      <c r="H4" s="253"/>
      <c r="I4" s="253"/>
      <c r="J4" s="549"/>
      <c r="K4" s="218"/>
      <c r="L4" s="218"/>
      <c r="M4" s="218">
        <v>-181</v>
      </c>
      <c r="N4" s="218"/>
      <c r="O4" s="218"/>
      <c r="P4" s="218"/>
      <c r="Q4" s="218"/>
      <c r="R4" s="218"/>
    </row>
    <row r="5" spans="1:18">
      <c r="A5" s="218"/>
      <c r="B5" s="218"/>
      <c r="C5" s="381" t="s">
        <v>638</v>
      </c>
      <c r="D5" s="251"/>
      <c r="E5" s="254"/>
      <c r="F5" s="253"/>
      <c r="G5" s="253"/>
      <c r="H5" s="253"/>
      <c r="I5" s="253"/>
      <c r="J5" s="762"/>
      <c r="K5" s="218"/>
      <c r="L5" s="218"/>
      <c r="M5" s="218">
        <f ca="1">+M3+M4</f>
        <v>24361.978625820648</v>
      </c>
      <c r="N5" s="218"/>
      <c r="O5" s="218"/>
      <c r="P5" s="218"/>
      <c r="Q5" s="218"/>
      <c r="R5" s="218"/>
    </row>
    <row r="6" spans="1:18" ht="16.5" thickBot="1">
      <c r="A6" s="218"/>
      <c r="B6" s="218"/>
      <c r="C6" s="550" t="s">
        <v>283</v>
      </c>
      <c r="D6" s="254"/>
      <c r="E6" s="253"/>
      <c r="F6" s="253"/>
      <c r="G6" s="253"/>
      <c r="H6" s="253"/>
      <c r="I6" s="253"/>
      <c r="J6" s="253"/>
      <c r="K6" s="218"/>
      <c r="L6" s="665">
        <v>3.8730000000000001E-2</v>
      </c>
      <c r="M6" s="665">
        <v>3.8730000000000001E-2</v>
      </c>
      <c r="N6" s="660">
        <v>3.8628999999999997E-2</v>
      </c>
      <c r="O6" s="218"/>
      <c r="P6" s="218"/>
      <c r="Q6" s="218"/>
      <c r="R6" s="218"/>
    </row>
    <row r="7" spans="1:18">
      <c r="A7" s="218"/>
      <c r="B7" s="218"/>
      <c r="C7" s="254"/>
      <c r="D7" s="254"/>
      <c r="E7" s="253"/>
      <c r="F7" s="251"/>
      <c r="G7" s="253"/>
      <c r="H7" s="253"/>
      <c r="I7" s="253"/>
      <c r="J7" s="253"/>
      <c r="K7" s="218"/>
      <c r="L7" s="218">
        <f ca="1">+L3*L6</f>
        <v>950.54956217803374</v>
      </c>
      <c r="M7" s="218">
        <f ca="1">+M5*M6</f>
        <v>943.53943217803373</v>
      </c>
      <c r="N7" s="218">
        <f ca="1">+N3*N6</f>
        <v>948.07072133682573</v>
      </c>
      <c r="O7" s="218"/>
      <c r="P7" s="218"/>
      <c r="Q7" s="218"/>
      <c r="R7" s="218"/>
    </row>
    <row r="8" spans="1:18" ht="16.5" thickBot="1">
      <c r="A8" s="218"/>
      <c r="B8" s="218"/>
      <c r="C8" s="230" t="s">
        <v>11</v>
      </c>
      <c r="D8" s="230"/>
      <c r="E8" s="253"/>
      <c r="F8" s="251"/>
      <c r="G8" s="251"/>
      <c r="H8" s="251"/>
      <c r="I8" s="251"/>
      <c r="J8" s="251"/>
      <c r="K8" s="218"/>
      <c r="L8" s="218"/>
      <c r="M8" s="218"/>
      <c r="N8" s="218"/>
      <c r="O8" s="218"/>
      <c r="P8" s="218"/>
      <c r="Q8" s="218"/>
      <c r="R8" s="218"/>
    </row>
    <row r="9" spans="1:18" ht="16.5" thickBot="1">
      <c r="A9" s="218"/>
      <c r="B9" s="218"/>
      <c r="C9" s="232" t="s">
        <v>29</v>
      </c>
      <c r="D9" s="251"/>
      <c r="E9" s="255"/>
      <c r="F9" s="251"/>
      <c r="G9" s="251"/>
      <c r="H9" s="251"/>
      <c r="I9" s="251"/>
      <c r="J9" s="251"/>
      <c r="K9" s="218"/>
      <c r="L9" s="562" t="s">
        <v>256</v>
      </c>
      <c r="M9" s="218"/>
      <c r="N9" s="562" t="s">
        <v>559</v>
      </c>
      <c r="O9" s="218"/>
      <c r="P9" s="218"/>
      <c r="Q9" s="218"/>
      <c r="R9" s="218"/>
    </row>
    <row r="10" spans="1:18">
      <c r="A10" s="218"/>
      <c r="B10" s="218"/>
      <c r="C10" s="257">
        <v>1</v>
      </c>
      <c r="D10" s="251"/>
      <c r="E10" s="258" t="s">
        <v>498</v>
      </c>
      <c r="G10" s="253"/>
      <c r="H10" s="253"/>
      <c r="I10" s="253"/>
      <c r="J10" s="253"/>
      <c r="K10" s="218"/>
      <c r="L10" s="562" t="s">
        <v>497</v>
      </c>
      <c r="M10" s="218"/>
      <c r="N10" s="562"/>
      <c r="O10" s="218"/>
      <c r="P10" s="218"/>
      <c r="Q10" s="218"/>
      <c r="R10" s="218"/>
    </row>
    <row r="11" spans="1:18" ht="16.5" thickBot="1">
      <c r="A11" s="218"/>
      <c r="B11" s="218"/>
      <c r="C11" s="257">
        <v>2</v>
      </c>
      <c r="D11" s="251"/>
      <c r="E11" s="255"/>
      <c r="F11" s="255"/>
      <c r="G11" s="256"/>
      <c r="H11" s="256"/>
      <c r="I11" s="256"/>
      <c r="J11" s="256"/>
      <c r="K11" s="218"/>
      <c r="L11" s="563" t="s">
        <v>38</v>
      </c>
      <c r="M11" s="218"/>
      <c r="N11" s="563" t="s">
        <v>38</v>
      </c>
      <c r="O11" s="218"/>
      <c r="P11" s="218"/>
      <c r="Q11" s="218"/>
      <c r="R11" s="218"/>
    </row>
    <row r="12" spans="1:18">
      <c r="A12" s="218"/>
      <c r="B12" s="218"/>
      <c r="C12" s="257">
        <v>3</v>
      </c>
      <c r="D12" s="251"/>
      <c r="E12" s="255"/>
      <c r="F12" s="255"/>
      <c r="G12" s="256"/>
      <c r="H12" s="256"/>
      <c r="I12" s="256"/>
      <c r="K12" s="218"/>
      <c r="L12" s="551"/>
      <c r="M12" s="218"/>
      <c r="N12" s="551"/>
      <c r="O12" s="218"/>
      <c r="P12" s="218"/>
      <c r="Q12" s="218"/>
      <c r="R12" s="218"/>
    </row>
    <row r="13" spans="1:18">
      <c r="A13" s="218"/>
      <c r="B13" s="218"/>
      <c r="C13" s="257">
        <v>4</v>
      </c>
      <c r="D13" s="251"/>
      <c r="E13" s="259"/>
      <c r="F13" s="260" t="s">
        <v>44</v>
      </c>
      <c r="G13" s="261"/>
      <c r="H13" s="262">
        <v>1</v>
      </c>
      <c r="I13" s="256"/>
      <c r="J13" s="779"/>
      <c r="K13" s="218"/>
      <c r="L13" s="552">
        <f ca="1">+'DPK-2 Revenue Requirement Sch 2'!G27</f>
        <v>24542.978625820648</v>
      </c>
      <c r="M13" s="218"/>
      <c r="N13" s="552">
        <v>47364</v>
      </c>
      <c r="O13" s="218"/>
      <c r="P13" s="218"/>
      <c r="Q13" s="218"/>
      <c r="R13" s="218"/>
    </row>
    <row r="14" spans="1:18">
      <c r="A14" s="218"/>
      <c r="B14" s="218"/>
      <c r="C14" s="257">
        <v>5</v>
      </c>
      <c r="D14" s="251"/>
      <c r="E14" s="263"/>
      <c r="F14" s="264"/>
      <c r="G14" s="263"/>
      <c r="H14" s="265"/>
      <c r="I14" s="256"/>
      <c r="J14" s="779"/>
      <c r="K14" s="218"/>
      <c r="L14" s="552"/>
      <c r="M14" s="218"/>
      <c r="N14" s="552"/>
      <c r="O14" s="218"/>
      <c r="P14" s="218"/>
      <c r="Q14" s="218"/>
      <c r="R14" s="218"/>
    </row>
    <row r="15" spans="1:18">
      <c r="A15" s="218"/>
      <c r="B15" s="218"/>
      <c r="C15" s="257">
        <v>6</v>
      </c>
      <c r="D15" s="234"/>
      <c r="E15" s="264"/>
      <c r="F15" s="260" t="s">
        <v>311</v>
      </c>
      <c r="G15" s="266"/>
      <c r="H15" s="851">
        <v>2E-3</v>
      </c>
      <c r="I15" s="256"/>
      <c r="J15" s="779"/>
      <c r="K15" s="218"/>
      <c r="L15" s="553">
        <f ca="1">+$L$13*H15</f>
        <v>49.085957251641297</v>
      </c>
      <c r="M15" s="218"/>
      <c r="N15" s="553">
        <f>+$N$13*H15</f>
        <v>94.728000000000009</v>
      </c>
      <c r="O15" s="218"/>
      <c r="P15" s="218"/>
      <c r="Q15" s="218"/>
      <c r="R15" s="218"/>
    </row>
    <row r="16" spans="1:18">
      <c r="A16" s="218"/>
      <c r="B16" s="218"/>
      <c r="C16" s="257">
        <v>7</v>
      </c>
      <c r="D16" s="234"/>
      <c r="E16" s="264"/>
      <c r="F16" s="260" t="s">
        <v>316</v>
      </c>
      <c r="G16" s="266"/>
      <c r="H16" s="262">
        <f>+L32</f>
        <v>3.8632516589999999E-2</v>
      </c>
      <c r="I16" s="256"/>
      <c r="J16" s="779"/>
      <c r="K16" s="218"/>
      <c r="L16" s="553">
        <f ca="1">+$L$13*H16</f>
        <v>948.15702893003152</v>
      </c>
      <c r="M16" s="218"/>
      <c r="N16" s="553">
        <f>+$N$13*H16</f>
        <v>1829.7905157687599</v>
      </c>
      <c r="O16" s="218"/>
      <c r="P16" s="218"/>
      <c r="Q16" s="218"/>
      <c r="R16" s="218"/>
    </row>
    <row r="17" spans="1:18">
      <c r="A17" s="218"/>
      <c r="B17" s="218"/>
      <c r="C17" s="257">
        <v>8</v>
      </c>
      <c r="D17" s="234"/>
      <c r="E17" s="264"/>
      <c r="F17" s="260" t="s">
        <v>312</v>
      </c>
      <c r="G17" s="266"/>
      <c r="H17" s="851">
        <v>2.5170000000000001E-3</v>
      </c>
      <c r="I17" s="256"/>
      <c r="J17" s="779"/>
      <c r="K17" s="218"/>
      <c r="L17" s="553">
        <f ca="1">+$L$13*H17</f>
        <v>61.77467720119057</v>
      </c>
      <c r="M17" s="218"/>
      <c r="N17" s="553">
        <f>+$N$13*H17</f>
        <v>119.21518800000001</v>
      </c>
      <c r="O17" s="218"/>
      <c r="P17" s="218"/>
      <c r="Q17" s="218"/>
      <c r="R17" s="218"/>
    </row>
    <row r="18" spans="1:18">
      <c r="A18" s="218"/>
      <c r="B18" s="218"/>
      <c r="C18" s="257">
        <v>9</v>
      </c>
      <c r="D18" s="232"/>
      <c r="E18" s="264"/>
      <c r="F18" s="267" t="s">
        <v>313</v>
      </c>
      <c r="H18" s="268">
        <f>SUM(H15:H17)</f>
        <v>4.3149516589999999E-2</v>
      </c>
      <c r="J18" s="780" t="s">
        <v>324</v>
      </c>
      <c r="K18" s="218"/>
      <c r="L18" s="554">
        <f ca="1">SUM(L15:L17)</f>
        <v>1059.0176633828632</v>
      </c>
      <c r="M18" s="218"/>
      <c r="N18" s="554">
        <f>SUM(N15:N17)</f>
        <v>2043.7337037687598</v>
      </c>
      <c r="O18" s="218"/>
      <c r="P18" s="218"/>
      <c r="Q18" s="218"/>
      <c r="R18" s="218"/>
    </row>
    <row r="19" spans="1:18">
      <c r="A19" s="218"/>
      <c r="B19" s="218"/>
      <c r="C19" s="257">
        <v>10</v>
      </c>
      <c r="D19" s="234"/>
      <c r="E19" s="264"/>
      <c r="F19" s="267"/>
      <c r="H19" s="262"/>
      <c r="J19" s="780"/>
      <c r="K19" s="218"/>
      <c r="L19" s="553"/>
      <c r="M19" s="218"/>
      <c r="N19" s="553"/>
      <c r="O19" s="218"/>
      <c r="P19" s="218"/>
      <c r="Q19" s="218"/>
      <c r="R19" s="218"/>
    </row>
    <row r="20" spans="1:18">
      <c r="A20" s="218"/>
      <c r="B20" s="218"/>
      <c r="C20" s="257">
        <v>11</v>
      </c>
      <c r="D20" s="234"/>
      <c r="E20" s="269"/>
      <c r="F20" s="260" t="s">
        <v>318</v>
      </c>
      <c r="H20" s="262">
        <f>+H13-H18</f>
        <v>0.95685048341000001</v>
      </c>
      <c r="J20" s="780" t="s">
        <v>325</v>
      </c>
      <c r="K20" s="218"/>
      <c r="L20" s="553">
        <f ca="1">+L13-L18</f>
        <v>23483.960962437784</v>
      </c>
      <c r="M20" s="218"/>
      <c r="N20" s="553">
        <f>+N13-N18</f>
        <v>45320.266296231239</v>
      </c>
      <c r="O20" s="218"/>
      <c r="P20" s="218"/>
      <c r="Q20" s="218"/>
      <c r="R20" s="218"/>
    </row>
    <row r="21" spans="1:18">
      <c r="A21" s="218"/>
      <c r="B21" s="218"/>
      <c r="C21" s="257">
        <v>12</v>
      </c>
      <c r="D21" s="234"/>
      <c r="E21" s="269"/>
      <c r="F21" s="260"/>
      <c r="H21" s="265"/>
      <c r="J21" s="781"/>
      <c r="K21" s="218"/>
      <c r="L21" s="553"/>
      <c r="M21" s="218"/>
      <c r="N21" s="553"/>
      <c r="O21" s="218"/>
      <c r="P21" s="218"/>
      <c r="Q21" s="218"/>
      <c r="R21" s="218"/>
    </row>
    <row r="22" spans="1:18">
      <c r="A22" s="218"/>
      <c r="B22" s="218"/>
      <c r="C22" s="257">
        <v>13</v>
      </c>
      <c r="D22" s="234"/>
      <c r="E22" s="269"/>
      <c r="F22" s="260" t="s">
        <v>317</v>
      </c>
      <c r="H22" s="262">
        <f>+H20*0.35</f>
        <v>0.3348976691935</v>
      </c>
      <c r="J22" s="780" t="s">
        <v>326</v>
      </c>
      <c r="K22" s="218"/>
      <c r="L22" s="555">
        <f ca="1">+L20*0.35</f>
        <v>8219.3863368532238</v>
      </c>
      <c r="M22" s="218"/>
      <c r="N22" s="555">
        <f>+N20*0.35</f>
        <v>15862.093203680932</v>
      </c>
      <c r="O22" s="218"/>
      <c r="P22" s="218"/>
      <c r="Q22" s="218"/>
      <c r="R22" s="218"/>
    </row>
    <row r="23" spans="1:18" ht="16.5" thickBot="1">
      <c r="A23" s="218"/>
      <c r="B23" s="218"/>
      <c r="C23" s="257">
        <v>14</v>
      </c>
      <c r="D23" s="234"/>
      <c r="E23" s="269"/>
      <c r="F23" s="260" t="s">
        <v>314</v>
      </c>
      <c r="H23" s="270">
        <f>+H18+H22</f>
        <v>0.37804718578349999</v>
      </c>
      <c r="J23" s="780" t="s">
        <v>327</v>
      </c>
      <c r="K23" s="218"/>
      <c r="L23" s="556">
        <f ca="1">+L22+L18</f>
        <v>9278.4040002360871</v>
      </c>
      <c r="M23" s="218"/>
      <c r="N23" s="556">
        <f>+N22+N18</f>
        <v>17905.826907449693</v>
      </c>
      <c r="O23" s="218"/>
      <c r="P23" s="218"/>
      <c r="Q23" s="218"/>
      <c r="R23" s="218"/>
    </row>
    <row r="24" spans="1:18" ht="16.5" thickTop="1">
      <c r="A24" s="218"/>
      <c r="B24" s="218"/>
      <c r="C24" s="257">
        <v>15</v>
      </c>
      <c r="D24" s="234"/>
      <c r="E24" s="271"/>
      <c r="F24" s="263"/>
      <c r="H24" s="265"/>
      <c r="J24" s="782"/>
      <c r="K24" s="218"/>
      <c r="L24" s="553"/>
      <c r="M24" s="218"/>
      <c r="N24" s="553"/>
      <c r="O24" s="218"/>
      <c r="P24" s="218"/>
      <c r="Q24" s="218"/>
      <c r="R24" s="218"/>
    </row>
    <row r="25" spans="1:18" ht="16.5" thickBot="1">
      <c r="A25" s="218"/>
      <c r="B25" s="218"/>
      <c r="C25" s="257">
        <v>16</v>
      </c>
      <c r="D25" s="234"/>
      <c r="E25" s="271"/>
      <c r="F25" s="267" t="s">
        <v>168</v>
      </c>
      <c r="H25" s="268">
        <f>ROUND(1-(+H23/H13),6)</f>
        <v>0.62195299999999998</v>
      </c>
      <c r="J25" s="783" t="s">
        <v>328</v>
      </c>
      <c r="K25" s="218"/>
      <c r="L25" s="557">
        <f ca="1">+L13-L23</f>
        <v>15264.574625584561</v>
      </c>
      <c r="M25" s="218"/>
      <c r="N25" s="557">
        <f>+N13-N23</f>
        <v>29458.173092550307</v>
      </c>
      <c r="O25" s="218"/>
      <c r="P25" s="218"/>
      <c r="Q25" s="218"/>
      <c r="R25" s="218"/>
    </row>
    <row r="26" spans="1:18">
      <c r="A26" s="218"/>
      <c r="B26" s="218"/>
      <c r="C26" s="257">
        <v>17</v>
      </c>
      <c r="D26" s="234"/>
      <c r="E26" s="263"/>
      <c r="F26" s="251"/>
      <c r="G26" s="251"/>
      <c r="H26" s="251"/>
      <c r="I26" s="256"/>
      <c r="J26" s="776"/>
      <c r="K26" s="218"/>
      <c r="L26" s="218"/>
      <c r="M26" s="218"/>
      <c r="N26" s="218"/>
      <c r="O26" s="218"/>
      <c r="P26" s="218"/>
      <c r="Q26" s="218"/>
      <c r="R26" s="218"/>
    </row>
    <row r="27" spans="1:18" ht="16.5" thickBot="1">
      <c r="A27" s="218"/>
      <c r="B27" s="218"/>
      <c r="C27" s="257">
        <v>18</v>
      </c>
      <c r="D27" s="234"/>
      <c r="E27" s="263"/>
      <c r="F27" s="251"/>
      <c r="G27" s="251"/>
      <c r="H27" s="251"/>
      <c r="I27" s="256"/>
      <c r="J27" s="776"/>
      <c r="K27" s="218"/>
      <c r="L27" s="218"/>
      <c r="M27" s="218"/>
      <c r="N27" s="218"/>
      <c r="O27" s="218"/>
      <c r="P27" s="218"/>
      <c r="Q27" s="218"/>
      <c r="R27" s="218"/>
    </row>
    <row r="28" spans="1:18">
      <c r="A28" s="218"/>
      <c r="B28" s="218"/>
      <c r="C28" s="257">
        <v>19</v>
      </c>
      <c r="D28" s="234"/>
      <c r="E28" s="263"/>
      <c r="F28" s="263"/>
      <c r="G28" s="272"/>
      <c r="H28" s="852" t="s">
        <v>645</v>
      </c>
      <c r="I28" s="256"/>
      <c r="J28" s="273"/>
      <c r="K28" s="218"/>
      <c r="L28" s="551"/>
      <c r="M28" s="652"/>
      <c r="N28" s="653"/>
      <c r="O28" s="218"/>
      <c r="P28" s="218"/>
      <c r="Q28" s="218"/>
      <c r="R28" s="218"/>
    </row>
    <row r="29" spans="1:18">
      <c r="A29" s="218"/>
      <c r="B29" s="218"/>
      <c r="C29" s="257">
        <v>20</v>
      </c>
      <c r="D29" s="234"/>
      <c r="E29" s="251"/>
      <c r="F29" s="251"/>
      <c r="G29" s="253"/>
      <c r="H29" s="274"/>
      <c r="I29" s="256"/>
      <c r="J29" s="253"/>
      <c r="K29" s="218"/>
      <c r="L29" s="665">
        <v>3.8730000000000001E-2</v>
      </c>
      <c r="M29" s="654" t="s">
        <v>550</v>
      </c>
      <c r="N29" s="655"/>
      <c r="O29" s="218"/>
      <c r="P29" s="218"/>
      <c r="Q29" s="218"/>
      <c r="R29" s="218"/>
    </row>
    <row r="30" spans="1:18">
      <c r="A30" s="218"/>
      <c r="B30" s="218"/>
      <c r="C30" s="257">
        <v>21</v>
      </c>
      <c r="D30" s="251"/>
      <c r="E30" s="251"/>
      <c r="F30" s="251"/>
      <c r="G30" s="251"/>
      <c r="H30" s="251"/>
      <c r="I30" s="256"/>
      <c r="J30" s="251"/>
      <c r="K30" s="218"/>
      <c r="L30" s="666">
        <f>+H17</f>
        <v>2.5170000000000001E-3</v>
      </c>
      <c r="M30" s="654" t="s">
        <v>551</v>
      </c>
      <c r="N30" s="655"/>
      <c r="O30" s="218"/>
      <c r="P30" s="218"/>
      <c r="Q30" s="218"/>
      <c r="R30" s="218"/>
    </row>
    <row r="31" spans="1:18">
      <c r="A31" s="218"/>
      <c r="B31" s="218"/>
      <c r="C31" s="234"/>
      <c r="D31" s="251"/>
      <c r="E31" s="251"/>
      <c r="F31" s="251"/>
      <c r="G31" s="251"/>
      <c r="H31" s="251"/>
      <c r="I31" s="251"/>
      <c r="J31" s="251"/>
      <c r="K31" s="218"/>
      <c r="L31" s="651">
        <f>+L29*L30</f>
        <v>9.7483410000000003E-5</v>
      </c>
      <c r="M31" s="656" t="s">
        <v>552</v>
      </c>
      <c r="N31" s="657"/>
      <c r="O31" s="218"/>
      <c r="P31" s="218"/>
      <c r="Q31" s="218"/>
      <c r="R31" s="218"/>
    </row>
    <row r="32" spans="1:18" ht="16.5" thickBot="1">
      <c r="A32" s="218"/>
      <c r="B32" s="218"/>
      <c r="C32" s="234"/>
      <c r="D32" s="251"/>
      <c r="E32" s="251"/>
      <c r="F32" s="251"/>
      <c r="G32" s="251"/>
      <c r="H32" s="840" t="s">
        <v>651</v>
      </c>
      <c r="I32" s="251"/>
      <c r="J32" s="251"/>
      <c r="K32" s="218"/>
      <c r="L32" s="660">
        <f>+L29-L31</f>
        <v>3.8632516589999999E-2</v>
      </c>
      <c r="M32" s="658" t="s">
        <v>553</v>
      </c>
      <c r="N32" s="659"/>
      <c r="O32" s="218"/>
      <c r="P32" s="218"/>
      <c r="Q32" s="218"/>
      <c r="R32" s="218"/>
    </row>
    <row r="33" spans="1:18">
      <c r="A33" s="218"/>
      <c r="B33" s="218"/>
      <c r="H33" s="839" t="s">
        <v>650</v>
      </c>
      <c r="K33" s="218"/>
      <c r="L33" s="218"/>
      <c r="M33" s="218"/>
      <c r="N33" s="218"/>
      <c r="O33" s="218"/>
      <c r="P33" s="218"/>
      <c r="Q33" s="218"/>
      <c r="R33" s="218"/>
    </row>
    <row r="34" spans="1:18">
      <c r="A34" s="218"/>
      <c r="B34" s="218"/>
      <c r="K34" s="218"/>
      <c r="L34" s="218"/>
      <c r="M34" s="218">
        <v>1383</v>
      </c>
      <c r="N34" s="218"/>
      <c r="O34" s="218"/>
      <c r="P34" s="218"/>
      <c r="Q34" s="218"/>
      <c r="R34" s="218"/>
    </row>
    <row r="35" spans="1:18">
      <c r="A35" s="218"/>
      <c r="B35" s="218"/>
      <c r="K35" s="218"/>
      <c r="L35" s="218"/>
      <c r="M35" s="218">
        <f>+M34*H25</f>
        <v>860.16099899999995</v>
      </c>
      <c r="N35" s="218"/>
      <c r="O35" s="218"/>
      <c r="P35" s="218"/>
      <c r="Q35" s="218"/>
      <c r="R35" s="218"/>
    </row>
    <row r="36" spans="1:18">
      <c r="A36" s="218"/>
      <c r="B36" s="218"/>
      <c r="K36" s="218"/>
      <c r="L36" s="218"/>
      <c r="M36" s="218"/>
      <c r="N36" s="218"/>
      <c r="O36" s="218"/>
      <c r="P36" s="218"/>
      <c r="Q36" s="218"/>
      <c r="R36" s="218"/>
    </row>
    <row r="37" spans="1:18">
      <c r="A37" s="218"/>
      <c r="B37" s="218"/>
      <c r="K37" s="218"/>
      <c r="L37" s="218"/>
      <c r="M37" s="218"/>
      <c r="N37" s="218"/>
      <c r="O37" s="218"/>
      <c r="P37" s="218"/>
      <c r="Q37" s="218"/>
      <c r="R37" s="218"/>
    </row>
    <row r="38" spans="1:18">
      <c r="A38" s="218"/>
      <c r="B38" s="218"/>
      <c r="K38" s="218"/>
      <c r="L38" s="218"/>
      <c r="M38" s="218"/>
      <c r="N38" s="218"/>
      <c r="O38" s="218"/>
      <c r="P38" s="218"/>
      <c r="Q38" s="218"/>
      <c r="R38" s="218"/>
    </row>
    <row r="39" spans="1:18">
      <c r="A39" s="218"/>
      <c r="B39" s="218"/>
      <c r="K39" s="218"/>
      <c r="L39" s="218"/>
      <c r="M39" s="218"/>
      <c r="N39" s="218"/>
      <c r="O39" s="218"/>
      <c r="P39" s="218"/>
      <c r="Q39" s="218"/>
      <c r="R39" s="218"/>
    </row>
    <row r="40" spans="1:18">
      <c r="A40" s="218"/>
      <c r="B40" s="218"/>
      <c r="K40" s="218"/>
      <c r="L40" s="218"/>
      <c r="M40" s="218"/>
      <c r="N40" s="218"/>
      <c r="O40" s="218"/>
      <c r="P40" s="218"/>
      <c r="Q40" s="218"/>
      <c r="R40" s="218"/>
    </row>
    <row r="41" spans="1:18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</row>
    <row r="42" spans="1:18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</row>
    <row r="43" spans="1:18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</row>
    <row r="44" spans="1:18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</row>
    <row r="46" spans="1:18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</row>
    <row r="47" spans="1:18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</row>
    <row r="48" spans="1:18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</row>
    <row r="49" spans="1:18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18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1" spans="1:18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</row>
  </sheetData>
  <phoneticPr fontId="41" type="noConversion"/>
  <pageMargins left="0.75" right="0.51" top="1" bottom="1" header="0.5" footer="0.5"/>
  <pageSetup orientation="portrait" r:id="rId1"/>
  <headerFooter alignWithMargins="0">
    <oddHeader>&amp;RExhibit No. _____(DPK-2)
Docket UE-090134  UG-090135
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indexed="47"/>
  </sheetPr>
  <dimension ref="A1:P55"/>
  <sheetViews>
    <sheetView topLeftCell="A11" workbookViewId="0">
      <selection activeCell="J45" sqref="J45"/>
    </sheetView>
  </sheetViews>
  <sheetFormatPr defaultRowHeight="15.75"/>
  <cols>
    <col min="1" max="2" width="9" style="218"/>
    <col min="4" max="4" width="6.25" customWidth="1"/>
    <col min="5" max="5" width="17" customWidth="1"/>
    <col min="6" max="6" width="19.875" customWidth="1"/>
    <col min="9" max="9" width="16.25" customWidth="1"/>
    <col min="12" max="12" width="14.375" customWidth="1"/>
  </cols>
  <sheetData>
    <row r="1" spans="2:16" s="218" customFormat="1"/>
    <row r="2" spans="2:16" s="218" customFormat="1"/>
    <row r="3" spans="2:16">
      <c r="C3" s="381" t="str">
        <f>+'DPK-2 Results Sch1.1'!B3</f>
        <v>Avista Corporation</v>
      </c>
      <c r="D3" s="224"/>
      <c r="E3" s="226"/>
      <c r="F3" s="226"/>
      <c r="G3" s="224"/>
      <c r="H3" s="224"/>
      <c r="I3" s="548"/>
      <c r="J3" s="218"/>
      <c r="K3" s="218"/>
      <c r="L3" s="218"/>
      <c r="M3" s="218"/>
      <c r="N3" s="218"/>
      <c r="O3" s="218"/>
      <c r="P3" s="218"/>
    </row>
    <row r="4" spans="2:16">
      <c r="B4" s="576"/>
      <c r="C4" s="580" t="s">
        <v>442</v>
      </c>
      <c r="D4" s="224"/>
      <c r="E4" s="226"/>
      <c r="F4" s="226"/>
      <c r="G4" s="224"/>
      <c r="H4" s="224"/>
      <c r="I4" s="549"/>
      <c r="J4" s="218"/>
      <c r="K4" s="218"/>
      <c r="L4" s="218"/>
      <c r="M4" s="218"/>
      <c r="N4" s="218"/>
      <c r="O4" s="218"/>
      <c r="P4" s="218"/>
    </row>
    <row r="5" spans="2:16">
      <c r="C5" s="381" t="s">
        <v>639</v>
      </c>
      <c r="D5" s="224"/>
      <c r="E5" s="226"/>
      <c r="F5" s="226"/>
      <c r="G5" s="224"/>
      <c r="H5" s="224"/>
      <c r="I5" s="225"/>
      <c r="J5" s="218"/>
      <c r="K5" s="218"/>
      <c r="L5" s="218"/>
      <c r="M5" s="218"/>
      <c r="N5" s="218"/>
      <c r="O5" s="218"/>
      <c r="P5" s="218"/>
    </row>
    <row r="6" spans="2:16">
      <c r="C6" s="798" t="s">
        <v>640</v>
      </c>
      <c r="D6" s="224"/>
      <c r="E6" s="226"/>
      <c r="F6" s="226"/>
      <c r="G6" s="224"/>
      <c r="H6" s="224"/>
      <c r="I6" s="224"/>
      <c r="J6" s="218"/>
      <c r="K6" s="218"/>
      <c r="L6" s="218"/>
      <c r="M6" s="218"/>
      <c r="N6" s="218"/>
      <c r="O6" s="218"/>
      <c r="P6" s="218"/>
    </row>
    <row r="7" spans="2:16">
      <c r="C7" s="275"/>
      <c r="D7" s="224"/>
      <c r="E7" s="226"/>
      <c r="F7" s="226"/>
      <c r="G7" s="224"/>
      <c r="H7" s="224"/>
      <c r="I7" s="224"/>
      <c r="J7" s="218"/>
      <c r="K7" s="218"/>
      <c r="L7" s="218"/>
      <c r="M7" s="218"/>
      <c r="N7" s="218"/>
      <c r="O7" s="218"/>
      <c r="P7" s="218"/>
    </row>
    <row r="8" spans="2:16">
      <c r="C8" s="224"/>
      <c r="D8" s="224"/>
      <c r="E8" s="226"/>
      <c r="F8" s="226"/>
      <c r="G8" s="224"/>
      <c r="H8" s="224"/>
      <c r="I8" s="224"/>
      <c r="J8" s="218"/>
      <c r="K8" s="218"/>
      <c r="L8" s="218"/>
      <c r="M8" s="218"/>
      <c r="N8" s="218"/>
      <c r="O8" s="218"/>
      <c r="P8" s="218"/>
    </row>
    <row r="9" spans="2:16">
      <c r="C9" s="230" t="s">
        <v>11</v>
      </c>
      <c r="D9" s="230"/>
      <c r="E9" s="226"/>
      <c r="F9" s="231"/>
      <c r="G9" s="224"/>
      <c r="H9" s="224"/>
      <c r="I9" s="224"/>
      <c r="J9" s="218"/>
      <c r="K9" s="218"/>
      <c r="L9" s="218"/>
      <c r="M9" s="218"/>
      <c r="N9" s="218"/>
      <c r="O9" s="218"/>
      <c r="P9" s="218"/>
    </row>
    <row r="10" spans="2:16">
      <c r="C10" s="232" t="s">
        <v>29</v>
      </c>
      <c r="D10" s="232"/>
      <c r="E10" s="889" t="s">
        <v>499</v>
      </c>
      <c r="F10" s="889"/>
      <c r="G10" s="889"/>
      <c r="H10" s="889"/>
      <c r="I10" s="224"/>
      <c r="J10" s="218"/>
      <c r="K10" s="218"/>
      <c r="L10" s="218"/>
      <c r="M10" s="218"/>
      <c r="N10" s="218"/>
      <c r="O10" s="218"/>
      <c r="P10" s="218"/>
    </row>
    <row r="11" spans="2:16">
      <c r="C11" s="233">
        <v>1</v>
      </c>
      <c r="D11" s="234"/>
      <c r="E11" s="224"/>
      <c r="F11" s="226"/>
      <c r="G11" s="224"/>
      <c r="H11" s="224"/>
      <c r="I11" s="224"/>
      <c r="J11" s="218"/>
      <c r="K11" s="218"/>
      <c r="L11" s="218"/>
      <c r="M11" s="218"/>
      <c r="N11" s="218"/>
      <c r="O11" s="218"/>
      <c r="P11" s="218"/>
    </row>
    <row r="12" spans="2:16">
      <c r="C12" s="233">
        <v>2</v>
      </c>
      <c r="D12" s="234"/>
      <c r="E12" s="235"/>
      <c r="F12" s="226"/>
      <c r="G12" s="236"/>
      <c r="H12" s="236"/>
      <c r="I12" s="236"/>
      <c r="J12" s="218"/>
      <c r="K12" s="218"/>
      <c r="L12" s="218"/>
      <c r="M12" s="218"/>
      <c r="N12" s="218"/>
      <c r="O12" s="218"/>
      <c r="P12" s="218"/>
    </row>
    <row r="13" spans="2:16">
      <c r="C13" s="233">
        <v>3</v>
      </c>
      <c r="D13" s="234"/>
      <c r="E13" s="499" t="s">
        <v>332</v>
      </c>
      <c r="F13" s="224"/>
      <c r="G13" s="236"/>
      <c r="H13" s="236"/>
      <c r="J13" s="218"/>
      <c r="K13" s="218"/>
      <c r="L13" s="218"/>
      <c r="M13" s="218"/>
      <c r="N13" s="218"/>
      <c r="O13" s="218"/>
      <c r="P13" s="218"/>
    </row>
    <row r="14" spans="2:16">
      <c r="C14" s="233">
        <v>4</v>
      </c>
      <c r="D14" s="234"/>
      <c r="E14" s="238"/>
      <c r="F14" s="239" t="s">
        <v>166</v>
      </c>
      <c r="G14" s="224"/>
      <c r="H14" s="239" t="s">
        <v>157</v>
      </c>
      <c r="J14" s="218"/>
      <c r="K14" s="218"/>
      <c r="L14" s="218"/>
      <c r="M14" s="218"/>
      <c r="N14" s="218"/>
      <c r="O14" s="218"/>
      <c r="P14" s="218"/>
    </row>
    <row r="15" spans="2:16">
      <c r="C15" s="233">
        <v>5</v>
      </c>
      <c r="D15" s="234"/>
      <c r="E15" s="238"/>
      <c r="F15" s="242" t="s">
        <v>315</v>
      </c>
      <c r="G15" s="428" t="s">
        <v>158</v>
      </c>
      <c r="H15" s="242" t="s">
        <v>158</v>
      </c>
      <c r="J15" s="218"/>
      <c r="K15" s="218"/>
      <c r="L15" s="218"/>
      <c r="M15" s="218"/>
      <c r="N15" s="218"/>
      <c r="O15" s="218"/>
      <c r="P15" s="218"/>
    </row>
    <row r="16" spans="2:16">
      <c r="C16" s="233">
        <v>6</v>
      </c>
      <c r="D16" s="234"/>
      <c r="E16" s="243" t="s">
        <v>240</v>
      </c>
      <c r="F16" s="240">
        <f>+F19-F18-F17</f>
        <v>0.53499999999999992</v>
      </c>
      <c r="G16" s="430">
        <v>6.5699999999999995E-2</v>
      </c>
      <c r="H16" s="246">
        <f>ROUND(+F16*G16,4)</f>
        <v>3.5099999999999999E-2</v>
      </c>
      <c r="J16" s="218">
        <f ca="1">+'DPK-2 Revenue Requirement Sch 2'!G27</f>
        <v>24542.978625820648</v>
      </c>
      <c r="K16" s="218" t="s">
        <v>431</v>
      </c>
      <c r="L16" s="218"/>
      <c r="M16" s="218"/>
      <c r="N16" s="218"/>
      <c r="O16" s="218"/>
      <c r="P16" s="218"/>
    </row>
    <row r="17" spans="3:16">
      <c r="C17" s="233">
        <v>7</v>
      </c>
      <c r="D17" s="234"/>
      <c r="E17" s="243" t="s">
        <v>319</v>
      </c>
      <c r="F17" s="245"/>
      <c r="G17" s="430"/>
      <c r="H17" s="246">
        <f>ROUND(+F17*G17,4)</f>
        <v>0</v>
      </c>
      <c r="J17" s="218">
        <v>69762</v>
      </c>
      <c r="K17" s="218" t="s">
        <v>554</v>
      </c>
      <c r="L17" s="218"/>
      <c r="M17" s="218"/>
      <c r="N17" s="218"/>
      <c r="O17" s="218"/>
      <c r="P17" s="218"/>
    </row>
    <row r="18" spans="3:16">
      <c r="C18" s="233">
        <v>8</v>
      </c>
      <c r="D18" s="234"/>
      <c r="E18" s="243" t="s">
        <v>641</v>
      </c>
      <c r="F18" s="799">
        <v>0.46500000000000002</v>
      </c>
      <c r="G18" s="800">
        <v>0.10199999999999999</v>
      </c>
      <c r="H18" s="246">
        <f>ROUND(+F18*G18,4)</f>
        <v>4.7399999999999998E-2</v>
      </c>
      <c r="J18" s="218">
        <f ca="1">+J16-J17</f>
        <v>-45219.021374179356</v>
      </c>
      <c r="K18" s="218"/>
      <c r="L18" s="218"/>
      <c r="M18" s="218"/>
      <c r="N18" s="218"/>
      <c r="O18" s="218"/>
      <c r="P18" s="218"/>
    </row>
    <row r="19" spans="3:16">
      <c r="C19" s="233">
        <v>9</v>
      </c>
      <c r="D19" s="234"/>
      <c r="E19" s="247" t="s">
        <v>161</v>
      </c>
      <c r="F19" s="248">
        <v>1</v>
      </c>
      <c r="G19" s="224"/>
      <c r="H19" s="429">
        <f>ROUND(SUM(H16:H18),4)</f>
        <v>8.2500000000000004E-2</v>
      </c>
      <c r="J19" s="218"/>
      <c r="K19" s="218"/>
      <c r="L19" s="218"/>
      <c r="M19" s="218"/>
      <c r="N19" s="218"/>
      <c r="O19" s="218"/>
      <c r="P19" s="218"/>
    </row>
    <row r="20" spans="3:16">
      <c r="C20" s="233">
        <v>10</v>
      </c>
      <c r="D20" s="234"/>
      <c r="E20" s="238"/>
      <c r="F20" s="224"/>
      <c r="G20" s="224"/>
      <c r="H20" s="224"/>
      <c r="J20" s="218"/>
      <c r="K20" s="218"/>
      <c r="L20" s="218"/>
      <c r="M20" s="218"/>
      <c r="N20" s="218"/>
      <c r="O20" s="218"/>
      <c r="P20" s="218"/>
    </row>
    <row r="21" spans="3:16">
      <c r="C21" s="233">
        <v>11</v>
      </c>
      <c r="D21" s="234"/>
      <c r="E21" s="226"/>
      <c r="F21" s="238"/>
      <c r="G21" s="224"/>
      <c r="H21" s="224"/>
      <c r="I21" s="224"/>
      <c r="J21" s="218"/>
      <c r="K21" s="573"/>
      <c r="L21" s="218"/>
      <c r="M21" s="218"/>
      <c r="N21" s="218"/>
      <c r="O21" s="218"/>
      <c r="P21" s="218"/>
    </row>
    <row r="22" spans="3:16">
      <c r="C22" s="233">
        <v>12</v>
      </c>
      <c r="D22" s="234"/>
      <c r="E22" s="226"/>
      <c r="F22" s="224"/>
      <c r="G22" s="224"/>
      <c r="H22" s="236"/>
      <c r="I22" s="236"/>
      <c r="J22" s="218"/>
      <c r="K22" s="218"/>
      <c r="L22" s="218"/>
      <c r="M22" s="218"/>
      <c r="N22" s="218"/>
      <c r="O22" s="218"/>
      <c r="P22" s="218"/>
    </row>
    <row r="23" spans="3:16">
      <c r="C23" s="233">
        <v>13</v>
      </c>
      <c r="D23" s="234"/>
      <c r="E23" s="250"/>
      <c r="F23" s="224"/>
      <c r="G23" s="224"/>
      <c r="H23" s="236"/>
      <c r="I23" s="236"/>
      <c r="J23" s="218"/>
      <c r="K23" s="218"/>
      <c r="L23" s="218"/>
      <c r="M23" s="218"/>
      <c r="N23" s="218"/>
      <c r="O23" s="218"/>
      <c r="P23" s="218"/>
    </row>
    <row r="24" spans="3:16">
      <c r="C24" s="233">
        <v>14</v>
      </c>
      <c r="D24" s="249"/>
      <c r="E24" s="499" t="s">
        <v>366</v>
      </c>
      <c r="F24" s="226"/>
      <c r="G24" s="224"/>
      <c r="H24" s="224"/>
      <c r="I24" s="224"/>
      <c r="J24" s="218"/>
      <c r="K24" s="218"/>
      <c r="L24" s="218"/>
      <c r="M24" s="218"/>
      <c r="N24" s="218"/>
      <c r="O24" s="218"/>
      <c r="P24" s="218"/>
    </row>
    <row r="25" spans="3:16">
      <c r="C25" s="233">
        <v>15</v>
      </c>
      <c r="D25" s="249"/>
      <c r="E25" s="226"/>
      <c r="F25" s="499" t="s">
        <v>240</v>
      </c>
      <c r="G25" s="246">
        <f>+H16</f>
        <v>3.5099999999999999E-2</v>
      </c>
      <c r="H25" s="236"/>
      <c r="I25" s="224"/>
      <c r="J25" s="218"/>
      <c r="K25" s="218"/>
      <c r="L25" s="218"/>
      <c r="M25" s="218"/>
      <c r="N25" s="218"/>
      <c r="O25" s="218"/>
      <c r="P25" s="218"/>
    </row>
    <row r="26" spans="3:16">
      <c r="C26" s="233">
        <v>16</v>
      </c>
      <c r="D26" s="225"/>
      <c r="E26" s="226"/>
      <c r="F26" s="499" t="s">
        <v>319</v>
      </c>
      <c r="G26" s="246">
        <f>+H17</f>
        <v>0</v>
      </c>
      <c r="H26" s="236"/>
      <c r="I26" s="224"/>
      <c r="J26" s="218"/>
      <c r="K26" s="218"/>
      <c r="L26" s="218"/>
      <c r="M26" s="218"/>
      <c r="N26" s="218"/>
      <c r="O26" s="218"/>
      <c r="P26" s="218"/>
    </row>
    <row r="27" spans="3:16" ht="16.5" thickBot="1">
      <c r="C27" s="233">
        <v>17</v>
      </c>
      <c r="D27" s="225"/>
      <c r="E27" s="226"/>
      <c r="F27" s="499" t="s">
        <v>366</v>
      </c>
      <c r="G27" s="558">
        <f>+G25+G26</f>
        <v>3.5099999999999999E-2</v>
      </c>
      <c r="H27" s="224"/>
      <c r="I27" s="224"/>
      <c r="J27" s="218"/>
      <c r="K27" s="218"/>
      <c r="L27" s="218"/>
      <c r="M27" s="218"/>
      <c r="N27" s="218"/>
      <c r="O27" s="218"/>
      <c r="P27" s="218"/>
    </row>
    <row r="28" spans="3:16" ht="16.5" thickTop="1">
      <c r="C28" s="233">
        <v>18</v>
      </c>
      <c r="D28" s="234"/>
      <c r="E28" s="226"/>
      <c r="F28" s="226"/>
      <c r="G28" s="224"/>
      <c r="H28" s="224"/>
      <c r="I28" s="224"/>
      <c r="J28" s="218"/>
      <c r="K28" s="218"/>
      <c r="L28" s="218"/>
      <c r="M28" s="218"/>
      <c r="N28" s="218"/>
      <c r="O28" s="218"/>
      <c r="P28" s="218"/>
    </row>
    <row r="29" spans="3:16">
      <c r="C29" s="233">
        <v>19</v>
      </c>
      <c r="D29" s="234"/>
      <c r="E29" s="226"/>
      <c r="F29" s="226"/>
      <c r="G29" s="226"/>
      <c r="H29" s="226"/>
      <c r="I29" s="226"/>
      <c r="J29" s="218"/>
      <c r="K29" s="218"/>
      <c r="L29" s="218"/>
      <c r="M29" s="218"/>
      <c r="N29" s="218"/>
      <c r="O29" s="218"/>
      <c r="P29" s="218"/>
    </row>
    <row r="30" spans="3:16">
      <c r="C30" s="233">
        <v>20</v>
      </c>
      <c r="D30" s="234"/>
      <c r="E30" s="226"/>
      <c r="F30" s="226"/>
      <c r="G30" s="226"/>
      <c r="H30" s="226"/>
      <c r="I30" s="226"/>
      <c r="J30" s="218"/>
      <c r="K30" s="218"/>
      <c r="L30" s="218"/>
      <c r="M30" s="218"/>
      <c r="N30" s="218"/>
      <c r="O30" s="218"/>
      <c r="P30" s="218"/>
    </row>
    <row r="31" spans="3:16">
      <c r="C31" s="233">
        <v>21</v>
      </c>
      <c r="D31" s="234"/>
      <c r="E31" s="801" t="s">
        <v>642</v>
      </c>
      <c r="F31" s="226"/>
      <c r="G31" s="226"/>
      <c r="H31" s="226"/>
      <c r="I31" s="226"/>
      <c r="J31" s="218"/>
      <c r="K31" s="218"/>
      <c r="L31" s="218"/>
      <c r="M31" s="218"/>
      <c r="N31" s="218"/>
      <c r="O31" s="218"/>
      <c r="P31" s="218"/>
    </row>
    <row r="32" spans="3:16">
      <c r="C32" s="233">
        <v>22</v>
      </c>
      <c r="D32" s="234"/>
      <c r="E32" s="226"/>
      <c r="F32" s="226"/>
      <c r="G32" s="226"/>
      <c r="H32" s="226"/>
      <c r="I32" s="226"/>
      <c r="J32" s="218"/>
      <c r="K32" s="218"/>
      <c r="L32" s="218"/>
      <c r="M32" s="218"/>
      <c r="N32" s="218"/>
      <c r="O32" s="218"/>
      <c r="P32" s="218"/>
    </row>
    <row r="33" spans="3:16">
      <c r="C33" s="233">
        <v>23</v>
      </c>
      <c r="D33" s="234"/>
      <c r="E33" s="226"/>
      <c r="F33" s="226"/>
      <c r="G33" s="226"/>
      <c r="H33" s="226"/>
      <c r="I33" s="226"/>
      <c r="J33" s="218"/>
      <c r="K33" s="218"/>
      <c r="L33" s="218"/>
      <c r="M33" s="218"/>
      <c r="N33" s="218"/>
      <c r="O33" s="218"/>
      <c r="P33" s="218"/>
    </row>
    <row r="34" spans="3:16">
      <c r="C34" s="233">
        <v>24</v>
      </c>
      <c r="D34" s="234"/>
      <c r="E34" s="226"/>
      <c r="F34" s="226"/>
      <c r="G34" s="226"/>
      <c r="H34" s="226"/>
      <c r="I34" s="226"/>
      <c r="J34" s="218"/>
      <c r="K34" s="218"/>
      <c r="L34" s="218"/>
      <c r="M34" s="218"/>
      <c r="N34" s="218"/>
      <c r="O34" s="218"/>
      <c r="P34" s="218"/>
    </row>
    <row r="35" spans="3:16">
      <c r="C35" s="233">
        <v>25</v>
      </c>
      <c r="D35" s="234"/>
      <c r="E35" s="226"/>
      <c r="F35" s="226"/>
      <c r="G35" s="224"/>
      <c r="H35" s="224"/>
      <c r="I35" s="224"/>
      <c r="J35" s="218"/>
      <c r="K35" s="218"/>
      <c r="L35" s="218"/>
      <c r="M35" s="218"/>
      <c r="N35" s="218"/>
      <c r="O35" s="218"/>
      <c r="P35" s="218"/>
    </row>
    <row r="36" spans="3:16">
      <c r="C36" s="233">
        <v>26</v>
      </c>
      <c r="D36" s="234"/>
      <c r="E36" s="226"/>
      <c r="F36" s="226"/>
      <c r="G36" s="224"/>
      <c r="H36" s="224"/>
      <c r="I36" s="224"/>
      <c r="J36" s="218"/>
      <c r="K36" s="218"/>
      <c r="L36" s="218"/>
      <c r="M36" s="218"/>
      <c r="N36" s="218"/>
      <c r="O36" s="218"/>
      <c r="P36" s="218"/>
    </row>
    <row r="37" spans="3:16">
      <c r="C37" s="233">
        <v>27</v>
      </c>
      <c r="D37" s="234"/>
      <c r="E37" s="226"/>
      <c r="F37" s="226"/>
      <c r="G37" s="224"/>
      <c r="H37" s="224"/>
      <c r="I37" s="224"/>
      <c r="J37" s="218"/>
      <c r="K37" s="218"/>
      <c r="L37" s="218"/>
      <c r="M37" s="218"/>
      <c r="N37" s="218"/>
      <c r="O37" s="218"/>
      <c r="P37" s="218"/>
    </row>
    <row r="38" spans="3:16">
      <c r="C38" s="233">
        <v>28</v>
      </c>
      <c r="D38" s="234"/>
      <c r="E38" s="226"/>
      <c r="F38" s="226"/>
      <c r="G38" s="840" t="s">
        <v>651</v>
      </c>
      <c r="H38" s="224"/>
      <c r="I38" s="224"/>
      <c r="J38" s="218"/>
      <c r="K38" s="218"/>
      <c r="L38" s="218"/>
      <c r="M38" s="218"/>
      <c r="N38" s="218"/>
      <c r="O38" s="218"/>
      <c r="P38" s="218"/>
    </row>
    <row r="39" spans="3:16">
      <c r="C39" s="233">
        <v>29</v>
      </c>
      <c r="D39" s="234"/>
      <c r="E39" s="226"/>
      <c r="F39" s="226"/>
      <c r="G39" s="839" t="s">
        <v>650</v>
      </c>
      <c r="H39" s="224"/>
      <c r="I39" s="224"/>
      <c r="J39" s="218"/>
      <c r="K39" s="218"/>
      <c r="L39" s="218"/>
      <c r="M39" s="218"/>
      <c r="N39" s="218"/>
      <c r="O39" s="218"/>
      <c r="P39" s="218"/>
    </row>
    <row r="40" spans="3:16">
      <c r="C40" s="233">
        <v>30</v>
      </c>
      <c r="D40" s="234"/>
      <c r="E40" s="226"/>
      <c r="F40" s="226"/>
      <c r="G40" s="224"/>
      <c r="H40" s="224"/>
      <c r="I40" s="224"/>
      <c r="J40" s="218"/>
      <c r="K40" s="218"/>
      <c r="L40" s="218"/>
      <c r="M40" s="218"/>
      <c r="N40" s="218"/>
      <c r="O40" s="218"/>
      <c r="P40" s="218"/>
    </row>
    <row r="41" spans="3:16">
      <c r="C41" s="233">
        <v>31</v>
      </c>
      <c r="D41" s="234"/>
      <c r="E41" s="225"/>
      <c r="F41" s="225"/>
      <c r="G41" s="225"/>
      <c r="H41" s="225"/>
      <c r="I41" s="225"/>
      <c r="J41" s="218"/>
      <c r="K41" s="218"/>
      <c r="L41" s="218"/>
      <c r="M41" s="218"/>
      <c r="N41" s="218"/>
      <c r="O41" s="218"/>
      <c r="P41" s="218"/>
    </row>
    <row r="42" spans="3:16">
      <c r="C42" s="233">
        <v>32</v>
      </c>
      <c r="D42" s="224"/>
      <c r="E42" s="225"/>
      <c r="F42" s="225"/>
      <c r="G42" s="225"/>
      <c r="H42" s="225"/>
      <c r="I42" s="225"/>
      <c r="J42" s="218"/>
      <c r="K42" s="218"/>
      <c r="L42" s="218"/>
      <c r="M42" s="218"/>
      <c r="N42" s="218"/>
      <c r="O42" s="218"/>
      <c r="P42" s="218"/>
    </row>
    <row r="43" spans="3:16">
      <c r="C43" s="233">
        <v>33</v>
      </c>
      <c r="D43" s="224"/>
      <c r="E43" s="225"/>
      <c r="F43" s="225"/>
      <c r="G43" s="225"/>
      <c r="H43" s="225"/>
      <c r="I43" s="225"/>
      <c r="J43" s="218"/>
      <c r="K43" s="218"/>
      <c r="L43" s="218"/>
      <c r="M43" s="218"/>
      <c r="N43" s="218"/>
      <c r="O43" s="218"/>
      <c r="P43" s="218"/>
    </row>
    <row r="44" spans="3:16">
      <c r="C44" s="233">
        <v>34</v>
      </c>
      <c r="D44" s="224"/>
      <c r="E44" s="225"/>
      <c r="F44" s="225"/>
      <c r="G44" s="225"/>
      <c r="H44" s="225"/>
      <c r="I44" s="225"/>
      <c r="J44" s="218"/>
      <c r="K44" s="218"/>
      <c r="L44" s="218"/>
      <c r="M44" s="218"/>
      <c r="N44" s="218"/>
      <c r="O44" s="218"/>
      <c r="P44" s="218"/>
    </row>
    <row r="45" spans="3:16"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</row>
    <row r="46" spans="3:16"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</row>
    <row r="47" spans="3:16"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</row>
    <row r="48" spans="3:16"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</row>
    <row r="49" spans="3:16"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</row>
    <row r="50" spans="3:16"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</row>
    <row r="51" spans="3:16"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</row>
    <row r="52" spans="3:16"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</row>
    <row r="53" spans="3:16"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</row>
    <row r="54" spans="3:16"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</row>
    <row r="55" spans="3:16"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</row>
  </sheetData>
  <mergeCells count="1">
    <mergeCell ref="E10:H10"/>
  </mergeCells>
  <phoneticPr fontId="41" type="noConversion"/>
  <pageMargins left="0.38" right="0.16" top="1" bottom="1" header="0.5" footer="0.5"/>
  <pageSetup orientation="portrait" r:id="rId1"/>
  <headerFooter alignWithMargins="0">
    <oddHeader>&amp;RExhibit No. _____(DPK-2)
Docket UE-090134  UG-090135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2" enableFormatConditionsCalculation="0">
    <tabColor indexed="41"/>
  </sheetPr>
  <dimension ref="A1:Q58"/>
  <sheetViews>
    <sheetView showGridLines="0" workbookViewId="0">
      <selection activeCell="G44" sqref="G44"/>
    </sheetView>
  </sheetViews>
  <sheetFormatPr defaultColWidth="8.75" defaultRowHeight="15.75"/>
  <cols>
    <col min="1" max="1" width="25.5" style="224" customWidth="1"/>
    <col min="2" max="2" width="5" style="224" customWidth="1"/>
    <col min="3" max="3" width="2.5" style="224" customWidth="1"/>
    <col min="4" max="4" width="24.75" style="224" bestFit="1" customWidth="1"/>
    <col min="5" max="5" width="4.25" style="224" customWidth="1"/>
    <col min="6" max="6" width="12.375" style="224" customWidth="1"/>
    <col min="7" max="7" width="9.75" style="224" customWidth="1"/>
    <col min="8" max="8" width="5.75" style="224" customWidth="1"/>
    <col min="9" max="9" width="9.375" style="224" customWidth="1"/>
    <col min="10" max="10" width="4.5" style="224" customWidth="1"/>
    <col min="11" max="11" width="11.75" style="224" customWidth="1"/>
    <col min="12" max="12" width="27.5" style="224" customWidth="1"/>
    <col min="13" max="13" width="10.5" style="224" customWidth="1"/>
    <col min="14" max="16384" width="8.75" style="224"/>
  </cols>
  <sheetData>
    <row r="1" spans="1:14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>
      <c r="A2" s="368"/>
      <c r="B2" s="369" t="s">
        <v>359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4">
      <c r="A3" s="368"/>
      <c r="B3" s="373" t="s">
        <v>282</v>
      </c>
      <c r="C3" s="372"/>
      <c r="I3" s="548"/>
      <c r="J3" s="368"/>
      <c r="K3" s="368"/>
      <c r="L3" s="368"/>
      <c r="M3" s="368"/>
      <c r="N3" s="368"/>
    </row>
    <row r="4" spans="1:14">
      <c r="A4" s="368"/>
      <c r="B4" s="580" t="s">
        <v>442</v>
      </c>
      <c r="I4" s="549"/>
      <c r="J4" s="368"/>
      <c r="K4" s="368"/>
      <c r="L4" s="368"/>
      <c r="M4" s="368"/>
      <c r="N4" s="368"/>
    </row>
    <row r="5" spans="1:14">
      <c r="A5" s="368"/>
      <c r="B5" s="373" t="s">
        <v>492</v>
      </c>
      <c r="I5" s="225"/>
      <c r="J5" s="368"/>
      <c r="K5" s="368"/>
      <c r="L5" s="368"/>
      <c r="M5" s="368"/>
      <c r="N5" s="368"/>
    </row>
    <row r="6" spans="1:14">
      <c r="A6" s="368"/>
      <c r="B6" s="376" t="s">
        <v>360</v>
      </c>
      <c r="I6" s="375"/>
      <c r="J6" s="368"/>
      <c r="K6" s="368"/>
      <c r="L6" s="368"/>
      <c r="M6" s="368"/>
      <c r="N6" s="368"/>
    </row>
    <row r="7" spans="1:14">
      <c r="A7" s="368"/>
      <c r="F7" s="518"/>
      <c r="J7" s="368"/>
      <c r="K7" s="368"/>
      <c r="L7" s="368"/>
      <c r="M7" s="368"/>
      <c r="N7" s="368"/>
    </row>
    <row r="8" spans="1:14">
      <c r="A8" s="368"/>
      <c r="B8" s="372"/>
      <c r="C8" s="229"/>
      <c r="J8" s="368"/>
      <c r="K8" s="368"/>
      <c r="L8" s="368"/>
      <c r="M8" s="368"/>
      <c r="N8" s="368"/>
    </row>
    <row r="9" spans="1:14">
      <c r="A9" s="368"/>
      <c r="B9" s="372"/>
      <c r="C9" s="229"/>
      <c r="F9" s="526" t="s">
        <v>492</v>
      </c>
      <c r="J9" s="368"/>
      <c r="K9" s="368"/>
      <c r="L9" s="368"/>
      <c r="M9" s="368"/>
      <c r="N9" s="368"/>
    </row>
    <row r="10" spans="1:14">
      <c r="A10" s="368"/>
      <c r="B10" s="372"/>
      <c r="C10" s="229"/>
      <c r="F10" s="669" t="s">
        <v>358</v>
      </c>
      <c r="I10" s="770"/>
      <c r="J10" s="368"/>
      <c r="K10" s="368"/>
      <c r="L10" s="368"/>
      <c r="M10" s="368"/>
      <c r="N10" s="368"/>
    </row>
    <row r="11" spans="1:14">
      <c r="A11" s="368"/>
      <c r="I11" s="770"/>
      <c r="J11" s="368"/>
      <c r="K11" s="368"/>
      <c r="L11" s="368"/>
      <c r="M11" s="368"/>
      <c r="N11" s="368"/>
    </row>
    <row r="12" spans="1:14">
      <c r="A12" s="368"/>
      <c r="B12" s="230" t="s">
        <v>11</v>
      </c>
      <c r="C12" s="230"/>
      <c r="H12" s="377"/>
      <c r="I12" s="770"/>
      <c r="J12" s="368"/>
      <c r="K12" s="368"/>
      <c r="L12" s="368"/>
      <c r="M12" s="368"/>
      <c r="N12" s="368"/>
    </row>
    <row r="13" spans="1:14">
      <c r="A13" s="368"/>
      <c r="B13" s="232" t="s">
        <v>29</v>
      </c>
      <c r="C13" s="232"/>
      <c r="D13" s="378" t="s">
        <v>361</v>
      </c>
      <c r="F13" s="378" t="s">
        <v>362</v>
      </c>
      <c r="G13" s="378" t="s">
        <v>363</v>
      </c>
      <c r="I13" s="771" t="s">
        <v>364</v>
      </c>
      <c r="J13" s="368"/>
      <c r="K13" s="368"/>
      <c r="L13" s="368"/>
      <c r="M13" s="368"/>
      <c r="N13" s="368"/>
    </row>
    <row r="14" spans="1:14">
      <c r="A14" s="368"/>
      <c r="B14" s="379">
        <v>1</v>
      </c>
      <c r="C14" s="234"/>
      <c r="F14" s="380"/>
      <c r="H14" s="380"/>
      <c r="I14" s="784"/>
      <c r="J14" s="368"/>
      <c r="K14" s="368"/>
      <c r="L14" s="368"/>
      <c r="M14" s="368"/>
      <c r="N14" s="368"/>
    </row>
    <row r="15" spans="1:14">
      <c r="A15" s="368"/>
      <c r="B15" s="379">
        <f t="shared" ref="B15:B41" si="0">+B14+1</f>
        <v>2</v>
      </c>
      <c r="C15" s="234"/>
      <c r="D15" s="378" t="s">
        <v>72</v>
      </c>
      <c r="E15" s="381"/>
      <c r="F15" s="378" t="s">
        <v>365</v>
      </c>
      <c r="G15" s="378" t="s">
        <v>36</v>
      </c>
      <c r="I15" s="785" t="s">
        <v>259</v>
      </c>
      <c r="J15" s="368"/>
      <c r="K15" s="368"/>
      <c r="L15" s="368"/>
      <c r="M15" s="368"/>
      <c r="N15" s="368"/>
    </row>
    <row r="16" spans="1:14">
      <c r="A16" s="368"/>
      <c r="B16" s="379">
        <f t="shared" si="0"/>
        <v>3</v>
      </c>
      <c r="C16" s="234"/>
      <c r="D16" s="382"/>
      <c r="F16" s="382"/>
      <c r="I16" s="786"/>
      <c r="J16" s="368"/>
      <c r="K16" s="368"/>
      <c r="L16" s="368"/>
      <c r="M16" s="368"/>
      <c r="N16" s="368"/>
    </row>
    <row r="17" spans="1:14">
      <c r="A17" s="368">
        <f ca="1">+F17-950944</f>
        <v>40876.070999999996</v>
      </c>
      <c r="B17" s="379">
        <f t="shared" si="0"/>
        <v>4</v>
      </c>
      <c r="C17" s="234"/>
      <c r="D17" s="440" t="s">
        <v>506</v>
      </c>
      <c r="F17" s="518">
        <f ca="1">+'DPK-2 Results Sch1.1'!K71</f>
        <v>991820.071</v>
      </c>
      <c r="I17" s="787" t="s">
        <v>508</v>
      </c>
      <c r="J17" s="368"/>
      <c r="K17" s="368">
        <f ca="1">+F17</f>
        <v>991820.071</v>
      </c>
      <c r="L17" s="368"/>
      <c r="M17" s="368"/>
      <c r="N17" s="368"/>
    </row>
    <row r="18" spans="1:14">
      <c r="A18" s="368"/>
      <c r="B18" s="379">
        <f t="shared" si="0"/>
        <v>5</v>
      </c>
      <c r="C18" s="234"/>
      <c r="D18" s="374"/>
      <c r="F18" s="381"/>
      <c r="I18" s="788"/>
      <c r="J18" s="368"/>
      <c r="K18" s="368"/>
      <c r="L18" s="368"/>
      <c r="M18" s="368"/>
      <c r="N18" s="368"/>
    </row>
    <row r="19" spans="1:14" ht="20.25" customHeight="1">
      <c r="A19" s="368"/>
      <c r="B19" s="379">
        <f t="shared" si="0"/>
        <v>6</v>
      </c>
      <c r="C19" s="234"/>
      <c r="D19" s="440" t="s">
        <v>366</v>
      </c>
      <c r="F19" s="383">
        <f>+'DPK-2 Capital Structure Sch 4 '!H16+'DPK-2 Capital Structure Sch 4 '!H17</f>
        <v>3.5099999999999999E-2</v>
      </c>
      <c r="I19" s="787" t="s">
        <v>507</v>
      </c>
      <c r="J19" s="368"/>
      <c r="K19" s="383">
        <v>3.4299999999999997E-2</v>
      </c>
      <c r="L19" s="368"/>
      <c r="M19" s="368"/>
      <c r="N19" s="368"/>
    </row>
    <row r="20" spans="1:14">
      <c r="A20" s="368"/>
      <c r="B20" s="379">
        <f t="shared" si="0"/>
        <v>7</v>
      </c>
      <c r="C20" s="234"/>
      <c r="D20" s="374"/>
      <c r="F20" s="384"/>
      <c r="I20" s="786"/>
      <c r="J20" s="368"/>
      <c r="K20" s="368"/>
      <c r="L20" s="368"/>
      <c r="M20" s="368"/>
      <c r="N20" s="368"/>
    </row>
    <row r="21" spans="1:14" ht="16.5" thickBot="1">
      <c r="A21" s="368"/>
      <c r="B21" s="379">
        <f t="shared" si="0"/>
        <v>8</v>
      </c>
      <c r="C21" s="234"/>
      <c r="D21" s="671" t="s">
        <v>368</v>
      </c>
      <c r="F21" s="385">
        <f ca="1">+F19*F17</f>
        <v>34812.884492099998</v>
      </c>
      <c r="G21" s="224">
        <f ca="1">+F21</f>
        <v>34812.884492099998</v>
      </c>
      <c r="I21" s="788" t="s">
        <v>367</v>
      </c>
      <c r="J21" s="368"/>
      <c r="K21" s="368">
        <f ca="1">+K17*K19</f>
        <v>34019.428435299997</v>
      </c>
      <c r="L21" s="368">
        <f ca="1">+F21-K21</f>
        <v>793.45605680000153</v>
      </c>
      <c r="M21" s="368"/>
      <c r="N21" s="368"/>
    </row>
    <row r="22" spans="1:14" ht="21.75" customHeight="1" thickTop="1">
      <c r="A22" s="368"/>
      <c r="B22" s="379">
        <f t="shared" si="0"/>
        <v>9</v>
      </c>
      <c r="C22" s="234"/>
      <c r="D22" s="670" t="s">
        <v>561</v>
      </c>
      <c r="G22" s="384"/>
      <c r="I22" s="788" t="s">
        <v>562</v>
      </c>
      <c r="J22" s="368"/>
      <c r="K22" s="368"/>
      <c r="L22" s="368">
        <f ca="1">+L21*0.35</f>
        <v>277.7096198800005</v>
      </c>
      <c r="M22" s="368"/>
      <c r="N22" s="368"/>
    </row>
    <row r="23" spans="1:14" ht="22.5" customHeight="1">
      <c r="A23" s="368"/>
      <c r="B23" s="379">
        <f t="shared" si="0"/>
        <v>10</v>
      </c>
      <c r="C23" s="234"/>
      <c r="G23" s="224">
        <f ca="1">+G21+G22</f>
        <v>34812.884492099998</v>
      </c>
      <c r="I23" s="788"/>
      <c r="J23" s="368"/>
      <c r="K23" s="368"/>
      <c r="L23" s="368"/>
      <c r="M23" s="368"/>
      <c r="N23" s="368"/>
    </row>
    <row r="24" spans="1:14">
      <c r="A24" s="368"/>
      <c r="B24" s="379">
        <f t="shared" si="0"/>
        <v>11</v>
      </c>
      <c r="C24" s="234"/>
      <c r="I24" s="788"/>
      <c r="J24" s="368"/>
      <c r="K24" s="368"/>
      <c r="L24" s="368"/>
      <c r="M24" s="368"/>
      <c r="N24" s="368"/>
    </row>
    <row r="25" spans="1:14">
      <c r="A25" s="368"/>
      <c r="B25" s="379">
        <f t="shared" si="0"/>
        <v>12</v>
      </c>
      <c r="C25" s="234"/>
      <c r="D25" s="250"/>
      <c r="F25" s="386" t="s">
        <v>369</v>
      </c>
      <c r="G25" s="387">
        <v>32793</v>
      </c>
      <c r="I25" s="789" t="s">
        <v>510</v>
      </c>
      <c r="J25" s="368"/>
      <c r="K25" s="368"/>
      <c r="L25" s="368"/>
      <c r="M25" s="368"/>
      <c r="N25" s="368"/>
    </row>
    <row r="26" spans="1:14">
      <c r="A26" s="368"/>
      <c r="B26" s="379">
        <f t="shared" si="0"/>
        <v>13</v>
      </c>
      <c r="C26" s="234"/>
      <c r="D26" s="388"/>
      <c r="F26" s="389"/>
      <c r="I26" s="790"/>
      <c r="J26" s="368"/>
      <c r="K26" s="368"/>
      <c r="L26" s="368"/>
      <c r="M26" s="368"/>
      <c r="N26" s="368"/>
    </row>
    <row r="27" spans="1:14" ht="16.5" thickBot="1">
      <c r="A27" s="368"/>
      <c r="B27" s="379">
        <f t="shared" si="0"/>
        <v>14</v>
      </c>
      <c r="C27" s="234"/>
      <c r="D27" s="250"/>
      <c r="F27" s="237" t="s">
        <v>371</v>
      </c>
      <c r="G27" s="390">
        <f ca="1">+G23-G25</f>
        <v>2019.8844920999982</v>
      </c>
      <c r="I27" s="791" t="s">
        <v>370</v>
      </c>
      <c r="J27" s="368"/>
      <c r="K27" s="368"/>
      <c r="L27" s="368"/>
      <c r="M27" s="368"/>
      <c r="N27" s="368"/>
    </row>
    <row r="28" spans="1:14" ht="16.5" thickTop="1">
      <c r="A28" s="368"/>
      <c r="B28" s="379">
        <f t="shared" si="0"/>
        <v>15</v>
      </c>
      <c r="C28" s="234"/>
      <c r="D28" s="388"/>
      <c r="F28" s="392"/>
      <c r="I28" s="786"/>
      <c r="J28" s="368"/>
      <c r="K28" s="368"/>
      <c r="L28" s="368"/>
      <c r="M28" s="368"/>
      <c r="N28" s="368"/>
    </row>
    <row r="29" spans="1:14" ht="16.5" thickBot="1">
      <c r="A29" s="368"/>
      <c r="B29" s="379">
        <f t="shared" si="0"/>
        <v>16</v>
      </c>
      <c r="C29" s="234"/>
      <c r="D29" s="388"/>
      <c r="F29" s="241" t="s">
        <v>373</v>
      </c>
      <c r="G29" s="390">
        <f ca="1">-G27*0.35</f>
        <v>-706.95957223499931</v>
      </c>
      <c r="I29" s="792" t="s">
        <v>372</v>
      </c>
      <c r="J29" s="368"/>
      <c r="K29" s="368"/>
      <c r="L29" s="368"/>
      <c r="M29" s="368"/>
      <c r="N29" s="368"/>
    </row>
    <row r="30" spans="1:14" ht="16.5" thickTop="1">
      <c r="A30" s="368"/>
      <c r="B30" s="379">
        <f t="shared" si="0"/>
        <v>17</v>
      </c>
      <c r="I30" s="770"/>
      <c r="J30" s="368"/>
      <c r="K30" s="368"/>
      <c r="L30" s="368"/>
      <c r="M30" s="368"/>
      <c r="N30" s="368"/>
    </row>
    <row r="31" spans="1:14">
      <c r="A31" s="368"/>
      <c r="B31" s="379">
        <f t="shared" si="0"/>
        <v>18</v>
      </c>
      <c r="C31" s="234"/>
      <c r="D31" s="393"/>
      <c r="E31" s="381"/>
      <c r="G31" s="393"/>
      <c r="I31" s="770"/>
      <c r="J31" s="368"/>
      <c r="K31" s="368"/>
      <c r="L31" s="368"/>
      <c r="M31" s="368"/>
      <c r="N31" s="368"/>
    </row>
    <row r="32" spans="1:14">
      <c r="A32" s="368"/>
      <c r="B32" s="379">
        <f t="shared" si="0"/>
        <v>19</v>
      </c>
      <c r="C32" s="234"/>
      <c r="I32" s="770"/>
      <c r="J32" s="368"/>
      <c r="K32" s="368"/>
      <c r="L32" s="368"/>
      <c r="M32" s="368"/>
      <c r="N32" s="368"/>
    </row>
    <row r="33" spans="1:17">
      <c r="A33" s="368"/>
      <c r="B33" s="379">
        <f t="shared" si="0"/>
        <v>20</v>
      </c>
      <c r="C33" s="427"/>
      <c r="E33" s="431"/>
      <c r="J33" s="368"/>
      <c r="K33" s="368"/>
      <c r="L33" s="368"/>
      <c r="M33" s="368"/>
      <c r="N33" s="368"/>
    </row>
    <row r="34" spans="1:17">
      <c r="A34" s="368"/>
      <c r="B34" s="379">
        <f t="shared" si="0"/>
        <v>21</v>
      </c>
      <c r="C34" s="234"/>
      <c r="J34" s="368"/>
      <c r="K34" s="368"/>
      <c r="L34" s="368"/>
      <c r="M34" s="368"/>
      <c r="N34" s="368"/>
    </row>
    <row r="35" spans="1:17">
      <c r="A35" s="368"/>
      <c r="B35" s="379">
        <f t="shared" si="0"/>
        <v>22</v>
      </c>
      <c r="C35" s="234"/>
      <c r="E35" s="393"/>
      <c r="J35" s="368"/>
      <c r="K35" s="368"/>
      <c r="L35" s="368"/>
      <c r="M35" s="368"/>
      <c r="N35" s="368"/>
    </row>
    <row r="36" spans="1:17">
      <c r="A36" s="368"/>
      <c r="B36" s="379">
        <f t="shared" si="0"/>
        <v>23</v>
      </c>
      <c r="C36" s="234"/>
      <c r="G36" s="840" t="s">
        <v>651</v>
      </c>
      <c r="J36" s="368"/>
      <c r="K36" s="368"/>
      <c r="L36" s="368"/>
      <c r="M36" s="368"/>
      <c r="N36" s="368"/>
    </row>
    <row r="37" spans="1:17">
      <c r="A37" s="368"/>
      <c r="B37" s="379">
        <f t="shared" si="0"/>
        <v>24</v>
      </c>
      <c r="C37" s="234"/>
      <c r="G37" s="839" t="s">
        <v>650</v>
      </c>
      <c r="J37" s="368"/>
      <c r="K37" s="368"/>
      <c r="L37" s="368"/>
      <c r="M37" s="368"/>
      <c r="N37" s="368"/>
    </row>
    <row r="38" spans="1:17">
      <c r="A38" s="368"/>
      <c r="B38" s="379">
        <f t="shared" si="0"/>
        <v>25</v>
      </c>
      <c r="C38" s="234"/>
      <c r="J38" s="368"/>
      <c r="K38" s="368"/>
      <c r="L38" s="368"/>
      <c r="M38" s="368"/>
      <c r="N38" s="368"/>
    </row>
    <row r="39" spans="1:17">
      <c r="A39" s="368"/>
      <c r="B39" s="379">
        <f t="shared" si="0"/>
        <v>26</v>
      </c>
      <c r="C39" s="234"/>
      <c r="J39" s="368"/>
      <c r="K39" s="368"/>
      <c r="L39" s="368"/>
      <c r="M39" s="368"/>
      <c r="N39" s="368"/>
    </row>
    <row r="40" spans="1:17">
      <c r="A40" s="368"/>
      <c r="B40" s="379">
        <f t="shared" si="0"/>
        <v>27</v>
      </c>
      <c r="C40" s="234"/>
      <c r="J40" s="368"/>
      <c r="K40" s="368"/>
      <c r="L40" s="368"/>
      <c r="M40" s="368"/>
      <c r="N40" s="368"/>
    </row>
    <row r="41" spans="1:17">
      <c r="A41" s="368"/>
      <c r="B41" s="379">
        <f t="shared" si="0"/>
        <v>28</v>
      </c>
      <c r="C41" s="234"/>
      <c r="J41" s="368"/>
      <c r="K41" s="368"/>
      <c r="L41" s="368"/>
      <c r="M41" s="368"/>
      <c r="N41" s="368"/>
    </row>
    <row r="42" spans="1:17">
      <c r="A42" s="368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</row>
    <row r="43" spans="1:17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</row>
    <row r="44" spans="1:17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Q44" s="224">
        <f>+R44-O44</f>
        <v>0</v>
      </c>
    </row>
    <row r="45" spans="1:17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</row>
    <row r="46" spans="1:17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</row>
    <row r="47" spans="1:17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</row>
    <row r="48" spans="1:17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</row>
    <row r="49" spans="1:14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</row>
    <row r="50" spans="1:14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</row>
    <row r="51" spans="1:14">
      <c r="A51" s="368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</row>
    <row r="52" spans="1:14">
      <c r="A52" s="368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</row>
    <row r="53" spans="1:14">
      <c r="A53" s="368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</row>
    <row r="54" spans="1:14">
      <c r="A54" s="368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</row>
    <row r="55" spans="1:14">
      <c r="A55" s="368"/>
      <c r="B55" s="368"/>
      <c r="C55" s="368"/>
      <c r="D55" s="368"/>
      <c r="E55" s="368"/>
      <c r="F55" s="368"/>
      <c r="G55" s="368"/>
      <c r="H55" s="368"/>
      <c r="J55" s="368"/>
      <c r="K55" s="368"/>
      <c r="L55" s="368"/>
      <c r="M55" s="368"/>
      <c r="N55" s="368"/>
    </row>
    <row r="56" spans="1:14">
      <c r="A56" s="368"/>
      <c r="B56" s="368"/>
      <c r="C56" s="368"/>
      <c r="D56" s="368"/>
      <c r="E56" s="368"/>
      <c r="F56" s="368"/>
      <c r="G56" s="368"/>
      <c r="H56" s="368"/>
      <c r="J56" s="368"/>
      <c r="K56" s="368"/>
      <c r="L56" s="368"/>
      <c r="M56" s="368"/>
      <c r="N56" s="368"/>
    </row>
    <row r="57" spans="1:14">
      <c r="A57" s="368"/>
      <c r="B57" s="368"/>
      <c r="C57" s="368"/>
    </row>
    <row r="58" spans="1:14">
      <c r="A58" s="368"/>
      <c r="B58" s="368"/>
      <c r="C58" s="368"/>
    </row>
  </sheetData>
  <phoneticPr fontId="36" type="noConversion"/>
  <printOptions gridLinesSet="0"/>
  <pageMargins left="0.75" right="0.19" top="1" bottom="1" header="0.5" footer="0.5"/>
  <pageSetup orientation="portrait" r:id="rId1"/>
  <headerFooter alignWithMargins="0">
    <oddHeader>&amp;RExhibit No. _____(DPK-4)
Docket UE-090134  UG-090135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41"/>
  </sheetPr>
  <dimension ref="A1:V126"/>
  <sheetViews>
    <sheetView showGridLines="0" tabSelected="1" zoomScaleNormal="100" workbookViewId="0">
      <selection activeCell="N14" sqref="N14"/>
    </sheetView>
  </sheetViews>
  <sheetFormatPr defaultRowHeight="12.75"/>
  <cols>
    <col min="1" max="1" width="22.5" style="77" customWidth="1"/>
    <col min="2" max="2" width="9" style="77" customWidth="1"/>
    <col min="3" max="3" width="6.125" style="77" customWidth="1"/>
    <col min="4" max="4" width="12.5" style="77" customWidth="1"/>
    <col min="5" max="5" width="12.75" style="77" customWidth="1"/>
    <col min="6" max="6" width="17.25" style="77" customWidth="1"/>
    <col min="7" max="7" width="10.25" style="77" customWidth="1"/>
    <col min="8" max="8" width="11.375" style="77" customWidth="1"/>
    <col min="9" max="11" width="11.875" style="77" customWidth="1"/>
    <col min="12" max="12" width="11.375" style="77" customWidth="1"/>
    <col min="13" max="13" width="7.25" style="353" customWidth="1"/>
    <col min="14" max="14" width="10.625" style="354" customWidth="1"/>
    <col min="15" max="15" width="31.875" style="352" customWidth="1"/>
    <col min="16" max="16" width="11.375" style="77" customWidth="1"/>
    <col min="17" max="17" width="5.75" style="77" customWidth="1"/>
    <col min="18" max="18" width="8.875" style="77" customWidth="1"/>
    <col min="19" max="21" width="11.375" style="77" customWidth="1"/>
    <col min="22" max="22" width="2.875" style="77" customWidth="1"/>
    <col min="23" max="16384" width="9" style="77"/>
  </cols>
  <sheetData>
    <row r="1" spans="1:22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22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22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22">
      <c r="A4" s="352"/>
      <c r="B4" s="352"/>
      <c r="C4" s="581" t="s">
        <v>282</v>
      </c>
      <c r="L4" s="838" t="s">
        <v>648</v>
      </c>
      <c r="N4" s="359"/>
      <c r="O4" s="360"/>
      <c r="P4" s="82"/>
      <c r="Q4" s="83"/>
      <c r="R4" s="82"/>
      <c r="S4" s="82"/>
      <c r="T4" s="82"/>
      <c r="U4" s="82"/>
      <c r="V4" s="81"/>
    </row>
    <row r="5" spans="1:22">
      <c r="A5" s="352"/>
      <c r="B5" s="352"/>
      <c r="C5" s="580" t="s">
        <v>442</v>
      </c>
      <c r="G5" s="84"/>
      <c r="J5" s="835"/>
      <c r="L5" s="838" t="s">
        <v>647</v>
      </c>
      <c r="N5" s="359"/>
      <c r="O5" s="360"/>
      <c r="P5" s="82"/>
      <c r="Q5" s="85"/>
      <c r="R5" s="82"/>
      <c r="S5" s="82"/>
      <c r="T5" s="82"/>
      <c r="U5" s="82"/>
      <c r="V5" s="81"/>
    </row>
    <row r="6" spans="1:22" ht="15.75">
      <c r="A6" s="352"/>
      <c r="B6" s="352"/>
      <c r="C6" s="582" t="s">
        <v>239</v>
      </c>
      <c r="G6" s="526"/>
      <c r="L6" s="225"/>
      <c r="N6" s="359"/>
      <c r="O6" s="360"/>
      <c r="P6" s="82"/>
      <c r="Q6" s="85"/>
      <c r="R6" s="82"/>
      <c r="S6" s="82"/>
      <c r="T6" s="82"/>
      <c r="U6" s="82"/>
      <c r="V6" s="81"/>
    </row>
    <row r="7" spans="1:22">
      <c r="A7" s="352"/>
      <c r="B7" s="352"/>
      <c r="C7" s="560" t="str">
        <f>+'DPK-2 Results Sch1.1'!B7</f>
        <v>(000's of Dollars)</v>
      </c>
      <c r="J7" s="812"/>
      <c r="N7" s="359"/>
      <c r="O7" s="360"/>
      <c r="P7" s="82"/>
      <c r="Q7" s="85"/>
      <c r="R7" s="82"/>
      <c r="S7" s="82"/>
      <c r="T7" s="82"/>
      <c r="U7" s="82"/>
      <c r="V7" s="81"/>
    </row>
    <row r="8" spans="1:22" ht="14.25">
      <c r="A8" s="352"/>
      <c r="B8" s="352"/>
      <c r="G8" s="526" t="s">
        <v>493</v>
      </c>
      <c r="N8" s="359"/>
      <c r="O8" s="360"/>
      <c r="P8" s="82"/>
      <c r="Q8" s="86"/>
      <c r="R8" s="82"/>
      <c r="S8" s="82"/>
      <c r="T8" s="82"/>
      <c r="U8" s="82"/>
      <c r="V8" s="81"/>
    </row>
    <row r="9" spans="1:22" ht="14.25">
      <c r="A9" s="352"/>
      <c r="B9" s="352"/>
      <c r="G9" s="526" t="s">
        <v>239</v>
      </c>
      <c r="J9" s="854" t="s">
        <v>645</v>
      </c>
      <c r="N9" s="359"/>
      <c r="O9" s="360"/>
      <c r="P9" s="82"/>
      <c r="Q9" s="82"/>
      <c r="R9" s="82"/>
      <c r="S9" s="82"/>
      <c r="T9" s="82"/>
      <c r="U9" s="82"/>
      <c r="V9" s="81"/>
    </row>
    <row r="10" spans="1:22">
      <c r="A10" s="352"/>
      <c r="B10" s="352"/>
      <c r="N10" s="359"/>
      <c r="O10" s="360"/>
      <c r="P10" s="82"/>
      <c r="Q10" s="82"/>
      <c r="R10" s="82"/>
      <c r="S10" s="82"/>
      <c r="T10" s="82"/>
      <c r="U10" s="82"/>
      <c r="V10" s="81"/>
    </row>
    <row r="11" spans="1:22">
      <c r="A11" s="352"/>
      <c r="B11" s="352"/>
      <c r="C11" s="84" t="s">
        <v>11</v>
      </c>
      <c r="H11" s="890" t="s">
        <v>624</v>
      </c>
      <c r="I11" s="890"/>
      <c r="J11" s="890"/>
      <c r="K11" s="890"/>
      <c r="L11" s="890"/>
      <c r="M11" s="361"/>
      <c r="N11" s="359"/>
      <c r="O11" s="362"/>
      <c r="P11" s="82"/>
      <c r="Q11" s="82"/>
      <c r="R11" s="82"/>
      <c r="S11" s="82"/>
      <c r="T11" s="85"/>
      <c r="U11" s="82"/>
      <c r="V11" s="81"/>
    </row>
    <row r="12" spans="1:22">
      <c r="A12" s="352"/>
      <c r="B12" s="352"/>
      <c r="C12" s="87" t="s">
        <v>29</v>
      </c>
      <c r="D12" s="87" t="s">
        <v>36</v>
      </c>
      <c r="E12" s="110" t="s">
        <v>164</v>
      </c>
      <c r="F12" s="87"/>
      <c r="G12" s="757"/>
      <c r="H12" s="758" t="s">
        <v>211</v>
      </c>
      <c r="I12" s="758" t="s">
        <v>40</v>
      </c>
      <c r="J12" s="758" t="s">
        <v>625</v>
      </c>
      <c r="K12" s="758" t="s">
        <v>623</v>
      </c>
      <c r="L12" s="758" t="s">
        <v>278</v>
      </c>
      <c r="M12" s="361"/>
      <c r="N12" s="359"/>
      <c r="O12" s="363"/>
      <c r="P12" s="85"/>
      <c r="Q12" s="85"/>
      <c r="R12" s="82"/>
      <c r="S12" s="85"/>
      <c r="T12" s="85"/>
      <c r="U12" s="85"/>
      <c r="V12" s="81"/>
    </row>
    <row r="13" spans="1:22">
      <c r="A13" s="352"/>
      <c r="B13" s="352"/>
      <c r="C13" s="84">
        <v>1</v>
      </c>
      <c r="D13" s="149"/>
      <c r="E13" s="90" t="s">
        <v>597</v>
      </c>
      <c r="F13" s="99"/>
      <c r="G13" s="99"/>
      <c r="H13" s="810">
        <v>159606</v>
      </c>
      <c r="I13" s="521">
        <f>+'DPK-2 Results Sch1.1'!G28</f>
        <v>355486</v>
      </c>
      <c r="J13" s="853">
        <f>+'DPK-2 Results Sch1.1'!G59+'DPK-2 Results Sch1.1'!G60</f>
        <v>941837</v>
      </c>
      <c r="K13" s="807">
        <v>-335350</v>
      </c>
      <c r="L13" s="808"/>
      <c r="M13" s="359"/>
      <c r="N13" s="359"/>
      <c r="O13" s="362"/>
      <c r="P13" s="82"/>
      <c r="Q13" s="82"/>
      <c r="R13" s="82"/>
      <c r="S13" s="88"/>
      <c r="T13" s="88"/>
      <c r="U13" s="82"/>
      <c r="V13" s="81"/>
    </row>
    <row r="14" spans="1:22">
      <c r="A14" s="352"/>
      <c r="B14" s="352"/>
      <c r="C14" s="84">
        <f>+C13+1</f>
        <v>2</v>
      </c>
      <c r="D14" s="424"/>
      <c r="E14" s="90"/>
      <c r="F14" s="99"/>
      <c r="G14" s="99"/>
      <c r="H14" s="144"/>
      <c r="I14" s="112"/>
      <c r="J14" s="145"/>
      <c r="K14" s="112"/>
      <c r="M14" s="359"/>
      <c r="N14" s="359"/>
      <c r="O14" s="362"/>
      <c r="P14" s="82"/>
      <c r="Q14" s="82"/>
      <c r="R14" s="82"/>
      <c r="S14" s="88"/>
      <c r="T14" s="88"/>
      <c r="U14" s="82"/>
      <c r="V14" s="81"/>
    </row>
    <row r="15" spans="1:22">
      <c r="A15" s="352"/>
      <c r="B15" s="352"/>
      <c r="C15" s="84">
        <f t="shared" ref="C15:C76" si="0">+C14+1</f>
        <v>3</v>
      </c>
      <c r="D15" s="424"/>
      <c r="E15" s="90"/>
      <c r="F15" s="99"/>
      <c r="G15" s="99"/>
      <c r="H15" s="144"/>
      <c r="I15" s="112"/>
      <c r="J15" s="145"/>
      <c r="K15" s="112"/>
      <c r="M15" s="359"/>
      <c r="N15" s="359"/>
      <c r="O15" s="362"/>
      <c r="P15" s="82"/>
      <c r="Q15" s="82"/>
      <c r="R15" s="82"/>
      <c r="S15" s="88"/>
      <c r="T15" s="88"/>
      <c r="U15" s="82"/>
      <c r="V15" s="81"/>
    </row>
    <row r="16" spans="1:22">
      <c r="A16" s="352"/>
      <c r="B16" s="352"/>
      <c r="C16" s="84">
        <f t="shared" si="0"/>
        <v>4</v>
      </c>
      <c r="D16" s="424"/>
      <c r="E16" s="90"/>
      <c r="F16" s="99"/>
      <c r="G16" s="99"/>
      <c r="H16" s="144"/>
      <c r="I16" s="112"/>
      <c r="J16" s="145"/>
      <c r="K16" s="112"/>
      <c r="M16" s="359"/>
      <c r="N16" s="359"/>
      <c r="O16" s="362"/>
      <c r="P16" s="82"/>
      <c r="Q16" s="82"/>
      <c r="R16" s="82"/>
      <c r="S16" s="88"/>
      <c r="T16" s="88"/>
      <c r="U16" s="82"/>
      <c r="V16" s="81"/>
    </row>
    <row r="17" spans="1:22">
      <c r="A17" s="352"/>
      <c r="B17" s="352"/>
      <c r="C17" s="84">
        <f t="shared" si="0"/>
        <v>5</v>
      </c>
      <c r="D17" s="424"/>
      <c r="E17" s="90"/>
      <c r="F17" s="99"/>
      <c r="G17" s="99"/>
      <c r="H17" s="623"/>
      <c r="I17" s="624"/>
      <c r="J17" s="623"/>
      <c r="K17" s="624"/>
      <c r="L17" s="757"/>
      <c r="M17" s="359"/>
      <c r="N17" s="359"/>
      <c r="O17" s="362"/>
      <c r="P17" s="82"/>
      <c r="Q17" s="82"/>
      <c r="R17" s="82"/>
      <c r="S17" s="88"/>
      <c r="T17" s="88"/>
      <c r="U17" s="82"/>
      <c r="V17" s="81"/>
    </row>
    <row r="18" spans="1:22">
      <c r="A18" s="352"/>
      <c r="B18" s="352"/>
      <c r="C18" s="84">
        <f t="shared" si="0"/>
        <v>6</v>
      </c>
      <c r="D18" s="424"/>
      <c r="E18" s="90"/>
      <c r="F18" s="99"/>
      <c r="G18" s="99"/>
      <c r="H18" s="144">
        <f>SUM(H13:H17)</f>
        <v>159606</v>
      </c>
      <c r="I18" s="144">
        <f>SUM(I13:I17)</f>
        <v>355486</v>
      </c>
      <c r="J18" s="144">
        <f>SUM(J13:J17)</f>
        <v>941837</v>
      </c>
      <c r="K18" s="144">
        <f t="shared" ref="K18:L18" si="1">SUM(K13:K17)</f>
        <v>-335350</v>
      </c>
      <c r="L18" s="144">
        <f t="shared" si="1"/>
        <v>0</v>
      </c>
      <c r="M18" s="359"/>
      <c r="N18" s="359"/>
      <c r="O18" s="818"/>
      <c r="P18" s="82"/>
      <c r="Q18" s="82"/>
      <c r="R18" s="82"/>
      <c r="S18" s="88"/>
      <c r="T18" s="88"/>
      <c r="U18" s="82"/>
      <c r="V18" s="81"/>
    </row>
    <row r="19" spans="1:22">
      <c r="A19" s="352"/>
      <c r="B19" s="352"/>
      <c r="C19" s="84">
        <f>+C13+1</f>
        <v>2</v>
      </c>
      <c r="D19" s="424"/>
      <c r="E19" s="90"/>
      <c r="F19" s="99"/>
      <c r="G19" s="99"/>
      <c r="H19" s="144"/>
      <c r="I19" s="112"/>
      <c r="J19" s="144"/>
      <c r="K19" s="112"/>
      <c r="N19" s="359"/>
      <c r="O19" s="818"/>
      <c r="P19" s="82"/>
      <c r="Q19" s="82"/>
      <c r="R19" s="82"/>
      <c r="S19" s="88"/>
      <c r="T19" s="88"/>
      <c r="U19" s="82"/>
      <c r="V19" s="81"/>
    </row>
    <row r="20" spans="1:22" s="99" customFormat="1">
      <c r="A20" s="355"/>
      <c r="B20" s="355"/>
      <c r="C20" s="84">
        <f t="shared" si="0"/>
        <v>3</v>
      </c>
      <c r="D20" s="149" t="str">
        <f>+'DPK-2 Restating Adj Sch 1.2'!H7</f>
        <v>R-1</v>
      </c>
      <c r="E20" s="90" t="str">
        <f>TRIM(CONCATENATE('DPK-2 Restating Adj Sch 1.2'!H$8," ",'DPK-2 Restating Adj Sch 1.2'!H$9," ",'DPK-2 Restating Adj Sch 1.2'!H$10))</f>
        <v>Deferred FIT Rate Base</v>
      </c>
      <c r="H20" s="112"/>
      <c r="I20" s="112">
        <f ca="1">+OFFSET('DPK-2 Restating Adj Sch 1.2'!$I$27,,ROW()-21)</f>
        <v>0</v>
      </c>
      <c r="J20" s="112"/>
      <c r="K20" s="112"/>
      <c r="L20" s="796">
        <f>-58908-25700</f>
        <v>-84608</v>
      </c>
      <c r="M20" s="353"/>
      <c r="N20" s="359"/>
      <c r="O20" s="818"/>
      <c r="P20" s="141"/>
      <c r="Q20" s="141"/>
      <c r="R20" s="141"/>
      <c r="S20" s="117"/>
      <c r="T20" s="117"/>
      <c r="U20" s="141"/>
      <c r="V20" s="142"/>
    </row>
    <row r="21" spans="1:22" s="99" customFormat="1">
      <c r="A21" s="355"/>
      <c r="B21" s="355"/>
      <c r="C21" s="84">
        <f t="shared" si="0"/>
        <v>4</v>
      </c>
      <c r="D21" s="149" t="str">
        <f>+'DPK-2 Restating Adj Sch 1.2'!I$7</f>
        <v>R-2</v>
      </c>
      <c r="E21" s="90" t="str">
        <f>TRIM(CONCATENATE('DPK-2 Restating Adj Sch 1.2'!I$8," ",'DPK-2 Restating Adj Sch 1.2'!I$9," ",'DPK-2 Restating Adj Sch 1.2'!I$10))</f>
        <v>Deferred Gain on Office Building</v>
      </c>
      <c r="H21" s="112">
        <f ca="1">+OFFSET('DPK-2 Restating Adj Sch 1.2'!$H$16,,ROW()-20)</f>
        <v>0</v>
      </c>
      <c r="I21" s="112">
        <f ca="1">+OFFSET('DPK-2 Restating Adj Sch 1.2'!$I$27,,ROW()-21)</f>
        <v>0</v>
      </c>
      <c r="J21" s="112"/>
      <c r="K21" s="112"/>
      <c r="M21" s="353"/>
      <c r="N21" s="359"/>
      <c r="O21" s="818"/>
      <c r="P21" s="141"/>
      <c r="Q21" s="141"/>
      <c r="R21" s="141"/>
      <c r="S21" s="117"/>
      <c r="T21" s="117"/>
      <c r="U21" s="141"/>
      <c r="V21" s="142"/>
    </row>
    <row r="22" spans="1:22" s="99" customFormat="1">
      <c r="A22" s="355"/>
      <c r="B22" s="355"/>
      <c r="C22" s="84">
        <f t="shared" si="0"/>
        <v>5</v>
      </c>
      <c r="D22" s="149" t="str">
        <f>+'DPK-2 Restating Adj Sch 1.2'!J$7</f>
        <v>R-3</v>
      </c>
      <c r="E22" s="90" t="str">
        <f>TRIM(CONCATENATE('DPK-2 Restating Adj Sch 1.2'!J$8," ",'DPK-2 Restating Adj Sch 1.2'!J$9," ",'DPK-2 Restating Adj Sch 1.2'!J$10))</f>
        <v>Colstrip 3 AFUDC Elimination</v>
      </c>
      <c r="H22" s="112"/>
      <c r="I22" s="112">
        <f ca="1">+OFFSET('DPK-2 Restating Adj Sch 1.2'!$I$27,,ROW()-21)</f>
        <v>-202</v>
      </c>
      <c r="J22" s="112">
        <f ca="1">+OFFSET('DPK-2 Restating Adj Sch 1.2'!$H$62,,ROW()-20)</f>
        <v>-7452</v>
      </c>
      <c r="K22" s="112">
        <f ca="1">-OFFSET('DPK-2 Restating Adj Sch 1.2'!$H$63,,ROW()-20)</f>
        <v>5496</v>
      </c>
      <c r="L22" s="112">
        <f ca="1">+OFFSET('DPK-2 Restating Adj Sch 1.2'!$H$68,,ROW()-20)</f>
        <v>0</v>
      </c>
      <c r="M22" s="353"/>
      <c r="N22" s="359"/>
      <c r="O22" s="818"/>
      <c r="P22" s="141"/>
      <c r="Q22" s="141"/>
      <c r="R22" s="141"/>
      <c r="S22" s="117"/>
      <c r="T22" s="117"/>
      <c r="U22" s="141"/>
      <c r="V22" s="142"/>
    </row>
    <row r="23" spans="1:22" s="99" customFormat="1">
      <c r="A23" s="355"/>
      <c r="B23" s="355"/>
      <c r="C23" s="84">
        <f t="shared" si="0"/>
        <v>6</v>
      </c>
      <c r="D23" s="149" t="str">
        <f>+'DPK-2 Restating Adj Sch 1.2'!K$7</f>
        <v>R-4</v>
      </c>
      <c r="E23" s="90" t="str">
        <f>TRIM(CONCATENATE('DPK-2 Restating Adj Sch 1.2'!K$8," ",'DPK-2 Restating Adj Sch 1.2'!K$9," ",'DPK-2 Restating Adj Sch 1.2'!K$10))</f>
        <v>Colstrip Common AFUDC</v>
      </c>
      <c r="H23" s="112"/>
      <c r="I23" s="112">
        <f ca="1">+OFFSET('DPK-2 Restating Adj Sch 1.2'!$I$27,,ROW()-21)</f>
        <v>0</v>
      </c>
      <c r="J23" s="112">
        <f ca="1">+OFFSET('DPK-2 Restating Adj Sch 1.2'!$H$62,,ROW()-20)</f>
        <v>436</v>
      </c>
      <c r="K23" s="112">
        <f ca="1">+OFFSET('DPK-2 Restating Adj Sch 1.2'!$H$63,,ROW()-20)</f>
        <v>0</v>
      </c>
      <c r="L23" s="112">
        <f ca="1">+OFFSET('DPK-2 Restating Adj Sch 1.2'!$H$68,,ROW()-20)</f>
        <v>0</v>
      </c>
      <c r="M23" s="353"/>
      <c r="N23" s="359"/>
      <c r="O23" s="818"/>
      <c r="P23" s="141"/>
      <c r="Q23" s="141"/>
      <c r="R23" s="141"/>
      <c r="S23" s="117"/>
      <c r="T23" s="117"/>
      <c r="U23" s="141"/>
      <c r="V23" s="142"/>
    </row>
    <row r="24" spans="1:22" s="99" customFormat="1">
      <c r="A24" s="355"/>
      <c r="B24" s="355"/>
      <c r="C24" s="84">
        <f t="shared" si="0"/>
        <v>7</v>
      </c>
      <c r="D24" s="149" t="str">
        <f>+'DPK-2 Restating Adj Sch 1.2'!L$7</f>
        <v>R-5</v>
      </c>
      <c r="E24" s="90" t="str">
        <f>TRIM(CONCATENATE('DPK-2 Restating Adj Sch 1.2'!L$8," ",'DPK-2 Restating Adj Sch 1.2'!L$9," ",'DPK-2 Restating Adj Sch 1.2'!L$10))</f>
        <v>Kettle Falls Disallow.</v>
      </c>
      <c r="H24" s="112"/>
      <c r="I24" s="112">
        <f ca="1">+OFFSET('DPK-2 Restating Adj Sch 1.2'!$I$27,,ROW()-21)</f>
        <v>0</v>
      </c>
      <c r="J24" s="112">
        <f ca="1">+OFFSET('DPK-2 Restating Adj Sch 1.2'!$H$62,,ROW()-20)</f>
        <v>-5248</v>
      </c>
      <c r="K24" s="112">
        <f ca="1">-OFFSET('DPK-2 Restating Adj Sch 1.2'!$H$63,,ROW()-20)</f>
        <v>3796</v>
      </c>
      <c r="L24" s="112">
        <f ca="1">+OFFSET('DPK-2 Restating Adj Sch 1.2'!$H$68,,ROW()-20)</f>
        <v>598</v>
      </c>
      <c r="M24" s="353"/>
      <c r="N24" s="359"/>
      <c r="O24" s="818"/>
      <c r="P24" s="141"/>
      <c r="Q24" s="141"/>
      <c r="R24" s="141"/>
      <c r="S24" s="117"/>
      <c r="T24" s="117"/>
      <c r="U24" s="141"/>
      <c r="V24" s="142"/>
    </row>
    <row r="25" spans="1:22" s="99" customFormat="1">
      <c r="A25" s="355"/>
      <c r="B25" s="355"/>
      <c r="C25" s="84">
        <f t="shared" si="0"/>
        <v>8</v>
      </c>
      <c r="D25" s="149" t="str">
        <f>+'DPK-2 Restating Adj Sch 1.2'!M$7</f>
        <v>R-6</v>
      </c>
      <c r="E25" s="90" t="str">
        <f>TRIM(CONCATENATE('DPK-2 Restating Adj Sch 1.2'!M$8," ",'DPK-2 Restating Adj Sch 1.2'!M$9," ",'DPK-2 Restating Adj Sch 1.2'!M$10))</f>
        <v>Customer Advances</v>
      </c>
      <c r="H25" s="112"/>
      <c r="I25" s="112">
        <f ca="1">+OFFSET('DPK-2 Restating Adj Sch 1.2'!$I$27,,ROW()-21)</f>
        <v>0</v>
      </c>
      <c r="J25" s="112"/>
      <c r="K25" s="112">
        <f ca="1">+OFFSET('DPK-2 Restating Adj Sch 1.2'!$H$63,,ROW()-20)</f>
        <v>0</v>
      </c>
      <c r="L25" s="112">
        <f ca="1">+OFFSET('DPK-2 Restating Adj Sch 1.2'!$H$68,,ROW()-20)</f>
        <v>0</v>
      </c>
      <c r="M25" s="353"/>
      <c r="N25" s="359"/>
      <c r="O25" s="818"/>
      <c r="P25" s="141"/>
      <c r="Q25" s="141"/>
      <c r="R25" s="141"/>
      <c r="S25" s="117"/>
      <c r="T25" s="117"/>
      <c r="U25" s="141"/>
      <c r="V25" s="142"/>
    </row>
    <row r="26" spans="1:22" s="99" customFormat="1">
      <c r="A26" s="355"/>
      <c r="B26" s="355"/>
      <c r="C26" s="84">
        <f t="shared" si="0"/>
        <v>9</v>
      </c>
      <c r="D26" s="149" t="str">
        <f>+'DPK-2 Restating Adj Sch 1.2'!N$7</f>
        <v>R-7</v>
      </c>
      <c r="E26" s="90" t="str">
        <f>TRIM(CONCATENATE('DPK-2 Restating Adj Sch 1.2'!N$8," ",'DPK-2 Restating Adj Sch 1.2'!N$9," ",'DPK-2 Restating Adj Sch 1.2'!N$10))</f>
        <v>Depreciation True-up</v>
      </c>
      <c r="H26" s="112"/>
      <c r="I26" s="112">
        <f ca="1">+OFFSET('DPK-2 Restating Adj Sch 1.2'!$I$27,,ROW()-21)</f>
        <v>-685</v>
      </c>
      <c r="J26" s="112">
        <f ca="1">+OFFSET('DPK-2 Restating Adj Sch 1.2'!$H$71,,ROW()-20)</f>
        <v>0</v>
      </c>
      <c r="K26" s="112">
        <f ca="1">+OFFSET('DPK-2 Restating Adj Sch 1.2'!$H$63,,ROW()-20)</f>
        <v>0</v>
      </c>
      <c r="L26" s="112">
        <f ca="1">+OFFSET('DPK-2 Restating Adj Sch 1.2'!$H$68,,ROW()-20)</f>
        <v>0</v>
      </c>
      <c r="M26" s="353"/>
      <c r="N26" s="359"/>
      <c r="O26" s="818"/>
      <c r="P26" s="141"/>
      <c r="Q26" s="141"/>
      <c r="R26" s="141"/>
      <c r="S26" s="117"/>
      <c r="T26" s="117"/>
      <c r="U26" s="141"/>
      <c r="V26" s="142"/>
    </row>
    <row r="27" spans="1:22" s="99" customFormat="1">
      <c r="A27" s="355"/>
      <c r="B27" s="355"/>
      <c r="C27" s="84">
        <f t="shared" si="0"/>
        <v>10</v>
      </c>
      <c r="D27" s="149" t="str">
        <f>+'DPK-2 Restating Adj Sch 1.2'!O$7</f>
        <v>R-8</v>
      </c>
      <c r="E27" s="90" t="str">
        <f>TRIM(CONCATENATE('DPK-2 Restating Adj Sch 1.2'!O$8," ",'DPK-2 Restating Adj Sch 1.2'!O$9," ",'DPK-2 Restating Adj Sch 1.2'!O$10))</f>
        <v>Settlement Exchange Power</v>
      </c>
      <c r="H27" s="112"/>
      <c r="I27" s="112">
        <f ca="1">+OFFSET('DPK-2 Restating Adj Sch 1.2'!$I$27,,ROW()-21)</f>
        <v>0</v>
      </c>
      <c r="J27" s="112">
        <f>+'DPK-2 Restating Adj Sch 1.2'!O58</f>
        <v>79626</v>
      </c>
      <c r="K27" s="112">
        <f>-'DPK-2 Restating Adj Sch 1.2'!O64</f>
        <v>-57168</v>
      </c>
      <c r="L27" s="112">
        <f ca="1">+OFFSET('DPK-2 Restating Adj Sch 1.2'!$H$68,,ROW()-20)</f>
        <v>-4036</v>
      </c>
      <c r="M27" s="353"/>
      <c r="N27" s="359"/>
      <c r="O27" s="818"/>
      <c r="P27" s="141"/>
      <c r="Q27" s="141"/>
      <c r="R27" s="141"/>
      <c r="S27" s="117"/>
      <c r="T27" s="117"/>
      <c r="U27" s="141"/>
      <c r="V27" s="142"/>
    </row>
    <row r="28" spans="1:22" s="95" customFormat="1">
      <c r="A28" s="356"/>
      <c r="B28" s="356"/>
      <c r="C28" s="84">
        <f t="shared" si="0"/>
        <v>11</v>
      </c>
      <c r="D28" s="149" t="str">
        <f>'DPK-2 Restating Adj Sch 1.2'!P$7</f>
        <v>R-9</v>
      </c>
      <c r="E28" s="90" t="str">
        <f>TRIM(CONCATENATE('DPK-2 Restating Adj Sch 1.2'!P$8," ",'DPK-2 Restating Adj Sch 1.2'!P$9," ",'DPK-2 Restating Adj Sch 1.2'!P$10))</f>
        <v>Eliminate B &amp; O Taxes</v>
      </c>
      <c r="F28" s="99"/>
      <c r="G28" s="99"/>
      <c r="H28" s="112"/>
      <c r="I28" s="112">
        <f ca="1">+OFFSET('DPK-2 Restating Adj Sch 1.2'!$I$27,,ROW()-21)</f>
        <v>0</v>
      </c>
      <c r="J28" s="112">
        <f ca="1">+OFFSET('DPK-2 Restating Adj Sch 1.2'!$H$71,,ROW()-20)</f>
        <v>0</v>
      </c>
      <c r="K28" s="112">
        <f ca="1">+OFFSET('DPK-2 Restating Adj Sch 1.2'!$H$63,,ROW()-20)</f>
        <v>0</v>
      </c>
      <c r="L28" s="112">
        <f ca="1">+OFFSET('DPK-2 Restating Adj Sch 1.2'!$H$68,,ROW()-20)</f>
        <v>0</v>
      </c>
      <c r="M28" s="353"/>
      <c r="N28" s="359"/>
      <c r="O28" s="818"/>
      <c r="P28" s="97"/>
      <c r="Q28" s="97"/>
      <c r="R28" s="97"/>
      <c r="S28" s="98"/>
      <c r="T28" s="98"/>
      <c r="U28" s="97"/>
      <c r="V28" s="96"/>
    </row>
    <row r="29" spans="1:22" s="95" customFormat="1">
      <c r="A29" s="356"/>
      <c r="B29" s="356"/>
      <c r="C29" s="84">
        <f t="shared" si="0"/>
        <v>12</v>
      </c>
      <c r="D29" s="149" t="str">
        <f>'DPK-2 Restating Adj Sch 1.2'!Q$7</f>
        <v>R-10</v>
      </c>
      <c r="E29" s="90" t="str">
        <f>TRIM(CONCATENATE('DPK-2 Restating Adj Sch 1.2'!Q$8," ",'DPK-2 Restating Adj Sch 1.2'!Q$9," ",'DPK-2 Restating Adj Sch 1.2'!Q$10))</f>
        <v>Property Tax</v>
      </c>
      <c r="F29" s="99"/>
      <c r="G29" s="99"/>
      <c r="H29" s="112"/>
      <c r="I29" s="112">
        <f ca="1">+OFFSET('DPK-2 Restating Adj Sch 1.2'!$I$27,,ROW()-21)</f>
        <v>1373.9480000000001</v>
      </c>
      <c r="J29" s="112">
        <f ca="1">+OFFSET('DPK-2 Restating Adj Sch 1.2'!$H$71,,ROW()-20)</f>
        <v>0</v>
      </c>
      <c r="K29" s="112">
        <f ca="1">+OFFSET('DPK-2 Restating Adj Sch 1.2'!$H$63,,ROW()-20)</f>
        <v>0</v>
      </c>
      <c r="L29" s="112">
        <f ca="1">+OFFSET('DPK-2 Restating Adj Sch 1.2'!$H$68,,ROW()-20)</f>
        <v>0</v>
      </c>
      <c r="M29" s="353"/>
      <c r="N29" s="359"/>
      <c r="O29" s="818"/>
      <c r="P29" s="97"/>
      <c r="Q29" s="97"/>
      <c r="R29" s="97"/>
      <c r="S29" s="98"/>
      <c r="T29" s="98"/>
      <c r="U29" s="97"/>
      <c r="V29" s="96"/>
    </row>
    <row r="30" spans="1:22" s="95" customFormat="1">
      <c r="A30" s="356"/>
      <c r="B30" s="356"/>
      <c r="C30" s="84">
        <f t="shared" si="0"/>
        <v>13</v>
      </c>
      <c r="D30" s="149" t="str">
        <f>'DPK-2 Restating Adj Sch 1.2'!R$7</f>
        <v>R-11</v>
      </c>
      <c r="E30" s="90" t="str">
        <f>TRIM(CONCATENATE('DPK-2 Restating Adj Sch 1.2'!R$8," ",'DPK-2 Restating Adj Sch 1.2'!R$9," ",'DPK-2 Restating Adj Sch 1.2'!R$10))</f>
        <v>Uncollect. Expense</v>
      </c>
      <c r="F30" s="99"/>
      <c r="G30" s="99"/>
      <c r="H30" s="112"/>
      <c r="I30" s="112">
        <f ca="1">+OFFSET('DPK-2 Restating Adj Sch 1.2'!$I$27,,ROW()-21)</f>
        <v>0</v>
      </c>
      <c r="J30" s="112">
        <f ca="1">+OFFSET('DPK-2 Restating Adj Sch 1.2'!$H$71,,ROW()-20)</f>
        <v>0</v>
      </c>
      <c r="K30" s="112">
        <f ca="1">+OFFSET('DPK-2 Restating Adj Sch 1.2'!$H$63,,ROW()-20)</f>
        <v>0</v>
      </c>
      <c r="L30" s="112">
        <f ca="1">+OFFSET('DPK-2 Restating Adj Sch 1.2'!$H$68,,ROW()-20)</f>
        <v>0</v>
      </c>
      <c r="M30" s="353"/>
      <c r="N30" s="359"/>
      <c r="O30" s="818"/>
      <c r="P30" s="97"/>
      <c r="Q30" s="97"/>
      <c r="R30" s="97"/>
      <c r="S30" s="98"/>
      <c r="T30" s="98"/>
      <c r="U30" s="97"/>
      <c r="V30" s="96"/>
    </row>
    <row r="31" spans="1:22" s="95" customFormat="1">
      <c r="A31" s="356"/>
      <c r="B31" s="356"/>
      <c r="C31" s="84">
        <f t="shared" si="0"/>
        <v>14</v>
      </c>
      <c r="D31" s="149" t="str">
        <f>'DPK-2 Restating Adj Sch 1.2'!S$7</f>
        <v>R-12</v>
      </c>
      <c r="E31" s="90" t="str">
        <f>TRIM(CONCATENATE('DPK-2 Restating Adj Sch 1.2'!S$8," ",'DPK-2 Restating Adj Sch 1.2'!S$9," ",'DPK-2 Restating Adj Sch 1.2'!S$10))</f>
        <v>Regulatory Expense</v>
      </c>
      <c r="F31" s="99"/>
      <c r="G31" s="99"/>
      <c r="H31" s="112"/>
      <c r="I31" s="112">
        <f ca="1">+OFFSET('DPK-2 Restating Adj Sch 1.2'!$I$27,,ROW()-21)</f>
        <v>0</v>
      </c>
      <c r="J31" s="112">
        <f ca="1">+OFFSET('DPK-2 Restating Adj Sch 1.2'!$H$71,,ROW()-20)</f>
        <v>0</v>
      </c>
      <c r="K31" s="112">
        <f ca="1">+OFFSET('DPK-2 Restating Adj Sch 1.2'!$H$63,,ROW()-20)</f>
        <v>0</v>
      </c>
      <c r="L31" s="112">
        <f ca="1">+OFFSET('DPK-2 Restating Adj Sch 1.2'!$H$68,,ROW()-20)</f>
        <v>0</v>
      </c>
      <c r="M31" s="353"/>
      <c r="N31" s="359"/>
      <c r="O31" s="818"/>
      <c r="P31" s="97"/>
      <c r="Q31" s="97" t="s">
        <v>219</v>
      </c>
      <c r="R31" s="97"/>
      <c r="S31" s="98"/>
      <c r="T31" s="98"/>
      <c r="U31" s="97"/>
      <c r="V31" s="96"/>
    </row>
    <row r="32" spans="1:22" s="95" customFormat="1">
      <c r="A32" s="356"/>
      <c r="B32" s="356"/>
      <c r="C32" s="84">
        <f t="shared" si="0"/>
        <v>15</v>
      </c>
      <c r="D32" s="149" t="str">
        <f>'DPK-2 Restating Adj Sch 1.2'!T$7</f>
        <v>R-13</v>
      </c>
      <c r="E32" s="90" t="str">
        <f>TRIM(CONCATENATE('DPK-2 Restating Adj Sch 1.2'!T$8," ",'DPK-2 Restating Adj Sch 1.2'!T$9," ",'DPK-2 Restating Adj Sch 1.2'!T$10))</f>
        <v>Injuries and Damages</v>
      </c>
      <c r="F32" s="99"/>
      <c r="G32" s="99"/>
      <c r="H32" s="112"/>
      <c r="I32" s="112">
        <f ca="1">+OFFSET('DPK-2 Restating Adj Sch 1.2'!$I$27,,ROW()-21)</f>
        <v>0</v>
      </c>
      <c r="J32" s="112">
        <f ca="1">+OFFSET('DPK-2 Restating Adj Sch 1.2'!$H$71,,ROW()-20)</f>
        <v>0</v>
      </c>
      <c r="K32" s="112">
        <f ca="1">+OFFSET('DPK-2 Restating Adj Sch 1.2'!$H$63,,ROW()-20)</f>
        <v>0</v>
      </c>
      <c r="L32" s="112">
        <f ca="1">+OFFSET('DPK-2 Restating Adj Sch 1.2'!$H$68,,ROW()-20)</f>
        <v>0</v>
      </c>
      <c r="M32" s="353"/>
      <c r="N32" s="359"/>
      <c r="O32" s="818"/>
      <c r="P32" s="97"/>
      <c r="Q32" s="97"/>
      <c r="R32" s="97"/>
      <c r="S32" s="98"/>
      <c r="T32" s="98"/>
      <c r="U32" s="97"/>
      <c r="V32" s="96"/>
    </row>
    <row r="33" spans="1:22" s="138" customFormat="1">
      <c r="A33" s="357"/>
      <c r="B33" s="357"/>
      <c r="C33" s="84">
        <f t="shared" si="0"/>
        <v>16</v>
      </c>
      <c r="D33" s="149" t="str">
        <f>'DPK-2 Restating Adj Sch 1.2'!U$7</f>
        <v>R-14</v>
      </c>
      <c r="E33" s="90" t="str">
        <f>TRIM(CONCATENATE('DPK-2 Restating Adj Sch 1.2'!U$8," ",'DPK-2 Restating Adj Sch 1.2'!U$9," ",'DPK-2 Restating Adj Sch 1.2'!U$10))</f>
        <v>FIT</v>
      </c>
      <c r="F33" s="99"/>
      <c r="H33" s="112"/>
      <c r="I33" s="112">
        <f ca="1">+OFFSET('DPK-2 Restating Adj Sch 1.2'!$I$27,,ROW()-21)</f>
        <v>0</v>
      </c>
      <c r="J33" s="112">
        <f ca="1">+OFFSET('DPK-2 Restating Adj Sch 1.2'!$H$71,,ROW()-20)</f>
        <v>0</v>
      </c>
      <c r="K33" s="112">
        <f ca="1">+OFFSET('DPK-2 Restating Adj Sch 1.2'!$H$63,,ROW()-20)</f>
        <v>0</v>
      </c>
      <c r="L33" s="112">
        <f ca="1">+OFFSET('DPK-2 Restating Adj Sch 1.2'!$H$68,,ROW()-20)</f>
        <v>0</v>
      </c>
      <c r="M33" s="353"/>
      <c r="N33" s="359"/>
      <c r="O33" s="818"/>
      <c r="P33" s="136"/>
      <c r="Q33" s="136"/>
      <c r="R33" s="136"/>
      <c r="S33" s="139"/>
      <c r="T33" s="139"/>
      <c r="U33" s="136"/>
      <c r="V33" s="140"/>
    </row>
    <row r="34" spans="1:22" s="95" customFormat="1">
      <c r="A34" s="356"/>
      <c r="B34" s="356"/>
      <c r="C34" s="84">
        <f t="shared" si="0"/>
        <v>17</v>
      </c>
      <c r="D34" s="149" t="str">
        <f>'DPK-2 Restating Adj Sch 1.2'!V$7</f>
        <v>R-15</v>
      </c>
      <c r="E34" s="90" t="str">
        <f>TRIM(CONCATENATE('DPK-2 Restating Adj Sch 1.2'!V$8," ",'DPK-2 Restating Adj Sch 1.2'!V$9," ",'DPK-2 Restating Adj Sch 1.2'!V$10))</f>
        <v>Eliminate WA Power Cost Defer</v>
      </c>
      <c r="F34" s="99"/>
      <c r="G34" s="99"/>
      <c r="H34" s="112"/>
      <c r="I34" s="112">
        <f ca="1">+OFFSET('DPK-2 Restating Adj Sch 1.2'!$I$27,,ROW()-21)</f>
        <v>-17668</v>
      </c>
      <c r="J34" s="112">
        <f ca="1">+OFFSET('DPK-2 Restating Adj Sch 1.2'!$H$71,,ROW()-20)</f>
        <v>0</v>
      </c>
      <c r="K34" s="112">
        <f ca="1">+OFFSET('DPK-2 Restating Adj Sch 1.2'!$H$63,,ROW()-20)</f>
        <v>0</v>
      </c>
      <c r="L34" s="112">
        <f ca="1">+OFFSET('DPK-2 Restating Adj Sch 1.2'!$H$68,,ROW()-20)</f>
        <v>0</v>
      </c>
      <c r="M34" s="353"/>
      <c r="N34" s="359"/>
      <c r="O34" s="818"/>
      <c r="P34" s="97"/>
      <c r="Q34" s="97"/>
      <c r="R34" s="97"/>
      <c r="S34" s="98"/>
      <c r="T34" s="98"/>
      <c r="U34" s="97"/>
      <c r="V34" s="96"/>
    </row>
    <row r="35" spans="1:22" s="95" customFormat="1">
      <c r="A35" s="356"/>
      <c r="B35" s="356"/>
      <c r="C35" s="84">
        <f t="shared" si="0"/>
        <v>18</v>
      </c>
      <c r="D35" s="149" t="str">
        <f>'DPK-2 Restating Adj Sch 1.2'!W$7</f>
        <v>R-16</v>
      </c>
      <c r="E35" s="90" t="str">
        <f>TRIM(CONCATENATE('DPK-2 Restating Adj Sch 1.2'!W$8," ",'DPK-2 Restating Adj Sch 1.2'!W$9," ",'DPK-2 Restating Adj Sch 1.2'!W$10))</f>
        <v>Nez Perce Settlement Adjustment</v>
      </c>
      <c r="F35" s="99"/>
      <c r="G35" s="99"/>
      <c r="H35" s="112"/>
      <c r="I35" s="112">
        <f ca="1">+OFFSET('DPK-2 Restating Adj Sch 1.2'!$I$27,,ROW()-21)</f>
        <v>9</v>
      </c>
      <c r="J35" s="112">
        <f ca="1">+OFFSET('DPK-2 Restating Adj Sch 1.2'!$H$71,,ROW()-20)</f>
        <v>0</v>
      </c>
      <c r="K35" s="112">
        <f ca="1">+OFFSET('DPK-2 Restating Adj Sch 1.2'!$H$63,,ROW()-20)</f>
        <v>0</v>
      </c>
      <c r="L35" s="112">
        <f ca="1">+OFFSET('DPK-2 Restating Adj Sch 1.2'!$H$68,,ROW()-20)</f>
        <v>0</v>
      </c>
      <c r="M35" s="353"/>
      <c r="N35" s="359"/>
      <c r="O35" s="818"/>
      <c r="P35" s="97"/>
      <c r="Q35" s="97"/>
      <c r="R35" s="97"/>
      <c r="S35" s="98"/>
      <c r="T35" s="98"/>
      <c r="U35" s="97"/>
      <c r="V35" s="96"/>
    </row>
    <row r="36" spans="1:22" s="138" customFormat="1">
      <c r="A36" s="357"/>
      <c r="B36" s="357"/>
      <c r="C36" s="84">
        <f t="shared" si="0"/>
        <v>19</v>
      </c>
      <c r="D36" s="149" t="str">
        <f>'DPK-2 Restating Adj Sch 1.2'!X$7</f>
        <v>R-17</v>
      </c>
      <c r="E36" s="90" t="str">
        <f>TRIM(CONCATENATE('DPK-2 Restating Adj Sch 1.2'!X$8," ",'DPK-2 Restating Adj Sch 1.2'!X$9," ",'DPK-2 Restating Adj Sch 1.2'!X$10))</f>
        <v>Eliminate A/R Expenses</v>
      </c>
      <c r="F36" s="99"/>
      <c r="G36" s="99"/>
      <c r="H36" s="112"/>
      <c r="I36" s="112">
        <f ca="1">+OFFSET('DPK-2 Restating Adj Sch 1.2'!$I$27,,ROW()-21)</f>
        <v>0</v>
      </c>
      <c r="J36" s="112">
        <f ca="1">+OFFSET('DPK-2 Restating Adj Sch 1.2'!$H$71,,ROW()-20)</f>
        <v>0</v>
      </c>
      <c r="K36" s="112">
        <f ca="1">+OFFSET('DPK-2 Restating Adj Sch 1.2'!$H$63,,ROW()-20)</f>
        <v>0</v>
      </c>
      <c r="L36" s="112">
        <f ca="1">+OFFSET('DPK-2 Restating Adj Sch 1.2'!$H$68,,ROW()-20)</f>
        <v>0</v>
      </c>
      <c r="M36" s="353"/>
      <c r="N36" s="359"/>
      <c r="O36" s="818"/>
      <c r="P36" s="136"/>
      <c r="Q36" s="136"/>
      <c r="R36" s="136"/>
      <c r="S36" s="139"/>
      <c r="T36" s="139"/>
      <c r="U36" s="136"/>
      <c r="V36" s="137"/>
    </row>
    <row r="37" spans="1:22">
      <c r="A37" s="352"/>
      <c r="B37" s="352"/>
      <c r="C37" s="84">
        <f t="shared" si="0"/>
        <v>20</v>
      </c>
      <c r="D37" s="149" t="str">
        <f>'DPK-2 Restating Adj Sch 1.2'!Y$7</f>
        <v>R-18</v>
      </c>
      <c r="E37" s="90" t="str">
        <f>TRIM(CONCATENATE('DPK-2 Restating Adj Sch 1.2'!Y$8," ",'DPK-2 Restating Adj Sch 1.2'!Y$9," ",'DPK-2 Restating Adj Sch 1.2'!Y$10))</f>
        <v>Office Space Charges to Subsidiaries</v>
      </c>
      <c r="F37" s="99"/>
      <c r="G37" s="99"/>
      <c r="H37" s="112"/>
      <c r="I37" s="112">
        <f ca="1">+OFFSET('DPK-2 Restating Adj Sch 1.2'!$I$27,,ROW()-21)</f>
        <v>0</v>
      </c>
      <c r="J37" s="112">
        <f ca="1">+OFFSET('DPK-2 Restating Adj Sch 1.2'!$H$71,,ROW()-20)</f>
        <v>0</v>
      </c>
      <c r="K37" s="112">
        <f ca="1">+OFFSET('DPK-2 Restating Adj Sch 1.2'!$H$63,,ROW()-20)</f>
        <v>0</v>
      </c>
      <c r="L37" s="112">
        <f ca="1">+OFFSET('DPK-2 Restating Adj Sch 1.2'!$H$68,,ROW()-20)</f>
        <v>0</v>
      </c>
      <c r="N37" s="359"/>
      <c r="O37" s="818"/>
      <c r="P37" s="82"/>
      <c r="Q37" s="82"/>
      <c r="R37" s="82"/>
      <c r="S37" s="89"/>
      <c r="T37" s="89"/>
      <c r="U37" s="82"/>
      <c r="V37" s="81"/>
    </row>
    <row r="38" spans="1:22" s="138" customFormat="1">
      <c r="A38" s="357"/>
      <c r="B38" s="357"/>
      <c r="C38" s="84">
        <f t="shared" si="0"/>
        <v>21</v>
      </c>
      <c r="D38" s="149" t="str">
        <f>'DPK-2 Restating Adj Sch 1.2'!Z$7</f>
        <v>R-19</v>
      </c>
      <c r="E38" s="90" t="str">
        <f>TRIM(CONCATENATE('DPK-2 Restating Adj Sch 1.2'!Z$8," ",'DPK-2 Restating Adj Sch 1.2'!Z$9," ",'DPK-2 Restating Adj Sch 1.2'!Z$10))</f>
        <v>Restate Excise Taxes</v>
      </c>
      <c r="F38" s="99"/>
      <c r="G38" s="99"/>
      <c r="H38" s="112"/>
      <c r="I38" s="112">
        <f ca="1">+OFFSET('DPK-2 Restating Adj Sch 1.2'!$I$27,,ROW()-21)</f>
        <v>0</v>
      </c>
      <c r="J38" s="112">
        <f ca="1">+OFFSET('DPK-2 Restating Adj Sch 1.2'!$H$71,,ROW()-20)</f>
        <v>0</v>
      </c>
      <c r="K38" s="112">
        <f ca="1">+OFFSET('DPK-2 Restating Adj Sch 1.2'!$H$63,,ROW()-20)</f>
        <v>0</v>
      </c>
      <c r="L38" s="112">
        <f ca="1">+OFFSET('DPK-2 Restating Adj Sch 1.2'!$H$68,,ROW()-20)</f>
        <v>0</v>
      </c>
      <c r="M38" s="353"/>
      <c r="N38" s="359"/>
      <c r="O38" s="818"/>
      <c r="P38" s="136"/>
      <c r="Q38" s="136"/>
      <c r="R38" s="136"/>
      <c r="S38" s="139"/>
      <c r="T38" s="139"/>
      <c r="U38" s="136"/>
      <c r="V38" s="140"/>
    </row>
    <row r="39" spans="1:22" s="138" customFormat="1">
      <c r="A39" s="357"/>
      <c r="B39" s="357"/>
      <c r="C39" s="84">
        <f t="shared" si="0"/>
        <v>22</v>
      </c>
      <c r="D39" s="149" t="str">
        <f>'DPK-2 Restating Adj Sch 1.2'!AA$7</f>
        <v>R-20</v>
      </c>
      <c r="E39" s="90" t="str">
        <f>TRIM(CONCATENATE('DPK-2 Restating Adj Sch 1.2'!AA$8," ",'DPK-2 Restating Adj Sch 1.2'!AA$9," ",'DPK-2 Restating Adj Sch 1.2'!AA$10))</f>
        <v>Net Gains/losses</v>
      </c>
      <c r="F39" s="99"/>
      <c r="G39" s="99"/>
      <c r="H39" s="112"/>
      <c r="I39" s="112">
        <f ca="1">+OFFSET('DPK-2 Restating Adj Sch 1.2'!$I$27,,ROW()-21)</f>
        <v>0</v>
      </c>
      <c r="J39" s="112">
        <f ca="1">+OFFSET('DPK-2 Restating Adj Sch 1.2'!$H$71,,ROW()-20)</f>
        <v>0</v>
      </c>
      <c r="K39" s="112">
        <f ca="1">+OFFSET('DPK-2 Restating Adj Sch 1.2'!$H$63,,ROW()-20)</f>
        <v>0</v>
      </c>
      <c r="L39" s="112">
        <f ca="1">+OFFSET('DPK-2 Restating Adj Sch 1.2'!$H$68,,ROW()-20)</f>
        <v>0</v>
      </c>
      <c r="M39" s="353"/>
      <c r="N39" s="359"/>
      <c r="O39" s="818"/>
      <c r="P39" s="136"/>
      <c r="Q39" s="136"/>
      <c r="R39" s="136"/>
      <c r="S39" s="139"/>
      <c r="T39" s="139"/>
      <c r="U39" s="136"/>
      <c r="V39" s="140"/>
    </row>
    <row r="40" spans="1:22">
      <c r="A40" s="352"/>
      <c r="B40" s="352"/>
      <c r="C40" s="84">
        <f t="shared" si="0"/>
        <v>23</v>
      </c>
      <c r="D40" s="149" t="str">
        <f>'DPK-2 Restating Adj Sch 1.2'!AB$7</f>
        <v>R-21</v>
      </c>
      <c r="E40" s="90" t="str">
        <f>TRIM(CONCATENATE('DPK-2 Restating Adj Sch 1.2'!AB$8," ",'DPK-2 Restating Adj Sch 1.2'!AB$9," ",'DPK-2 Restating Adj Sch 1.2'!AB$10))</f>
        <v>Revenue Normalization</v>
      </c>
      <c r="F40" s="99"/>
      <c r="G40" s="143"/>
      <c r="H40" s="112"/>
      <c r="I40" s="112">
        <f ca="1">+OFFSET('DPK-2 Restating Adj Sch 1.2'!$I$27,,ROW()-21)</f>
        <v>2618</v>
      </c>
      <c r="J40" s="112">
        <f ca="1">+OFFSET('DPK-2 Restating Adj Sch 1.2'!$H$71,,ROW()-20)</f>
        <v>0</v>
      </c>
      <c r="K40" s="112">
        <f ca="1">+OFFSET('DPK-2 Restating Adj Sch 1.2'!$H$63,,ROW()-20)</f>
        <v>0</v>
      </c>
      <c r="L40" s="112">
        <f ca="1">+OFFSET('DPK-2 Restating Adj Sch 1.2'!$H$68,,ROW()-20)</f>
        <v>0</v>
      </c>
      <c r="N40" s="359"/>
      <c r="O40" s="818"/>
      <c r="P40" s="82"/>
      <c r="Q40" s="82"/>
      <c r="R40" s="82"/>
      <c r="S40" s="89"/>
      <c r="T40" s="89"/>
      <c r="U40" s="82"/>
      <c r="V40" s="81"/>
    </row>
    <row r="41" spans="1:22" s="138" customFormat="1">
      <c r="A41" s="357"/>
      <c r="B41" s="357"/>
      <c r="C41" s="84">
        <f t="shared" si="0"/>
        <v>24</v>
      </c>
      <c r="D41" s="149" t="str">
        <f>'DPK-2 Restating Adj Sch 1.2'!AC$7</f>
        <v>R-22</v>
      </c>
      <c r="E41" s="90" t="str">
        <f>TRIM(CONCATENATE('DPK-2 Restating Adj Sch 1.2'!AC$8," ",'DPK-2 Restating Adj Sch 1.2'!AC$9," ",'DPK-2 Restating Adj Sch 1.2'!AC$10))</f>
        <v>Miscellaneous Restating</v>
      </c>
      <c r="F41" s="99"/>
      <c r="H41" s="112"/>
      <c r="I41" s="112">
        <f ca="1">+OFFSET('DPK-2 Restating Adj Sch 1.2'!$I$27,,ROW()-21)</f>
        <v>0</v>
      </c>
      <c r="J41" s="112">
        <f ca="1">+OFFSET('DPK-2 Restating Adj Sch 1.2'!$H$71,,ROW()-20)</f>
        <v>0</v>
      </c>
      <c r="K41" s="112">
        <f ca="1">+OFFSET('DPK-2 Restating Adj Sch 1.2'!$H$63,,ROW()-20)</f>
        <v>0</v>
      </c>
      <c r="L41" s="112">
        <f ca="1">+OFFSET('DPK-2 Restating Adj Sch 1.2'!$H$68,,ROW()-20)</f>
        <v>0</v>
      </c>
      <c r="M41" s="353"/>
      <c r="N41" s="359"/>
      <c r="O41" s="818"/>
    </row>
    <row r="42" spans="1:22" s="138" customFormat="1">
      <c r="A42" s="357"/>
      <c r="B42" s="357"/>
      <c r="C42" s="84">
        <f t="shared" si="0"/>
        <v>25</v>
      </c>
      <c r="D42" s="149" t="str">
        <f>'DPK-2 Restating Adj Sch 1.2'!AD$7</f>
        <v>R-23</v>
      </c>
      <c r="E42" s="90" t="str">
        <f>TRIM(CONCATENATE('DPK-2 Restating Adj Sch 1.2'!AD$8," ",'DPK-2 Restating Adj Sch 1.2'!AD$9," ",'DPK-2 Restating Adj Sch 1.2'!AD$10))</f>
        <v>Restate Debt Interest</v>
      </c>
      <c r="F42" s="99"/>
      <c r="G42" s="99"/>
      <c r="H42" s="112"/>
      <c r="I42" s="112">
        <f ca="1">+OFFSET('DPK-2 Restating Adj Sch 1.2'!$I$27,,ROW()-21)</f>
        <v>0</v>
      </c>
      <c r="J42" s="112">
        <f ca="1">+OFFSET('DPK-2 Restating Adj Sch 1.2'!$H$71,,ROW()-20)</f>
        <v>0</v>
      </c>
      <c r="K42" s="112">
        <f ca="1">+OFFSET('DPK-2 Restating Adj Sch 1.2'!$H$63,,ROW()-20)</f>
        <v>0</v>
      </c>
      <c r="L42" s="112">
        <f ca="1">+OFFSET('DPK-2 Restating Adj Sch 1.2'!$H$68,,ROW()-20)</f>
        <v>0</v>
      </c>
      <c r="M42" s="353"/>
      <c r="N42" s="359"/>
      <c r="O42" s="818"/>
      <c r="P42" s="136"/>
      <c r="Q42" s="136"/>
      <c r="R42" s="136"/>
      <c r="S42" s="139"/>
      <c r="T42" s="139"/>
      <c r="U42" s="136"/>
      <c r="V42" s="140"/>
    </row>
    <row r="43" spans="1:22">
      <c r="A43" s="352"/>
      <c r="B43" s="352"/>
      <c r="C43" s="84">
        <f t="shared" si="0"/>
        <v>26</v>
      </c>
      <c r="D43" s="149" t="str">
        <f>'DPK-2 Restating Adj Sch 1.2'!AE$7</f>
        <v>R-24</v>
      </c>
      <c r="E43" s="90" t="str">
        <f>TRIM(CONCATENATE('DPK-2 Restating Adj Sch 1.2'!AE$8," ",'DPK-2 Restating Adj Sch 1.2'!AE$9," ",'DPK-2 Restating Adj Sch 1.2'!AE$10))</f>
        <v>Customer Deposit</v>
      </c>
      <c r="H43" s="112"/>
      <c r="I43" s="112">
        <f ca="1">+OFFSET('DPK-2 Restating Adj Sch 1.2'!$I$27,,ROW()-21)</f>
        <v>0</v>
      </c>
      <c r="J43" s="112"/>
      <c r="K43" s="112">
        <f ca="1">+OFFSET('DPK-2 Restating Adj Sch 1.2'!$H$63,,ROW()-20)</f>
        <v>0</v>
      </c>
      <c r="L43" s="112">
        <f ca="1">+OFFSET('DPK-2 Restating Adj Sch 1.2'!$H$68,,ROW()-20)</f>
        <v>0</v>
      </c>
      <c r="N43" s="359"/>
      <c r="O43" s="818"/>
      <c r="P43" s="82"/>
      <c r="Q43" s="82"/>
      <c r="R43" s="82"/>
      <c r="S43" s="89"/>
      <c r="T43" s="89"/>
      <c r="U43" s="82"/>
      <c r="V43" s="81"/>
    </row>
    <row r="44" spans="1:22" s="113" customFormat="1">
      <c r="A44" s="358"/>
      <c r="B44" s="358"/>
      <c r="C44" s="84">
        <f t="shared" si="0"/>
        <v>27</v>
      </c>
      <c r="D44" s="149" t="str">
        <f>'DPK-2 Restating Adj Sch 1.2'!AF$7</f>
        <v>R-25</v>
      </c>
      <c r="E44" s="90" t="str">
        <f>TRIM(CONCATENATE('DPK-2 Restating Adj Sch 1.2'!AF$8," ",'DPK-2 Restating Adj Sch 1.2'!AF$9," ",'DPK-2 Restating Adj Sch 1.2'!AF$10))</f>
        <v>Board of Director Meeting Costs</v>
      </c>
      <c r="F44" s="99"/>
      <c r="G44" s="99"/>
      <c r="H44" s="112"/>
      <c r="I44" s="112">
        <f ca="1">+OFFSET('DPK-2 Restating Adj Sch 1.2'!$I$27,,ROW()-21)</f>
        <v>0</v>
      </c>
      <c r="J44" s="112">
        <f ca="1">+OFFSET('DPK-2 Restating Adj Sch 1.2'!$H$71,,ROW()-20)</f>
        <v>0</v>
      </c>
      <c r="K44" s="112">
        <f ca="1">+OFFSET('DPK-2 Restating Adj Sch 1.2'!$H$63,,ROW()-20)</f>
        <v>0</v>
      </c>
      <c r="L44" s="112">
        <f ca="1">+OFFSET('DPK-2 Restating Adj Sch 1.2'!$H$68,,ROW()-20)</f>
        <v>0</v>
      </c>
      <c r="M44" s="353"/>
      <c r="N44" s="359"/>
      <c r="O44" s="818"/>
      <c r="P44" s="114"/>
      <c r="Q44" s="114"/>
      <c r="R44" s="114"/>
      <c r="S44" s="115"/>
      <c r="T44" s="115"/>
      <c r="U44" s="114"/>
      <c r="V44" s="116"/>
    </row>
    <row r="45" spans="1:22" ht="19.5" customHeight="1">
      <c r="A45" s="352"/>
      <c r="B45" s="352"/>
      <c r="C45" s="84">
        <f t="shared" si="0"/>
        <v>28</v>
      </c>
      <c r="D45" s="91"/>
      <c r="E45" s="77" t="s">
        <v>73</v>
      </c>
      <c r="H45" s="146">
        <f ca="1">SUM(H18:H44)</f>
        <v>159606</v>
      </c>
      <c r="I45" s="146">
        <f ca="1">SUM(I18:I44)</f>
        <v>340931.94799999997</v>
      </c>
      <c r="J45" s="146">
        <f ca="1">SUM(J18:J44)</f>
        <v>1009199</v>
      </c>
      <c r="K45" s="146">
        <f t="shared" ref="K45:L45" ca="1" si="2">SUM(K18:K44)</f>
        <v>-383226</v>
      </c>
      <c r="L45" s="146">
        <f t="shared" ca="1" si="2"/>
        <v>-88046</v>
      </c>
      <c r="N45" s="359"/>
      <c r="O45" s="818"/>
      <c r="P45" s="82"/>
      <c r="Q45" s="82"/>
      <c r="R45" s="82"/>
      <c r="S45" s="89"/>
      <c r="T45" s="89"/>
      <c r="U45" s="82"/>
      <c r="V45" s="81"/>
    </row>
    <row r="46" spans="1:22">
      <c r="A46" s="352"/>
      <c r="B46" s="352"/>
      <c r="C46" s="84">
        <f t="shared" si="0"/>
        <v>29</v>
      </c>
      <c r="D46" s="91"/>
      <c r="I46" s="118"/>
      <c r="J46" s="88"/>
      <c r="K46" s="118"/>
      <c r="N46" s="359"/>
      <c r="O46" s="818"/>
      <c r="P46" s="82"/>
      <c r="Q46" s="82"/>
      <c r="R46" s="82"/>
      <c r="S46" s="89"/>
      <c r="T46" s="89"/>
      <c r="U46" s="82"/>
      <c r="V46" s="81"/>
    </row>
    <row r="47" spans="1:22">
      <c r="A47" s="352"/>
      <c r="B47" s="352"/>
      <c r="C47" s="84">
        <f t="shared" si="0"/>
        <v>30</v>
      </c>
      <c r="D47" s="149" t="s">
        <v>288</v>
      </c>
      <c r="E47" s="701" t="s">
        <v>582</v>
      </c>
      <c r="G47" s="99"/>
      <c r="H47" s="833">
        <f>+'DPK-2 Pro Forma Adj Sch 1.3'!H$20</f>
        <v>-76114</v>
      </c>
      <c r="I47" s="834">
        <f>+'DPK-2 Pro Forma Adj Sch 1.3'!H28</f>
        <v>-65493</v>
      </c>
      <c r="J47" s="112">
        <f>+'DPK-2 Pro Forma Adj Sch 1.3'!H71</f>
        <v>0</v>
      </c>
      <c r="K47" s="521"/>
      <c r="N47" s="359"/>
      <c r="O47" s="818"/>
      <c r="P47" s="82"/>
      <c r="Q47" s="82"/>
      <c r="R47" s="82"/>
      <c r="S47" s="89"/>
      <c r="T47" s="89"/>
      <c r="U47" s="82"/>
      <c r="V47" s="81"/>
    </row>
    <row r="48" spans="1:22">
      <c r="A48" s="352"/>
      <c r="B48" s="352"/>
      <c r="C48" s="84">
        <f t="shared" si="0"/>
        <v>31</v>
      </c>
      <c r="D48" s="698" t="s">
        <v>289</v>
      </c>
      <c r="E48" s="702" t="s">
        <v>583</v>
      </c>
      <c r="F48" s="414"/>
      <c r="G48" s="699"/>
      <c r="H48" s="521"/>
      <c r="I48" s="521"/>
      <c r="J48" s="521"/>
      <c r="K48" s="521"/>
      <c r="L48" s="521"/>
      <c r="M48" s="366"/>
      <c r="N48" s="359"/>
      <c r="O48" s="818"/>
      <c r="P48" s="82"/>
      <c r="Q48" s="82"/>
      <c r="R48" s="82"/>
      <c r="S48" s="89"/>
      <c r="T48" s="89"/>
      <c r="U48" s="82"/>
      <c r="V48" s="81"/>
    </row>
    <row r="49" spans="1:22">
      <c r="A49" s="352"/>
      <c r="B49" s="352"/>
      <c r="C49" s="84">
        <f t="shared" si="0"/>
        <v>32</v>
      </c>
      <c r="D49" s="149" t="s">
        <v>290</v>
      </c>
      <c r="E49" s="702" t="s">
        <v>584</v>
      </c>
      <c r="G49" s="99"/>
      <c r="H49" s="112"/>
      <c r="I49" s="112">
        <f>+'DPK-2 Pro Forma Adj Sch 1.3'!J$28</f>
        <v>599.053</v>
      </c>
      <c r="J49" s="112">
        <f>+'DPK-2 Pro Forma Adj Sch 1.3'!J71</f>
        <v>0</v>
      </c>
      <c r="K49" s="112"/>
      <c r="M49" s="359"/>
      <c r="N49" s="359"/>
      <c r="O49" s="818"/>
      <c r="P49" s="82"/>
      <c r="Q49" s="82"/>
      <c r="R49" s="82"/>
      <c r="S49" s="89"/>
      <c r="T49" s="89"/>
      <c r="U49" s="82"/>
      <c r="V49" s="81"/>
    </row>
    <row r="50" spans="1:22">
      <c r="A50" s="352"/>
      <c r="B50" s="352"/>
      <c r="C50" s="84">
        <f t="shared" si="0"/>
        <v>33</v>
      </c>
      <c r="D50" s="149" t="s">
        <v>291</v>
      </c>
      <c r="E50" s="702" t="s">
        <v>585</v>
      </c>
      <c r="G50" s="99"/>
      <c r="H50" s="112"/>
      <c r="I50" s="112">
        <f>+'DPK-2 Pro Forma Adj Sch 1.3'!K$28</f>
        <v>-28.318000000000001</v>
      </c>
      <c r="J50" s="112">
        <f>+'DPK-2 Pro Forma Adj Sch 1.3'!K71</f>
        <v>0</v>
      </c>
      <c r="K50" s="112"/>
      <c r="M50" s="359"/>
      <c r="N50" s="359"/>
      <c r="O50" s="818"/>
      <c r="P50" s="82"/>
      <c r="Q50" s="82"/>
      <c r="R50" s="82"/>
      <c r="S50" s="89"/>
      <c r="T50" s="89"/>
      <c r="U50" s="82"/>
      <c r="V50" s="81"/>
    </row>
    <row r="51" spans="1:22">
      <c r="A51" s="352"/>
      <c r="B51" s="352"/>
      <c r="C51" s="84">
        <f t="shared" si="0"/>
        <v>34</v>
      </c>
      <c r="D51" s="149" t="s">
        <v>292</v>
      </c>
      <c r="E51" s="702" t="s">
        <v>586</v>
      </c>
      <c r="G51" s="99"/>
      <c r="H51" s="794">
        <f>+'DPK-2 Pro Forma Adj Sch 1.3'!L19</f>
        <v>24</v>
      </c>
      <c r="I51" s="112">
        <f>+'DPK-2 Pro Forma Adj Sch 1.3'!L$28</f>
        <v>103</v>
      </c>
      <c r="J51" s="112">
        <f>+'DPK-2 Pro Forma Adj Sch 1.3'!L$71</f>
        <v>0</v>
      </c>
      <c r="K51" s="112"/>
      <c r="M51" s="359"/>
      <c r="N51" s="359"/>
      <c r="O51" s="818"/>
      <c r="P51" s="82"/>
      <c r="Q51" s="82"/>
      <c r="R51" s="82"/>
      <c r="S51" s="89"/>
      <c r="T51" s="89"/>
      <c r="U51" s="82"/>
      <c r="V51" s="81"/>
    </row>
    <row r="52" spans="1:22">
      <c r="A52" s="816"/>
      <c r="B52" s="816"/>
      <c r="C52" s="84">
        <f t="shared" si="0"/>
        <v>35</v>
      </c>
      <c r="D52" s="149" t="s">
        <v>287</v>
      </c>
      <c r="E52" s="701" t="s">
        <v>587</v>
      </c>
      <c r="G52" s="99"/>
      <c r="H52" s="112"/>
      <c r="I52" s="112">
        <f>+'DPK-2 Pro Forma Adj Sch 1.3'!M$28</f>
        <v>0</v>
      </c>
      <c r="J52" s="521">
        <f>+'DPK-2 Pro Forma Adj Sch 1.3'!M59</f>
        <v>0</v>
      </c>
      <c r="K52" s="794"/>
      <c r="L52" s="795"/>
      <c r="M52" s="361"/>
      <c r="N52" s="359"/>
      <c r="O52" s="818"/>
      <c r="P52" s="82"/>
      <c r="Q52" s="82"/>
      <c r="R52" s="82"/>
      <c r="S52" s="89"/>
      <c r="T52" s="89"/>
      <c r="U52" s="82"/>
      <c r="V52" s="81"/>
    </row>
    <row r="53" spans="1:22">
      <c r="A53" s="816"/>
      <c r="B53" s="816"/>
      <c r="C53" s="84">
        <f t="shared" si="0"/>
        <v>36</v>
      </c>
      <c r="D53" s="149" t="s">
        <v>321</v>
      </c>
      <c r="E53" s="701" t="s">
        <v>588</v>
      </c>
      <c r="G53" s="99"/>
      <c r="H53" s="112"/>
      <c r="I53" s="112">
        <f>+'DPK-2 Pro Forma Adj Sch 1.3'!N$28</f>
        <v>824.17858000000001</v>
      </c>
      <c r="J53" s="807">
        <f>+'DPK-2 Pro Forma Adj Sch 1.3'!N59+'DPK-2 Pro Forma Adj Sch 1.3'!N60</f>
        <v>19212</v>
      </c>
      <c r="K53" s="807">
        <f>-199.032-632.945</f>
        <v>-831.97700000000009</v>
      </c>
      <c r="L53" s="808">
        <f>-429.104-123.844</f>
        <v>-552.94799999999998</v>
      </c>
      <c r="M53" s="361"/>
      <c r="N53" s="359"/>
      <c r="O53" s="360"/>
    </row>
    <row r="54" spans="1:22">
      <c r="A54" s="816"/>
      <c r="B54" s="816"/>
      <c r="C54" s="84">
        <f t="shared" si="0"/>
        <v>37</v>
      </c>
      <c r="D54" s="149" t="s">
        <v>322</v>
      </c>
      <c r="E54" s="77" t="s">
        <v>570</v>
      </c>
      <c r="G54" s="99"/>
      <c r="H54" s="112"/>
      <c r="I54" s="794">
        <f>+'DPK-2 Pro Forma Adj Sch 1.3'!O$28</f>
        <v>666.56400000000008</v>
      </c>
      <c r="J54" s="521">
        <f>+'DPK-2 Pro Forma Adj Sch 1.3'!O58+'DPK-2 Pro Forma Adj Sch 1.3'!O59</f>
        <v>15183.691000000001</v>
      </c>
      <c r="K54" s="112">
        <f>-'DPK-2 Pro Forma Adj Sch 1.3'!O64</f>
        <v>-402</v>
      </c>
      <c r="L54" s="77">
        <f>+'DPK-2 Pro Forma Adj Sch 1.3'!O69</f>
        <v>-189.94399999999999</v>
      </c>
      <c r="M54" s="361"/>
      <c r="N54" s="359"/>
      <c r="O54" s="360"/>
    </row>
    <row r="55" spans="1:22">
      <c r="A55" s="816"/>
      <c r="B55" s="816"/>
      <c r="C55" s="84">
        <f t="shared" si="0"/>
        <v>38</v>
      </c>
      <c r="D55" s="698" t="s">
        <v>323</v>
      </c>
      <c r="E55" s="701" t="s">
        <v>589</v>
      </c>
      <c r="F55" s="414"/>
      <c r="G55" s="99"/>
      <c r="H55" s="521"/>
      <c r="I55" s="521">
        <f>+'DPK-2 Pro Forma Adj Sch 1.3'!P$28</f>
        <v>0</v>
      </c>
      <c r="J55" s="521">
        <f>+'DPK-2 Pro Forma Adj Sch 1.3'!P71</f>
        <v>0</v>
      </c>
      <c r="K55" s="521"/>
      <c r="M55" s="361"/>
      <c r="N55" s="359"/>
      <c r="O55" s="360"/>
    </row>
    <row r="56" spans="1:22">
      <c r="A56" s="816"/>
      <c r="B56" s="816"/>
      <c r="C56" s="84">
        <f t="shared" si="0"/>
        <v>39</v>
      </c>
      <c r="D56" s="698" t="s">
        <v>374</v>
      </c>
      <c r="E56" s="77" t="s">
        <v>594</v>
      </c>
      <c r="F56" s="699"/>
      <c r="G56" s="99"/>
      <c r="H56" s="699"/>
      <c r="I56" s="521">
        <f>+'DPK-2 Pro Forma Adj Sch 1.3'!Q$28</f>
        <v>0</v>
      </c>
      <c r="J56" s="521">
        <f>+'DPK-2 Pro Forma Adj Sch 1.3'!Q71</f>
        <v>0</v>
      </c>
      <c r="K56" s="521"/>
      <c r="M56" s="359"/>
      <c r="N56" s="359"/>
      <c r="O56" s="360"/>
    </row>
    <row r="57" spans="1:22">
      <c r="A57" s="816"/>
      <c r="B57" s="816"/>
      <c r="C57" s="84">
        <f t="shared" si="0"/>
        <v>40</v>
      </c>
      <c r="D57" s="698" t="s">
        <v>375</v>
      </c>
      <c r="E57" s="701" t="s">
        <v>539</v>
      </c>
      <c r="F57" s="148"/>
      <c r="G57" s="99"/>
      <c r="H57" s="700"/>
      <c r="I57" s="521">
        <f>+'DPK-2 Pro Forma Adj Sch 1.3'!R$28</f>
        <v>3636</v>
      </c>
      <c r="J57" s="521">
        <f>+'DPK-2 Pro Forma Adj Sch 1.3'!R58</f>
        <v>26703</v>
      </c>
      <c r="K57" s="521">
        <f>-'DPK-2 Pro Forma Adj Sch 1.3'!R65</f>
        <v>-560</v>
      </c>
      <c r="L57" s="77">
        <f>+'DPK-2 Pro Forma Adj Sch 1.3'!R69</f>
        <v>-2818</v>
      </c>
      <c r="M57" s="361"/>
      <c r="N57" s="359"/>
      <c r="O57" s="360"/>
      <c r="P57" s="82"/>
      <c r="Q57" s="82"/>
      <c r="R57" s="82"/>
      <c r="S57" s="89"/>
      <c r="T57" s="89"/>
      <c r="U57" s="82"/>
      <c r="V57" s="81"/>
    </row>
    <row r="58" spans="1:22">
      <c r="A58" s="816"/>
      <c r="B58" s="816"/>
      <c r="C58" s="84">
        <f t="shared" si="0"/>
        <v>41</v>
      </c>
      <c r="D58" s="149" t="s">
        <v>515</v>
      </c>
      <c r="E58" s="701" t="s">
        <v>540</v>
      </c>
      <c r="F58" s="82"/>
      <c r="G58" s="82"/>
      <c r="H58" s="92"/>
      <c r="I58" s="521">
        <f>+'DPK-2 Pro Forma Adj Sch 1.3'!S$28</f>
        <v>829</v>
      </c>
      <c r="J58" s="521">
        <f>+'DPK-2 Pro Forma Adj Sch 1.3'!S58</f>
        <v>25866</v>
      </c>
      <c r="K58" s="521">
        <f>-'DPK-2 Pro Forma Adj Sch 1.3'!S64</f>
        <v>0</v>
      </c>
      <c r="L58" s="77">
        <f>+'DPK-2 Pro Forma Adj Sch 1.3'!S69</f>
        <v>-8384</v>
      </c>
      <c r="M58" s="361"/>
      <c r="N58" s="359"/>
      <c r="O58" s="360"/>
      <c r="P58" s="82"/>
      <c r="Q58" s="82"/>
      <c r="R58" s="82"/>
      <c r="S58" s="89"/>
      <c r="T58" s="89"/>
      <c r="U58" s="82"/>
      <c r="V58" s="81"/>
    </row>
    <row r="59" spans="1:22">
      <c r="A59" s="816"/>
      <c r="B59" s="816"/>
      <c r="C59" s="84">
        <f t="shared" si="0"/>
        <v>42</v>
      </c>
      <c r="D59" s="149" t="s">
        <v>516</v>
      </c>
      <c r="E59" s="701" t="s">
        <v>541</v>
      </c>
      <c r="F59" s="82"/>
      <c r="G59" s="82"/>
      <c r="H59" s="92"/>
      <c r="I59" s="521">
        <f>+'DPK-2 Pro Forma Adj Sch 1.3'!T$28</f>
        <v>3516</v>
      </c>
      <c r="J59" s="521">
        <f>+'DPK-2 Pro Forma Adj Sch 1.3'!T59</f>
        <v>4398</v>
      </c>
      <c r="K59" s="521"/>
      <c r="L59" s="77">
        <f>+'DPK-2 Pro Forma Adj Sch 1.3'!T69</f>
        <v>-1539</v>
      </c>
      <c r="M59" s="361"/>
      <c r="N59" s="359"/>
      <c r="O59" s="360"/>
      <c r="P59" s="82"/>
      <c r="Q59" s="82"/>
      <c r="R59" s="82"/>
      <c r="S59" s="89"/>
      <c r="T59" s="89"/>
      <c r="U59" s="82"/>
      <c r="V59" s="81"/>
    </row>
    <row r="60" spans="1:22">
      <c r="A60" s="816"/>
      <c r="B60" s="816"/>
      <c r="C60" s="84">
        <f t="shared" si="0"/>
        <v>43</v>
      </c>
      <c r="D60" s="149" t="s">
        <v>517</v>
      </c>
      <c r="E60" s="701" t="s">
        <v>542</v>
      </c>
      <c r="F60" s="82"/>
      <c r="G60" s="82"/>
      <c r="H60" s="92"/>
      <c r="I60" s="521">
        <f>+'DPK-2 Pro Forma Adj Sch 1.3'!U$28</f>
        <v>1227.21</v>
      </c>
      <c r="J60" s="521">
        <f>+'DPK-2 Pro Forma Adj Sch 1.3'!U$71</f>
        <v>0</v>
      </c>
      <c r="K60" s="521"/>
      <c r="M60" s="361"/>
      <c r="N60" s="359"/>
      <c r="O60" s="360"/>
      <c r="P60" s="82"/>
      <c r="Q60" s="82"/>
      <c r="R60" s="82"/>
      <c r="S60" s="89"/>
      <c r="T60" s="89"/>
      <c r="U60" s="82"/>
      <c r="V60" s="81"/>
    </row>
    <row r="61" spans="1:22">
      <c r="A61" s="816"/>
      <c r="B61" s="816"/>
      <c r="C61" s="84">
        <f t="shared" si="0"/>
        <v>44</v>
      </c>
      <c r="D61" s="149" t="s">
        <v>518</v>
      </c>
      <c r="E61" s="701" t="s">
        <v>543</v>
      </c>
      <c r="F61" s="82"/>
      <c r="G61" s="82"/>
      <c r="H61" s="92"/>
      <c r="I61" s="521">
        <f>+'DPK-2 Pro Forma Adj Sch 1.3'!V$28</f>
        <v>0</v>
      </c>
      <c r="J61" s="521">
        <f>+'DPK-2 Pro Forma Adj Sch 1.3'!V$71</f>
        <v>0</v>
      </c>
      <c r="K61" s="521"/>
      <c r="M61" s="361"/>
      <c r="N61" s="359"/>
      <c r="O61" s="360"/>
      <c r="P61" s="82"/>
      <c r="Q61" s="82"/>
      <c r="R61" s="82"/>
      <c r="S61" s="89"/>
      <c r="T61" s="89"/>
      <c r="U61" s="82"/>
      <c r="V61" s="81"/>
    </row>
    <row r="62" spans="1:22">
      <c r="A62" s="816"/>
      <c r="B62" s="816"/>
      <c r="C62" s="84">
        <f t="shared" si="0"/>
        <v>45</v>
      </c>
      <c r="D62" s="149" t="s">
        <v>519</v>
      </c>
      <c r="E62" s="701" t="s">
        <v>590</v>
      </c>
      <c r="F62" s="82"/>
      <c r="I62" s="521">
        <f>+'DPK-2 Pro Forma Adj Sch 1.3'!W$28</f>
        <v>0</v>
      </c>
      <c r="J62" s="521">
        <f>+'DPK-2 Pro Forma Adj Sch 1.3'!W$71</f>
        <v>0</v>
      </c>
      <c r="K62" s="521"/>
      <c r="M62" s="365"/>
      <c r="N62" s="359"/>
      <c r="O62" s="364"/>
      <c r="P62" s="82"/>
      <c r="Q62" s="82"/>
      <c r="R62" s="82"/>
      <c r="S62" s="88"/>
      <c r="T62" s="88"/>
      <c r="U62" s="93"/>
      <c r="V62" s="81"/>
    </row>
    <row r="63" spans="1:22">
      <c r="A63" s="816"/>
      <c r="B63" s="816"/>
      <c r="C63" s="84">
        <f t="shared" si="0"/>
        <v>46</v>
      </c>
      <c r="D63" s="149" t="s">
        <v>520</v>
      </c>
      <c r="E63" s="701" t="s">
        <v>591</v>
      </c>
      <c r="F63" s="82"/>
      <c r="G63" s="82"/>
      <c r="H63" s="92"/>
      <c r="I63" s="521">
        <f>+'DPK-2 Pro Forma Adj Sch 1.3'!X$28</f>
        <v>1215.9690000000001</v>
      </c>
      <c r="J63" s="521">
        <f>+'DPK-2 Pro Forma Adj Sch 1.3'!X$71</f>
        <v>0</v>
      </c>
      <c r="K63" s="521"/>
      <c r="M63" s="365"/>
      <c r="N63" s="359"/>
      <c r="O63" s="360"/>
      <c r="P63" s="82"/>
      <c r="Q63" s="82"/>
      <c r="R63" s="82"/>
      <c r="S63" s="88"/>
      <c r="T63" s="88"/>
      <c r="U63" s="93"/>
      <c r="V63" s="81"/>
    </row>
    <row r="64" spans="1:22">
      <c r="A64" s="816"/>
      <c r="B64" s="816"/>
      <c r="C64" s="84">
        <f t="shared" si="0"/>
        <v>47</v>
      </c>
      <c r="D64" s="149" t="s">
        <v>521</v>
      </c>
      <c r="E64" s="701" t="s">
        <v>592</v>
      </c>
      <c r="F64" s="82"/>
      <c r="G64" s="82"/>
      <c r="H64" s="92"/>
      <c r="I64" s="521">
        <f>+'DPK-2 Pro Forma Adj Sch 1.3'!Y$28</f>
        <v>0</v>
      </c>
      <c r="J64" s="521">
        <f>+'DPK-2 Pro Forma Adj Sch 1.3'!Y$71</f>
        <v>0</v>
      </c>
      <c r="K64" s="521"/>
      <c r="M64" s="365"/>
      <c r="N64" s="359"/>
      <c r="O64" s="360"/>
      <c r="P64" s="82"/>
      <c r="Q64" s="82"/>
      <c r="R64" s="82"/>
      <c r="S64" s="88"/>
      <c r="T64" s="88"/>
      <c r="U64" s="93"/>
      <c r="V64" s="81"/>
    </row>
    <row r="65" spans="1:22">
      <c r="A65" s="816"/>
      <c r="B65" s="816"/>
      <c r="C65" s="84">
        <f t="shared" si="0"/>
        <v>48</v>
      </c>
      <c r="D65" s="149" t="s">
        <v>576</v>
      </c>
      <c r="E65" s="701" t="s">
        <v>593</v>
      </c>
      <c r="F65" s="82"/>
      <c r="G65" s="82"/>
      <c r="H65" s="92"/>
      <c r="I65" s="521">
        <f>+'DPK-2 Pro Forma Adj Sch 1.3'!Z$28</f>
        <v>656</v>
      </c>
      <c r="J65" s="521">
        <f>+'DPK-2 Pro Forma Adj Sch 1.3'!Z$71</f>
        <v>0</v>
      </c>
      <c r="K65" s="521"/>
      <c r="M65" s="365"/>
      <c r="N65" s="359"/>
      <c r="O65" s="360"/>
      <c r="P65" s="82"/>
      <c r="Q65" s="82"/>
      <c r="R65" s="82"/>
      <c r="S65" s="88"/>
      <c r="T65" s="88"/>
      <c r="U65" s="93"/>
      <c r="V65" s="81"/>
    </row>
    <row r="66" spans="1:22">
      <c r="A66" s="816"/>
      <c r="B66" s="816"/>
      <c r="C66" s="84">
        <f t="shared" si="0"/>
        <v>49</v>
      </c>
      <c r="D66" s="84"/>
      <c r="E66" s="701"/>
      <c r="F66" s="82"/>
      <c r="G66" s="522" t="s">
        <v>171</v>
      </c>
      <c r="H66" s="704">
        <f>SUM(H47:H65)</f>
        <v>-76090</v>
      </c>
      <c r="I66" s="704">
        <f t="shared" ref="I66" si="3">SUM(I47:I65)</f>
        <v>-52248.343420000005</v>
      </c>
      <c r="J66" s="704">
        <f>SUM(J47:J65)</f>
        <v>91362.690999999992</v>
      </c>
      <c r="K66" s="704">
        <f t="shared" ref="K66:L66" si="4">SUM(K47:K65)</f>
        <v>-1793.9770000000001</v>
      </c>
      <c r="L66" s="704">
        <f t="shared" si="4"/>
        <v>-13483.892</v>
      </c>
      <c r="M66" s="365"/>
      <c r="N66" s="359"/>
      <c r="O66" s="360"/>
      <c r="P66" s="82"/>
      <c r="Q66" s="82"/>
      <c r="R66" s="82"/>
      <c r="S66" s="88"/>
      <c r="T66" s="88"/>
      <c r="U66" s="93"/>
      <c r="V66" s="81"/>
    </row>
    <row r="67" spans="1:22" ht="13.5" thickBot="1">
      <c r="A67" s="816"/>
      <c r="B67" s="816"/>
      <c r="C67" s="84">
        <f t="shared" si="0"/>
        <v>50</v>
      </c>
      <c r="D67" s="84"/>
      <c r="E67" s="701"/>
      <c r="F67" s="82"/>
      <c r="G67" s="522" t="s">
        <v>596</v>
      </c>
      <c r="H67" s="705">
        <f ca="1">+H66+H45</f>
        <v>83516</v>
      </c>
      <c r="I67" s="705">
        <f ca="1">+I66+I45</f>
        <v>288683.60457999998</v>
      </c>
      <c r="J67" s="705">
        <f ca="1">+J66+J45</f>
        <v>1100561.6910000001</v>
      </c>
      <c r="K67" s="705">
        <f t="shared" ref="K67:L67" ca="1" si="5">+K66+K45</f>
        <v>-385019.97700000001</v>
      </c>
      <c r="L67" s="705">
        <f t="shared" ca="1" si="5"/>
        <v>-101529.89199999999</v>
      </c>
      <c r="M67" s="365"/>
      <c r="N67" s="359"/>
      <c r="O67" s="360"/>
      <c r="P67" s="82"/>
      <c r="Q67" s="82"/>
      <c r="R67" s="82"/>
      <c r="S67" s="88"/>
      <c r="T67" s="88"/>
      <c r="U67" s="93"/>
      <c r="V67" s="81"/>
    </row>
    <row r="68" spans="1:22" ht="13.5" thickTop="1">
      <c r="A68" s="816"/>
      <c r="B68" s="816"/>
      <c r="C68" s="84">
        <f t="shared" si="0"/>
        <v>51</v>
      </c>
      <c r="D68" s="84"/>
      <c r="E68" s="701"/>
      <c r="F68" s="82"/>
      <c r="G68" s="522"/>
      <c r="H68" s="703"/>
      <c r="I68" s="703"/>
      <c r="J68" s="703"/>
      <c r="K68" s="703"/>
      <c r="M68" s="365"/>
      <c r="N68" s="359"/>
      <c r="O68" s="360">
        <f>+N68/12</f>
        <v>0</v>
      </c>
      <c r="P68" s="82"/>
      <c r="Q68" s="82"/>
      <c r="R68" s="82"/>
      <c r="S68" s="88"/>
      <c r="T68" s="88"/>
      <c r="U68" s="93"/>
      <c r="V68" s="81"/>
    </row>
    <row r="69" spans="1:22">
      <c r="A69" s="816"/>
      <c r="B69" s="816"/>
      <c r="C69" s="84">
        <f t="shared" si="0"/>
        <v>52</v>
      </c>
      <c r="D69" s="84"/>
      <c r="E69" s="82" t="s">
        <v>595</v>
      </c>
      <c r="F69" s="82"/>
      <c r="G69" s="836">
        <v>5591052</v>
      </c>
      <c r="H69" s="92"/>
      <c r="I69" s="147"/>
      <c r="J69" s="118"/>
      <c r="K69" s="147"/>
      <c r="M69" s="365"/>
      <c r="N69" s="359"/>
      <c r="O69" s="360"/>
      <c r="P69" s="82"/>
      <c r="Q69" s="82"/>
      <c r="R69" s="82"/>
      <c r="S69" s="88"/>
      <c r="T69" s="88"/>
      <c r="U69" s="93"/>
      <c r="V69" s="81"/>
    </row>
    <row r="70" spans="1:22">
      <c r="A70" s="816"/>
      <c r="B70" s="816"/>
      <c r="C70" s="84">
        <f t="shared" si="0"/>
        <v>53</v>
      </c>
      <c r="E70" s="148" t="s">
        <v>622</v>
      </c>
      <c r="G70" s="112">
        <v>5487574</v>
      </c>
      <c r="H70" s="809"/>
      <c r="M70" s="365"/>
      <c r="N70" s="359"/>
    </row>
    <row r="71" spans="1:22" ht="13.5" thickBot="1">
      <c r="A71" s="816"/>
      <c r="B71" s="816"/>
      <c r="C71" s="84">
        <f t="shared" si="0"/>
        <v>54</v>
      </c>
      <c r="F71" s="77" t="s">
        <v>222</v>
      </c>
      <c r="G71" s="756">
        <f>ROUND(+G70/G69,4)</f>
        <v>0.98150000000000004</v>
      </c>
      <c r="M71" s="365"/>
      <c r="N71" s="359"/>
    </row>
    <row r="72" spans="1:22" ht="13.5" thickTop="1">
      <c r="A72" s="816"/>
      <c r="B72" s="816"/>
      <c r="C72" s="84">
        <f t="shared" si="0"/>
        <v>55</v>
      </c>
      <c r="M72" s="365"/>
      <c r="N72" s="359"/>
    </row>
    <row r="73" spans="1:22">
      <c r="A73" s="816"/>
      <c r="B73" s="816"/>
      <c r="C73" s="84">
        <f t="shared" si="0"/>
        <v>56</v>
      </c>
      <c r="E73" s="77" t="s">
        <v>629</v>
      </c>
      <c r="H73" s="760">
        <f ca="1">ROUND(H67*$G$71,0)</f>
        <v>81971</v>
      </c>
      <c r="I73" s="760">
        <f t="shared" ref="I73" ca="1" si="6">ROUND(I67*$G$71,0)</f>
        <v>283343</v>
      </c>
      <c r="J73" s="760">
        <f ca="1">ROUND(J67*$G$71,0)</f>
        <v>1080201</v>
      </c>
      <c r="K73" s="760">
        <f t="shared" ref="K73:L73" ca="1" si="7">ROUND(K67*$G$71,0)</f>
        <v>-377897</v>
      </c>
      <c r="L73" s="760">
        <f t="shared" ca="1" si="7"/>
        <v>-99652</v>
      </c>
      <c r="M73" s="365"/>
      <c r="N73" s="359"/>
    </row>
    <row r="74" spans="1:22">
      <c r="A74" s="816"/>
      <c r="B74" s="816"/>
      <c r="C74" s="84">
        <f t="shared" si="0"/>
        <v>57</v>
      </c>
      <c r="M74" s="365"/>
      <c r="N74" s="359"/>
    </row>
    <row r="75" spans="1:22" ht="13.5" thickBot="1">
      <c r="A75" s="816"/>
      <c r="B75" s="816"/>
      <c r="C75" s="84">
        <f t="shared" si="0"/>
        <v>58</v>
      </c>
      <c r="F75" s="414"/>
      <c r="G75" s="828" t="s">
        <v>644</v>
      </c>
      <c r="H75" s="759">
        <f ca="1">H73-H67</f>
        <v>-1545</v>
      </c>
      <c r="I75" s="759">
        <f t="shared" ref="I75" ca="1" si="8">I73-I67</f>
        <v>-5340.6045799999847</v>
      </c>
      <c r="J75" s="759">
        <f ca="1">J73-J67</f>
        <v>-20360.691000000108</v>
      </c>
      <c r="K75" s="759">
        <f t="shared" ref="K75:L75" ca="1" si="9">K73-K67</f>
        <v>7122.9770000000135</v>
      </c>
      <c r="L75" s="759">
        <f t="shared" ca="1" si="9"/>
        <v>1877.8919999999925</v>
      </c>
      <c r="M75" s="365"/>
      <c r="N75" s="359"/>
    </row>
    <row r="76" spans="1:22" ht="13.5" thickTop="1">
      <c r="A76" s="816"/>
      <c r="B76" s="816"/>
      <c r="C76" s="84">
        <f t="shared" si="0"/>
        <v>59</v>
      </c>
      <c r="G76" s="812" t="s">
        <v>646</v>
      </c>
      <c r="H76" s="811">
        <v>-857</v>
      </c>
      <c r="I76" s="811">
        <v>-5590</v>
      </c>
      <c r="J76" s="811">
        <v>-16208</v>
      </c>
      <c r="K76" s="811">
        <v>6344</v>
      </c>
      <c r="L76" s="811">
        <v>2751</v>
      </c>
      <c r="M76" s="365"/>
      <c r="N76" s="359"/>
    </row>
    <row r="77" spans="1:22" s="812" customFormat="1">
      <c r="A77" s="816"/>
      <c r="B77" s="816"/>
      <c r="C77" s="813"/>
      <c r="G77" s="812" t="s">
        <v>395</v>
      </c>
      <c r="H77" s="812">
        <f ca="1">+H75-H76</f>
        <v>-688</v>
      </c>
      <c r="I77" s="812">
        <f t="shared" ref="I77:L77" ca="1" si="10">+I75-I76</f>
        <v>249.39542000001529</v>
      </c>
      <c r="J77" s="812">
        <f t="shared" ca="1" si="10"/>
        <v>-4152.691000000108</v>
      </c>
      <c r="K77" s="812">
        <f t="shared" ca="1" si="10"/>
        <v>778.9770000000135</v>
      </c>
      <c r="L77" s="812">
        <f t="shared" ca="1" si="10"/>
        <v>-873.10800000000745</v>
      </c>
      <c r="M77" s="819"/>
      <c r="N77" s="817"/>
      <c r="O77" s="816"/>
    </row>
    <row r="78" spans="1:22" s="765" customFormat="1" ht="24.75" customHeight="1">
      <c r="A78" s="816"/>
      <c r="B78" s="816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</row>
    <row r="79" spans="1:22" s="765" customFormat="1">
      <c r="A79" s="352"/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</row>
    <row r="80" spans="1:22">
      <c r="A80" s="352"/>
      <c r="B80" s="352"/>
      <c r="D80" s="414"/>
      <c r="E80" s="414" t="s">
        <v>223</v>
      </c>
      <c r="F80" s="414"/>
      <c r="G80" s="414"/>
      <c r="H80" s="414"/>
      <c r="I80" s="414"/>
      <c r="J80" s="414"/>
      <c r="K80" s="414"/>
      <c r="M80" s="352"/>
      <c r="N80" s="359"/>
    </row>
    <row r="81" spans="1:14">
      <c r="A81" s="352"/>
      <c r="B81" s="352"/>
      <c r="D81" s="414"/>
      <c r="E81" s="414" t="s">
        <v>236</v>
      </c>
      <c r="F81" s="414"/>
      <c r="G81" s="414"/>
      <c r="H81" s="414"/>
      <c r="I81" s="414"/>
      <c r="J81" s="414"/>
      <c r="K81" s="414"/>
      <c r="M81" s="352"/>
      <c r="N81" s="359"/>
    </row>
    <row r="82" spans="1:14">
      <c r="A82" s="352"/>
      <c r="B82" s="352"/>
      <c r="C82" s="84" t="s">
        <v>11</v>
      </c>
      <c r="D82" s="414"/>
      <c r="E82" s="414"/>
      <c r="F82" s="414"/>
      <c r="G82" s="414"/>
      <c r="H82" s="414"/>
      <c r="I82" s="414"/>
      <c r="J82" s="414"/>
      <c r="K82" s="414"/>
      <c r="M82" s="352"/>
      <c r="N82" s="359"/>
    </row>
    <row r="83" spans="1:14">
      <c r="A83" s="352"/>
      <c r="B83" s="352"/>
      <c r="C83" s="87" t="s">
        <v>29</v>
      </c>
      <c r="D83" s="414"/>
      <c r="E83" s="414"/>
      <c r="F83" s="414"/>
      <c r="G83" s="414"/>
      <c r="H83" s="425" t="s">
        <v>598</v>
      </c>
      <c r="I83" s="425">
        <v>2010</v>
      </c>
      <c r="J83" s="91" t="s">
        <v>224</v>
      </c>
      <c r="K83" s="425"/>
      <c r="M83" s="352"/>
      <c r="N83" s="359"/>
    </row>
    <row r="84" spans="1:14">
      <c r="A84" s="352"/>
      <c r="B84" s="352"/>
      <c r="C84" s="84">
        <v>1</v>
      </c>
      <c r="D84" s="414"/>
      <c r="E84" s="415" t="s">
        <v>235</v>
      </c>
      <c r="F84" s="415" t="s">
        <v>169</v>
      </c>
      <c r="G84" s="415"/>
      <c r="H84" s="416">
        <f ca="1">J73</f>
        <v>1080201</v>
      </c>
      <c r="I84" s="423">
        <f ca="1">+J67</f>
        <v>1100561.6910000001</v>
      </c>
      <c r="J84" s="414"/>
      <c r="K84" s="423"/>
      <c r="M84" s="352"/>
      <c r="N84" s="359"/>
    </row>
    <row r="85" spans="1:14">
      <c r="A85" s="352"/>
      <c r="B85" s="352"/>
      <c r="C85" s="84">
        <f>+C84+1</f>
        <v>2</v>
      </c>
      <c r="D85" s="414"/>
      <c r="E85" s="415"/>
      <c r="F85" s="415"/>
      <c r="G85" s="415"/>
      <c r="H85" s="416"/>
      <c r="I85" s="414"/>
      <c r="J85" s="414"/>
      <c r="K85" s="414"/>
      <c r="M85" s="352"/>
      <c r="N85" s="359"/>
    </row>
    <row r="86" spans="1:14">
      <c r="A86" s="352"/>
      <c r="B86" s="352"/>
      <c r="C86" s="84">
        <f t="shared" ref="C86:C91" si="11">+C85+1</f>
        <v>3</v>
      </c>
      <c r="D86" s="414"/>
      <c r="E86" s="415"/>
      <c r="F86" s="415" t="s">
        <v>159</v>
      </c>
      <c r="G86" s="415"/>
      <c r="H86" s="417">
        <f>+'DPK-2 Capital Structure Sch 4 '!H19</f>
        <v>8.2500000000000004E-2</v>
      </c>
      <c r="I86" s="417">
        <f>H86</f>
        <v>8.2500000000000004E-2</v>
      </c>
      <c r="J86" s="418">
        <f>+'DPK-2 Capital Structure Sch 4 '!H17+'DPK-2 Capital Structure Sch 4 '!H16</f>
        <v>3.5099999999999999E-2</v>
      </c>
      <c r="K86" s="419"/>
      <c r="M86" s="352"/>
      <c r="N86" s="359"/>
    </row>
    <row r="87" spans="1:14">
      <c r="A87" s="352"/>
      <c r="B87" s="352"/>
      <c r="C87" s="84">
        <f t="shared" si="11"/>
        <v>4</v>
      </c>
      <c r="D87" s="414"/>
      <c r="E87" s="415"/>
      <c r="F87" s="415"/>
      <c r="G87" s="415"/>
      <c r="H87" s="419"/>
      <c r="I87" s="414"/>
      <c r="J87" s="414"/>
      <c r="K87" s="414"/>
      <c r="M87" s="352"/>
      <c r="N87" s="359"/>
    </row>
    <row r="88" spans="1:14">
      <c r="A88" s="352"/>
      <c r="B88" s="352"/>
      <c r="C88" s="84">
        <f t="shared" si="11"/>
        <v>5</v>
      </c>
      <c r="D88" s="414"/>
      <c r="E88" s="415" t="s">
        <v>31</v>
      </c>
      <c r="F88" s="415" t="s">
        <v>160</v>
      </c>
      <c r="G88" s="415"/>
      <c r="H88" s="416">
        <f ca="1">H84*H86</f>
        <v>89116.582500000004</v>
      </c>
      <c r="I88" s="416">
        <f ca="1">I84*I86</f>
        <v>90796.339507500015</v>
      </c>
      <c r="J88" s="414"/>
      <c r="K88" s="416"/>
      <c r="M88" s="352"/>
      <c r="N88" s="359"/>
    </row>
    <row r="89" spans="1:14">
      <c r="A89" s="352"/>
      <c r="B89" s="352"/>
      <c r="C89" s="84">
        <f t="shared" si="11"/>
        <v>6</v>
      </c>
      <c r="D89" s="414"/>
      <c r="E89" s="415"/>
      <c r="F89" s="415"/>
      <c r="G89" s="415"/>
      <c r="H89" s="416"/>
      <c r="I89" s="416"/>
      <c r="J89" s="414"/>
      <c r="K89" s="416"/>
      <c r="M89" s="352"/>
      <c r="N89" s="359"/>
    </row>
    <row r="90" spans="1:14">
      <c r="A90" s="352"/>
      <c r="B90" s="352"/>
      <c r="C90" s="84">
        <f t="shared" si="11"/>
        <v>7</v>
      </c>
      <c r="D90" s="414"/>
      <c r="E90" s="415" t="s">
        <v>225</v>
      </c>
      <c r="F90" s="415" t="s">
        <v>160</v>
      </c>
      <c r="G90" s="415"/>
      <c r="H90" s="416">
        <f ca="1">H84*$J$86*-0.35</f>
        <v>-13270.269284999998</v>
      </c>
      <c r="I90" s="416">
        <f ca="1">I84*$J$86*-0.35</f>
        <v>-13520.400373934999</v>
      </c>
      <c r="J90" s="414"/>
      <c r="K90" s="416"/>
      <c r="M90" s="352"/>
      <c r="N90" s="352"/>
    </row>
    <row r="91" spans="1:14">
      <c r="A91" s="352"/>
      <c r="B91" s="352"/>
      <c r="C91" s="84">
        <f t="shared" si="11"/>
        <v>8</v>
      </c>
      <c r="D91" s="414"/>
      <c r="E91" s="415"/>
      <c r="F91" s="415" t="s">
        <v>226</v>
      </c>
      <c r="G91" s="415"/>
      <c r="H91" s="416"/>
      <c r="I91" s="416"/>
      <c r="J91" s="414"/>
      <c r="K91" s="416"/>
      <c r="M91" s="352"/>
      <c r="N91" s="352"/>
    </row>
    <row r="92" spans="1:14">
      <c r="A92" s="352"/>
      <c r="B92" s="352"/>
      <c r="D92" s="414"/>
      <c r="E92" s="415"/>
      <c r="F92" s="415"/>
      <c r="G92" s="415"/>
      <c r="H92" s="416"/>
      <c r="I92" s="414"/>
      <c r="J92" s="414"/>
      <c r="K92" s="414"/>
      <c r="M92" s="352"/>
      <c r="N92" s="352"/>
    </row>
    <row r="93" spans="1:14">
      <c r="A93" s="352"/>
      <c r="B93" s="352"/>
      <c r="C93" s="84">
        <f>+C91+1</f>
        <v>9</v>
      </c>
      <c r="D93" s="414"/>
      <c r="E93" s="415" t="s">
        <v>227</v>
      </c>
      <c r="F93" s="415" t="s">
        <v>160</v>
      </c>
      <c r="G93" s="415"/>
      <c r="H93" s="420">
        <f ca="1">-(H73-I73)</f>
        <v>201372</v>
      </c>
      <c r="I93" s="706">
        <f ca="1">-(H67-I67)</f>
        <v>205167.60457999998</v>
      </c>
      <c r="J93" s="414"/>
      <c r="K93" s="706"/>
      <c r="M93" s="352"/>
      <c r="N93" s="352"/>
    </row>
    <row r="94" spans="1:14">
      <c r="A94" s="352"/>
      <c r="B94" s="352"/>
      <c r="C94" s="84">
        <f>+C93+1</f>
        <v>10</v>
      </c>
      <c r="D94" s="414"/>
      <c r="E94" s="415"/>
      <c r="F94" s="415" t="s">
        <v>228</v>
      </c>
      <c r="G94" s="415"/>
      <c r="H94" s="420"/>
      <c r="I94" s="414"/>
      <c r="J94" s="414"/>
      <c r="K94" s="414"/>
      <c r="M94" s="352"/>
      <c r="N94" s="352"/>
    </row>
    <row r="95" spans="1:14" ht="6.75" customHeight="1">
      <c r="A95" s="352"/>
      <c r="B95" s="352"/>
      <c r="D95" s="414"/>
      <c r="E95" s="415"/>
      <c r="F95" s="415"/>
      <c r="G95" s="415"/>
      <c r="H95" s="420"/>
      <c r="I95" s="414"/>
      <c r="J95" s="414"/>
      <c r="K95" s="414"/>
      <c r="M95" s="352"/>
      <c r="N95" s="352"/>
    </row>
    <row r="96" spans="1:14">
      <c r="A96" s="352"/>
      <c r="B96" s="352"/>
      <c r="C96" s="84">
        <f>+C94+1</f>
        <v>11</v>
      </c>
      <c r="D96" s="414"/>
      <c r="E96" s="415" t="s">
        <v>225</v>
      </c>
      <c r="F96" s="415" t="s">
        <v>160</v>
      </c>
      <c r="G96" s="415"/>
      <c r="H96" s="416">
        <f ca="1">H93*-0.35</f>
        <v>-70480.2</v>
      </c>
      <c r="I96" s="416">
        <f ca="1">I93*-0.35</f>
        <v>-71808.661602999986</v>
      </c>
      <c r="J96" s="414"/>
      <c r="K96" s="416"/>
      <c r="M96" s="352"/>
      <c r="N96" s="352"/>
    </row>
    <row r="97" spans="1:14">
      <c r="A97" s="352"/>
      <c r="B97" s="352"/>
      <c r="C97" s="84">
        <f>+C96+1</f>
        <v>12</v>
      </c>
      <c r="D97" s="414"/>
      <c r="E97" s="415"/>
      <c r="F97" s="415" t="s">
        <v>229</v>
      </c>
      <c r="G97" s="415"/>
      <c r="H97" s="415"/>
      <c r="I97" s="414"/>
      <c r="J97" s="414"/>
      <c r="K97" s="414"/>
      <c r="M97" s="352"/>
      <c r="N97" s="352"/>
    </row>
    <row r="98" spans="1:14" ht="6" customHeight="1">
      <c r="A98" s="352"/>
      <c r="B98" s="352"/>
      <c r="D98" s="414"/>
      <c r="E98" s="415"/>
      <c r="F98" s="415"/>
      <c r="G98" s="415"/>
      <c r="H98" s="415"/>
      <c r="I98" s="414"/>
      <c r="J98" s="414"/>
      <c r="K98" s="414"/>
      <c r="M98" s="352"/>
      <c r="N98" s="352"/>
    </row>
    <row r="99" spans="1:14">
      <c r="A99" s="352"/>
      <c r="B99" s="352"/>
      <c r="C99" s="84">
        <f>+C97+1</f>
        <v>13</v>
      </c>
      <c r="D99" s="414"/>
      <c r="E99" s="415" t="s">
        <v>230</v>
      </c>
      <c r="F99" s="415" t="s">
        <v>160</v>
      </c>
      <c r="G99" s="415"/>
      <c r="H99" s="416">
        <f ca="1">SUM(H88:H97)</f>
        <v>206738.11321499996</v>
      </c>
      <c r="I99" s="416">
        <f ca="1">SUM(I88:I97)</f>
        <v>210634.882110565</v>
      </c>
      <c r="J99" s="414"/>
      <c r="K99" s="416"/>
      <c r="M99" s="352"/>
      <c r="N99" s="352"/>
    </row>
    <row r="100" spans="1:14">
      <c r="A100" s="352"/>
      <c r="B100" s="352"/>
      <c r="C100" s="84">
        <f>+C99+1</f>
        <v>14</v>
      </c>
      <c r="D100" s="414"/>
      <c r="E100" s="415"/>
      <c r="F100" s="415"/>
      <c r="G100" s="415"/>
      <c r="H100" s="415"/>
      <c r="I100" s="414"/>
      <c r="J100" s="414"/>
      <c r="K100" s="414"/>
      <c r="M100" s="352"/>
      <c r="N100" s="352"/>
    </row>
    <row r="101" spans="1:14">
      <c r="A101" s="352"/>
      <c r="B101" s="352"/>
      <c r="C101" s="84">
        <f>+C100+1</f>
        <v>15</v>
      </c>
      <c r="D101" s="414"/>
      <c r="E101" s="415" t="s">
        <v>234</v>
      </c>
      <c r="F101" s="415" t="s">
        <v>233</v>
      </c>
      <c r="G101" s="415"/>
      <c r="H101" s="132">
        <f>1-0.35</f>
        <v>0.65</v>
      </c>
      <c r="I101" s="132">
        <f>H101</f>
        <v>0.65</v>
      </c>
      <c r="J101" s="414"/>
      <c r="K101" s="132"/>
      <c r="M101" s="352"/>
      <c r="N101" s="352"/>
    </row>
    <row r="102" spans="1:14" ht="13.5" thickBot="1">
      <c r="A102" s="352"/>
      <c r="B102" s="352"/>
      <c r="C102" s="84">
        <f>+C101+1</f>
        <v>16</v>
      </c>
      <c r="D102" s="414"/>
      <c r="E102" s="415"/>
      <c r="F102" s="415"/>
      <c r="G102" s="415"/>
      <c r="H102" s="415"/>
      <c r="I102" s="414"/>
      <c r="J102" s="414"/>
      <c r="K102" s="414"/>
      <c r="M102" s="352"/>
      <c r="N102" s="352"/>
    </row>
    <row r="103" spans="1:14" ht="13.5" thickBot="1">
      <c r="A103" s="352"/>
      <c r="B103" s="352"/>
      <c r="C103" s="84">
        <f t="shared" ref="C103:C105" si="12">+C102+1</f>
        <v>17</v>
      </c>
      <c r="D103" s="414"/>
      <c r="E103" s="415" t="s">
        <v>235</v>
      </c>
      <c r="F103" s="415" t="s">
        <v>163</v>
      </c>
      <c r="G103" s="415"/>
      <c r="H103" s="421">
        <f ca="1">H99/H101</f>
        <v>318058.63571538456</v>
      </c>
      <c r="I103" s="421">
        <f ca="1">I99/I101</f>
        <v>324053.66478548461</v>
      </c>
      <c r="J103" s="422">
        <f ca="1">I103-H103</f>
        <v>5995.0290701000486</v>
      </c>
      <c r="K103" s="420"/>
      <c r="M103" s="352"/>
      <c r="N103" s="352"/>
    </row>
    <row r="104" spans="1:14">
      <c r="A104" s="352"/>
      <c r="B104" s="352"/>
      <c r="C104" s="84">
        <f t="shared" si="12"/>
        <v>18</v>
      </c>
      <c r="D104" s="414"/>
      <c r="E104" s="414"/>
      <c r="F104" s="414"/>
      <c r="G104" s="414"/>
      <c r="H104" s="414"/>
      <c r="I104" s="414"/>
      <c r="J104" s="414"/>
      <c r="K104" s="414"/>
      <c r="M104" s="352" t="s">
        <v>232</v>
      </c>
      <c r="N104" s="352"/>
    </row>
    <row r="105" spans="1:14">
      <c r="A105" s="352"/>
      <c r="B105" s="352"/>
      <c r="C105" s="84">
        <f t="shared" si="12"/>
        <v>19</v>
      </c>
      <c r="D105" s="414"/>
      <c r="E105" s="718" t="s">
        <v>231</v>
      </c>
      <c r="F105" s="718"/>
      <c r="G105" s="718"/>
      <c r="H105" s="719">
        <f ca="1">H103/G70</f>
        <v>5.7959789829783538E-2</v>
      </c>
      <c r="I105" s="719">
        <f ca="1">I103/G69</f>
        <v>5.7959336594523646E-2</v>
      </c>
      <c r="J105" s="720">
        <f ca="1">I105*(G69-G70)</f>
        <v>5997.5162321281177</v>
      </c>
      <c r="K105" s="719"/>
      <c r="M105" s="352"/>
      <c r="N105" s="352"/>
    </row>
    <row r="106" spans="1:14">
      <c r="A106" s="352"/>
      <c r="B106" s="352"/>
      <c r="C106" s="84"/>
      <c r="D106" s="414"/>
      <c r="E106" s="414"/>
      <c r="F106" s="414"/>
      <c r="G106" s="414"/>
      <c r="H106" s="414"/>
      <c r="I106" s="414"/>
      <c r="J106" s="414"/>
      <c r="K106" s="414"/>
      <c r="M106" s="352"/>
      <c r="N106" s="352"/>
    </row>
    <row r="107" spans="1:14">
      <c r="A107" s="352"/>
      <c r="B107" s="352"/>
      <c r="C107" s="84"/>
      <c r="D107" s="414"/>
      <c r="E107" s="414"/>
      <c r="F107" s="414"/>
      <c r="G107" s="414"/>
      <c r="H107" s="414"/>
      <c r="I107" s="414"/>
      <c r="J107" s="414"/>
      <c r="K107" s="414"/>
      <c r="M107" s="352"/>
      <c r="N107" s="352"/>
    </row>
    <row r="108" spans="1:14">
      <c r="A108" s="352"/>
      <c r="B108" s="352"/>
      <c r="C108" s="414"/>
      <c r="D108" s="414"/>
      <c r="E108" s="414"/>
      <c r="F108" s="414"/>
      <c r="G108" s="414"/>
      <c r="H108" s="414"/>
      <c r="I108" s="414"/>
      <c r="J108" s="414"/>
      <c r="K108" s="414"/>
      <c r="M108" s="352"/>
      <c r="N108" s="352"/>
    </row>
    <row r="109" spans="1:14">
      <c r="A109" s="352"/>
      <c r="B109" s="352"/>
      <c r="C109" s="414"/>
      <c r="D109" s="414"/>
      <c r="E109" s="414"/>
      <c r="F109" s="414"/>
      <c r="G109" s="414"/>
      <c r="H109" s="414"/>
      <c r="I109" s="414"/>
      <c r="J109" s="414"/>
      <c r="K109" s="414"/>
      <c r="M109" s="352"/>
      <c r="N109" s="352"/>
    </row>
    <row r="110" spans="1:14" ht="12" customHeight="1">
      <c r="A110" s="352"/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</row>
    <row r="111" spans="1:14" hidden="1">
      <c r="A111" s="352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</row>
    <row r="112" spans="1:14">
      <c r="A112" s="352"/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</row>
    <row r="113" spans="1:22">
      <c r="A113" s="352"/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</row>
    <row r="114" spans="1:22">
      <c r="A114" s="352"/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</row>
    <row r="115" spans="1:22">
      <c r="A115" s="352"/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</row>
    <row r="116" spans="1:22" ht="12.75" customHeight="1">
      <c r="A116" s="352"/>
      <c r="B116" s="352"/>
      <c r="C116" s="352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2"/>
    </row>
    <row r="117" spans="1:22">
      <c r="A117" s="352"/>
      <c r="B117" s="352"/>
      <c r="C117" s="352"/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</row>
    <row r="118" spans="1:22">
      <c r="A118" s="352"/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</row>
    <row r="119" spans="1:22">
      <c r="A119" s="352"/>
      <c r="B119" s="352"/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</row>
    <row r="120" spans="1:22">
      <c r="A120" s="352"/>
      <c r="B120" s="352"/>
      <c r="C120" s="352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</row>
    <row r="121" spans="1:22">
      <c r="A121" s="352"/>
      <c r="B121" s="352"/>
      <c r="C121" s="352"/>
      <c r="D121" s="352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</row>
    <row r="122" spans="1:22">
      <c r="A122" s="352"/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</row>
    <row r="123" spans="1:22">
      <c r="A123" s="352"/>
      <c r="B123" s="352"/>
      <c r="C123" s="352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</row>
    <row r="124" spans="1:22" ht="13.5" customHeight="1">
      <c r="A124" s="352"/>
      <c r="B124" s="352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</row>
    <row r="125" spans="1:22">
      <c r="A125" s="352"/>
      <c r="B125" s="352"/>
      <c r="C125" s="352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</row>
    <row r="126" spans="1:22">
      <c r="A126" s="352"/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O126" s="360"/>
      <c r="P126" s="82"/>
      <c r="Q126" s="82"/>
      <c r="R126" s="82"/>
      <c r="S126" s="89"/>
      <c r="T126" s="89"/>
      <c r="U126" s="82"/>
      <c r="V126" s="81"/>
    </row>
  </sheetData>
  <mergeCells count="1">
    <mergeCell ref="H11:L11"/>
  </mergeCells>
  <phoneticPr fontId="0" type="noConversion"/>
  <pageMargins left="1.1000000000000001" right="0.75" top="1.1299999999999999" bottom="0.75" header="0.5" footer="0.5"/>
  <pageSetup scale="67" orientation="portrait" horizontalDpi="4294967292" r:id="rId1"/>
  <headerFooter alignWithMargins="0">
    <oddHeader xml:space="preserve">&amp;C
&amp;RExhibit No. _____(DPK-6)
Docket UE-090134  UG-090135
Page &amp;P of &amp;N
</oddHeader>
    <oddFooter xml:space="preserve">&amp;C
</oddFooter>
  </headerFooter>
  <rowBreaks count="1" manualBreakCount="1">
    <brk id="77" min="2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2009-10-05T07:00:00+00:00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7556CA-2CFD-421B-AF57-6EF46AB3678D}"/>
</file>

<file path=customXml/itemProps2.xml><?xml version="1.0" encoding="utf-8"?>
<ds:datastoreItem xmlns:ds="http://schemas.openxmlformats.org/officeDocument/2006/customXml" ds:itemID="{46FECEF8-AA3D-4D8F-A921-6EEE8E9FBB62}"/>
</file>

<file path=customXml/itemProps3.xml><?xml version="1.0" encoding="utf-8"?>
<ds:datastoreItem xmlns:ds="http://schemas.openxmlformats.org/officeDocument/2006/customXml" ds:itemID="{19EBE586-DCEF-4768-B9E3-7B6EC3A10C54}"/>
</file>

<file path=customXml/itemProps4.xml><?xml version="1.0" encoding="utf-8"?>
<ds:datastoreItem xmlns:ds="http://schemas.openxmlformats.org/officeDocument/2006/customXml" ds:itemID="{FB29B8B9-12A7-4810-AEC7-35CA9282D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DPK-2 Results Sch1.1</vt:lpstr>
      <vt:lpstr>DPK-2 Restating Adj Sch 1.2</vt:lpstr>
      <vt:lpstr>DPK-2 Pro Forma Adj Sch 1.3</vt:lpstr>
      <vt:lpstr>DPK-2 Summary of Adj  Sch 1.4</vt:lpstr>
      <vt:lpstr>DPK-2 Revenue Requirement Sch 2</vt:lpstr>
      <vt:lpstr>DPK-2 Revenue Conv Factor Sch 3</vt:lpstr>
      <vt:lpstr>DPK-2 Capital Structure Sch 4 </vt:lpstr>
      <vt:lpstr>DPK-4 R-22 PF Debt</vt:lpstr>
      <vt:lpstr>DPK-6 PF-2 ProdFctrCalc</vt:lpstr>
      <vt:lpstr>END </vt:lpstr>
      <vt:lpstr>ResultSumEl</vt:lpstr>
      <vt:lpstr>not-used </vt:lpstr>
      <vt:lpstr>'DPK-2 Capital Structure Sch 4 '!Print_Area</vt:lpstr>
      <vt:lpstr>'DPK-2 Pro Forma Adj Sch 1.3'!Print_Area</vt:lpstr>
      <vt:lpstr>'DPK-2 Restating Adj Sch 1.2'!Print_Area</vt:lpstr>
      <vt:lpstr>'DPK-2 Results Sch1.1'!Print_Area</vt:lpstr>
      <vt:lpstr>'DPK-2 Revenue Conv Factor Sch 3'!Print_Area</vt:lpstr>
      <vt:lpstr>'DPK-2 Revenue Requirement Sch 2'!Print_Area</vt:lpstr>
      <vt:lpstr>'DPK-2 Summary of Adj  Sch 1.4'!Print_Area</vt:lpstr>
      <vt:lpstr>'DPK-4 R-22 PF Debt'!Print_Area</vt:lpstr>
      <vt:lpstr>'DPK-6 PF-2 ProdFctrCalc'!Print_Area</vt:lpstr>
      <vt:lpstr>'not-used '!Print_Area</vt:lpstr>
      <vt:lpstr>ResultSumEl!Print_Area</vt:lpstr>
      <vt:lpstr>'DPK-6 PF-2 ProdFctrCalc'!Print_for_CBReport</vt:lpstr>
      <vt:lpstr>'DPK-6 PF-2 ProdFctrCalc'!Print_for_Checking</vt:lpstr>
      <vt:lpstr>'DPK-2 Pro Forma Adj Sch 1.3'!Print_Titles</vt:lpstr>
      <vt:lpstr>'DPK-2 Restating Adj Sch 1.2'!Print_Titles</vt:lpstr>
      <vt:lpstr>'DPK-2 Results Sch1.1'!Print_Titles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of Operations - Electric 2008</dc:title>
  <dc:subject>UE-090134</dc:subject>
  <dc:creator>Kermode</dc:creator>
  <cp:keywords>Avista</cp:keywords>
  <cp:lastModifiedBy>BDeMarco</cp:lastModifiedBy>
  <cp:lastPrinted>2009-10-05T21:11:06Z</cp:lastPrinted>
  <dcterms:created xsi:type="dcterms:W3CDTF">1997-05-15T21:41:44Z</dcterms:created>
  <dcterms:modified xsi:type="dcterms:W3CDTF">2009-10-05T21:15:28Z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0x0101006E56B4D1795A2E4DB2F0B01679ED314A00ACEE90129439E84DA799E573E626D7C9</vt:lpwstr>
  </property>
  <property fmtid="{D5CDD505-2E9C-101B-9397-08002B2CF9AE}" pid="4" name="_docset_NoMedatataSyncRequired">
    <vt:lpwstr>False</vt:lpwstr>
  </property>
</Properties>
</file>