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tabRatio="735" activeTab="1"/>
  </bookViews>
  <sheets>
    <sheet name="NWH22Rev" sheetId="1" r:id="rId1"/>
    <sheet name="NWH23Rev" sheetId="2" r:id="rId2"/>
  </sheets>
  <externalReferences>
    <externalReference r:id="rId5"/>
  </externalReferences>
  <definedNames>
    <definedName name="_xlnm.Print_Area" localSheetId="0">'NWH22Rev'!$A$1:$K$39</definedName>
    <definedName name="_xlnm.Print_Area" localSheetId="1">'NWH23Rev'!$A$1:$K$47</definedName>
  </definedNames>
  <calcPr fullCalcOnLoad="1"/>
</workbook>
</file>

<file path=xl/sharedStrings.xml><?xml version="1.0" encoding="utf-8"?>
<sst xmlns="http://schemas.openxmlformats.org/spreadsheetml/2006/main" count="136" uniqueCount="55">
  <si>
    <t>(Thousands of Dollars)</t>
  </si>
  <si>
    <t>Description</t>
  </si>
  <si>
    <t>2004 Washington General Rate Case</t>
  </si>
  <si>
    <t>VERIZON NORTHWEST INC. - WASHINGTON OPERATIONS</t>
  </si>
  <si>
    <t>Staff</t>
  </si>
  <si>
    <t xml:space="preserve"> </t>
  </si>
  <si>
    <t xml:space="preserve">Line </t>
  </si>
  <si>
    <t>Account</t>
  </si>
  <si>
    <t>CAM</t>
  </si>
  <si>
    <t>Intrastate</t>
  </si>
  <si>
    <t>Amount</t>
  </si>
  <si>
    <t>No.</t>
  </si>
  <si>
    <t>Code</t>
  </si>
  <si>
    <t>Factor</t>
  </si>
  <si>
    <t>Inc (Dec)</t>
  </si>
  <si>
    <t>Telecom Plant In Service</t>
  </si>
  <si>
    <t>2XXX</t>
  </si>
  <si>
    <t>Accumulated Depreciation Reserve</t>
  </si>
  <si>
    <t>3XXX</t>
  </si>
  <si>
    <t>4XXX</t>
  </si>
  <si>
    <t>Depreciation expense</t>
  </si>
  <si>
    <t>656X</t>
  </si>
  <si>
    <t>Proforma TPIS</t>
  </si>
  <si>
    <t>Acc Depr Res Proforma</t>
  </si>
  <si>
    <t>1/2 Retirement</t>
  </si>
  <si>
    <t>1/2 Depreciation Expense</t>
  </si>
  <si>
    <t>Company</t>
  </si>
  <si>
    <t>Deferred Income Taxes (Acc. Depr Res X 35% (FIT))</t>
  </si>
  <si>
    <t>Old Rate</t>
  </si>
  <si>
    <t>New Rate</t>
  </si>
  <si>
    <t>Change in Rate</t>
  </si>
  <si>
    <t>Proforma Depr</t>
  </si>
  <si>
    <t>Test Yr TPIS</t>
  </si>
  <si>
    <t>Times .35 Deferred FIT impact</t>
  </si>
  <si>
    <t>Deferred Tax effect of Depr. Exp. Adj at 1/2 Yr</t>
  </si>
  <si>
    <t>Revised</t>
  </si>
  <si>
    <t>This adjustment is to correct Staff's failure to account for depreciation in accumulated depreciation.</t>
  </si>
  <si>
    <t>Docket No. UT-040788</t>
  </si>
  <si>
    <t>Exhibit No.____(NWH-22)</t>
  </si>
  <si>
    <t>Correction to Verizon Calculation of P17</t>
  </si>
  <si>
    <t>(a)</t>
  </si>
  <si>
    <t>(b)</t>
  </si>
  <si>
    <t>(c)</t>
  </si>
  <si>
    <t>(d)</t>
  </si>
  <si>
    <t>(e)</t>
  </si>
  <si>
    <t>(f)</t>
  </si>
  <si>
    <t>(g)</t>
  </si>
  <si>
    <t>(h)</t>
  </si>
  <si>
    <t>Exhibit No.____(NWH-23)</t>
  </si>
  <si>
    <t>Company's Revision to Staff Calculation of P17</t>
  </si>
  <si>
    <t>Page 1 of 1</t>
  </si>
  <si>
    <t xml:space="preserve">Deferred Income Taxes </t>
  </si>
  <si>
    <t>Times .11</t>
  </si>
  <si>
    <t>This adjustment is to correct the Company's formula error in calculating accumulated depreciation and the subsequent impact in deferred income taxes.</t>
  </si>
  <si>
    <t>Deferred Income Taxes (Line 3 X 35% (FIT))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</si>
</sst>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\(#,##0.000000\)"/>
    <numFmt numFmtId="165" formatCode="#,##0.000_);\(#,##0.000\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00%"/>
    <numFmt numFmtId="170" formatCode="0.0000%"/>
    <numFmt numFmtId="171" formatCode="#,##0.00000000000_);\(#,##0.00000000000\)"/>
    <numFmt numFmtId="172" formatCode="0.00000000"/>
    <numFmt numFmtId="173" formatCode="#,##0.0_);\(#,##0.0\)"/>
    <numFmt numFmtId="174" formatCode="0.000000"/>
    <numFmt numFmtId="175" formatCode="[$-409]mmm\-yy;@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_(* #,##0.0000000000_);_(* \(#,##0.0000000000\);_(* &quot;-&quot;??_);_(@_)"/>
    <numFmt numFmtId="184" formatCode="_(* #,##0.000_);_(* \(#,##0.000\);_(* &quot;-&quot;???_);_(@_)"/>
    <numFmt numFmtId="185" formatCode="0.00000%"/>
    <numFmt numFmtId="186" formatCode="0.0000000000000000%"/>
    <numFmt numFmtId="187" formatCode="0.00000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37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7" fontId="1" fillId="2" borderId="0" xfId="0" applyNumberFormat="1" applyFont="1" applyFill="1" applyAlignment="1">
      <alignment/>
    </xf>
    <xf numFmtId="37" fontId="1" fillId="0" borderId="0" xfId="0" applyNumberFormat="1" applyFont="1" applyFill="1" applyAlignment="1">
      <alignment/>
    </xf>
    <xf numFmtId="167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7" fontId="1" fillId="0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Alignment="1">
      <alignment/>
    </xf>
    <xf numFmtId="0" fontId="3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70" fontId="0" fillId="0" borderId="0" xfId="19" applyNumberFormat="1" applyFont="1" applyAlignment="1">
      <alignment/>
    </xf>
    <xf numFmtId="37" fontId="0" fillId="0" borderId="0" xfId="0" applyNumberFormat="1" applyFont="1" applyAlignment="1">
      <alignment/>
    </xf>
    <xf numFmtId="0" fontId="0" fillId="0" borderId="0" xfId="15" applyNumberFormat="1" applyFont="1" applyAlignment="1">
      <alignment/>
    </xf>
    <xf numFmtId="167" fontId="0" fillId="0" borderId="0" xfId="15" applyNumberFormat="1" applyFont="1" applyAlignment="1">
      <alignment/>
    </xf>
    <xf numFmtId="0" fontId="0" fillId="0" borderId="1" xfId="0" applyFont="1" applyBorder="1" applyAlignment="1">
      <alignment/>
    </xf>
    <xf numFmtId="167" fontId="0" fillId="0" borderId="0" xfId="15" applyNumberFormat="1" applyFont="1" applyFill="1" applyAlignment="1">
      <alignment/>
    </xf>
    <xf numFmtId="0" fontId="4" fillId="0" borderId="0" xfId="0" applyFont="1" applyAlignment="1">
      <alignment/>
    </xf>
    <xf numFmtId="37" fontId="1" fillId="0" borderId="0" xfId="0" applyNumberFormat="1" applyFont="1" applyFill="1" applyBorder="1" applyAlignment="1">
      <alignment/>
    </xf>
    <xf numFmtId="167" fontId="0" fillId="0" borderId="0" xfId="15" applyNumberFormat="1" applyFont="1" applyFill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37" fontId="0" fillId="2" borderId="0" xfId="0" applyNumberFormat="1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7" fontId="0" fillId="0" borderId="1" xfId="15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7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67" fontId="0" fillId="2" borderId="1" xfId="15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0" fontId="0" fillId="0" borderId="1" xfId="0" applyFont="1" applyBorder="1" applyAlignment="1">
      <alignment horizontal="center"/>
    </xf>
    <xf numFmtId="167" fontId="0" fillId="2" borderId="0" xfId="15" applyNumberFormat="1" applyFont="1" applyFill="1" applyAlignment="1">
      <alignment/>
    </xf>
    <xf numFmtId="167" fontId="0" fillId="0" borderId="1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ashington\RateCase04\Schedules-Update%20in%20Sep%2004-Electronics\Final\WP%20P17-Rate%20Base-Revd%20Sep%2004-Electron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7Revd"/>
      <sheetName val="P17.1Revd"/>
      <sheetName val="P17.2Revd"/>
    </sheetNames>
    <sheetDataSet>
      <sheetData sheetId="1">
        <row r="36">
          <cell r="I36">
            <v>64515416.71026808</v>
          </cell>
        </row>
      </sheetData>
      <sheetData sheetId="2">
        <row r="57">
          <cell r="R57">
            <v>-21419064.240416575</v>
          </cell>
          <cell r="U57">
            <v>15565293.5</v>
          </cell>
        </row>
        <row r="105">
          <cell r="R105">
            <v>19608795.42503788</v>
          </cell>
          <cell r="T105">
            <v>-28799206.5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zoomScale="80" zoomScaleNormal="80" workbookViewId="0" topLeftCell="A4">
      <selection activeCell="K36" sqref="K36"/>
    </sheetView>
  </sheetViews>
  <sheetFormatPr defaultColWidth="9.140625" defaultRowHeight="12.75"/>
  <cols>
    <col min="1" max="1" width="9.28125" style="25" bestFit="1" customWidth="1"/>
    <col min="2" max="3" width="9.140625" style="25" customWidth="1"/>
    <col min="4" max="4" width="31.00390625" style="25" customWidth="1"/>
    <col min="5" max="7" width="13.57421875" style="25" customWidth="1"/>
    <col min="8" max="8" width="18.421875" style="25" bestFit="1" customWidth="1"/>
    <col min="9" max="9" width="13.7109375" style="25" customWidth="1"/>
    <col min="10" max="10" width="13.00390625" style="25" bestFit="1" customWidth="1"/>
    <col min="11" max="11" width="10.57421875" style="25" customWidth="1"/>
    <col min="12" max="16384" width="9.140625" style="25" customWidth="1"/>
  </cols>
  <sheetData>
    <row r="2" spans="1:11" ht="15.75">
      <c r="A2" s="4" t="s">
        <v>3</v>
      </c>
      <c r="G2" s="5"/>
      <c r="H2" s="36"/>
      <c r="I2" s="23"/>
      <c r="J2" s="36"/>
      <c r="K2" s="62" t="s">
        <v>38</v>
      </c>
    </row>
    <row r="3" spans="1:11" ht="15.75">
      <c r="A3" s="4" t="s">
        <v>2</v>
      </c>
      <c r="H3" s="24"/>
      <c r="I3" s="24"/>
      <c r="J3" s="63"/>
      <c r="K3" s="62" t="s">
        <v>37</v>
      </c>
    </row>
    <row r="4" spans="1:11" ht="12.75">
      <c r="A4" s="60" t="s">
        <v>39</v>
      </c>
      <c r="J4" s="60"/>
      <c r="K4" s="62" t="s">
        <v>50</v>
      </c>
    </row>
    <row r="5" ht="12.75">
      <c r="A5" s="4" t="s">
        <v>0</v>
      </c>
    </row>
    <row r="6" ht="12.75">
      <c r="A6" s="26"/>
    </row>
    <row r="7" spans="1:11" ht="12" customHeight="1">
      <c r="A7" s="61" t="s">
        <v>5</v>
      </c>
      <c r="B7" s="65" t="s">
        <v>40</v>
      </c>
      <c r="C7" s="66"/>
      <c r="D7" s="66"/>
      <c r="E7" s="61" t="s">
        <v>41</v>
      </c>
      <c r="F7" s="61" t="s">
        <v>42</v>
      </c>
      <c r="G7" s="61" t="s">
        <v>43</v>
      </c>
      <c r="H7" s="61" t="s">
        <v>44</v>
      </c>
      <c r="I7" s="61" t="s">
        <v>45</v>
      </c>
      <c r="J7" s="61" t="s">
        <v>46</v>
      </c>
      <c r="K7" s="61" t="s">
        <v>47</v>
      </c>
    </row>
    <row r="8" spans="1:9" ht="12.75">
      <c r="A8" s="64" t="s">
        <v>53</v>
      </c>
      <c r="B8" s="64"/>
      <c r="C8" s="64"/>
      <c r="D8" s="64"/>
      <c r="E8" s="64"/>
      <c r="F8" s="64"/>
      <c r="G8" s="64"/>
      <c r="H8" s="64"/>
      <c r="I8" s="64"/>
    </row>
    <row r="9" spans="1:9" ht="16.5" customHeight="1">
      <c r="A9" s="64"/>
      <c r="B9" s="64"/>
      <c r="C9" s="64"/>
      <c r="D9" s="64"/>
      <c r="E9" s="64"/>
      <c r="F9" s="64"/>
      <c r="G9" s="64"/>
      <c r="H9" s="64"/>
      <c r="I9" s="64"/>
    </row>
    <row r="10" spans="1:11" ht="13.5" thickBot="1">
      <c r="A10" s="26"/>
      <c r="H10" s="19" t="s">
        <v>26</v>
      </c>
      <c r="I10" s="19" t="s">
        <v>26</v>
      </c>
      <c r="J10" s="20" t="s">
        <v>35</v>
      </c>
      <c r="K10" s="20" t="s">
        <v>35</v>
      </c>
    </row>
    <row r="11" spans="1:11" ht="12.75">
      <c r="A11" s="6"/>
      <c r="B11" s="7"/>
      <c r="C11" s="8"/>
      <c r="D11" s="8"/>
      <c r="E11" s="6"/>
      <c r="F11" s="6"/>
      <c r="G11" s="6"/>
      <c r="H11" s="6"/>
      <c r="I11" s="6"/>
      <c r="J11" s="27"/>
      <c r="K11" s="27"/>
    </row>
    <row r="12" spans="1:11" ht="12.75">
      <c r="A12" s="9" t="s">
        <v>6</v>
      </c>
      <c r="B12" s="10"/>
      <c r="C12" s="28"/>
      <c r="D12" s="11" t="s">
        <v>1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9</v>
      </c>
      <c r="J12" s="9" t="s">
        <v>10</v>
      </c>
      <c r="K12" s="9" t="s">
        <v>9</v>
      </c>
    </row>
    <row r="13" spans="1:11" ht="12.75">
      <c r="A13" s="9" t="s">
        <v>11</v>
      </c>
      <c r="B13" s="10"/>
      <c r="C13" s="11"/>
      <c r="D13" s="11"/>
      <c r="E13" s="9" t="s">
        <v>12</v>
      </c>
      <c r="F13" s="9" t="s">
        <v>13</v>
      </c>
      <c r="G13" s="9" t="s">
        <v>13</v>
      </c>
      <c r="H13" s="9" t="s">
        <v>14</v>
      </c>
      <c r="I13" s="9" t="s">
        <v>10</v>
      </c>
      <c r="J13" s="9" t="s">
        <v>14</v>
      </c>
      <c r="K13" s="9" t="s">
        <v>10</v>
      </c>
    </row>
    <row r="14" spans="1:11" ht="13.5" thickBot="1">
      <c r="A14" s="12"/>
      <c r="B14" s="13"/>
      <c r="C14" s="14"/>
      <c r="D14" s="14"/>
      <c r="E14" s="12" t="s">
        <v>5</v>
      </c>
      <c r="F14" s="12"/>
      <c r="G14" s="12"/>
      <c r="H14" s="12" t="s">
        <v>5</v>
      </c>
      <c r="I14" s="12" t="s">
        <v>14</v>
      </c>
      <c r="J14" s="12" t="s">
        <v>5</v>
      </c>
      <c r="K14" s="12" t="s">
        <v>14</v>
      </c>
    </row>
    <row r="15" ht="12.75">
      <c r="A15" s="29"/>
    </row>
    <row r="16" spans="1:11" ht="12.75">
      <c r="A16" s="29">
        <v>1</v>
      </c>
      <c r="B16" s="25" t="s">
        <v>15</v>
      </c>
      <c r="E16" s="25" t="s">
        <v>16</v>
      </c>
      <c r="F16" s="30">
        <v>0.05109314</v>
      </c>
      <c r="G16" s="30">
        <v>0.755366</v>
      </c>
      <c r="H16" s="17">
        <f>('[1]P17.2Revd'!R57+'[1]P17.2Revd'!U57)/1000</f>
        <v>-5853.770740416575</v>
      </c>
      <c r="I16" s="16">
        <f>H16*(1-F16)*G16</f>
        <v>-4195.818839454424</v>
      </c>
      <c r="K16" s="31"/>
    </row>
    <row r="17" spans="1:9" ht="12.75">
      <c r="A17" s="29">
        <f aca="true" t="shared" si="0" ref="A17:A50">+A16+1</f>
        <v>2</v>
      </c>
      <c r="H17" s="18"/>
      <c r="I17" s="18"/>
    </row>
    <row r="18" spans="1:11" ht="12.75">
      <c r="A18" s="29">
        <f t="shared" si="0"/>
        <v>3</v>
      </c>
      <c r="B18" s="25" t="s">
        <v>17</v>
      </c>
      <c r="E18" s="25" t="s">
        <v>18</v>
      </c>
      <c r="F18" s="30">
        <v>0.03791622</v>
      </c>
      <c r="G18" s="30">
        <v>0.75722801</v>
      </c>
      <c r="H18" s="17">
        <f>(-'[1]P17.2Revd'!R105-'[1]P17.2Revd'!T105)/1000+(H22/2)</f>
        <v>41448.119430096165</v>
      </c>
      <c r="I18" s="16">
        <f>H18*(1-F18)*G18</f>
        <v>30195.650760529457</v>
      </c>
      <c r="K18" s="49">
        <f>+K28</f>
        <v>-35266.04198795349</v>
      </c>
    </row>
    <row r="19" spans="1:9" ht="12.75">
      <c r="A19" s="29">
        <f t="shared" si="0"/>
        <v>4</v>
      </c>
      <c r="H19" s="18"/>
      <c r="I19" s="18"/>
    </row>
    <row r="20" spans="1:13" ht="12.75">
      <c r="A20" s="29">
        <f t="shared" si="0"/>
        <v>5</v>
      </c>
      <c r="B20" s="25" t="s">
        <v>54</v>
      </c>
      <c r="E20" s="25" t="s">
        <v>19</v>
      </c>
      <c r="H20" s="18"/>
      <c r="I20" s="17">
        <f>-I18*0.35</f>
        <v>-10568.47776618531</v>
      </c>
      <c r="J20" s="31"/>
      <c r="K20" s="49">
        <f>K36</f>
        <v>4118.015988608592</v>
      </c>
      <c r="M20" s="31"/>
    </row>
    <row r="21" spans="1:11" ht="12.75">
      <c r="A21" s="29">
        <f t="shared" si="0"/>
        <v>6</v>
      </c>
      <c r="H21" s="18"/>
      <c r="I21" s="16"/>
      <c r="K21" s="16"/>
    </row>
    <row r="22" spans="1:11" ht="12.75">
      <c r="A22" s="29">
        <f t="shared" si="0"/>
        <v>7</v>
      </c>
      <c r="B22" s="25" t="s">
        <v>20</v>
      </c>
      <c r="E22" s="32" t="s">
        <v>21</v>
      </c>
      <c r="F22" s="30">
        <v>0.02545418</v>
      </c>
      <c r="G22" s="30">
        <v>0.74943456</v>
      </c>
      <c r="H22" s="17">
        <f>'[1]P17.1Revd'!I36/1000</f>
        <v>64515.41671026808</v>
      </c>
      <c r="I22" s="16">
        <f>H22*(1-F22)*G22</f>
        <v>47119.37122142186</v>
      </c>
      <c r="K22" s="50"/>
    </row>
    <row r="23" spans="1:8" ht="12.75">
      <c r="A23" s="29">
        <f t="shared" si="0"/>
        <v>8</v>
      </c>
      <c r="E23" s="32"/>
      <c r="F23" s="32"/>
      <c r="G23" s="32"/>
      <c r="H23" s="33"/>
    </row>
    <row r="24" spans="1:11" ht="12.75">
      <c r="A24" s="29">
        <f t="shared" si="0"/>
        <v>9</v>
      </c>
      <c r="H24" s="19" t="s">
        <v>26</v>
      </c>
      <c r="I24" s="51"/>
      <c r="J24" s="19" t="s">
        <v>35</v>
      </c>
      <c r="K24" s="34"/>
    </row>
    <row r="25" spans="1:10" ht="12.75">
      <c r="A25" s="29">
        <f t="shared" si="0"/>
        <v>10</v>
      </c>
      <c r="D25" s="25" t="s">
        <v>17</v>
      </c>
      <c r="E25" s="25" t="s">
        <v>23</v>
      </c>
      <c r="H25" s="33">
        <v>-19608795.4250379</v>
      </c>
      <c r="J25" s="35">
        <v>-19608795.4250379</v>
      </c>
    </row>
    <row r="26" spans="1:10" ht="12.75">
      <c r="A26" s="29">
        <f t="shared" si="0"/>
        <v>11</v>
      </c>
      <c r="E26" s="25" t="s">
        <v>24</v>
      </c>
      <c r="H26" s="33">
        <v>28799206.5</v>
      </c>
      <c r="J26" s="52">
        <v>-28799206.5</v>
      </c>
    </row>
    <row r="27" spans="1:11" ht="12.75">
      <c r="A27" s="29">
        <f t="shared" si="0"/>
        <v>12</v>
      </c>
      <c r="E27" s="34" t="s">
        <v>25</v>
      </c>
      <c r="F27" s="34"/>
      <c r="G27" s="34"/>
      <c r="H27" s="53">
        <f>64515416.7102681/2</f>
        <v>32257708.35513405</v>
      </c>
      <c r="I27" s="34"/>
      <c r="J27" s="53"/>
      <c r="K27" s="34"/>
    </row>
    <row r="28" spans="1:11" ht="12.75">
      <c r="A28" s="29">
        <f t="shared" si="0"/>
        <v>13</v>
      </c>
      <c r="H28" s="54">
        <f>H25+H26+H27</f>
        <v>41448119.43009615</v>
      </c>
      <c r="I28" s="16">
        <f>(H28*(1-$F$18)*$G$18)/1000</f>
        <v>30195.650760529446</v>
      </c>
      <c r="J28" s="54">
        <f>J25+J26+J27</f>
        <v>-48408001.925037906</v>
      </c>
      <c r="K28" s="15">
        <f>(J28*(1-$F$18)*$G$18)/1000</f>
        <v>-35266.04198795349</v>
      </c>
    </row>
    <row r="29" spans="1:13" ht="12.75">
      <c r="A29" s="29">
        <f t="shared" si="0"/>
        <v>14</v>
      </c>
      <c r="D29" s="56"/>
      <c r="E29" s="56"/>
      <c r="F29" s="56"/>
      <c r="G29" s="56"/>
      <c r="H29" s="55"/>
      <c r="I29" s="37"/>
      <c r="J29" s="55"/>
      <c r="K29" s="37"/>
      <c r="L29" s="56"/>
      <c r="M29" s="56"/>
    </row>
    <row r="30" spans="1:13" ht="12.75">
      <c r="A30" s="29">
        <f t="shared" si="0"/>
        <v>15</v>
      </c>
      <c r="D30" s="25" t="s">
        <v>27</v>
      </c>
      <c r="H30" s="33"/>
      <c r="I30" s="16"/>
      <c r="J30" s="33"/>
      <c r="K30" s="16"/>
      <c r="L30" s="56"/>
      <c r="M30" s="56"/>
    </row>
    <row r="31" spans="1:13" ht="12.75">
      <c r="A31" s="29">
        <f t="shared" si="0"/>
        <v>16</v>
      </c>
      <c r="H31" s="33"/>
      <c r="I31" s="16"/>
      <c r="J31" s="33"/>
      <c r="K31" s="16"/>
      <c r="L31" s="56"/>
      <c r="M31" s="56"/>
    </row>
    <row r="32" spans="1:13" ht="12.75">
      <c r="A32" s="29">
        <f t="shared" si="0"/>
        <v>17</v>
      </c>
      <c r="E32" s="25" t="s">
        <v>23</v>
      </c>
      <c r="H32" s="33">
        <v>-19608795.4250379</v>
      </c>
      <c r="I32" s="16"/>
      <c r="J32" s="35">
        <v>-19608795.4250379</v>
      </c>
      <c r="K32" s="16"/>
      <c r="L32" s="56"/>
      <c r="M32" s="56"/>
    </row>
    <row r="33" spans="1:13" ht="12.75">
      <c r="A33" s="29">
        <f t="shared" si="0"/>
        <v>18</v>
      </c>
      <c r="E33" s="25" t="s">
        <v>24</v>
      </c>
      <c r="H33" s="33">
        <v>28799206.5</v>
      </c>
      <c r="I33" s="16"/>
      <c r="J33" s="52">
        <v>-28799206.5</v>
      </c>
      <c r="K33" s="16"/>
      <c r="L33" s="56"/>
      <c r="M33" s="56"/>
    </row>
    <row r="34" spans="1:13" ht="12.75">
      <c r="A34" s="29">
        <f t="shared" si="0"/>
        <v>19</v>
      </c>
      <c r="E34" s="34" t="s">
        <v>25</v>
      </c>
      <c r="F34" s="34"/>
      <c r="G34" s="34"/>
      <c r="H34" s="53">
        <f>64515416.7102681/2</f>
        <v>32257708.35513405</v>
      </c>
      <c r="I34" s="21"/>
      <c r="J34" s="53">
        <f>64515416.7102681/2</f>
        <v>32257708.35513405</v>
      </c>
      <c r="K34" s="16"/>
      <c r="L34" s="56"/>
      <c r="M34" s="56"/>
    </row>
    <row r="35" spans="1:13" ht="12.75">
      <c r="A35" s="29">
        <f t="shared" si="0"/>
        <v>20</v>
      </c>
      <c r="H35" s="54">
        <f>SUM(H32:H34)</f>
        <v>41448119.43009615</v>
      </c>
      <c r="I35" s="16"/>
      <c r="J35" s="54">
        <f>SUM(J32:J34)</f>
        <v>-16150293.569903854</v>
      </c>
      <c r="K35" s="16"/>
      <c r="L35" s="56"/>
      <c r="M35" s="56"/>
    </row>
    <row r="36" spans="1:11" ht="12.75">
      <c r="A36" s="29">
        <f t="shared" si="0"/>
        <v>21</v>
      </c>
      <c r="E36" s="25" t="s">
        <v>33</v>
      </c>
      <c r="H36" s="54">
        <f>H35*0.35</f>
        <v>14506841.800533652</v>
      </c>
      <c r="I36" s="16">
        <f>(-H36*(1-$F$18)*$G$18)/1000</f>
        <v>-10568.477766185306</v>
      </c>
      <c r="J36" s="54">
        <f>J35*0.35</f>
        <v>-5652602.749466348</v>
      </c>
      <c r="K36" s="15">
        <f>(-J36*(1-$F$18)*$G$18)/1000</f>
        <v>4118.015988608592</v>
      </c>
    </row>
    <row r="37" spans="1:11" ht="12.75">
      <c r="A37" s="29">
        <f t="shared" si="0"/>
        <v>22</v>
      </c>
      <c r="E37" s="56"/>
      <c r="F37" s="56"/>
      <c r="G37" s="56"/>
      <c r="H37" s="57"/>
      <c r="I37" s="37"/>
      <c r="J37" s="55"/>
      <c r="K37" s="37"/>
    </row>
    <row r="38" spans="1:11" ht="12.75">
      <c r="A38" s="29">
        <f t="shared" si="0"/>
        <v>23</v>
      </c>
      <c r="E38" s="56"/>
      <c r="F38" s="56"/>
      <c r="G38" s="56"/>
      <c r="H38" s="57"/>
      <c r="I38" s="37"/>
      <c r="J38" s="55"/>
      <c r="K38" s="37"/>
    </row>
    <row r="39" spans="1:11" ht="12.75">
      <c r="A39" s="29">
        <f t="shared" si="0"/>
        <v>24</v>
      </c>
      <c r="E39" s="56"/>
      <c r="F39" s="56"/>
      <c r="G39" s="56"/>
      <c r="H39" s="57"/>
      <c r="I39" s="37"/>
      <c r="J39" s="55"/>
      <c r="K39" s="37"/>
    </row>
    <row r="40" spans="1:11" ht="12.75">
      <c r="A40" s="29">
        <f t="shared" si="0"/>
        <v>25</v>
      </c>
      <c r="E40" s="56"/>
      <c r="F40" s="56"/>
      <c r="G40" s="56"/>
      <c r="H40" s="57"/>
      <c r="I40" s="37"/>
      <c r="J40" s="55"/>
      <c r="K40" s="37"/>
    </row>
    <row r="41" spans="1:11" ht="12.75">
      <c r="A41" s="29">
        <f t="shared" si="0"/>
        <v>26</v>
      </c>
      <c r="E41" s="56"/>
      <c r="F41" s="56"/>
      <c r="G41" s="56"/>
      <c r="H41" s="57"/>
      <c r="I41" s="37"/>
      <c r="J41" s="55"/>
      <c r="K41" s="37"/>
    </row>
    <row r="42" spans="1:11" ht="12.75">
      <c r="A42" s="29">
        <f t="shared" si="0"/>
        <v>27</v>
      </c>
      <c r="E42" s="56"/>
      <c r="F42" s="56"/>
      <c r="G42" s="56"/>
      <c r="H42" s="56"/>
      <c r="I42" s="56"/>
      <c r="J42" s="56"/>
      <c r="K42" s="56"/>
    </row>
    <row r="43" ht="12.75">
      <c r="A43" s="29">
        <f t="shared" si="0"/>
        <v>28</v>
      </c>
    </row>
    <row r="44" ht="12.75">
      <c r="A44" s="29">
        <f t="shared" si="0"/>
        <v>29</v>
      </c>
    </row>
    <row r="45" ht="12.75">
      <c r="A45" s="29">
        <f t="shared" si="0"/>
        <v>30</v>
      </c>
    </row>
    <row r="46" ht="12.75">
      <c r="A46" s="29">
        <f t="shared" si="0"/>
        <v>31</v>
      </c>
    </row>
    <row r="47" ht="12.75">
      <c r="A47" s="29">
        <f t="shared" si="0"/>
        <v>32</v>
      </c>
    </row>
    <row r="48" ht="12.75">
      <c r="A48" s="29">
        <f t="shared" si="0"/>
        <v>33</v>
      </c>
    </row>
    <row r="49" ht="12.75">
      <c r="A49" s="29">
        <f t="shared" si="0"/>
        <v>34</v>
      </c>
    </row>
    <row r="50" ht="12.75">
      <c r="A50" s="29">
        <f t="shared" si="0"/>
        <v>35</v>
      </c>
    </row>
  </sheetData>
  <mergeCells count="2">
    <mergeCell ref="A8:I9"/>
    <mergeCell ref="B7:D7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tabSelected="1" zoomScale="80" zoomScaleNormal="80" workbookViewId="0" topLeftCell="A11">
      <selection activeCell="E40" sqref="E40"/>
    </sheetView>
  </sheetViews>
  <sheetFormatPr defaultColWidth="9.140625" defaultRowHeight="12.75"/>
  <cols>
    <col min="1" max="1" width="9.28125" style="25" bestFit="1" customWidth="1"/>
    <col min="2" max="3" width="9.140625" style="25" customWidth="1"/>
    <col min="4" max="4" width="31.00390625" style="25" customWidth="1"/>
    <col min="5" max="7" width="13.57421875" style="25" customWidth="1"/>
    <col min="8" max="8" width="18.421875" style="25" bestFit="1" customWidth="1"/>
    <col min="9" max="9" width="13.7109375" style="25" customWidth="1"/>
    <col min="10" max="10" width="13.00390625" style="25" bestFit="1" customWidth="1"/>
    <col min="11" max="11" width="10.57421875" style="25" customWidth="1"/>
    <col min="12" max="16384" width="9.140625" style="25" customWidth="1"/>
  </cols>
  <sheetData>
    <row r="2" spans="1:11" ht="15.75">
      <c r="A2" s="4" t="s">
        <v>3</v>
      </c>
      <c r="G2" s="5"/>
      <c r="H2" s="36"/>
      <c r="I2" s="23"/>
      <c r="J2" s="23"/>
      <c r="K2" s="62" t="s">
        <v>48</v>
      </c>
    </row>
    <row r="3" spans="1:11" ht="15">
      <c r="A3" s="4" t="s">
        <v>2</v>
      </c>
      <c r="H3" s="24"/>
      <c r="I3" s="24"/>
      <c r="J3" s="24"/>
      <c r="K3" s="62" t="s">
        <v>37</v>
      </c>
    </row>
    <row r="4" spans="1:11" ht="12.75">
      <c r="A4" s="60" t="s">
        <v>49</v>
      </c>
      <c r="K4" s="62" t="s">
        <v>50</v>
      </c>
    </row>
    <row r="5" ht="12.75">
      <c r="A5" s="4" t="s">
        <v>0</v>
      </c>
    </row>
    <row r="6" ht="12.75">
      <c r="A6" s="26"/>
    </row>
    <row r="7" spans="2:12" ht="12" customHeight="1">
      <c r="B7" s="67" t="s">
        <v>40</v>
      </c>
      <c r="C7" s="67"/>
      <c r="D7" s="67"/>
      <c r="E7" s="61" t="s">
        <v>41</v>
      </c>
      <c r="F7" s="61" t="s">
        <v>42</v>
      </c>
      <c r="G7" s="61" t="s">
        <v>43</v>
      </c>
      <c r="H7" s="61" t="s">
        <v>44</v>
      </c>
      <c r="I7" s="61" t="s">
        <v>45</v>
      </c>
      <c r="J7" s="61" t="s">
        <v>46</v>
      </c>
      <c r="K7" s="61" t="s">
        <v>47</v>
      </c>
      <c r="L7" s="61" t="s">
        <v>5</v>
      </c>
    </row>
    <row r="8" spans="1:9" ht="12.75">
      <c r="A8" s="64" t="s">
        <v>36</v>
      </c>
      <c r="B8" s="64"/>
      <c r="C8" s="64"/>
      <c r="D8" s="64"/>
      <c r="E8" s="64"/>
      <c r="F8" s="64"/>
      <c r="G8" s="64"/>
      <c r="H8" s="64"/>
      <c r="I8" s="64"/>
    </row>
    <row r="9" spans="1:9" ht="16.5" customHeight="1">
      <c r="A9" s="64"/>
      <c r="B9" s="64"/>
      <c r="C9" s="64"/>
      <c r="D9" s="64"/>
      <c r="E9" s="64"/>
      <c r="F9" s="64"/>
      <c r="G9" s="64"/>
      <c r="H9" s="64"/>
      <c r="I9" s="64"/>
    </row>
    <row r="10" spans="1:11" ht="13.5" thickBot="1">
      <c r="A10" s="26"/>
      <c r="H10" s="20" t="s">
        <v>4</v>
      </c>
      <c r="I10" s="20" t="s">
        <v>4</v>
      </c>
      <c r="J10" s="22" t="s">
        <v>35</v>
      </c>
      <c r="K10" s="22" t="s">
        <v>35</v>
      </c>
    </row>
    <row r="11" spans="1:11" ht="12.75">
      <c r="A11" s="6"/>
      <c r="B11" s="7"/>
      <c r="C11" s="8"/>
      <c r="D11" s="8"/>
      <c r="E11" s="6"/>
      <c r="F11" s="6"/>
      <c r="G11" s="6"/>
      <c r="H11" s="6"/>
      <c r="I11" s="6"/>
      <c r="J11" s="27"/>
      <c r="K11" s="27"/>
    </row>
    <row r="12" spans="1:11" ht="12.75">
      <c r="A12" s="9" t="s">
        <v>6</v>
      </c>
      <c r="B12" s="10"/>
      <c r="C12" s="28"/>
      <c r="D12" s="11" t="s">
        <v>1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9</v>
      </c>
      <c r="J12" s="9" t="s">
        <v>10</v>
      </c>
      <c r="K12" s="9" t="s">
        <v>9</v>
      </c>
    </row>
    <row r="13" spans="1:11" ht="12.75">
      <c r="A13" s="9" t="s">
        <v>11</v>
      </c>
      <c r="B13" s="10"/>
      <c r="C13" s="11"/>
      <c r="D13" s="11"/>
      <c r="E13" s="9" t="s">
        <v>12</v>
      </c>
      <c r="F13" s="9" t="s">
        <v>13</v>
      </c>
      <c r="G13" s="9" t="s">
        <v>13</v>
      </c>
      <c r="H13" s="9" t="s">
        <v>14</v>
      </c>
      <c r="I13" s="9" t="s">
        <v>10</v>
      </c>
      <c r="J13" s="9" t="s">
        <v>14</v>
      </c>
      <c r="K13" s="9" t="s">
        <v>10</v>
      </c>
    </row>
    <row r="14" spans="1:11" ht="13.5" thickBot="1">
      <c r="A14" s="12"/>
      <c r="B14" s="13"/>
      <c r="C14" s="14"/>
      <c r="D14" s="14"/>
      <c r="E14" s="12" t="s">
        <v>5</v>
      </c>
      <c r="F14" s="12"/>
      <c r="G14" s="12"/>
      <c r="H14" s="12" t="s">
        <v>5</v>
      </c>
      <c r="I14" s="12" t="s">
        <v>14</v>
      </c>
      <c r="J14" s="12" t="s">
        <v>5</v>
      </c>
      <c r="K14" s="12" t="s">
        <v>14</v>
      </c>
    </row>
    <row r="15" ht="12.75">
      <c r="A15" s="29"/>
    </row>
    <row r="16" spans="1:11" ht="12.75">
      <c r="A16" s="29">
        <v>1</v>
      </c>
      <c r="B16" s="25" t="s">
        <v>15</v>
      </c>
      <c r="E16" s="25" t="s">
        <v>16</v>
      </c>
      <c r="F16" s="30">
        <v>0.05109314</v>
      </c>
      <c r="G16" s="30">
        <v>0.755366</v>
      </c>
      <c r="H16" s="38">
        <v>-5854</v>
      </c>
      <c r="I16" s="3">
        <f>H16*(1-F16)*G16</f>
        <v>-4195.9831662997885</v>
      </c>
      <c r="J16" s="39"/>
      <c r="K16" s="40"/>
    </row>
    <row r="17" spans="1:11" ht="12.75">
      <c r="A17" s="29">
        <f aca="true" t="shared" si="0" ref="A17:A50">+A16+1</f>
        <v>2</v>
      </c>
      <c r="H17" s="1"/>
      <c r="I17" s="1"/>
      <c r="J17" s="39"/>
      <c r="K17" s="39"/>
    </row>
    <row r="18" spans="1:11" ht="12.75">
      <c r="A18" s="29">
        <f t="shared" si="0"/>
        <v>3</v>
      </c>
      <c r="B18" s="25" t="s">
        <v>17</v>
      </c>
      <c r="E18" s="25" t="s">
        <v>18</v>
      </c>
      <c r="F18" s="30">
        <v>0.03791622</v>
      </c>
      <c r="G18" s="30">
        <v>0.75722801</v>
      </c>
      <c r="H18" s="38">
        <f>H28/1000</f>
        <v>-48408.001925037905</v>
      </c>
      <c r="I18" s="3">
        <f>H18*(1-F18)*G18</f>
        <v>-35266.04198795349</v>
      </c>
      <c r="J18" s="39"/>
      <c r="K18" s="41">
        <f>+K28</f>
        <v>-34434.722366445705</v>
      </c>
    </row>
    <row r="19" spans="1:11" ht="12.75">
      <c r="A19" s="29">
        <f t="shared" si="0"/>
        <v>4</v>
      </c>
      <c r="H19" s="1"/>
      <c r="I19" s="1"/>
      <c r="J19" s="39"/>
      <c r="K19" s="39"/>
    </row>
    <row r="20" spans="1:13" ht="12.75">
      <c r="A20" s="29">
        <f t="shared" si="0"/>
        <v>5</v>
      </c>
      <c r="B20" s="25" t="s">
        <v>51</v>
      </c>
      <c r="E20" s="25" t="s">
        <v>19</v>
      </c>
      <c r="H20" s="1"/>
      <c r="I20" s="38">
        <f>+I40</f>
        <v>3970.7097770407404</v>
      </c>
      <c r="J20" s="40"/>
      <c r="K20" s="3"/>
      <c r="M20" s="31"/>
    </row>
    <row r="21" spans="1:11" ht="12.75">
      <c r="A21" s="29">
        <f t="shared" si="0"/>
        <v>6</v>
      </c>
      <c r="H21" s="1"/>
      <c r="I21" s="3"/>
      <c r="J21" s="39"/>
      <c r="K21" s="3"/>
    </row>
    <row r="22" spans="1:11" ht="12.75">
      <c r="A22" s="29">
        <f t="shared" si="0"/>
        <v>7</v>
      </c>
      <c r="B22" s="25" t="s">
        <v>20</v>
      </c>
      <c r="E22" s="32" t="s">
        <v>21</v>
      </c>
      <c r="F22" s="30">
        <v>0.02545418</v>
      </c>
      <c r="G22" s="30">
        <v>0.74943456</v>
      </c>
      <c r="H22" s="38">
        <f>+H47/1000</f>
        <v>-2282.2250283724666</v>
      </c>
      <c r="I22" s="3">
        <f>H22*(1-F22)*G22</f>
        <v>-1666.8420325895072</v>
      </c>
      <c r="J22" s="39"/>
      <c r="K22" s="3"/>
    </row>
    <row r="23" spans="1:8" ht="12.75">
      <c r="A23" s="29">
        <f t="shared" si="0"/>
        <v>8</v>
      </c>
      <c r="E23" s="32"/>
      <c r="F23" s="32"/>
      <c r="G23" s="32"/>
      <c r="H23" s="33"/>
    </row>
    <row r="24" spans="1:11" ht="12.75">
      <c r="A24" s="29">
        <f t="shared" si="0"/>
        <v>9</v>
      </c>
      <c r="H24" s="2" t="s">
        <v>4</v>
      </c>
      <c r="I24" s="20" t="s">
        <v>4</v>
      </c>
      <c r="J24" s="22" t="s">
        <v>35</v>
      </c>
      <c r="K24" s="22" t="s">
        <v>35</v>
      </c>
    </row>
    <row r="25" spans="1:11" ht="12.75">
      <c r="A25" s="29">
        <f t="shared" si="0"/>
        <v>10</v>
      </c>
      <c r="D25" s="25" t="s">
        <v>17</v>
      </c>
      <c r="E25" s="25" t="s">
        <v>23</v>
      </c>
      <c r="H25" s="35">
        <v>-19608795.4250379</v>
      </c>
      <c r="I25" s="43"/>
      <c r="J25" s="35">
        <v>-19608795.4250379</v>
      </c>
      <c r="K25" s="43"/>
    </row>
    <row r="26" spans="1:11" ht="12.75">
      <c r="A26" s="29">
        <f t="shared" si="0"/>
        <v>11</v>
      </c>
      <c r="E26" s="25" t="s">
        <v>24</v>
      </c>
      <c r="H26" s="35">
        <v>-28799206.5</v>
      </c>
      <c r="I26" s="43"/>
      <c r="J26" s="35">
        <v>-28799206.5</v>
      </c>
      <c r="K26" s="43"/>
    </row>
    <row r="27" spans="1:11" ht="12.75">
      <c r="A27" s="29">
        <f t="shared" si="0"/>
        <v>12</v>
      </c>
      <c r="E27" s="34" t="s">
        <v>25</v>
      </c>
      <c r="F27" s="34"/>
      <c r="G27" s="34"/>
      <c r="H27" s="44"/>
      <c r="I27" s="45"/>
      <c r="J27" s="48">
        <f>2282225.02837247/2</f>
        <v>1141112.514186235</v>
      </c>
      <c r="K27" s="45"/>
    </row>
    <row r="28" spans="1:11" ht="12.75">
      <c r="A28" s="29">
        <f t="shared" si="0"/>
        <v>13</v>
      </c>
      <c r="H28" s="46">
        <f>H25+H26+H27</f>
        <v>-48408001.925037906</v>
      </c>
      <c r="I28" s="16">
        <f>(H28*(1-$F$18)*$G$18)/1000</f>
        <v>-35266.04198795349</v>
      </c>
      <c r="J28" s="46">
        <f>J25+J26+J27</f>
        <v>-47266889.41085167</v>
      </c>
      <c r="K28" s="15">
        <f>(J28*(1-$F$18)*$G$18)/1000</f>
        <v>-34434.722366445705</v>
      </c>
    </row>
    <row r="29" spans="1:11" ht="12.75">
      <c r="A29" s="29">
        <f t="shared" si="0"/>
        <v>14</v>
      </c>
      <c r="D29" s="25" t="s">
        <v>27</v>
      </c>
      <c r="H29" s="35"/>
      <c r="I29" s="16"/>
      <c r="J29" s="35"/>
      <c r="K29" s="16"/>
    </row>
    <row r="30" spans="1:11" ht="12.75">
      <c r="A30" s="29">
        <f t="shared" si="0"/>
        <v>15</v>
      </c>
      <c r="H30" s="35"/>
      <c r="I30" s="16"/>
      <c r="J30" s="35"/>
      <c r="K30" s="16"/>
    </row>
    <row r="31" spans="1:11" ht="12.75">
      <c r="A31" s="29">
        <f t="shared" si="0"/>
        <v>16</v>
      </c>
      <c r="E31" s="25" t="s">
        <v>23</v>
      </c>
      <c r="H31" s="35">
        <v>-19608795.4250379</v>
      </c>
      <c r="I31" s="16"/>
      <c r="J31" s="55"/>
      <c r="K31" s="37"/>
    </row>
    <row r="32" spans="1:11" ht="12.75">
      <c r="A32" s="29">
        <f t="shared" si="0"/>
        <v>17</v>
      </c>
      <c r="E32" s="25" t="s">
        <v>24</v>
      </c>
      <c r="H32" s="35">
        <v>-28799206.5</v>
      </c>
      <c r="I32" s="16"/>
      <c r="J32" s="55"/>
      <c r="K32" s="37"/>
    </row>
    <row r="33" spans="1:11" ht="12.75">
      <c r="A33" s="29">
        <f t="shared" si="0"/>
        <v>18</v>
      </c>
      <c r="E33" s="34" t="s">
        <v>25</v>
      </c>
      <c r="F33" s="34"/>
      <c r="G33" s="34"/>
      <c r="H33" s="44"/>
      <c r="I33" s="16"/>
      <c r="J33" s="55"/>
      <c r="K33" s="37"/>
    </row>
    <row r="34" spans="1:11" ht="12.75">
      <c r="A34" s="29">
        <f t="shared" si="0"/>
        <v>19</v>
      </c>
      <c r="H34" s="46">
        <f>SUM(H31:H33)</f>
        <v>-48408001.925037906</v>
      </c>
      <c r="I34" s="16"/>
      <c r="J34" s="57"/>
      <c r="K34" s="37"/>
    </row>
    <row r="35" spans="1:11" ht="12.75">
      <c r="A35" s="29">
        <f t="shared" si="0"/>
        <v>20</v>
      </c>
      <c r="E35" s="25" t="s">
        <v>33</v>
      </c>
      <c r="H35" s="46"/>
      <c r="I35" s="16"/>
      <c r="J35" s="57"/>
      <c r="K35" s="37"/>
    </row>
    <row r="36" spans="1:11" ht="12.75">
      <c r="A36" s="29">
        <f t="shared" si="0"/>
        <v>21</v>
      </c>
      <c r="E36" s="25" t="s">
        <v>52</v>
      </c>
      <c r="H36" s="35">
        <f>H34*0.11</f>
        <v>-5324880.211754169</v>
      </c>
      <c r="I36" s="16">
        <f>(-H36*(1-$F$18)*$G$18)/1000</f>
        <v>3879.2646186748834</v>
      </c>
      <c r="J36" s="55"/>
      <c r="K36" s="37"/>
    </row>
    <row r="37" spans="1:11" ht="12.75">
      <c r="A37" s="29">
        <f t="shared" si="0"/>
        <v>22</v>
      </c>
      <c r="H37" s="35"/>
      <c r="I37" s="16"/>
      <c r="J37" s="55"/>
      <c r="K37" s="37"/>
    </row>
    <row r="38" spans="1:11" ht="12.75">
      <c r="A38" s="29">
        <f t="shared" si="0"/>
        <v>23</v>
      </c>
      <c r="E38" s="25" t="s">
        <v>34</v>
      </c>
      <c r="H38" s="35">
        <f>+H47/2</f>
        <v>-1141112.5141862333</v>
      </c>
      <c r="I38" s="16"/>
      <c r="J38" s="55"/>
      <c r="K38" s="37"/>
    </row>
    <row r="39" spans="1:11" ht="12.75">
      <c r="A39" s="29">
        <f t="shared" si="0"/>
        <v>24</v>
      </c>
      <c r="E39" s="25" t="s">
        <v>52</v>
      </c>
      <c r="H39" s="35">
        <f>+H38*0.11</f>
        <v>-125522.37656048566</v>
      </c>
      <c r="I39" s="21">
        <f>(-H39*(1-$F$18)*$G$18)/1000</f>
        <v>91.44515836585688</v>
      </c>
      <c r="J39" s="55"/>
      <c r="K39" s="37"/>
    </row>
    <row r="40" spans="1:11" ht="12.75">
      <c r="A40" s="29">
        <f t="shared" si="0"/>
        <v>25</v>
      </c>
      <c r="H40" s="35"/>
      <c r="I40" s="16">
        <f>SUM(I36:I39)</f>
        <v>3970.7097770407404</v>
      </c>
      <c r="J40" s="55"/>
      <c r="K40" s="37"/>
    </row>
    <row r="41" spans="1:11" ht="12.75">
      <c r="A41" s="29">
        <f t="shared" si="0"/>
        <v>26</v>
      </c>
      <c r="H41" s="42"/>
      <c r="I41" s="43"/>
      <c r="J41" s="58"/>
      <c r="K41" s="56"/>
    </row>
    <row r="42" spans="1:11" ht="12.75">
      <c r="A42" s="29">
        <f t="shared" si="0"/>
        <v>27</v>
      </c>
      <c r="D42" s="25" t="s">
        <v>20</v>
      </c>
      <c r="E42" s="25" t="s">
        <v>22</v>
      </c>
      <c r="H42" s="46">
        <v>159904009.1439218</v>
      </c>
      <c r="I42" s="16"/>
      <c r="J42" s="57"/>
      <c r="K42" s="37"/>
    </row>
    <row r="43" spans="1:11" ht="12.75">
      <c r="A43" s="29">
        <f t="shared" si="0"/>
        <v>28</v>
      </c>
      <c r="E43" s="25" t="s">
        <v>32</v>
      </c>
      <c r="H43" s="35">
        <v>162186234.17229426</v>
      </c>
      <c r="I43" s="43"/>
      <c r="J43" s="55"/>
      <c r="K43" s="56"/>
    </row>
    <row r="44" spans="1:11" ht="12.75">
      <c r="A44" s="29">
        <f t="shared" si="0"/>
        <v>29</v>
      </c>
      <c r="E44" s="25" t="s">
        <v>28</v>
      </c>
      <c r="H44" s="47"/>
      <c r="I44" s="43"/>
      <c r="J44" s="59"/>
      <c r="K44" s="56"/>
    </row>
    <row r="45" spans="1:11" ht="12.75">
      <c r="A45" s="29">
        <f t="shared" si="0"/>
        <v>30</v>
      </c>
      <c r="E45" s="25" t="s">
        <v>29</v>
      </c>
      <c r="H45" s="47"/>
      <c r="I45" s="43"/>
      <c r="J45" s="59"/>
      <c r="K45" s="56"/>
    </row>
    <row r="46" spans="1:11" ht="12.75">
      <c r="A46" s="29">
        <f t="shared" si="0"/>
        <v>31</v>
      </c>
      <c r="E46" s="25" t="s">
        <v>30</v>
      </c>
      <c r="H46" s="45"/>
      <c r="I46" s="45"/>
      <c r="J46" s="56"/>
      <c r="K46" s="56"/>
    </row>
    <row r="47" spans="1:11" ht="12.75">
      <c r="A47" s="29">
        <f t="shared" si="0"/>
        <v>32</v>
      </c>
      <c r="E47" s="25" t="s">
        <v>31</v>
      </c>
      <c r="H47" s="46">
        <f>+H42-H43</f>
        <v>-2282225.0283724666</v>
      </c>
      <c r="I47" s="16">
        <f>(H47*(1-$F$22)*$G$22)/1000</f>
        <v>-1666.842032589507</v>
      </c>
      <c r="J47" s="57"/>
      <c r="K47" s="37"/>
    </row>
    <row r="48" ht="12.75">
      <c r="A48" s="29">
        <f t="shared" si="0"/>
        <v>33</v>
      </c>
    </row>
    <row r="49" ht="12.75">
      <c r="A49" s="29">
        <f t="shared" si="0"/>
        <v>34</v>
      </c>
    </row>
    <row r="50" ht="12.75">
      <c r="A50" s="29">
        <f t="shared" si="0"/>
        <v>35</v>
      </c>
    </row>
  </sheetData>
  <mergeCells count="2">
    <mergeCell ref="A8:I9"/>
    <mergeCell ref="B7:D7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Verizon</dc:creator>
  <cp:keywords/>
  <dc:description/>
  <cp:lastModifiedBy>temp</cp:lastModifiedBy>
  <cp:lastPrinted>2005-01-31T16:59:57Z</cp:lastPrinted>
  <dcterms:created xsi:type="dcterms:W3CDTF">2003-12-19T18:45:24Z</dcterms:created>
  <dcterms:modified xsi:type="dcterms:W3CDTF">2005-01-31T17:00:58Z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2005-02-02T00:00:00Z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