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JEANNE\Allocation Factors\Idaho Allocation Info\2018 Data for 2017\PT Ratio\"/>
    </mc:Choice>
  </mc:AlternateContent>
  <bookViews>
    <workbookView xWindow="120" yWindow="36" windowWidth="15180" windowHeight="9096"/>
  </bookViews>
  <sheets>
    <sheet name="PT Ratio with 2018 Data" sheetId="2" r:id="rId1"/>
    <sheet name="WA Adjustments" sheetId="1" r:id="rId2"/>
    <sheet name="ID Adjustment" sheetId="9" r:id="rId3"/>
    <sheet name="Sheet1" sheetId="12" r:id="rId4"/>
    <sheet name="PrevYr" sheetId="10" state="hidden" r:id="rId5"/>
    <sheet name="Difference" sheetId="11" state="hidden" r:id="rId6"/>
  </sheets>
  <externalReferences>
    <externalReference r:id="rId7"/>
  </externalReferences>
  <definedNames>
    <definedName name="_xlnm.Print_Area" localSheetId="0">'PT Ratio with 2018 Data'!$A$1:$F$48</definedName>
    <definedName name="_xlnm.Print_Titles" localSheetId="0">'PT Ratio with 2018 Data'!$A:$C</definedName>
    <definedName name="PTRATIO">'PT Ratio with 2018 Data'!$A$1:$F$44</definedName>
  </definedNames>
  <calcPr calcId="152511"/>
</workbook>
</file>

<file path=xl/calcChain.xml><?xml version="1.0" encoding="utf-8"?>
<calcChain xmlns="http://schemas.openxmlformats.org/spreadsheetml/2006/main">
  <c r="D35" i="2" l="1"/>
  <c r="D17" i="2"/>
  <c r="J27" i="1" l="1"/>
  <c r="H27" i="1"/>
  <c r="G27" i="1"/>
  <c r="E27" i="1"/>
  <c r="D27" i="1"/>
  <c r="C27" i="1"/>
  <c r="K23" i="1" l="1"/>
  <c r="K22" i="1"/>
  <c r="K21" i="1"/>
  <c r="K20" i="1"/>
  <c r="K19" i="1"/>
  <c r="K18" i="1"/>
  <c r="K17" i="1"/>
  <c r="K16" i="1"/>
  <c r="K15" i="1"/>
  <c r="K14" i="1"/>
  <c r="K13" i="1"/>
  <c r="D29" i="11" l="1"/>
  <c r="E28" i="11"/>
  <c r="E22" i="11"/>
  <c r="E12" i="11"/>
  <c r="D12" i="11"/>
  <c r="E8" i="11"/>
  <c r="E21" i="11" s="1"/>
  <c r="D8" i="11"/>
  <c r="D21" i="11" s="1"/>
  <c r="B32" i="11"/>
  <c r="B30" i="11"/>
  <c r="B27" i="11"/>
  <c r="B25" i="11"/>
  <c r="B23" i="11"/>
  <c r="A4" i="11"/>
  <c r="F1" i="11"/>
  <c r="B32" i="10"/>
  <c r="B30" i="10"/>
  <c r="E29" i="10"/>
  <c r="F29" i="10" s="1"/>
  <c r="D28" i="10"/>
  <c r="F28" i="10" s="1"/>
  <c r="E27" i="10"/>
  <c r="D27" i="10"/>
  <c r="B27" i="10"/>
  <c r="B25" i="10"/>
  <c r="B23" i="10"/>
  <c r="F22" i="10"/>
  <c r="E21" i="10"/>
  <c r="E23" i="10" s="1"/>
  <c r="D21" i="10"/>
  <c r="F12" i="10"/>
  <c r="E14" i="10" s="1"/>
  <c r="F8" i="10"/>
  <c r="E10" i="10" s="1"/>
  <c r="A4" i="10"/>
  <c r="A3" i="10"/>
  <c r="F1" i="10"/>
  <c r="F8" i="2"/>
  <c r="D10" i="2" s="1"/>
  <c r="F12" i="2"/>
  <c r="E14" i="2" s="1"/>
  <c r="E14" i="11" s="1"/>
  <c r="C26" i="9"/>
  <c r="J26" i="1"/>
  <c r="H26" i="1"/>
  <c r="G26" i="1"/>
  <c r="F26" i="1"/>
  <c r="F27" i="1" s="1"/>
  <c r="E26" i="1"/>
  <c r="D26" i="1"/>
  <c r="C26" i="1"/>
  <c r="B27" i="2"/>
  <c r="K24" i="1"/>
  <c r="D27" i="2"/>
  <c r="D27" i="11" s="1"/>
  <c r="E27" i="2"/>
  <c r="E27" i="11" s="1"/>
  <c r="D21" i="2"/>
  <c r="D23" i="2" s="1"/>
  <c r="E21" i="2"/>
  <c r="E23" i="2" s="1"/>
  <c r="F22" i="2"/>
  <c r="A3" i="2"/>
  <c r="B23" i="2"/>
  <c r="B25" i="2"/>
  <c r="B30" i="2"/>
  <c r="B32" i="2"/>
  <c r="A4" i="9"/>
  <c r="A5" i="9"/>
  <c r="A5" i="1"/>
  <c r="I26" i="1"/>
  <c r="I27" i="1" s="1"/>
  <c r="E17" i="10" l="1"/>
  <c r="F21" i="10"/>
  <c r="F23" i="10" s="1"/>
  <c r="E30" i="10"/>
  <c r="D30" i="10"/>
  <c r="E10" i="2"/>
  <c r="E10" i="11" s="1"/>
  <c r="E23" i="11"/>
  <c r="E29" i="2"/>
  <c r="F29" i="2" s="1"/>
  <c r="F27" i="2"/>
  <c r="D14" i="2"/>
  <c r="F12" i="11"/>
  <c r="F21" i="11"/>
  <c r="F22" i="11"/>
  <c r="F8" i="11"/>
  <c r="D23" i="11"/>
  <c r="F27" i="11"/>
  <c r="D10" i="10"/>
  <c r="D10" i="11" s="1"/>
  <c r="D23" i="10"/>
  <c r="E25" i="10"/>
  <c r="D25" i="10"/>
  <c r="D14" i="10"/>
  <c r="F14" i="10" s="1"/>
  <c r="F15" i="10" s="1"/>
  <c r="F27" i="10"/>
  <c r="F30" i="10" s="1"/>
  <c r="K26" i="1"/>
  <c r="D28" i="2" s="1"/>
  <c r="F21" i="2"/>
  <c r="F23" i="2" s="1"/>
  <c r="E25" i="2" s="1"/>
  <c r="E25" i="11" s="1"/>
  <c r="E32" i="10" l="1"/>
  <c r="E35" i="10" s="1"/>
  <c r="F10" i="10"/>
  <c r="F11" i="10" s="1"/>
  <c r="E17" i="2"/>
  <c r="E17" i="11" s="1"/>
  <c r="F10" i="2"/>
  <c r="F11" i="2" s="1"/>
  <c r="D14" i="11"/>
  <c r="D17" i="11"/>
  <c r="F23" i="11"/>
  <c r="E30" i="2"/>
  <c r="E29" i="11"/>
  <c r="F29" i="11" s="1"/>
  <c r="F14" i="2"/>
  <c r="F14" i="11" s="1"/>
  <c r="F28" i="2"/>
  <c r="F30" i="2" s="1"/>
  <c r="D28" i="11"/>
  <c r="D17" i="10"/>
  <c r="F17" i="10" s="1"/>
  <c r="F18" i="10" s="1"/>
  <c r="D32" i="10"/>
  <c r="F32" i="10" s="1"/>
  <c r="F33" i="10" s="1"/>
  <c r="F25" i="10"/>
  <c r="F26" i="10" s="1"/>
  <c r="D30" i="2"/>
  <c r="D25" i="2"/>
  <c r="F10" i="11" l="1"/>
  <c r="F17" i="11"/>
  <c r="D35" i="10"/>
  <c r="F35" i="10" s="1"/>
  <c r="F15" i="2"/>
  <c r="E32" i="2"/>
  <c r="E32" i="11" s="1"/>
  <c r="E30" i="11"/>
  <c r="F17" i="2"/>
  <c r="F18" i="2" s="1"/>
  <c r="D25" i="11"/>
  <c r="F25" i="11" s="1"/>
  <c r="D32" i="2"/>
  <c r="F28" i="11"/>
  <c r="F30" i="11" s="1"/>
  <c r="D30" i="11"/>
  <c r="F25" i="2"/>
  <c r="F26" i="2" s="1"/>
  <c r="E35" i="2" l="1"/>
  <c r="E35" i="11" s="1"/>
  <c r="D32" i="11"/>
  <c r="F32" i="11" s="1"/>
  <c r="D35" i="11"/>
  <c r="F32" i="2"/>
  <c r="F33" i="2" s="1"/>
  <c r="F35" i="11" l="1"/>
  <c r="F35" i="2"/>
</calcChain>
</file>

<file path=xl/comments1.xml><?xml version="1.0" encoding="utf-8"?>
<comments xmlns="http://schemas.openxmlformats.org/spreadsheetml/2006/main">
  <authors>
    <author>rzs589</author>
  </authors>
  <commentList>
    <comment ref="D8" authorId="0" shapeId="0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From Page 9 of Rate Program</t>
        </r>
      </text>
    </comment>
    <comment ref="E8" authorId="0" shapeId="0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From Page 9
 of Rate Program</t>
        </r>
      </text>
    </comment>
    <comment ref="D12" authorId="0" shapeId="0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From Page 8 of Rate Program</t>
        </r>
      </text>
    </comment>
    <comment ref="E12" authorId="0" shapeId="0">
      <text>
        <r>
          <rPr>
            <b/>
            <sz val="8"/>
            <color indexed="81"/>
            <rFont val="Tahoma"/>
            <family val="2"/>
          </rPr>
          <t>rzs589:</t>
        </r>
        <r>
          <rPr>
            <sz val="8"/>
            <color indexed="81"/>
            <rFont val="Tahoma"/>
            <family val="2"/>
          </rPr>
          <t xml:space="preserve">
From Page 8 of Rate Program</t>
        </r>
      </text>
    </comment>
    <comment ref="E22" authorId="0" shapeId="0">
      <text>
        <r>
          <rPr>
            <sz val="8"/>
            <color indexed="81"/>
            <rFont val="Tahoma"/>
            <family val="2"/>
          </rPr>
          <t>This comes from a worksheet that is used for the PCA journal.  It is the kWhs purchased from Clearwater Paper (Potlatch).</t>
        </r>
      </text>
    </comment>
  </commentList>
</comments>
</file>

<file path=xl/comments2.xml><?xml version="1.0" encoding="utf-8"?>
<comments xmlns="http://schemas.openxmlformats.org/spreadsheetml/2006/main">
  <authors>
    <author>rzs589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from "Calculation of Area load By States", Idaho Generation, Clearwater - Total Generation</t>
        </r>
      </text>
    </comment>
  </commentList>
</comments>
</file>

<file path=xl/comments3.xml><?xml version="1.0" encoding="utf-8"?>
<comments xmlns="http://schemas.openxmlformats.org/spreadsheetml/2006/main">
  <authors>
    <author>rzs589</author>
  </authors>
  <commentList>
    <comment ref="E22" authorId="0" shapeId="0">
      <text>
        <r>
          <rPr>
            <sz val="8"/>
            <color indexed="81"/>
            <rFont val="Tahoma"/>
            <family val="2"/>
          </rPr>
          <t>This comes from a worksheet Tara prepares that shows the purchases from Potlatch</t>
        </r>
      </text>
    </comment>
  </commentList>
</comments>
</file>

<file path=xl/sharedStrings.xml><?xml version="1.0" encoding="utf-8"?>
<sst xmlns="http://schemas.openxmlformats.org/spreadsheetml/2006/main" count="146" uniqueCount="82">
  <si>
    <t>Kaiser</t>
  </si>
  <si>
    <t>Total</t>
  </si>
  <si>
    <t>Trentwood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</si>
  <si>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</si>
  <si>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</si>
  <si>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</si>
  <si>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</si>
  <si>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</si>
  <si>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</si>
  <si>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</si>
  <si>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</si>
  <si>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</si>
  <si>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</si>
  <si>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</si>
  <si>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</si>
  <si>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Washington</t>
  </si>
  <si>
    <t>Idaho</t>
  </si>
  <si>
    <t>Energy Retail Sales Percentage</t>
  </si>
  <si>
    <t>MW's Peak Percentage</t>
  </si>
  <si>
    <t>Final Grand Summary - Allocation of Load by</t>
  </si>
  <si>
    <t>Jurisdiction (Based on 50/50 Weighing)</t>
  </si>
  <si>
    <t>Energy Retail Sales (MWH)</t>
  </si>
  <si>
    <t>Adjusted Production Transmission Jurisdiction</t>
  </si>
  <si>
    <t>(Based on 50/50 Weighing)</t>
  </si>
  <si>
    <t>CC/</t>
  </si>
  <si>
    <t>Production/Transmission Percentage</t>
  </si>
  <si>
    <t>(Usk-BPA)</t>
  </si>
  <si>
    <t>(Newport-BPA)</t>
  </si>
  <si>
    <t>(Box Canyon</t>
  </si>
  <si>
    <t xml:space="preserve"> - BPA)</t>
  </si>
  <si>
    <t>(Metaline</t>
  </si>
  <si>
    <t>Falls - BPA)</t>
  </si>
  <si>
    <t>(Diamond</t>
  </si>
  <si>
    <t>Lake - BPA)</t>
  </si>
  <si>
    <t>Box</t>
  </si>
  <si>
    <t>Canyon</t>
  </si>
  <si>
    <t>PPUD</t>
  </si>
  <si>
    <t>Avista Utilities</t>
  </si>
  <si>
    <t>Pend Oreille</t>
  </si>
  <si>
    <t>PUD</t>
  </si>
  <si>
    <t>(A)</t>
  </si>
  <si>
    <t>Note A - The Power Supply worksheet shows this as a debit but since it is generation it should be a credit (per Rick Lloyd)</t>
  </si>
  <si>
    <t>Note B - This adjustment is needed since Kaiser/Pend Oreille PUD are not retail customers</t>
  </si>
  <si>
    <t>Note C - Information comes from Power Supply's Calculation of Area Load By States (MW)</t>
  </si>
  <si>
    <t>(Addback)</t>
  </si>
  <si>
    <t>(D)</t>
  </si>
  <si>
    <t>Note D - This relates to Pend Oreille PUD, added back in to match credit going out</t>
  </si>
  <si>
    <t>Pend Oreille PUD/Kaiser Adjustment</t>
  </si>
  <si>
    <t>Less: Adjustments to Washington Load (Note 1)</t>
  </si>
  <si>
    <t>Adjustments to Washington Peak</t>
  </si>
  <si>
    <t>Adjustments to Idaho Peak</t>
  </si>
  <si>
    <t>Generation</t>
  </si>
  <si>
    <t>Less: Adjustments to Idaho Load (Note 2)</t>
  </si>
  <si>
    <t>Note 1</t>
  </si>
  <si>
    <t>Note 2</t>
  </si>
  <si>
    <t>Less: Adjustments to Idaho Load  (Note 2)</t>
  </si>
  <si>
    <t>Tara Knox (attachments)</t>
  </si>
  <si>
    <t>that is directly assigned to Idaho</t>
  </si>
  <si>
    <t>Adjusted Jurisdictional Allocation</t>
  </si>
  <si>
    <t>Adjusted Production/Transmission Percentage</t>
  </si>
  <si>
    <t>MW's Peak (Retail + Adjustments)</t>
  </si>
  <si>
    <t>Actual Jurisdictional Allocation (12/31/08)</t>
  </si>
  <si>
    <t>Clearwater Paper (Potlatch) Adjustment for purchased generation</t>
  </si>
  <si>
    <t>Pine PUD</t>
  </si>
  <si>
    <t>Rathdrum</t>
  </si>
  <si>
    <t>(BPA)</t>
  </si>
  <si>
    <t>Actual Jurisdictional Allocation</t>
  </si>
  <si>
    <t>Difference Between Current and Prior Years</t>
  </si>
  <si>
    <t>Karen Schuh</t>
  </si>
  <si>
    <t>Liz Andrews</t>
  </si>
  <si>
    <t>Cheryl Kettner attachments</t>
  </si>
  <si>
    <t>Tim Murphy</t>
  </si>
  <si>
    <t>Clearwater</t>
  </si>
  <si>
    <t xml:space="preserve">Less: Adjustments to Idaho Load </t>
  </si>
  <si>
    <t xml:space="preserve">Clearwater Paper Adjustment </t>
  </si>
  <si>
    <t>Christine Machado</t>
  </si>
  <si>
    <t>Keri Meister</t>
  </si>
  <si>
    <t>Jenny McCauley</t>
  </si>
  <si>
    <t>Ryan Finesilver</t>
  </si>
  <si>
    <t>Zachary Tyree</t>
  </si>
  <si>
    <t>12 Months Ended 12/31/18</t>
  </si>
  <si>
    <t>Actual Jurisdictional Allocation (12/31/18)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</si>
</sst>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m\/dd\/yy_)"/>
    <numFmt numFmtId="165" formatCode="0.000%"/>
  </numFmts>
  <fonts count="7" x14ac:knownFonts="1">
    <font>
      <sz val="12"/>
      <name val="Helv"/>
    </font>
    <font>
      <sz val="12"/>
      <color indexed="12"/>
      <name val="Helv"/>
    </font>
    <font>
      <sz val="12"/>
      <color indexed="8"/>
      <name val="Helv"/>
    </font>
    <font>
      <b/>
      <sz val="12"/>
      <name val="Helv"/>
    </font>
    <font>
      <sz val="12"/>
      <name val="Helv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37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4">
    <xf numFmtId="37" fontId="0" fillId="0" borderId="0" xfId="0"/>
    <xf numFmtId="37" fontId="1" fillId="0" borderId="0" xfId="0" applyFont="1" applyProtection="1">
      <protection locked="0"/>
    </xf>
    <xf numFmtId="164" fontId="0" fillId="0" borderId="0" xfId="0" applyNumberFormat="1" applyProtection="1"/>
    <xf numFmtId="37" fontId="0" fillId="0" borderId="0" xfId="0" applyAlignment="1">
      <alignment horizontal="center"/>
    </xf>
    <xf numFmtId="37" fontId="1" fillId="0" borderId="0" xfId="0" applyFont="1"/>
    <xf numFmtId="37" fontId="0" fillId="0" borderId="1" xfId="0" applyBorder="1" applyAlignment="1">
      <alignment horizontal="center"/>
    </xf>
    <xf numFmtId="37" fontId="1" fillId="0" borderId="1" xfId="0" applyFont="1" applyBorder="1" applyProtection="1">
      <protection locked="0"/>
    </xf>
    <xf numFmtId="37" fontId="0" fillId="0" borderId="1" xfId="0" applyBorder="1"/>
    <xf numFmtId="10" fontId="0" fillId="0" borderId="2" xfId="0" applyNumberFormat="1" applyBorder="1" applyProtection="1"/>
    <xf numFmtId="37" fontId="0" fillId="0" borderId="2" xfId="0" applyBorder="1"/>
    <xf numFmtId="10" fontId="1" fillId="0" borderId="3" xfId="0" applyNumberFormat="1" applyFont="1" applyBorder="1" applyProtection="1">
      <protection locked="0"/>
    </xf>
    <xf numFmtId="10" fontId="0" fillId="0" borderId="4" xfId="0" applyNumberFormat="1" applyBorder="1" applyProtection="1"/>
    <xf numFmtId="10" fontId="0" fillId="0" borderId="5" xfId="0" applyNumberFormat="1" applyBorder="1" applyProtection="1"/>
    <xf numFmtId="37" fontId="2" fillId="0" borderId="0" xfId="0" applyFont="1" applyProtection="1">
      <protection locked="0"/>
    </xf>
    <xf numFmtId="37" fontId="0" fillId="0" borderId="6" xfId="0" applyBorder="1"/>
    <xf numFmtId="37" fontId="1" fillId="0" borderId="0" xfId="0" quotePrefix="1" applyFont="1"/>
    <xf numFmtId="37" fontId="3" fillId="0" borderId="0" xfId="0" applyFont="1"/>
    <xf numFmtId="37" fontId="1" fillId="0" borderId="0" xfId="0" quotePrefix="1" applyFont="1" applyAlignment="1">
      <alignment horizontal="center"/>
    </xf>
    <xf numFmtId="37" fontId="4" fillId="0" borderId="0" xfId="0" applyFont="1" applyProtection="1">
      <protection locked="0"/>
    </xf>
    <xf numFmtId="10" fontId="1" fillId="0" borderId="2" xfId="0" applyNumberFormat="1" applyFont="1" applyBorder="1" applyProtection="1"/>
    <xf numFmtId="37" fontId="0" fillId="0" borderId="0" xfId="0" applyFont="1" applyAlignment="1">
      <alignment horizontal="center"/>
    </xf>
    <xf numFmtId="165" fontId="1" fillId="0" borderId="0" xfId="1" applyNumberFormat="1" applyFont="1" applyProtection="1">
      <protection locked="0"/>
    </xf>
    <xf numFmtId="37" fontId="0" fillId="0" borderId="0" xfId="0" applyFill="1"/>
    <xf numFmtId="43" fontId="1" fillId="0" borderId="0" xfId="2" applyFon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AIG/roo/2010Allocators/PT-Ratio/2010PTRatio-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</sheetNames>
    <sheetDataSet>
      <sheetData sheetId="0">
        <row r="4">
          <cell r="A4" t="str">
            <v>12 Months Ended 12/31/09</v>
          </cell>
        </row>
        <row r="26">
          <cell r="K26">
            <v>-1800</v>
          </cell>
        </row>
      </sheetData>
      <sheetData sheetId="1">
        <row r="26">
          <cell r="C26">
            <v>639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3"/>
  <dimension ref="A1:F47"/>
  <sheetViews>
    <sheetView showZeros="0" tabSelected="1" zoomScaleNormal="100" zoomScaleSheetLayoutView="100" workbookViewId="0">
      <pane xSplit="3" ySplit="7" topLeftCell="D21" activePane="bottomRight" state="frozen"/>
      <selection pane="topRight" activeCell="D1" sqref="D1"/>
      <selection pane="bottomLeft" activeCell="A8" sqref="A8"/>
      <selection pane="bottomRight" activeCell="C39" sqref="C39"/>
    </sheetView>
  </sheetViews>
  <sheetFormatPr defaultColWidth="9.796875" defaultRowHeight="15.6" x14ac:dyDescent="0.35"/>
  <cols>
    <col min="1" max="1" width="1.796875" customWidth="1"/>
    <col min="2" max="2" width="4.796875" customWidth="1"/>
    <col min="3" max="3" width="41.796875" customWidth="1"/>
    <col min="4" max="6" width="11.796875" customWidth="1"/>
  </cols>
  <sheetData>
    <row r="1" spans="1:6" x14ac:dyDescent="0.35">
      <c r="A1" t="s">
        <v>37</v>
      </c>
      <c r="F1" s="2"/>
    </row>
    <row r="2" spans="1:6" x14ac:dyDescent="0.35">
      <c r="A2" t="s">
        <v>25</v>
      </c>
    </row>
    <row r="3" spans="1:6" x14ac:dyDescent="0.35">
      <c r="A3" s="13" t="str">
        <f>+'WA Adjustments'!A4</f>
        <v>12 Months Ended 12/31/18</v>
      </c>
    </row>
    <row r="6" spans="1:6" x14ac:dyDescent="0.35">
      <c r="D6" s="5" t="s">
        <v>15</v>
      </c>
      <c r="E6" s="5" t="s">
        <v>16</v>
      </c>
      <c r="F6" s="5" t="s">
        <v>1</v>
      </c>
    </row>
    <row r="7" spans="1:6" x14ac:dyDescent="0.35">
      <c r="A7" s="6" t="s">
        <v>81</v>
      </c>
      <c r="B7" s="7"/>
      <c r="C7" s="7"/>
    </row>
    <row r="8" spans="1:6" x14ac:dyDescent="0.35">
      <c r="B8" t="s">
        <v>21</v>
      </c>
      <c r="D8" s="1">
        <v>5557003</v>
      </c>
      <c r="E8" s="1">
        <v>2938621</v>
      </c>
      <c r="F8">
        <f>D8+E8</f>
        <v>8495624</v>
      </c>
    </row>
    <row r="10" spans="1:6" x14ac:dyDescent="0.35">
      <c r="B10" t="s">
        <v>17</v>
      </c>
      <c r="D10" s="8">
        <f>ROUND(D8/$F8,4)</f>
        <v>0.65410000000000001</v>
      </c>
      <c r="E10" s="8">
        <f>ROUND(E8/$F8,4)</f>
        <v>0.34589999999999999</v>
      </c>
      <c r="F10" s="8">
        <f>D10+E10</f>
        <v>1</v>
      </c>
    </row>
    <row r="11" spans="1:6" x14ac:dyDescent="0.35">
      <c r="F11" t="str">
        <f>IF(F10=1," ","Rounding Error")</f>
        <v xml:space="preserve"> </v>
      </c>
    </row>
    <row r="12" spans="1:6" x14ac:dyDescent="0.35">
      <c r="B12" t="s">
        <v>60</v>
      </c>
      <c r="D12" s="1">
        <v>12809</v>
      </c>
      <c r="E12" s="1">
        <v>6262</v>
      </c>
      <c r="F12">
        <f>D12+E12</f>
        <v>19071</v>
      </c>
    </row>
    <row r="14" spans="1:6" x14ac:dyDescent="0.35">
      <c r="B14" t="s">
        <v>18</v>
      </c>
      <c r="D14" s="8">
        <f>ROUND(D12/$F12,4)</f>
        <v>0.67159999999999997</v>
      </c>
      <c r="E14" s="8">
        <f>ROUND(E12/$F12,4)</f>
        <v>0.32840000000000003</v>
      </c>
      <c r="F14" s="8">
        <f>D14+E14</f>
        <v>1</v>
      </c>
    </row>
    <row r="15" spans="1:6" x14ac:dyDescent="0.35">
      <c r="F15" t="str">
        <f>IF(F14=1," ","Rounding Error")</f>
        <v xml:space="preserve"> </v>
      </c>
    </row>
    <row r="16" spans="1:6" x14ac:dyDescent="0.35">
      <c r="A16" t="s">
        <v>19</v>
      </c>
    </row>
    <row r="17" spans="1:6" x14ac:dyDescent="0.35">
      <c r="B17" t="s">
        <v>20</v>
      </c>
      <c r="D17" s="19">
        <f>ROUND((D10+D14)/2,4)-0.0001</f>
        <v>0.66280000000000006</v>
      </c>
      <c r="E17" s="8">
        <f>ROUND((E10+E14)/2,4)</f>
        <v>0.3372</v>
      </c>
      <c r="F17" s="8">
        <f>D17+E17</f>
        <v>1</v>
      </c>
    </row>
    <row r="18" spans="1:6" x14ac:dyDescent="0.35">
      <c r="F18" t="str">
        <f>IF(F17=1," ","Rounding Error")</f>
        <v xml:space="preserve"> </v>
      </c>
    </row>
    <row r="20" spans="1:6" x14ac:dyDescent="0.35">
      <c r="A20" s="7" t="s">
        <v>58</v>
      </c>
      <c r="B20" s="7"/>
      <c r="C20" s="7"/>
    </row>
    <row r="21" spans="1:6" x14ac:dyDescent="0.35">
      <c r="B21" t="s">
        <v>21</v>
      </c>
      <c r="D21">
        <f>D8</f>
        <v>5557003</v>
      </c>
      <c r="E21">
        <f>E8</f>
        <v>2938621</v>
      </c>
      <c r="F21">
        <f>D21+E21</f>
        <v>8495624</v>
      </c>
    </row>
    <row r="22" spans="1:6" x14ac:dyDescent="0.35">
      <c r="B22" t="s">
        <v>73</v>
      </c>
      <c r="E22" s="4">
        <v>0</v>
      </c>
      <c r="F22">
        <f>D22+E22</f>
        <v>0</v>
      </c>
    </row>
    <row r="23" spans="1:6" x14ac:dyDescent="0.35">
      <c r="B23" t="str">
        <f>B8</f>
        <v>Energy Retail Sales (MWH)</v>
      </c>
      <c r="D23" s="9">
        <f>D21+D22</f>
        <v>5557003</v>
      </c>
      <c r="E23" s="9">
        <f>E21+E22</f>
        <v>2938621</v>
      </c>
      <c r="F23" s="9">
        <f>F21+F22</f>
        <v>8495624</v>
      </c>
    </row>
    <row r="25" spans="1:6" x14ac:dyDescent="0.35">
      <c r="B25" t="str">
        <f>B10</f>
        <v>Energy Retail Sales Percentage</v>
      </c>
      <c r="D25" s="8">
        <f>ROUND(D23/$F23,4)</f>
        <v>0.65410000000000001</v>
      </c>
      <c r="E25" s="8">
        <f>ROUND(E23/$F23,4)</f>
        <v>0.34589999999999999</v>
      </c>
      <c r="F25" s="8">
        <f>D25+E25</f>
        <v>1</v>
      </c>
    </row>
    <row r="26" spans="1:6" x14ac:dyDescent="0.35">
      <c r="F26" t="str">
        <f>IF(F25=1," ","Rounding Error")</f>
        <v xml:space="preserve"> </v>
      </c>
    </row>
    <row r="27" spans="1:6" x14ac:dyDescent="0.35">
      <c r="B27" t="str">
        <f>+B12</f>
        <v>MW's Peak (Retail + Adjustments)</v>
      </c>
      <c r="D27">
        <f>D12</f>
        <v>12809</v>
      </c>
      <c r="E27">
        <f>E12</f>
        <v>6262</v>
      </c>
      <c r="F27">
        <f>D27+E27</f>
        <v>19071</v>
      </c>
    </row>
    <row r="28" spans="1:6" x14ac:dyDescent="0.35">
      <c r="B28" t="s">
        <v>48</v>
      </c>
      <c r="D28">
        <f>'WA Adjustments'!K26</f>
        <v>-1891</v>
      </c>
      <c r="F28">
        <f>D28+E28</f>
        <v>-1891</v>
      </c>
    </row>
    <row r="29" spans="1:6" x14ac:dyDescent="0.35">
      <c r="B29" t="s">
        <v>52</v>
      </c>
      <c r="E29">
        <f>-'ID Adjustment'!C26</f>
        <v>-478</v>
      </c>
      <c r="F29">
        <f>D29+E29</f>
        <v>-478</v>
      </c>
    </row>
    <row r="30" spans="1:6" x14ac:dyDescent="0.35">
      <c r="B30" t="str">
        <f>B12</f>
        <v>MW's Peak (Retail + Adjustments)</v>
      </c>
      <c r="D30" s="9">
        <f>SUM(D27:D29)</f>
        <v>10918</v>
      </c>
      <c r="E30" s="9">
        <f>SUM(E27:E29)</f>
        <v>5784</v>
      </c>
      <c r="F30" s="9">
        <f>SUM(F27:F29)</f>
        <v>16702</v>
      </c>
    </row>
    <row r="32" spans="1:6" x14ac:dyDescent="0.35">
      <c r="B32" t="str">
        <f>B14</f>
        <v>MW's Peak Percentage</v>
      </c>
      <c r="D32" s="8">
        <f>ROUND(D30/$F30,4)</f>
        <v>0.65369999999999995</v>
      </c>
      <c r="E32" s="8">
        <f>ROUND(E30/$F30,4)</f>
        <v>0.3463</v>
      </c>
      <c r="F32" s="8">
        <f>D32+E32</f>
        <v>1</v>
      </c>
    </row>
    <row r="33" spans="1:6" x14ac:dyDescent="0.35">
      <c r="F33" t="str">
        <f>IF(F32=1," ","Rounding Error")</f>
        <v xml:space="preserve"> </v>
      </c>
    </row>
    <row r="34" spans="1:6" x14ac:dyDescent="0.35">
      <c r="A34" t="s">
        <v>22</v>
      </c>
    </row>
    <row r="35" spans="1:6" x14ac:dyDescent="0.35">
      <c r="B35" t="s">
        <v>23</v>
      </c>
      <c r="D35" s="10">
        <f>ROUND((D25+D32)/2,4)-0</f>
        <v>0.65390000000000004</v>
      </c>
      <c r="E35" s="11">
        <f>ROUND((E25+E32)/2,4)</f>
        <v>0.34610000000000002</v>
      </c>
      <c r="F35" s="12">
        <f>D35+E35</f>
        <v>1</v>
      </c>
    </row>
    <row r="37" spans="1:6" x14ac:dyDescent="0.35">
      <c r="E37" s="16">
        <v>0</v>
      </c>
    </row>
    <row r="38" spans="1:6" x14ac:dyDescent="0.35">
      <c r="A38" t="s">
        <v>53</v>
      </c>
      <c r="C38" t="s">
        <v>47</v>
      </c>
    </row>
    <row r="39" spans="1:6" x14ac:dyDescent="0.35">
      <c r="A39" t="s">
        <v>54</v>
      </c>
      <c r="C39" t="s">
        <v>74</v>
      </c>
    </row>
    <row r="42" spans="1:6" x14ac:dyDescent="0.35">
      <c r="B42" t="s">
        <v>24</v>
      </c>
      <c r="C42" s="22" t="s">
        <v>78</v>
      </c>
      <c r="D42" s="22" t="s">
        <v>79</v>
      </c>
    </row>
    <row r="43" spans="1:6" x14ac:dyDescent="0.35">
      <c r="C43" t="s">
        <v>70</v>
      </c>
      <c r="D43" t="s">
        <v>56</v>
      </c>
    </row>
    <row r="44" spans="1:6" x14ac:dyDescent="0.35">
      <c r="C44" t="s">
        <v>75</v>
      </c>
      <c r="D44" t="s">
        <v>71</v>
      </c>
    </row>
    <row r="45" spans="1:6" x14ac:dyDescent="0.35">
      <c r="C45" t="s">
        <v>69</v>
      </c>
      <c r="D45" t="s">
        <v>68</v>
      </c>
    </row>
    <row r="46" spans="1:6" x14ac:dyDescent="0.35">
      <c r="D46" t="s">
        <v>76</v>
      </c>
    </row>
    <row r="47" spans="1:6" x14ac:dyDescent="0.35">
      <c r="D47" t="s">
        <v>77</v>
      </c>
    </row>
  </sheetData>
  <phoneticPr fontId="0" type="noConversion"/>
  <pageMargins left="0.5" right="0.5" top="0.75" bottom="0.55000000000000004" header="0.5" footer="0.5"/>
  <pageSetup scale="95" fitToWidth="3" orientation="portrait" r:id="rId1"/>
  <headerFooter alignWithMargins="0">
    <oddFooter>&amp;L&amp;F
&amp;A&amp;R
Prepared by: Jeanne Pluth
Completed: 1/22/2019</oddFooter>
  </headerFooter>
  <rowBreaks count="1" manualBreakCount="1">
    <brk id="4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>
    <pageSetUpPr fitToPage="1"/>
  </sheetPr>
  <dimension ref="A1:K34"/>
  <sheetViews>
    <sheetView showZeros="0" workbookViewId="0">
      <pane xSplit="2" ySplit="11" topLeftCell="C12" activePane="bottomRight" state="frozen"/>
      <selection activeCell="C39" sqref="C39"/>
      <selection pane="topRight" activeCell="C39" sqref="C39"/>
      <selection pane="bottomLeft" activeCell="C39" sqref="C39"/>
      <selection pane="bottomRight" activeCell="C39" sqref="C39"/>
    </sheetView>
  </sheetViews>
  <sheetFormatPr defaultColWidth="9.796875" defaultRowHeight="15.6" x14ac:dyDescent="0.35"/>
  <cols>
    <col min="1" max="1" width="4.796875" customWidth="1"/>
    <col min="2" max="2" width="4.8984375" customWidth="1"/>
    <col min="3" max="3" width="7" bestFit="1" customWidth="1"/>
    <col min="4" max="4" width="10.296875" bestFit="1" customWidth="1"/>
    <col min="6" max="6" width="10.3984375" bestFit="1" customWidth="1"/>
    <col min="7" max="7" width="12.796875" bestFit="1" customWidth="1"/>
    <col min="8" max="8" width="11" bestFit="1" customWidth="1"/>
    <col min="9" max="9" width="10.19921875" bestFit="1" customWidth="1"/>
    <col min="10" max="10" width="10.3984375" bestFit="1" customWidth="1"/>
  </cols>
  <sheetData>
    <row r="1" spans="1:11" x14ac:dyDescent="0.35">
      <c r="A1" t="s">
        <v>37</v>
      </c>
      <c r="F1" s="16"/>
    </row>
    <row r="2" spans="1:11" x14ac:dyDescent="0.35">
      <c r="A2" t="s">
        <v>59</v>
      </c>
    </row>
    <row r="3" spans="1:11" x14ac:dyDescent="0.35">
      <c r="A3" t="s">
        <v>49</v>
      </c>
    </row>
    <row r="4" spans="1:11" x14ac:dyDescent="0.35">
      <c r="A4" s="1" t="s">
        <v>80</v>
      </c>
      <c r="B4" s="1"/>
      <c r="C4" s="1"/>
      <c r="D4" s="1"/>
    </row>
    <row r="5" spans="1:11" x14ac:dyDescent="0.35">
      <c r="A5" t="str">
        <f ca="1">CELL("Filename",A1)</f>
        <v>M:\JEANNE\Allocation Factors\Idaho Allocation Info\2018 Data for 2017\PT Ratio\[2019 PTRatio-2018 Data.xlsx]WA Adjustments</v>
      </c>
    </row>
    <row r="8" spans="1:11" x14ac:dyDescent="0.35">
      <c r="C8" s="3" t="s">
        <v>34</v>
      </c>
      <c r="D8" s="3" t="s">
        <v>63</v>
      </c>
      <c r="E8" s="3" t="s">
        <v>0</v>
      </c>
      <c r="F8" s="3" t="s">
        <v>38</v>
      </c>
      <c r="G8" s="3" t="s">
        <v>38</v>
      </c>
      <c r="H8" s="3" t="s">
        <v>38</v>
      </c>
      <c r="I8" s="3" t="s">
        <v>38</v>
      </c>
      <c r="J8" s="3" t="s">
        <v>38</v>
      </c>
      <c r="K8" s="3" t="s">
        <v>1</v>
      </c>
    </row>
    <row r="9" spans="1:11" x14ac:dyDescent="0.35">
      <c r="C9" s="3" t="s">
        <v>35</v>
      </c>
      <c r="D9" s="3" t="s">
        <v>64</v>
      </c>
      <c r="E9" s="3" t="s">
        <v>2</v>
      </c>
      <c r="F9" s="3" t="s">
        <v>39</v>
      </c>
      <c r="G9" s="3" t="s">
        <v>39</v>
      </c>
      <c r="H9" s="3" t="s">
        <v>39</v>
      </c>
      <c r="I9" s="3" t="s">
        <v>39</v>
      </c>
      <c r="J9" s="3" t="s">
        <v>39</v>
      </c>
      <c r="K9" s="3"/>
    </row>
    <row r="10" spans="1:11" x14ac:dyDescent="0.35">
      <c r="C10" s="3" t="s">
        <v>36</v>
      </c>
      <c r="D10" s="20" t="s">
        <v>44</v>
      </c>
      <c r="E10" s="3" t="s">
        <v>65</v>
      </c>
      <c r="F10" t="s">
        <v>26</v>
      </c>
      <c r="G10" t="s">
        <v>27</v>
      </c>
      <c r="H10" s="3" t="s">
        <v>28</v>
      </c>
      <c r="I10" s="3" t="s">
        <v>30</v>
      </c>
      <c r="J10" t="s">
        <v>32</v>
      </c>
    </row>
    <row r="11" spans="1:11" x14ac:dyDescent="0.35">
      <c r="C11" s="17" t="s">
        <v>40</v>
      </c>
      <c r="D11" s="17" t="s">
        <v>45</v>
      </c>
      <c r="H11" s="3" t="s">
        <v>29</v>
      </c>
      <c r="I11" t="s">
        <v>31</v>
      </c>
      <c r="J11" t="s">
        <v>33</v>
      </c>
    </row>
    <row r="12" spans="1:11" x14ac:dyDescent="0.35">
      <c r="C12" s="17"/>
      <c r="D12" s="17"/>
    </row>
    <row r="13" spans="1:11" x14ac:dyDescent="0.35">
      <c r="A13" t="s">
        <v>3</v>
      </c>
      <c r="C13" s="4">
        <v>-39</v>
      </c>
      <c r="D13" s="15">
        <v>34</v>
      </c>
      <c r="E13" s="15">
        <v>-37</v>
      </c>
      <c r="F13" s="15">
        <v>-99</v>
      </c>
      <c r="G13" s="15">
        <v>-8</v>
      </c>
      <c r="H13" s="15">
        <v>-9</v>
      </c>
      <c r="I13" s="15">
        <v>-9</v>
      </c>
      <c r="J13" s="15">
        <v>-10</v>
      </c>
      <c r="K13" s="4">
        <f t="shared" ref="K13:K23" si="0">SUM(C13:J13)</f>
        <v>-177</v>
      </c>
    </row>
    <row r="14" spans="1:11" x14ac:dyDescent="0.35">
      <c r="A14" t="s">
        <v>4</v>
      </c>
      <c r="C14" s="4">
        <v>-71</v>
      </c>
      <c r="D14" s="15">
        <v>59</v>
      </c>
      <c r="E14" s="15">
        <v>-38</v>
      </c>
      <c r="F14" s="15">
        <v>-79</v>
      </c>
      <c r="G14" s="15">
        <v>-16</v>
      </c>
      <c r="H14" s="15">
        <v>-4</v>
      </c>
      <c r="I14" s="15">
        <v>-11</v>
      </c>
      <c r="J14" s="15">
        <v>-14</v>
      </c>
      <c r="K14" s="4">
        <f t="shared" si="0"/>
        <v>-174</v>
      </c>
    </row>
    <row r="15" spans="1:11" x14ac:dyDescent="0.35">
      <c r="A15" t="s">
        <v>5</v>
      </c>
      <c r="C15" s="4">
        <v>-77</v>
      </c>
      <c r="D15" s="15">
        <v>39</v>
      </c>
      <c r="E15" s="15">
        <v>-37</v>
      </c>
      <c r="F15" s="15">
        <v>-82</v>
      </c>
      <c r="G15" s="15">
        <v>-15</v>
      </c>
      <c r="H15" s="15">
        <v>11</v>
      </c>
      <c r="I15" s="15">
        <v>-9</v>
      </c>
      <c r="J15" s="15">
        <v>-10</v>
      </c>
      <c r="K15" s="4">
        <f t="shared" si="0"/>
        <v>-180</v>
      </c>
    </row>
    <row r="16" spans="1:11" x14ac:dyDescent="0.35">
      <c r="A16" t="s">
        <v>6</v>
      </c>
      <c r="C16" s="4">
        <v>-73</v>
      </c>
      <c r="D16" s="15">
        <v>4</v>
      </c>
      <c r="E16" s="15">
        <v>-35</v>
      </c>
      <c r="F16" s="15">
        <v>-88</v>
      </c>
      <c r="G16" s="15">
        <v>18</v>
      </c>
      <c r="H16" s="15">
        <v>26</v>
      </c>
      <c r="I16" s="15">
        <v>-8</v>
      </c>
      <c r="J16" s="15">
        <v>-7</v>
      </c>
      <c r="K16" s="4">
        <f t="shared" si="0"/>
        <v>-163</v>
      </c>
    </row>
    <row r="17" spans="1:11" x14ac:dyDescent="0.35">
      <c r="A17" t="s">
        <v>7</v>
      </c>
      <c r="C17" s="23">
        <v>0</v>
      </c>
      <c r="D17" s="15">
        <v>63</v>
      </c>
      <c r="E17" s="15">
        <v>-36</v>
      </c>
      <c r="F17" s="15">
        <v>-80</v>
      </c>
      <c r="G17" s="15">
        <v>-16</v>
      </c>
      <c r="H17" s="15">
        <v>-50</v>
      </c>
      <c r="I17" s="15">
        <v>-6</v>
      </c>
      <c r="J17" s="15">
        <v>-3</v>
      </c>
      <c r="K17" s="4">
        <f t="shared" si="0"/>
        <v>-128</v>
      </c>
    </row>
    <row r="18" spans="1:11" x14ac:dyDescent="0.35">
      <c r="A18" t="s">
        <v>8</v>
      </c>
      <c r="C18" s="4">
        <v>-43</v>
      </c>
      <c r="D18" s="15">
        <v>81</v>
      </c>
      <c r="E18" s="15">
        <v>-36</v>
      </c>
      <c r="F18" s="15">
        <v>-46</v>
      </c>
      <c r="G18" s="15">
        <v>-37</v>
      </c>
      <c r="H18" s="15">
        <v>-24</v>
      </c>
      <c r="I18" s="15">
        <v>-7</v>
      </c>
      <c r="J18" s="15">
        <v>-5</v>
      </c>
      <c r="K18" s="4">
        <f t="shared" si="0"/>
        <v>-117</v>
      </c>
    </row>
    <row r="19" spans="1:11" x14ac:dyDescent="0.35">
      <c r="A19" t="s">
        <v>9</v>
      </c>
      <c r="C19" s="4">
        <v>-51</v>
      </c>
      <c r="D19" s="15">
        <v>44</v>
      </c>
      <c r="E19" s="15">
        <v>-38</v>
      </c>
      <c r="F19" s="15">
        <v>-84</v>
      </c>
      <c r="G19" s="15">
        <v>-10</v>
      </c>
      <c r="H19" s="15">
        <v>-4</v>
      </c>
      <c r="I19" s="15">
        <v>-8</v>
      </c>
      <c r="J19" s="15">
        <v>-5</v>
      </c>
      <c r="K19" s="4">
        <f t="shared" si="0"/>
        <v>-156</v>
      </c>
    </row>
    <row r="20" spans="1:11" x14ac:dyDescent="0.35">
      <c r="A20" t="s">
        <v>10</v>
      </c>
      <c r="C20" s="4">
        <v>-45</v>
      </c>
      <c r="D20" s="15">
        <v>42</v>
      </c>
      <c r="E20" s="15">
        <v>-40</v>
      </c>
      <c r="F20" s="15">
        <v>-86</v>
      </c>
      <c r="G20" s="15">
        <v>-7</v>
      </c>
      <c r="H20" s="15">
        <v>-9</v>
      </c>
      <c r="I20" s="15">
        <v>-8</v>
      </c>
      <c r="J20" s="15">
        <v>-6</v>
      </c>
      <c r="K20" s="4">
        <f t="shared" si="0"/>
        <v>-159</v>
      </c>
    </row>
    <row r="21" spans="1:11" x14ac:dyDescent="0.35">
      <c r="A21" t="s">
        <v>11</v>
      </c>
      <c r="C21" s="4">
        <v>-32</v>
      </c>
      <c r="D21" s="15">
        <v>33</v>
      </c>
      <c r="E21" s="15">
        <v>-38</v>
      </c>
      <c r="F21" s="15">
        <v>-78</v>
      </c>
      <c r="G21" s="15">
        <v>-9</v>
      </c>
      <c r="H21" s="15">
        <v>-10</v>
      </c>
      <c r="I21" s="15">
        <v>-6</v>
      </c>
      <c r="J21" s="15">
        <v>-4</v>
      </c>
      <c r="K21" s="4">
        <f t="shared" si="0"/>
        <v>-144</v>
      </c>
    </row>
    <row r="22" spans="1:11" x14ac:dyDescent="0.35">
      <c r="A22" t="s">
        <v>12</v>
      </c>
      <c r="C22" s="4">
        <v>-70</v>
      </c>
      <c r="D22" s="15">
        <v>48</v>
      </c>
      <c r="E22" s="15">
        <v>-39</v>
      </c>
      <c r="F22" s="15">
        <v>-104</v>
      </c>
      <c r="G22" s="15">
        <v>15</v>
      </c>
      <c r="H22" s="15">
        <v>21</v>
      </c>
      <c r="I22" s="15">
        <v>-8</v>
      </c>
      <c r="J22" s="15">
        <v>-8</v>
      </c>
      <c r="K22" s="4">
        <f t="shared" si="0"/>
        <v>-145</v>
      </c>
    </row>
    <row r="23" spans="1:11" x14ac:dyDescent="0.35">
      <c r="A23" t="s">
        <v>13</v>
      </c>
      <c r="C23" s="4">
        <v>-42</v>
      </c>
      <c r="D23" s="15">
        <v>39</v>
      </c>
      <c r="E23" s="15">
        <v>-37</v>
      </c>
      <c r="F23" s="15">
        <v>-85</v>
      </c>
      <c r="G23" s="15">
        <v>-15</v>
      </c>
      <c r="H23" s="15">
        <v>-10</v>
      </c>
      <c r="I23" s="15">
        <v>-8</v>
      </c>
      <c r="J23" s="15">
        <v>-9</v>
      </c>
      <c r="K23" s="4">
        <f t="shared" si="0"/>
        <v>-167</v>
      </c>
    </row>
    <row r="24" spans="1:11" x14ac:dyDescent="0.35">
      <c r="A24" t="s">
        <v>14</v>
      </c>
      <c r="C24" s="4">
        <v>-53</v>
      </c>
      <c r="D24" s="15">
        <v>54</v>
      </c>
      <c r="E24" s="15">
        <v>-36</v>
      </c>
      <c r="F24" s="15">
        <v>-93</v>
      </c>
      <c r="G24" s="15">
        <v>-15</v>
      </c>
      <c r="H24" s="15">
        <v>-15</v>
      </c>
      <c r="I24" s="15">
        <v>-11</v>
      </c>
      <c r="J24" s="15">
        <v>-12</v>
      </c>
      <c r="K24" s="4">
        <f>SUM(C24:J24)</f>
        <v>-181</v>
      </c>
    </row>
    <row r="26" spans="1:11" ht="16.2" thickBot="1" x14ac:dyDescent="0.4">
      <c r="C26" s="14">
        <f t="shared" ref="C26:J26" si="1">SUM(C13:C24)</f>
        <v>-596</v>
      </c>
      <c r="D26" s="14">
        <f t="shared" si="1"/>
        <v>540</v>
      </c>
      <c r="E26" s="14">
        <f t="shared" si="1"/>
        <v>-447</v>
      </c>
      <c r="F26" s="14">
        <f t="shared" si="1"/>
        <v>-1004</v>
      </c>
      <c r="G26" s="14">
        <f t="shared" si="1"/>
        <v>-115</v>
      </c>
      <c r="H26" s="14">
        <f t="shared" si="1"/>
        <v>-77</v>
      </c>
      <c r="I26" s="14">
        <f t="shared" si="1"/>
        <v>-99</v>
      </c>
      <c r="J26" s="14">
        <f t="shared" si="1"/>
        <v>-93</v>
      </c>
      <c r="K26" s="14">
        <f>SUM(K13:K24)</f>
        <v>-1891</v>
      </c>
    </row>
    <row r="27" spans="1:11" ht="16.2" thickTop="1" x14ac:dyDescent="0.35">
      <c r="C27">
        <f>-C26-596</f>
        <v>0</v>
      </c>
      <c r="D27">
        <f>-D26+540</f>
        <v>0</v>
      </c>
      <c r="E27">
        <f>-E26-447</f>
        <v>0</v>
      </c>
      <c r="F27">
        <f>-F26-1004</f>
        <v>0</v>
      </c>
      <c r="G27">
        <f>-G26-115</f>
        <v>0</v>
      </c>
      <c r="H27">
        <f>-H26-77</f>
        <v>0</v>
      </c>
      <c r="I27">
        <f>-I26-99</f>
        <v>0</v>
      </c>
      <c r="J27">
        <f>-J26-93</f>
        <v>0</v>
      </c>
    </row>
    <row r="28" spans="1:11" x14ac:dyDescent="0.35">
      <c r="C28" t="s">
        <v>41</v>
      </c>
    </row>
    <row r="30" spans="1:11" x14ac:dyDescent="0.35">
      <c r="C30" t="s">
        <v>42</v>
      </c>
    </row>
    <row r="32" spans="1:11" x14ac:dyDescent="0.35">
      <c r="C32" t="s">
        <v>43</v>
      </c>
    </row>
    <row r="34" spans="3:3" x14ac:dyDescent="0.35">
      <c r="C34" t="s">
        <v>46</v>
      </c>
    </row>
  </sheetData>
  <phoneticPr fontId="0" type="noConversion"/>
  <pageMargins left="0.5" right="0.5" top="0.5" bottom="0.55000000000000004" header="0.5" footer="0.5"/>
  <pageSetup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C27"/>
  <sheetViews>
    <sheetView showZeros="0" workbookViewId="0">
      <pane xSplit="2" ySplit="12" topLeftCell="C13" activePane="bottomRight" state="frozen"/>
      <selection activeCell="C39" sqref="C39"/>
      <selection pane="topRight" activeCell="C39" sqref="C39"/>
      <selection pane="bottomLeft" activeCell="C39" sqref="C39"/>
      <selection pane="bottomRight" activeCell="C39" sqref="C39"/>
    </sheetView>
  </sheetViews>
  <sheetFormatPr defaultRowHeight="15.6" x14ac:dyDescent="0.35"/>
  <cols>
    <col min="3" max="3" width="9.8984375" bestFit="1" customWidth="1"/>
  </cols>
  <sheetData>
    <row r="1" spans="1:3" x14ac:dyDescent="0.35">
      <c r="A1" t="s">
        <v>37</v>
      </c>
    </row>
    <row r="2" spans="1:3" x14ac:dyDescent="0.35">
      <c r="A2" t="s">
        <v>59</v>
      </c>
    </row>
    <row r="3" spans="1:3" x14ac:dyDescent="0.35">
      <c r="A3" t="s">
        <v>50</v>
      </c>
    </row>
    <row r="4" spans="1:3" x14ac:dyDescent="0.35">
      <c r="A4" s="18" t="str">
        <f>+'WA Adjustments'!A4</f>
        <v>12 Months Ended 12/31/18</v>
      </c>
    </row>
    <row r="5" spans="1:3" x14ac:dyDescent="0.35">
      <c r="A5" t="str">
        <f ca="1">CELL("Filename",A1)</f>
        <v>M:\JEANNE\Allocation Factors\Idaho Allocation Info\2018 Data for 2017\PT Ratio\[2019 PTRatio-2018 Data.xlsx]ID Adjustment</v>
      </c>
    </row>
    <row r="9" spans="1:3" x14ac:dyDescent="0.35">
      <c r="C9" s="3" t="s">
        <v>72</v>
      </c>
    </row>
    <row r="10" spans="1:3" x14ac:dyDescent="0.35">
      <c r="C10" s="3" t="s">
        <v>1</v>
      </c>
    </row>
    <row r="11" spans="1:3" x14ac:dyDescent="0.35">
      <c r="C11" s="3" t="s">
        <v>51</v>
      </c>
    </row>
    <row r="12" spans="1:3" x14ac:dyDescent="0.35">
      <c r="C12" s="17"/>
    </row>
    <row r="13" spans="1:3" x14ac:dyDescent="0.35">
      <c r="A13" t="s">
        <v>3</v>
      </c>
      <c r="C13" s="4">
        <v>55</v>
      </c>
    </row>
    <row r="14" spans="1:3" x14ac:dyDescent="0.35">
      <c r="A14" t="s">
        <v>4</v>
      </c>
      <c r="C14" s="4">
        <v>55</v>
      </c>
    </row>
    <row r="15" spans="1:3" x14ac:dyDescent="0.35">
      <c r="A15" t="s">
        <v>5</v>
      </c>
      <c r="C15" s="4">
        <v>48</v>
      </c>
    </row>
    <row r="16" spans="1:3" x14ac:dyDescent="0.35">
      <c r="A16" t="s">
        <v>6</v>
      </c>
      <c r="C16" s="4">
        <v>48</v>
      </c>
    </row>
    <row r="17" spans="1:3" x14ac:dyDescent="0.35">
      <c r="A17" t="s">
        <v>7</v>
      </c>
      <c r="C17" s="4">
        <v>44</v>
      </c>
    </row>
    <row r="18" spans="1:3" x14ac:dyDescent="0.35">
      <c r="A18" t="s">
        <v>8</v>
      </c>
      <c r="C18" s="4">
        <v>47</v>
      </c>
    </row>
    <row r="19" spans="1:3" x14ac:dyDescent="0.35">
      <c r="A19" t="s">
        <v>9</v>
      </c>
      <c r="C19" s="4">
        <v>17</v>
      </c>
    </row>
    <row r="20" spans="1:3" x14ac:dyDescent="0.35">
      <c r="A20" t="s">
        <v>10</v>
      </c>
      <c r="C20" s="23">
        <v>0</v>
      </c>
    </row>
    <row r="21" spans="1:3" x14ac:dyDescent="0.35">
      <c r="A21" t="s">
        <v>11</v>
      </c>
      <c r="C21" s="4">
        <v>28</v>
      </c>
    </row>
    <row r="22" spans="1:3" x14ac:dyDescent="0.35">
      <c r="A22" t="s">
        <v>12</v>
      </c>
      <c r="C22" s="4">
        <v>25</v>
      </c>
    </row>
    <row r="23" spans="1:3" x14ac:dyDescent="0.35">
      <c r="A23" t="s">
        <v>13</v>
      </c>
      <c r="C23" s="4">
        <v>52</v>
      </c>
    </row>
    <row r="24" spans="1:3" x14ac:dyDescent="0.35">
      <c r="A24" t="s">
        <v>14</v>
      </c>
      <c r="C24" s="4">
        <v>59</v>
      </c>
    </row>
    <row r="26" spans="1:3" ht="16.2" thickBot="1" x14ac:dyDescent="0.4">
      <c r="C26" s="14">
        <f>SUM(C13:C24)</f>
        <v>478</v>
      </c>
    </row>
    <row r="27" spans="1:3" ht="16.2" thickTop="1" x14ac:dyDescent="0.35"/>
  </sheetData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7"/>
  <sheetViews>
    <sheetView workbookViewId="0">
      <pane xSplit="3" ySplit="6" topLeftCell="D20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.796875" defaultRowHeight="15.6" x14ac:dyDescent="0.35"/>
  <cols>
    <col min="1" max="1" width="1.796875" customWidth="1"/>
    <col min="2" max="2" width="4.796875" customWidth="1"/>
    <col min="3" max="3" width="41.796875" customWidth="1"/>
    <col min="4" max="6" width="11.796875" customWidth="1"/>
  </cols>
  <sheetData>
    <row r="1" spans="1:6" x14ac:dyDescent="0.35">
      <c r="A1" t="s">
        <v>37</v>
      </c>
      <c r="F1" s="2">
        <f ca="1">NOW()</f>
        <v>43487.373146990743</v>
      </c>
    </row>
    <row r="2" spans="1:6" x14ac:dyDescent="0.35">
      <c r="A2" t="s">
        <v>25</v>
      </c>
    </row>
    <row r="3" spans="1:6" x14ac:dyDescent="0.35">
      <c r="A3" s="13" t="str">
        <f>+[1]A!A4</f>
        <v>12 Months Ended 12/31/09</v>
      </c>
    </row>
    <row r="4" spans="1:6" x14ac:dyDescent="0.35">
      <c r="A4" t="str">
        <f ca="1">CELL("Filename",A1)</f>
        <v>M:\JEANNE\Allocation Factors\Idaho Allocation Info\2018 Data for 2017\PT Ratio\[2019 PTRatio-2018 Data.xlsx]PrevYr</v>
      </c>
    </row>
    <row r="6" spans="1:6" x14ac:dyDescent="0.35">
      <c r="D6" s="5" t="s">
        <v>15</v>
      </c>
      <c r="E6" s="5" t="s">
        <v>16</v>
      </c>
      <c r="F6" s="5" t="s">
        <v>1</v>
      </c>
    </row>
    <row r="7" spans="1:6" x14ac:dyDescent="0.35">
      <c r="A7" s="6" t="s">
        <v>61</v>
      </c>
      <c r="B7" s="7"/>
      <c r="C7" s="7"/>
    </row>
    <row r="8" spans="1:6" x14ac:dyDescent="0.35">
      <c r="B8" t="s">
        <v>21</v>
      </c>
      <c r="D8" s="1">
        <v>5466378</v>
      </c>
      <c r="E8" s="1">
        <v>3435926</v>
      </c>
      <c r="F8">
        <f>D8+E8</f>
        <v>8902304</v>
      </c>
    </row>
    <row r="10" spans="1:6" x14ac:dyDescent="0.35">
      <c r="B10" t="s">
        <v>17</v>
      </c>
      <c r="D10" s="8">
        <f>ROUND(D8/$F8,4)</f>
        <v>0.61399999999999999</v>
      </c>
      <c r="E10" s="8">
        <f>ROUND(E8/$F8,4)</f>
        <v>0.38600000000000001</v>
      </c>
      <c r="F10" s="8">
        <f>D10+E10</f>
        <v>1</v>
      </c>
    </row>
    <row r="11" spans="1:6" x14ac:dyDescent="0.35">
      <c r="F11" t="str">
        <f>IF(F10=1," ","Rounding Error")</f>
        <v xml:space="preserve"> </v>
      </c>
    </row>
    <row r="12" spans="1:6" x14ac:dyDescent="0.35">
      <c r="B12" t="s">
        <v>60</v>
      </c>
      <c r="D12" s="1">
        <v>12703</v>
      </c>
      <c r="E12" s="1">
        <v>6494</v>
      </c>
      <c r="F12">
        <f>D12+E12</f>
        <v>19197</v>
      </c>
    </row>
    <row r="14" spans="1:6" x14ac:dyDescent="0.35">
      <c r="B14" t="s">
        <v>18</v>
      </c>
      <c r="D14" s="8">
        <f>ROUND(D12/$F12,4)</f>
        <v>0.66169999999999995</v>
      </c>
      <c r="E14" s="8">
        <f>ROUND(E12/$F12,4)</f>
        <v>0.33829999999999999</v>
      </c>
      <c r="F14" s="8">
        <f>D14+E14</f>
        <v>1</v>
      </c>
    </row>
    <row r="15" spans="1:6" x14ac:dyDescent="0.35">
      <c r="F15" t="str">
        <f>IF(F14=1," ","Rounding Error")</f>
        <v xml:space="preserve"> </v>
      </c>
    </row>
    <row r="16" spans="1:6" x14ac:dyDescent="0.35">
      <c r="A16" t="s">
        <v>19</v>
      </c>
    </row>
    <row r="17" spans="1:6" x14ac:dyDescent="0.35">
      <c r="B17" t="s">
        <v>20</v>
      </c>
      <c r="D17" s="19">
        <f>ROUND((D10+D14)/2,4)-0.0001</f>
        <v>0.63780000000000003</v>
      </c>
      <c r="E17" s="8">
        <f>ROUND((E10+E14)/2,4)</f>
        <v>0.36220000000000002</v>
      </c>
      <c r="F17" s="8">
        <f>D17+E17</f>
        <v>1</v>
      </c>
    </row>
    <row r="18" spans="1:6" x14ac:dyDescent="0.35">
      <c r="F18" t="str">
        <f>IF(F17=1," ","Rounding Error")</f>
        <v xml:space="preserve"> </v>
      </c>
    </row>
    <row r="20" spans="1:6" x14ac:dyDescent="0.35">
      <c r="A20" s="7" t="s">
        <v>58</v>
      </c>
      <c r="B20" s="7"/>
      <c r="C20" s="7"/>
    </row>
    <row r="21" spans="1:6" x14ac:dyDescent="0.35">
      <c r="B21" t="s">
        <v>21</v>
      </c>
      <c r="D21">
        <f>D8</f>
        <v>5466378</v>
      </c>
      <c r="E21">
        <f>E8</f>
        <v>3435926</v>
      </c>
      <c r="F21">
        <f>D21+E21</f>
        <v>8902304</v>
      </c>
    </row>
    <row r="22" spans="1:6" x14ac:dyDescent="0.35">
      <c r="B22" t="s">
        <v>55</v>
      </c>
      <c r="E22" s="4">
        <v>-452317</v>
      </c>
      <c r="F22">
        <f>D22+E22</f>
        <v>-452317</v>
      </c>
    </row>
    <row r="23" spans="1:6" x14ac:dyDescent="0.35">
      <c r="B23" t="str">
        <f>B8</f>
        <v>Energy Retail Sales (MWH)</v>
      </c>
      <c r="D23" s="9">
        <f>D21+D22</f>
        <v>5466378</v>
      </c>
      <c r="E23" s="9">
        <f>E21+E22</f>
        <v>2983609</v>
      </c>
      <c r="F23" s="9">
        <f>F21+F22</f>
        <v>8449987</v>
      </c>
    </row>
    <row r="25" spans="1:6" x14ac:dyDescent="0.35">
      <c r="B25" t="str">
        <f>B10</f>
        <v>Energy Retail Sales Percentage</v>
      </c>
      <c r="D25" s="8">
        <f>ROUND(D23/$F23,4)</f>
        <v>0.64690000000000003</v>
      </c>
      <c r="E25" s="8">
        <f>ROUND(E23/$F23,4)</f>
        <v>0.35310000000000002</v>
      </c>
      <c r="F25" s="8">
        <f>D25+E25</f>
        <v>1</v>
      </c>
    </row>
    <row r="26" spans="1:6" x14ac:dyDescent="0.35">
      <c r="F26" t="str">
        <f>IF(F25=1," ","Rounding Error")</f>
        <v xml:space="preserve"> </v>
      </c>
    </row>
    <row r="27" spans="1:6" x14ac:dyDescent="0.35">
      <c r="B27" t="str">
        <f>+B12</f>
        <v>MW's Peak (Retail + Adjustments)</v>
      </c>
      <c r="D27">
        <f>D12</f>
        <v>12703</v>
      </c>
      <c r="E27">
        <f>E12</f>
        <v>6494</v>
      </c>
      <c r="F27">
        <f>D27+E27</f>
        <v>19197</v>
      </c>
    </row>
    <row r="28" spans="1:6" x14ac:dyDescent="0.35">
      <c r="B28" t="s">
        <v>48</v>
      </c>
      <c r="D28">
        <f>[1]A!K26</f>
        <v>-1800</v>
      </c>
      <c r="F28">
        <f>D28+E28</f>
        <v>-1800</v>
      </c>
    </row>
    <row r="29" spans="1:6" x14ac:dyDescent="0.35">
      <c r="B29" t="s">
        <v>52</v>
      </c>
      <c r="E29">
        <f>-[1]B!C26</f>
        <v>-639</v>
      </c>
      <c r="F29">
        <f>D29+E29</f>
        <v>-639</v>
      </c>
    </row>
    <row r="30" spans="1:6" x14ac:dyDescent="0.35">
      <c r="B30" t="str">
        <f>B12</f>
        <v>MW's Peak (Retail + Adjustments)</v>
      </c>
      <c r="D30" s="9">
        <f>SUM(D27:D29)</f>
        <v>10903</v>
      </c>
      <c r="E30" s="9">
        <f>SUM(E27:E29)</f>
        <v>5855</v>
      </c>
      <c r="F30" s="9">
        <f>SUM(F27:F29)</f>
        <v>16758</v>
      </c>
    </row>
    <row r="32" spans="1:6" x14ac:dyDescent="0.35">
      <c r="B32" t="str">
        <f>B14</f>
        <v>MW's Peak Percentage</v>
      </c>
      <c r="D32" s="8">
        <f>ROUND(D30/$F30,4)</f>
        <v>0.65059999999999996</v>
      </c>
      <c r="E32" s="8">
        <f>ROUND(E30/$F30,4)</f>
        <v>0.34939999999999999</v>
      </c>
      <c r="F32" s="8">
        <f>D32+E32</f>
        <v>1</v>
      </c>
    </row>
    <row r="33" spans="1:6" x14ac:dyDescent="0.35">
      <c r="F33" t="str">
        <f>IF(F32=1," ","Rounding Error")</f>
        <v xml:space="preserve"> </v>
      </c>
    </row>
    <row r="34" spans="1:6" x14ac:dyDescent="0.35">
      <c r="A34" t="s">
        <v>22</v>
      </c>
    </row>
    <row r="35" spans="1:6" x14ac:dyDescent="0.35">
      <c r="B35" t="s">
        <v>23</v>
      </c>
      <c r="D35" s="10">
        <f>ROUND((D25+D32)/2,4)-0.0001</f>
        <v>0.64870000000000005</v>
      </c>
      <c r="E35" s="11">
        <f>ROUND((E25+E32)/2,4)</f>
        <v>0.3513</v>
      </c>
      <c r="F35" s="12">
        <f>D35+E35</f>
        <v>1</v>
      </c>
    </row>
    <row r="37" spans="1:6" x14ac:dyDescent="0.35">
      <c r="E37" s="16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E39" sqref="E39"/>
    </sheetView>
  </sheetViews>
  <sheetFormatPr defaultColWidth="9.796875" defaultRowHeight="15.6" x14ac:dyDescent="0.35"/>
  <cols>
    <col min="1" max="1" width="1.796875" customWidth="1"/>
    <col min="2" max="2" width="4.796875" customWidth="1"/>
    <col min="3" max="3" width="41.796875" customWidth="1"/>
    <col min="4" max="6" width="11.796875" customWidth="1"/>
  </cols>
  <sheetData>
    <row r="1" spans="1:6" x14ac:dyDescent="0.35">
      <c r="A1" t="s">
        <v>37</v>
      </c>
      <c r="F1" s="2">
        <f ca="1">NOW()</f>
        <v>43487.373146990743</v>
      </c>
    </row>
    <row r="2" spans="1:6" x14ac:dyDescent="0.35">
      <c r="A2" t="s">
        <v>25</v>
      </c>
    </row>
    <row r="3" spans="1:6" x14ac:dyDescent="0.35">
      <c r="A3" s="13" t="s">
        <v>67</v>
      </c>
    </row>
    <row r="4" spans="1:6" x14ac:dyDescent="0.35">
      <c r="A4" t="str">
        <f ca="1">CELL("Filename",A1)</f>
        <v>M:\JEANNE\Allocation Factors\Idaho Allocation Info\2018 Data for 2017\PT Ratio\[2019 PTRatio-2018 Data.xlsx]Difference</v>
      </c>
    </row>
    <row r="6" spans="1:6" x14ac:dyDescent="0.35">
      <c r="D6" s="5" t="s">
        <v>15</v>
      </c>
      <c r="E6" s="5" t="s">
        <v>16</v>
      </c>
      <c r="F6" s="5" t="s">
        <v>1</v>
      </c>
    </row>
    <row r="7" spans="1:6" x14ac:dyDescent="0.35">
      <c r="A7" s="6" t="s">
        <v>66</v>
      </c>
      <c r="B7" s="7"/>
      <c r="C7" s="7"/>
    </row>
    <row r="8" spans="1:6" x14ac:dyDescent="0.35">
      <c r="B8" t="s">
        <v>21</v>
      </c>
      <c r="D8">
        <f>+'PT Ratio with 2018 Data'!D8-PrevYr!D8</f>
        <v>90625</v>
      </c>
      <c r="E8">
        <f>+'PT Ratio with 2018 Data'!E8-PrevYr!E8</f>
        <v>-497305</v>
      </c>
      <c r="F8">
        <f>D8+E8</f>
        <v>-406680</v>
      </c>
    </row>
    <row r="10" spans="1:6" x14ac:dyDescent="0.35">
      <c r="B10" t="s">
        <v>17</v>
      </c>
      <c r="D10" s="21">
        <f>+'PT Ratio with 2018 Data'!D10-PrevYr!D10</f>
        <v>4.0100000000000025E-2</v>
      </c>
      <c r="E10" s="21">
        <f>+'PT Ratio with 2018 Data'!E10-PrevYr!E10</f>
        <v>-4.0100000000000025E-2</v>
      </c>
      <c r="F10" s="21">
        <f>+'PT Ratio with 2018 Data'!F10-PrevYr!F10</f>
        <v>0</v>
      </c>
    </row>
    <row r="12" spans="1:6" x14ac:dyDescent="0.35">
      <c r="B12" t="s">
        <v>60</v>
      </c>
      <c r="D12">
        <f>+'PT Ratio with 2018 Data'!D12-PrevYr!D12</f>
        <v>106</v>
      </c>
      <c r="E12">
        <f>+'PT Ratio with 2018 Data'!E12-PrevYr!E12</f>
        <v>-232</v>
      </c>
      <c r="F12">
        <f>D12+E12</f>
        <v>-126</v>
      </c>
    </row>
    <row r="14" spans="1:6" x14ac:dyDescent="0.35">
      <c r="B14" t="s">
        <v>18</v>
      </c>
      <c r="D14" s="21">
        <f>+'PT Ratio with 2018 Data'!D14-PrevYr!D14</f>
        <v>9.9000000000000199E-3</v>
      </c>
      <c r="E14" s="21">
        <f>+'PT Ratio with 2018 Data'!E14-PrevYr!E14</f>
        <v>-9.8999999999999644E-3</v>
      </c>
      <c r="F14" s="21">
        <f>+'PT Ratio with 2018 Data'!F14-PrevYr!F14</f>
        <v>0</v>
      </c>
    </row>
    <row r="16" spans="1:6" x14ac:dyDescent="0.35">
      <c r="A16" t="s">
        <v>19</v>
      </c>
    </row>
    <row r="17" spans="1:6" x14ac:dyDescent="0.35">
      <c r="B17" t="s">
        <v>20</v>
      </c>
      <c r="D17" s="8">
        <f>+'PT Ratio with 2018 Data'!D17-PrevYr!D17</f>
        <v>2.5000000000000022E-2</v>
      </c>
      <c r="E17" s="8">
        <f>+'PT Ratio with 2018 Data'!E17-PrevYr!E17</f>
        <v>-2.5000000000000022E-2</v>
      </c>
      <c r="F17" s="8">
        <f>D17+E17</f>
        <v>0</v>
      </c>
    </row>
    <row r="20" spans="1:6" x14ac:dyDescent="0.35">
      <c r="A20" s="7" t="s">
        <v>58</v>
      </c>
      <c r="B20" s="7"/>
      <c r="C20" s="7"/>
    </row>
    <row r="21" spans="1:6" x14ac:dyDescent="0.35">
      <c r="B21" t="s">
        <v>21</v>
      </c>
      <c r="D21">
        <f>D8</f>
        <v>90625</v>
      </c>
      <c r="E21">
        <f>E8</f>
        <v>-497305</v>
      </c>
      <c r="F21">
        <f>D21+E21</f>
        <v>-406680</v>
      </c>
    </row>
    <row r="22" spans="1:6" x14ac:dyDescent="0.35">
      <c r="B22" t="s">
        <v>55</v>
      </c>
      <c r="E22" s="1">
        <f>+'PT Ratio with 2018 Data'!E22-PrevYr!E22</f>
        <v>452317</v>
      </c>
      <c r="F22">
        <f>D22+E22</f>
        <v>452317</v>
      </c>
    </row>
    <row r="23" spans="1:6" x14ac:dyDescent="0.35">
      <c r="B23" t="str">
        <f>B8</f>
        <v>Energy Retail Sales (MWH)</v>
      </c>
      <c r="D23" s="9">
        <f>D21+D22</f>
        <v>90625</v>
      </c>
      <c r="E23" s="9">
        <f>E21+E22</f>
        <v>-44988</v>
      </c>
      <c r="F23" s="9">
        <f>F21+F22</f>
        <v>45637</v>
      </c>
    </row>
    <row r="25" spans="1:6" x14ac:dyDescent="0.35">
      <c r="B25" t="str">
        <f>B10</f>
        <v>Energy Retail Sales Percentage</v>
      </c>
      <c r="D25" s="8">
        <f>+'PT Ratio with 2018 Data'!D25-PrevYr!D25</f>
        <v>7.1999999999999842E-3</v>
      </c>
      <c r="E25" s="8">
        <f>+'PT Ratio with 2018 Data'!E25-PrevYr!E25</f>
        <v>-7.2000000000000397E-3</v>
      </c>
      <c r="F25" s="8">
        <f>D25+E25</f>
        <v>-5.5511151231257827E-17</v>
      </c>
    </row>
    <row r="27" spans="1:6" x14ac:dyDescent="0.35">
      <c r="B27" t="str">
        <f>+B12</f>
        <v>MW's Peak (Retail + Adjustments)</v>
      </c>
      <c r="D27">
        <f>+'PT Ratio with 2018 Data'!D27-PrevYr!D27</f>
        <v>106</v>
      </c>
      <c r="E27">
        <f>+'PT Ratio with 2018 Data'!E27-PrevYr!E27</f>
        <v>-232</v>
      </c>
      <c r="F27">
        <f>D27+E27</f>
        <v>-126</v>
      </c>
    </row>
    <row r="28" spans="1:6" x14ac:dyDescent="0.35">
      <c r="B28" t="s">
        <v>48</v>
      </c>
      <c r="D28">
        <f>+'PT Ratio with 2018 Data'!D28-PrevYr!D28</f>
        <v>-91</v>
      </c>
      <c r="E28">
        <f>+'PT Ratio with 2018 Data'!E28-PrevYr!E28</f>
        <v>0</v>
      </c>
      <c r="F28">
        <f>D28+E28</f>
        <v>-91</v>
      </c>
    </row>
    <row r="29" spans="1:6" x14ac:dyDescent="0.35">
      <c r="B29" t="s">
        <v>52</v>
      </c>
      <c r="D29">
        <f>+'PT Ratio with 2018 Data'!D29-PrevYr!D29</f>
        <v>0</v>
      </c>
      <c r="E29">
        <f>+'PT Ratio with 2018 Data'!E29-PrevYr!E29</f>
        <v>161</v>
      </c>
      <c r="F29">
        <f>D29+E29</f>
        <v>161</v>
      </c>
    </row>
    <row r="30" spans="1:6" x14ac:dyDescent="0.35">
      <c r="B30" t="str">
        <f>B12</f>
        <v>MW's Peak (Retail + Adjustments)</v>
      </c>
      <c r="D30" s="9">
        <f>SUM(D27:D29)</f>
        <v>15</v>
      </c>
      <c r="E30" s="9">
        <f>SUM(E27:E29)</f>
        <v>-71</v>
      </c>
      <c r="F30" s="9">
        <f>SUM(F27:F29)</f>
        <v>-56</v>
      </c>
    </row>
    <row r="32" spans="1:6" x14ac:dyDescent="0.35">
      <c r="B32" t="str">
        <f>B14</f>
        <v>MW's Peak Percentage</v>
      </c>
      <c r="D32" s="8">
        <f>+'PT Ratio with 2018 Data'!D32-PrevYr!D32</f>
        <v>3.0999999999999917E-3</v>
      </c>
      <c r="E32" s="8">
        <f>+'PT Ratio with 2018 Data'!E32-PrevYr!E32</f>
        <v>-3.0999999999999917E-3</v>
      </c>
      <c r="F32" s="8">
        <f>D32+E32</f>
        <v>0</v>
      </c>
    </row>
    <row r="34" spans="1:6" x14ac:dyDescent="0.35">
      <c r="A34" t="s">
        <v>22</v>
      </c>
    </row>
    <row r="35" spans="1:6" x14ac:dyDescent="0.35">
      <c r="B35" t="s">
        <v>23</v>
      </c>
      <c r="D35" s="12">
        <f>+'PT Ratio with 2018 Data'!D35-PrevYr!D35</f>
        <v>5.1999999999999824E-3</v>
      </c>
      <c r="E35" s="12">
        <f>+'PT Ratio with 2018 Data'!E35-PrevYr!E35</f>
        <v>-5.1999999999999824E-3</v>
      </c>
      <c r="F35" s="12">
        <f>D35+E35</f>
        <v>0</v>
      </c>
    </row>
    <row r="37" spans="1:6" x14ac:dyDescent="0.35">
      <c r="E37" s="16"/>
    </row>
    <row r="38" spans="1:6" x14ac:dyDescent="0.35">
      <c r="A38" t="s">
        <v>53</v>
      </c>
      <c r="C38" t="s">
        <v>47</v>
      </c>
    </row>
    <row r="39" spans="1:6" x14ac:dyDescent="0.35">
      <c r="A39" t="s">
        <v>54</v>
      </c>
      <c r="C39" t="s">
        <v>62</v>
      </c>
    </row>
    <row r="40" spans="1:6" x14ac:dyDescent="0.35">
      <c r="C40" t="s">
        <v>57</v>
      </c>
    </row>
  </sheetData>
  <pageMargins left="0.7" right="0.7" top="0.75" bottom="0.75" header="0.3" footer="0.3"/>
  <pageSetup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27141C1-1839-4E6B-97EE-54C49F4B0D8C}"/>
</file>

<file path=customXml/itemProps2.xml><?xml version="1.0" encoding="utf-8"?>
<ds:datastoreItem xmlns:ds="http://schemas.openxmlformats.org/officeDocument/2006/customXml" ds:itemID="{4272C693-3E6E-4FE0-A1F8-D7222D43AF80}"/>
</file>

<file path=customXml/itemProps3.xml><?xml version="1.0" encoding="utf-8"?>
<ds:datastoreItem xmlns:ds="http://schemas.openxmlformats.org/officeDocument/2006/customXml" ds:itemID="{94E49158-14B4-48E2-BEEA-1060BD10D7C8}"/>
</file>

<file path=customXml/itemProps4.xml><?xml version="1.0" encoding="utf-8"?>
<ds:datastoreItem xmlns:ds="http://schemas.openxmlformats.org/officeDocument/2006/customXml" ds:itemID="{9225D8DA-B520-4331-BAE3-DCABBBE4D3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PT Ratio with 2018 Data</vt:lpstr>
      <vt:lpstr>WA Adjustments</vt:lpstr>
      <vt:lpstr>ID Adjustment</vt:lpstr>
      <vt:lpstr>Sheet1</vt:lpstr>
      <vt:lpstr>PrevYr</vt:lpstr>
      <vt:lpstr>Difference</vt:lpstr>
      <vt:lpstr>'PT Ratio with 2018 Data'!Print_Area</vt:lpstr>
      <vt:lpstr>'PT Ratio with 2018 Data'!Print_Titles</vt:lpstr>
      <vt:lpstr>PTRATIO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Pluth, Jeanne</cp:lastModifiedBy>
  <cp:lastPrinted>2019-01-22T16:56:08Z</cp:lastPrinted>
  <dcterms:created xsi:type="dcterms:W3CDTF">2000-02-18T21:17:24Z</dcterms:created>
  <dcterms:modified xsi:type="dcterms:W3CDTF">2019-01-22T16:57:22Z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