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esults of Operations\Allocators\2018 Allocators\"/>
    </mc:Choice>
  </mc:AlternateContent>
  <bookViews>
    <workbookView xWindow="132" yWindow="36" windowWidth="15168" windowHeight="9048" tabRatio="755" activeTab="8"/>
  </bookViews>
  <sheets>
    <sheet name="Notes" sheetId="56" r:id="rId1"/>
    <sheet name="Expenses-2017" sheetId="65" r:id="rId2"/>
    <sheet name="UtilityPlt-2017" sheetId="74" r:id="rId3"/>
    <sheet name="UtilityAccDep-2017" sheetId="75" r:id="rId4"/>
    <sheet name="UtilityNetPlt-2017" sheetId="76" r:id="rId5"/>
    <sheet name="7-2017" sheetId="63" r:id="rId6"/>
    <sheet name="8-2017" sheetId="66" r:id="rId7"/>
    <sheet name="9-2017" sheetId="68" r:id="rId8"/>
    <sheet name="NewMemo" sheetId="37" r:id="rId9"/>
    <sheet name="GasPlt-2017" sheetId="77" r:id="rId10"/>
    <sheet name="GasNetPlt-2017" sheetId="78" r:id="rId11"/>
    <sheet name="GAS-2017" sheetId="72" r:id="rId12"/>
    <sheet name="ElecPlt-2017" sheetId="79" r:id="rId13"/>
    <sheet name="ElecNetPlt-2017" sheetId="80" r:id="rId14"/>
    <sheet name="ELEC-2017" sheetId="70" r:id="rId15"/>
    <sheet name="Historic%" sheetId="38" r:id="rId16"/>
  </sheets>
  <definedNames>
    <definedName name="DEPREC" localSheetId="3">'UtilityAccDep-2017'!$A$9:$J$42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'ElecPlt-2017'!$A$9:$G$38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'ELEC-2017'!$A$9:$E$44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'GasNetPlt-2017'!$A$9:$I$56</definedName>
    <definedName name="GAS_PLANT">#REF!</definedName>
    <definedName name="GENERAL_PLANT" localSheetId="9">'GasPlt-2017'!$A$11:$G$42</definedName>
    <definedName name="GENERAL_PLANT">#REF!</definedName>
    <definedName name="INTANGIBLE_PLT" localSheetId="2">'UtilityPlt-2017'!$A$9:$J$53</definedName>
    <definedName name="INTANGIBLE_PLT">#REF!</definedName>
    <definedName name="NET_ELEC_PLANT" localSheetId="13">'ElecNetPlt-2017'!$A$8:$I$59</definedName>
    <definedName name="NET_ELEC_PLANT">#REF!</definedName>
    <definedName name="NET_PLANT" localSheetId="4">'UtilityNetPlt-2017'!$A$9:$J$42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'7-2017'!$A$1:$O$48</definedName>
    <definedName name="_xlnm.Print_Area" localSheetId="13">'ElecNetPlt-2017'!$A$1:$I$58</definedName>
    <definedName name="_xlnm.Print_Area" localSheetId="12">'ElecPlt-2017'!$A$1:$G$38</definedName>
    <definedName name="_xlnm.Print_Area" localSheetId="1">'Expenses-2017'!$A$1:$Q$33</definedName>
    <definedName name="_xlnm.Print_Area" localSheetId="11">'GAS-2017'!$A$1:$E$41</definedName>
    <definedName name="_xlnm.Print_Area" localSheetId="10">'GasNetPlt-2017'!$A$1:$I$55</definedName>
    <definedName name="_xlnm.Print_Area" localSheetId="9">'GasPlt-2017'!$A$1:$G$40</definedName>
    <definedName name="_xlnm.Print_Area" localSheetId="8">NewMemo!$A$1:$J$33</definedName>
    <definedName name="_xlnm.Print_Area" localSheetId="3">'UtilityAccDep-2017'!$A$1:$J$46</definedName>
    <definedName name="_xlnm.Print_Area" localSheetId="4">#REF!</definedName>
    <definedName name="_xlnm.Print_Area" localSheetId="2">'UtilityPlt-2017'!$A$1:$J$55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'7-2017'!$A$9:$G$49</definedName>
    <definedName name="UTILITY_7">#REF!</definedName>
    <definedName name="UTILITY_8" localSheetId="6">'8-2017'!$A$9:$G$43</definedName>
    <definedName name="UTILITY_8">#REF!</definedName>
    <definedName name="UTILITY_9" localSheetId="7">'9-2017'!$A$9:$G$44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'GAS-2017'!$A$9:$E$40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D38" i="72" l="1"/>
  <c r="C38" i="72"/>
  <c r="C37" i="72"/>
  <c r="D40" i="70"/>
  <c r="C40" i="70"/>
  <c r="D40" i="68" l="1"/>
  <c r="D26" i="63"/>
  <c r="Q26" i="65"/>
  <c r="E38" i="66" l="1"/>
  <c r="I51" i="80"/>
  <c r="I48" i="78"/>
  <c r="J12" i="78"/>
  <c r="G38" i="77"/>
  <c r="F38" i="77"/>
  <c r="E38" i="77"/>
  <c r="G37" i="77"/>
  <c r="F37" i="77"/>
  <c r="E37" i="77"/>
  <c r="G36" i="77"/>
  <c r="F36" i="77"/>
  <c r="E36" i="77"/>
  <c r="G35" i="77"/>
  <c r="F35" i="77"/>
  <c r="E35" i="77"/>
  <c r="G34" i="77"/>
  <c r="F34" i="77"/>
  <c r="E34" i="77"/>
  <c r="G33" i="77"/>
  <c r="F33" i="77"/>
  <c r="E33" i="77"/>
  <c r="G32" i="77"/>
  <c r="F32" i="77"/>
  <c r="E32" i="77"/>
  <c r="G31" i="77"/>
  <c r="F31" i="77"/>
  <c r="E31" i="77"/>
  <c r="G30" i="77"/>
  <c r="F30" i="77"/>
  <c r="E30" i="77"/>
  <c r="G29" i="77"/>
  <c r="F29" i="77"/>
  <c r="E29" i="77"/>
  <c r="G16" i="79"/>
  <c r="K32" i="75"/>
  <c r="K34" i="75"/>
  <c r="K37" i="75"/>
  <c r="I37" i="75"/>
  <c r="E37" i="75"/>
  <c r="D35" i="75"/>
  <c r="D37" i="75"/>
  <c r="K30" i="75"/>
  <c r="K26" i="75"/>
  <c r="K25" i="75"/>
  <c r="K24" i="75"/>
  <c r="I13" i="75"/>
  <c r="K11" i="75"/>
  <c r="K10" i="75"/>
  <c r="K12" i="75"/>
  <c r="E12" i="75"/>
  <c r="D13" i="75"/>
  <c r="F26" i="74"/>
  <c r="E26" i="74"/>
  <c r="K46" i="74"/>
  <c r="J46" i="74"/>
  <c r="J45" i="74"/>
  <c r="K45" i="74" s="1"/>
  <c r="K42" i="74"/>
  <c r="D34" i="74"/>
  <c r="D26" i="74"/>
  <c r="D20" i="74"/>
  <c r="D12" i="74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49" i="38"/>
  <c r="B72" i="38" s="1"/>
  <c r="C60" i="38"/>
  <c r="C65" i="38" l="1"/>
  <c r="C42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4" i="38"/>
  <c r="B67" i="38" s="1"/>
  <c r="B45" i="38"/>
  <c r="B68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E33" i="63" s="1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/>
  <c r="D17" i="68" l="1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C16" i="63"/>
  <c r="D18" i="63" s="1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7" i="68" l="1"/>
  <c r="G17" i="68" s="1"/>
  <c r="C17" i="63"/>
  <c r="C23" i="66"/>
  <c r="G23" i="66" s="1"/>
  <c r="H55" i="80"/>
  <c r="H56" i="80" s="1"/>
  <c r="F51" i="80"/>
  <c r="C24" i="63"/>
  <c r="C25" i="68"/>
  <c r="G25" i="68" s="1"/>
  <c r="C15" i="66"/>
  <c r="G15" i="66" s="1"/>
  <c r="F18" i="63"/>
  <c r="I18" i="63"/>
  <c r="E18" i="63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F26" i="63" l="1"/>
  <c r="C25" i="63"/>
  <c r="I26" i="63"/>
  <c r="I55" i="80"/>
  <c r="I56" i="80" s="1"/>
  <c r="E26" i="63"/>
  <c r="C18" i="63"/>
  <c r="G18" i="63" s="1"/>
  <c r="G33" i="78"/>
  <c r="G35" i="78" s="1"/>
  <c r="I53" i="78"/>
  <c r="G56" i="80"/>
  <c r="B29" i="70"/>
  <c r="C26" i="63" l="1"/>
  <c r="G26" i="63" s="1"/>
  <c r="B41" i="38"/>
  <c r="B64" i="38" s="1"/>
  <c r="C61" i="38" l="1"/>
  <c r="C38" i="38"/>
  <c r="B38" i="38"/>
  <c r="B61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1" i="38"/>
  <c r="B54" i="38" s="1"/>
  <c r="C31" i="38"/>
  <c r="G31" i="38"/>
  <c r="B33" i="38"/>
  <c r="C33" i="38"/>
  <c r="G33" i="38"/>
  <c r="B34" i="38"/>
  <c r="B57" i="38" s="1"/>
  <c r="C34" i="38"/>
  <c r="G34" i="38"/>
  <c r="B36" i="38"/>
  <c r="B59" i="38" s="1"/>
  <c r="C36" i="38"/>
  <c r="G36" i="38"/>
  <c r="B37" i="38"/>
  <c r="B60" i="38" s="1"/>
  <c r="C37" i="38"/>
  <c r="G37" i="38"/>
  <c r="B39" i="38"/>
  <c r="B62" i="38" s="1"/>
  <c r="C39" i="38"/>
  <c r="G39" i="38"/>
  <c r="C54" i="38"/>
  <c r="G54" i="38"/>
  <c r="B56" i="38"/>
  <c r="C56" i="38"/>
  <c r="G56" i="38"/>
  <c r="C57" i="38"/>
  <c r="G57" i="38"/>
  <c r="C59" i="38"/>
  <c r="G59" i="38"/>
  <c r="C62" i="38"/>
  <c r="G62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F38" i="66" l="1"/>
  <c r="H26" i="37"/>
  <c r="C38" i="68"/>
  <c r="J26" i="37" l="1"/>
  <c r="F49" i="38" s="1"/>
  <c r="F40" i="68"/>
  <c r="E40" i="68"/>
  <c r="F38" i="76"/>
  <c r="F39" i="76" s="1"/>
  <c r="F41" i="76" s="1"/>
  <c r="F37" i="63" s="1"/>
  <c r="I26" i="37"/>
  <c r="C38" i="66"/>
  <c r="G38" i="66" s="1"/>
  <c r="E38" i="76"/>
  <c r="E39" i="76" s="1"/>
  <c r="H30" i="37"/>
  <c r="D72" i="38" s="1"/>
  <c r="D34" i="76"/>
  <c r="C45" i="38" l="1"/>
  <c r="E49" i="38"/>
  <c r="C49" i="38" s="1"/>
  <c r="C67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68" i="38" l="1"/>
  <c r="E72" i="38"/>
  <c r="C72" i="38" s="1"/>
  <c r="C44" i="38"/>
  <c r="E35" i="76"/>
  <c r="E41" i="76" s="1"/>
  <c r="E37" i="63" s="1"/>
  <c r="F39" i="78"/>
  <c r="G39" i="78" s="1"/>
  <c r="H41" i="76"/>
  <c r="F57" i="80"/>
  <c r="G57" i="80" s="1"/>
  <c r="G43" i="80"/>
  <c r="C41" i="38"/>
  <c r="K30" i="37"/>
  <c r="K26" i="37"/>
  <c r="F54" i="78" l="1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4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D44" i="63" l="1"/>
  <c r="K20" i="37"/>
  <c r="C42" i="63"/>
  <c r="E44" i="63" s="1"/>
  <c r="C32" i="72"/>
  <c r="B32" i="72" s="1"/>
  <c r="B30" i="72"/>
  <c r="H22" i="37" l="1"/>
  <c r="D27" i="38" s="1"/>
  <c r="C22" i="38"/>
  <c r="I22" i="37"/>
  <c r="E27" i="38" s="1"/>
  <c r="F44" i="63"/>
  <c r="C34" i="72"/>
  <c r="D34" i="72"/>
  <c r="B32" i="70"/>
  <c r="C34" i="70"/>
  <c r="D37" i="72" l="1"/>
  <c r="C44" i="63"/>
  <c r="G44" i="63" s="1"/>
  <c r="J22" i="37"/>
  <c r="B34" i="70"/>
  <c r="D36" i="70" s="1"/>
  <c r="B34" i="72"/>
  <c r="C19" i="38"/>
  <c r="C23" i="38" l="1"/>
  <c r="F27" i="38"/>
  <c r="C27" i="38" s="1"/>
  <c r="C36" i="70"/>
  <c r="D39" i="70"/>
  <c r="K22" i="37"/>
  <c r="B37" i="72"/>
  <c r="B38" i="72" l="1"/>
  <c r="C39" i="70"/>
  <c r="E36" i="70"/>
  <c r="B36" i="70"/>
  <c r="E40" i="70" l="1"/>
  <c r="E39" i="70"/>
  <c r="B39" i="70"/>
  <c r="B40" i="70" l="1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<sst xmlns="http://schemas.openxmlformats.org/spreadsheetml/2006/main" count="764" uniqueCount="386">
  <si>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</si>
  <si>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</si>
  <si>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</si>
  <si>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</si>
  <si>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</si>
  <si>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</si>
  <si>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</si>
  <si>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</si>
  <si>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</si>
  <si>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</si>
  <si>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</si>
  <si>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</si>
  <si>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</si>
  <si>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</si>
  <si>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</si>
  <si>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</si>
  <si>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</si>
  <si>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</si>
  <si>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</si>
  <si>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</si>
  <si>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</si>
  <si>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</si>
  <si>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</si>
  <si>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</si>
  <si>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</si>
  <si>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</si>
  <si>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</si>
  <si>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</si>
  <si>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</si>
  <si>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</si>
  <si>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</si>
  <si>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</si>
  <si>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</si>
  <si>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</si>
  <si>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</si>
  <si>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</si>
  <si>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</si>
  <si>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</si>
  <si>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</si>
  <si>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</si>
  <si>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</si>
  <si>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</si>
  <si>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</si>
  <si>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</si>
  <si>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</si>
  <si>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</si>
  <si>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</si>
  <si>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</si>
  <si>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</si>
  <si>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</si>
  <si>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</si>
  <si>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</si>
  <si>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</si>
  <si>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</si>
  <si>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</si>
  <si>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</si>
  <si>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</si>
  <si>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</si>
  <si>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</si>
  <si>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</si>
  <si>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</si>
  <si>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</si>
  <si>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</si>
  <si>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</si>
  <si>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</si>
  <si>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</si>
  <si>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</si>
  <si>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</si>
  <si>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</si>
  <si>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</si>
  <si>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</si>
  <si>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</si>
  <si>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</si>
  <si>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</si>
  <si>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</si>
  <si>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</si>
  <si>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</si>
  <si>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</si>
  <si>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</si>
  <si>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</si>
  <si>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</si>
  <si>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</si>
  <si>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</si>
  <si>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</si>
  <si>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</si>
  <si>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</si>
  <si>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</si>
  <si>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</si>
  <si>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</si>
  <si>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</si>
  <si>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</si>
  <si>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</si>
  <si>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</si>
  <si>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</si>
  <si>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</si>
  <si>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</si>
  <si>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</si>
  <si>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</si>
  <si>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</si>
  <si>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</si>
  <si>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</si>
  <si>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</si>
  <si>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</si>
  <si>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</si>
  <si>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</si>
  <si>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</si>
  <si>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</si>
  <si>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</si>
  <si>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</si>
  <si>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</si>
  <si>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</si>
  <si>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</si>
  <si>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</si>
  <si>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</si>
  <si>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</si>
  <si>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</si>
  <si>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</si>
  <si>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</si>
  <si>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</si>
  <si>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</si>
  <si>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</si>
  <si>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</si>
  <si>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</si>
  <si>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</si>
  <si>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</si>
  <si>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</si>
  <si>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</si>
  <si>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</si>
  <si>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</si>
  <si>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</si>
  <si>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</si>
  <si>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</si>
  <si>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</si>
  <si>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</si>
  <si>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</si>
  <si>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</si>
  <si>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</si>
  <si>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</si>
  <si>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</si>
  <si>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</si>
  <si>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</si>
  <si>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</si>
  <si>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</si>
  <si>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</si>
  <si>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</si>
  <si>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</si>
  <si>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</si>
  <si>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</si>
  <si>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</si>
  <si>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</si>
  <si>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</si>
  <si>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</si>
  <si>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</si>
  <si>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</si>
  <si>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</si>
  <si>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</si>
  <si>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</si>
  <si>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</si>
  <si>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</si>
  <si>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</si>
  <si>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</si>
  <si>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</si>
  <si>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</si>
  <si>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</si>
  <si>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</si>
  <si>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</si>
  <si>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</si>
  <si>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</si>
  <si>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</si>
  <si>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</si>
  <si>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</si>
  <si>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</si>
  <si>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</si>
  <si>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</si>
  <si>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</si>
  <si>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</si>
  <si>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</si>
  <si>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</si>
  <si>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</si>
  <si>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</si>
  <si>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</si>
  <si>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</si>
  <si>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</si>
  <si>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</si>
  <si>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</si>
  <si>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</si>
  <si>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</si>
  <si>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</si>
  <si>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</si>
  <si>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</si>
  <si>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</si>
  <si>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</si>
  <si>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</si>
  <si>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</si>
  <si>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</si>
  <si>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</si>
  <si>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</si>
  <si>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</si>
  <si>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</si>
  <si>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</si>
  <si>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</si>
  <si>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</si>
  <si>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</si>
  <si>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</si>
  <si>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</si>
  <si>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</si>
  <si>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</si>
  <si>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</si>
  <si>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</si>
  <si>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</si>
  <si>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</si>
  <si>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</si>
  <si>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</si>
  <si>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</si>
  <si>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</si>
  <si>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</si>
  <si>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</si>
  <si>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</si>
  <si>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</si>
  <si>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</si>
  <si>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</si>
  <si>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</si>
  <si>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</si>
  <si>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</si>
  <si>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</si>
  <si>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</si>
  <si>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</si>
  <si>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</si>
  <si>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</si>
  <si>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</si>
  <si>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</si>
  <si>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</si>
  <si>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</si>
  <si>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</si>
  <si>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</si>
  <si>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</si>
  <si>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</si>
  <si>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</si>
  <si>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</si>
  <si>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</si>
  <si>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</si>
  <si>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</si>
  <si>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</si>
  <si>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</si>
  <si>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</si>
  <si>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</si>
  <si>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</si>
  <si>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</si>
  <si>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</si>
  <si>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</si>
  <si>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</si>
  <si>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</si>
  <si>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</si>
  <si>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</si>
  <si>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</si>
  <si>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</si>
  <si>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</si>
  <si>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</si>
  <si>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</si>
  <si>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</si>
  <si>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</si>
  <si>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</si>
  <si>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</si>
  <si>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</si>
  <si>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</si>
  <si>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</si>
  <si>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</si>
  <si>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</si>
  <si>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</si>
  <si>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</si>
  <si>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</si>
  <si>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</si>
  <si>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</si>
  <si>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</si>
  <si>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</si>
  <si>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</si>
  <si>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</si>
  <si>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</si>
  <si>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</si>
  <si>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</si>
  <si>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</si>
  <si>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</si>
  <si>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</si>
  <si>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</si>
  <si>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</si>
  <si>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</si>
  <si>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</si>
  <si>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</si>
  <si>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</si>
  <si>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</si>
  <si>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</si>
  <si>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</si>
  <si>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</si>
  <si>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</si>
  <si>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</si>
  <si>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</si>
  <si>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</si>
  <si>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</si>
  <si>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</si>
  <si>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</si>
  <si>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</si>
  <si>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</si>
  <si>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</si>
  <si>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</si>
  <si>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</si>
  <si>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</si>
  <si>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</si>
  <si>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</si>
  <si>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</si>
  <si>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</si>
  <si>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</si>
  <si>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</si>
  <si>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</si>
  <si>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</si>
  <si>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</si>
  <si>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</si>
  <si>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</si>
  <si>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</si>
  <si>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</si>
  <si>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</si>
  <si>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</si>
  <si>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</si>
  <si>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</si>
  <si>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</si>
  <si>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</si>
  <si>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</si>
  <si>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</si>
  <si>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</si>
  <si>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</si>
  <si>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</si>
  <si>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</si>
  <si>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</si>
  <si>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</si>
  <si>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</si>
  <si>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</si>
  <si>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</si>
  <si>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</si>
  <si>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</si>
  <si>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</si>
  <si>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</si>
  <si>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</si>
  <si>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</si>
  <si>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</si>
  <si>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</si>
  <si>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</si>
  <si>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</si>
  <si>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</si>
  <si>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</si>
  <si>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</si>
  <si>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</si>
  <si>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</si>
  <si>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</si>
  <si>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</si>
  <si>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</si>
  <si>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</si>
  <si>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</si>
  <si>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</si>
  <si>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</si>
  <si>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</si>
  <si>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</si>
  <si>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</si>
  <si>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</si>
  <si>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</si>
  <si>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</si>
  <si>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</si>
  <si>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</si>
  <si>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</si>
  <si>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</si>
  <si>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Balances at December 31, 2016</t>
  </si>
  <si>
    <t>For the Twelve Months Ended December 31, 2016</t>
  </si>
  <si>
    <t>For 2016</t>
  </si>
  <si>
    <t>Jason Lang</t>
  </si>
  <si>
    <t>Keri Meister</t>
  </si>
  <si>
    <t>For the Twelve Months Ended December 31, 2017</t>
  </si>
  <si>
    <t>Balances at December 31, 2017</t>
  </si>
  <si>
    <t>Year End Customers at 12/31/17</t>
  </si>
  <si>
    <t>Net Direct Plant (Ending Balance at 12/31/17)</t>
  </si>
  <si>
    <t>The following Four Factor Percentages should be used to allocate common operating costs and plant between utility services effective 1/1/2018.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</si>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</sst>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</numFmts>
  <fonts count="21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1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0" fillId="0" borderId="0" xfId="0" applyAlignment="1">
      <alignment horizontal="center"/>
    </xf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37" fontId="0" fillId="0" borderId="0" xfId="0" applyNumberFormat="1" applyAlignment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19" sqref="A19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32" t="s">
        <v>0</v>
      </c>
    </row>
    <row r="2" spans="1:6" x14ac:dyDescent="0.25">
      <c r="A2" s="132" t="s">
        <v>369</v>
      </c>
    </row>
    <row r="3" spans="1:6" x14ac:dyDescent="0.25">
      <c r="A3" s="132" t="s">
        <v>368</v>
      </c>
    </row>
    <row r="4" spans="1:6" x14ac:dyDescent="0.25">
      <c r="A4" s="132" t="s">
        <v>373</v>
      </c>
    </row>
    <row r="5" spans="1:6" x14ac:dyDescent="0.25">
      <c r="A5" s="132" t="s">
        <v>374</v>
      </c>
    </row>
    <row r="8" spans="1:6" x14ac:dyDescent="0.25">
      <c r="A8" s="90"/>
    </row>
    <row r="9" spans="1:6" x14ac:dyDescent="0.25">
      <c r="C9" s="53"/>
      <c r="D9" s="53"/>
      <c r="E9" s="53"/>
      <c r="F9" s="53"/>
    </row>
    <row r="10" spans="1:6" x14ac:dyDescent="0.25">
      <c r="C10" s="53"/>
      <c r="D10" s="53"/>
      <c r="E10" s="53"/>
      <c r="F10" s="53"/>
    </row>
    <row r="11" spans="1:6" x14ac:dyDescent="0.25">
      <c r="C11" s="53"/>
      <c r="D11" s="53"/>
      <c r="E11" s="53"/>
    </row>
    <row r="13" spans="1:6" x14ac:dyDescent="0.25">
      <c r="C13" s="53"/>
    </row>
    <row r="14" spans="1:6" x14ac:dyDescent="0.25">
      <c r="C14" s="53"/>
      <c r="D14" s="53"/>
      <c r="E14" s="53"/>
      <c r="F14" s="5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ht="78" customHeight="1" x14ac:dyDescent="0.25">
      <c r="A19" s="116"/>
      <c r="B19" s="160"/>
      <c r="C19" s="160"/>
      <c r="D19" s="160"/>
      <c r="E19" s="160"/>
      <c r="F19" s="160"/>
      <c r="G19" s="160"/>
      <c r="H19" s="160"/>
    </row>
    <row r="21" spans="1:8" ht="43.5" customHeight="1" x14ac:dyDescent="0.25">
      <c r="A21" s="116"/>
      <c r="B21" s="160"/>
      <c r="C21" s="160"/>
      <c r="D21" s="160"/>
      <c r="E21" s="160"/>
      <c r="F21" s="160"/>
      <c r="G21" s="160"/>
      <c r="H21" s="160"/>
    </row>
    <row r="26" spans="1:8" x14ac:dyDescent="0.25">
      <c r="C26" s="53"/>
    </row>
    <row r="27" spans="1:8" x14ac:dyDescent="0.25">
      <c r="C27" s="53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1" activePane="bottomRight" state="frozen"/>
      <selection pane="topRight"/>
      <selection pane="bottomLeft"/>
      <selection pane="bottomRight" activeCell="G39" sqref="G39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4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2017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31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5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2518764</v>
      </c>
      <c r="E13" s="6">
        <v>2518764</v>
      </c>
      <c r="F13" s="6"/>
      <c r="G13" s="44"/>
      <c r="H13" s="53">
        <f>SUM(E13:G13)-'UtilityPlt-2017'!E29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3511602</v>
      </c>
      <c r="E14" s="6">
        <v>3511602</v>
      </c>
      <c r="F14" s="6"/>
      <c r="G14" s="45"/>
      <c r="H14" s="53">
        <f>SUM(E14:G14)-'UtilityPlt-2017'!E30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1202</v>
      </c>
      <c r="E15" s="6">
        <v>1202</v>
      </c>
      <c r="F15" s="6">
        <v>0</v>
      </c>
      <c r="G15" s="45">
        <v>0</v>
      </c>
      <c r="H15" s="53">
        <f>SUM(E15:G15)-'UtilityPlt-2017'!E31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10998990</v>
      </c>
      <c r="E16" s="6">
        <v>8552160</v>
      </c>
      <c r="F16" s="6">
        <v>2446830</v>
      </c>
      <c r="G16" s="45">
        <v>1755720</v>
      </c>
      <c r="H16" s="53">
        <f>SUM(E16:G16)-'UtilityPlt-2017'!E32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SUM(E17:G17)-'UtilityPlt-2017'!E33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2219661</v>
      </c>
      <c r="E18" s="6">
        <v>1899111</v>
      </c>
      <c r="F18" s="6">
        <v>320550</v>
      </c>
      <c r="G18" s="45">
        <v>394505</v>
      </c>
      <c r="H18" s="53">
        <f>SUM(E18:G18)-'UtilityPlt-2017'!E34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19554</v>
      </c>
      <c r="E19" s="6">
        <v>14745</v>
      </c>
      <c r="F19" s="6">
        <v>4809</v>
      </c>
      <c r="G19" s="45">
        <v>119175</v>
      </c>
      <c r="H19" s="53">
        <f>SUM(E19:G19)-'UtilityPlt-2017'!E35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3132013</v>
      </c>
      <c r="E20" s="6">
        <v>2384295</v>
      </c>
      <c r="F20" s="6">
        <v>747718</v>
      </c>
      <c r="G20" s="45">
        <v>820589</v>
      </c>
      <c r="H20" s="53">
        <f>SUM(E20:G20)-'UtilityPlt-2017'!E36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1177680</v>
      </c>
      <c r="E21" s="6">
        <v>685366</v>
      </c>
      <c r="F21" s="6">
        <v>492314</v>
      </c>
      <c r="G21" s="45">
        <v>0</v>
      </c>
      <c r="H21" s="53">
        <f>SUM(E21:G21)-'UtilityPlt-2017'!E37</f>
        <v>0</v>
      </c>
    </row>
    <row r="22" spans="1:8" x14ac:dyDescent="0.25">
      <c r="A22" s="1" t="s">
        <v>233</v>
      </c>
      <c r="B22" s="1" t="s">
        <v>25</v>
      </c>
      <c r="C22" s="1"/>
      <c r="D22" s="108">
        <f t="shared" si="0"/>
        <v>0</v>
      </c>
      <c r="E22" s="109"/>
      <c r="F22" s="109"/>
      <c r="G22" s="110">
        <v>0</v>
      </c>
      <c r="H22" s="111">
        <f>SUM(E22:G22)-'UtilityPlt-2017'!E38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23667626</v>
      </c>
      <c r="E23" s="14">
        <f>SUM(E13:E22)</f>
        <v>19655405</v>
      </c>
      <c r="F23" s="14">
        <f>SUM(F13:F22)</f>
        <v>4012221</v>
      </c>
      <c r="G23" s="46">
        <f>SUM(G13:G22)</f>
        <v>3089989</v>
      </c>
      <c r="H23" s="53">
        <f>SUM(E23:G23)-'UtilityPlt-2017'!E39</f>
        <v>0</v>
      </c>
    </row>
    <row r="24" spans="1:8" ht="13.2" thickTop="1" x14ac:dyDescent="0.25">
      <c r="A24" s="1"/>
      <c r="B24" s="1"/>
      <c r="C24" s="1"/>
      <c r="D24">
        <f>+G23+D23-'UtilityPlt-2017'!E39</f>
        <v>0</v>
      </c>
      <c r="E24" s="1"/>
      <c r="F24" s="1"/>
      <c r="H24" s="53"/>
    </row>
    <row r="25" spans="1:8" x14ac:dyDescent="0.25">
      <c r="E25" s="168" t="s">
        <v>360</v>
      </c>
      <c r="F25" s="169"/>
      <c r="G25" s="170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1660110</v>
      </c>
      <c r="E29" s="6">
        <f>713690+203543</f>
        <v>917233</v>
      </c>
      <c r="F29" s="6">
        <f>340200+97025</f>
        <v>437225</v>
      </c>
      <c r="G29" s="6">
        <f>237825+67827</f>
        <v>305652</v>
      </c>
      <c r="H29" s="53">
        <f>+D29-'UtilityPlt-2017'!I29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24998735</v>
      </c>
      <c r="E30" s="6">
        <f>5582730+1592185</f>
        <v>7174915</v>
      </c>
      <c r="F30" s="6">
        <f>5610588+1600131</f>
        <v>7210719</v>
      </c>
      <c r="G30" s="6">
        <f>8257948+2355153</f>
        <v>10613101</v>
      </c>
      <c r="H30" s="53">
        <f>+D30-'UtilityPlt-2017'!I30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638377</v>
      </c>
      <c r="E31" s="6">
        <f>334580+95422</f>
        <v>430002</v>
      </c>
      <c r="F31" s="6">
        <f>66212+18884</f>
        <v>85096</v>
      </c>
      <c r="G31" s="6">
        <f>95922+27357</f>
        <v>123279</v>
      </c>
      <c r="H31" s="53">
        <f>+D31-'UtilityPlt-2017'!I31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6493757</v>
      </c>
      <c r="E32" s="6">
        <f>2084028+594361</f>
        <v>2678389</v>
      </c>
      <c r="F32" s="6">
        <f>820739+234073</f>
        <v>1054812</v>
      </c>
      <c r="G32" s="6">
        <f>2147961+612595</f>
        <v>2760556</v>
      </c>
      <c r="H32" s="53">
        <f>+D32-'UtilityPlt-2017'!I32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4593251</v>
      </c>
      <c r="E33" s="6">
        <f>159134+45385</f>
        <v>204519</v>
      </c>
      <c r="F33" s="6">
        <f>161860+46162</f>
        <v>208022</v>
      </c>
      <c r="G33" s="6">
        <f>3252969+927741</f>
        <v>4180710</v>
      </c>
      <c r="H33" s="53">
        <f>+D33-'UtilityPlt-2017'!I33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1195245</v>
      </c>
      <c r="E34" s="6">
        <f>14692+4190</f>
        <v>18882</v>
      </c>
      <c r="F34" s="6">
        <f>756248+215681</f>
        <v>971929</v>
      </c>
      <c r="G34" s="6">
        <f>159068+45366</f>
        <v>204434</v>
      </c>
      <c r="H34" s="53">
        <f>+D34-'UtilityPlt-2017'!I34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29071</v>
      </c>
      <c r="E35" s="6">
        <f>1303+372</f>
        <v>1675</v>
      </c>
      <c r="F35" s="6">
        <f>416+119</f>
        <v>535</v>
      </c>
      <c r="G35" s="6">
        <f>20900+5961</f>
        <v>26861</v>
      </c>
      <c r="H35" s="53">
        <f>+D35-'UtilityPlt-2017'!I35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1265106</v>
      </c>
      <c r="E36" s="6">
        <f>252166+71917</f>
        <v>324083</v>
      </c>
      <c r="F36" s="6">
        <f>308913+88102</f>
        <v>397015</v>
      </c>
      <c r="G36" s="6">
        <f>423287+120721</f>
        <v>544008</v>
      </c>
      <c r="H36" s="53">
        <f>+D36-'UtilityPlt-2017'!I36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15036325</v>
      </c>
      <c r="E37" s="6">
        <f>1573274+448695</f>
        <v>2021969</v>
      </c>
      <c r="F37" s="6">
        <f>2944798+839852</f>
        <v>3784650</v>
      </c>
      <c r="G37" s="6">
        <f>7181542+2048164</f>
        <v>9229706</v>
      </c>
      <c r="H37" s="53">
        <f>+D37-'UtilityPlt-2017'!I37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18551</v>
      </c>
      <c r="E38" s="6">
        <f>3880+1106</f>
        <v>4986</v>
      </c>
      <c r="F38" s="6">
        <f>6671+1902</f>
        <v>8573</v>
      </c>
      <c r="G38" s="6">
        <f>3884+1108</f>
        <v>4992</v>
      </c>
      <c r="H38" s="53">
        <f>+D38-'UtilityPlt-2017'!I38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55928528</v>
      </c>
      <c r="E39" s="14">
        <f>SUM(E29:E38)</f>
        <v>13776653</v>
      </c>
      <c r="F39" s="14">
        <f>SUM(F29:F38)</f>
        <v>14158576</v>
      </c>
      <c r="G39" s="14">
        <f>SUM(G29:G38)</f>
        <v>27993299</v>
      </c>
      <c r="H39" s="53"/>
    </row>
    <row r="40" spans="1:8" ht="13.2" thickTop="1" x14ac:dyDescent="0.25">
      <c r="A40" s="1"/>
      <c r="B40" s="1"/>
      <c r="C40" s="1"/>
      <c r="D40" s="1" t="str">
        <f>IF(D39='UtilityPlt-2017'!I39,"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49"/>
      <c r="H1" s="56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11">
        <f>+J10+F10-'UtilityPlt-2017'!E42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663643576</v>
      </c>
      <c r="G12" s="109">
        <v>443433325</v>
      </c>
      <c r="H12" s="109">
        <v>220210251</v>
      </c>
      <c r="I12" s="111">
        <f>+J12+F12-'UtilityPlt-2017'!E25</f>
        <v>0</v>
      </c>
      <c r="J12" s="109">
        <f>1800221+839400</f>
        <v>2639621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23667626</v>
      </c>
      <c r="G13" s="3">
        <f>'GasPlt-2017'!E23</f>
        <v>19655405</v>
      </c>
      <c r="H13" s="3">
        <f>'GasPlt-2017'!F23</f>
        <v>4012221</v>
      </c>
      <c r="I13" s="53"/>
      <c r="J13" s="3">
        <f>'GasPlt-2017'!G23</f>
        <v>3089989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689113401</v>
      </c>
      <c r="G14" s="35">
        <f>SUM(G10:G13)</f>
        <v>464111324</v>
      </c>
      <c r="H14" s="35">
        <f>SUM(H10:H13)</f>
        <v>225002077</v>
      </c>
      <c r="J14" s="35">
        <f>SUM(J10:J13)</f>
        <v>5729610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23667626</v>
      </c>
      <c r="G18" s="3">
        <f>G13</f>
        <v>19655405</v>
      </c>
      <c r="H18" s="3">
        <f>H13</f>
        <v>4012221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-2518764</v>
      </c>
      <c r="G19" s="3">
        <f>-'GasPlt-2017'!E13</f>
        <v>-2518764</v>
      </c>
      <c r="H19" s="3">
        <f>-'GasPlt-2017'!F13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-10998990</v>
      </c>
      <c r="G20" s="3">
        <f>-'GasPlt-2017'!E16</f>
        <v>-8552160</v>
      </c>
      <c r="H20" s="3">
        <f>-'GasPlt-2017'!F16</f>
        <v>-2446830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10149872</v>
      </c>
      <c r="G21" s="14">
        <f>SUM(G18:G20)</f>
        <v>8584481</v>
      </c>
      <c r="H21" s="14">
        <f>SUM(H18:H20)</f>
        <v>1565391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0.84577000000000002</v>
      </c>
      <c r="H23" s="36">
        <f>ROUND(+H21/F21,5)</f>
        <v>0.15423000000000001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0.77754000000000001</v>
      </c>
      <c r="H25" s="36">
        <f>ROUND(+H20/F20,5)</f>
        <v>0.22245999999999999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213200741</v>
      </c>
      <c r="G30" s="6">
        <v>139990443</v>
      </c>
      <c r="H30" s="6">
        <v>73210298</v>
      </c>
      <c r="I30" s="53">
        <f>+F30+J30-'UtilityAccDep-2017'!E34</f>
        <v>0</v>
      </c>
      <c r="J30" s="6">
        <v>1736455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+'UtilityAccDep-2017'!E37</f>
        <v>11070624</v>
      </c>
      <c r="G31" s="3">
        <f>ROUND(F31*G23,0)</f>
        <v>9363202</v>
      </c>
      <c r="H31" s="3">
        <f>F31-G31</f>
        <v>1707422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+'UtilityAccDep-2017'!E38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224271365</v>
      </c>
      <c r="G33" s="35">
        <f>SUM(G28:G32)</f>
        <v>149353645</v>
      </c>
      <c r="H33" s="35">
        <f>SUM(H28:H32)</f>
        <v>74917720</v>
      </c>
      <c r="I33" s="3"/>
      <c r="J33" s="35">
        <f>SUM(J28:J32)</f>
        <v>1736455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464842036</v>
      </c>
      <c r="G35" s="3">
        <f>G14-G33</f>
        <v>314757679</v>
      </c>
      <c r="H35" s="3">
        <f>H14-H33</f>
        <v>150084357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27935229</v>
      </c>
      <c r="G38" s="3">
        <f>'GasPlt-2017'!E39</f>
        <v>13776653</v>
      </c>
      <c r="H38" s="3">
        <f>'GasPlt-2017'!F39</f>
        <v>14158576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'UtilityNetPlt-2017'!E34</f>
        <v>0.22284999999999999</v>
      </c>
      <c r="G39" s="4">
        <f>F39</f>
        <v>0.22284999999999999</v>
      </c>
      <c r="H39" s="4">
        <f>G39</f>
        <v>0.22284999999999999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6225366</v>
      </c>
      <c r="G40" s="21">
        <f>ROUND(G38*G39,0)</f>
        <v>3070127</v>
      </c>
      <c r="H40" s="21">
        <f>ROUND(H38*H39,0)</f>
        <v>3155239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2539446</v>
      </c>
      <c r="G41" s="17">
        <f>G55</f>
        <v>1252386</v>
      </c>
      <c r="H41" s="17">
        <f>H55</f>
        <v>1287060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3685920</v>
      </c>
      <c r="G42" s="3">
        <f>G40-G41</f>
        <v>1817741</v>
      </c>
      <c r="H42" s="3">
        <f>H40-H41</f>
        <v>1868179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468527956</v>
      </c>
      <c r="G44" s="14">
        <f>G35+G42</f>
        <v>316575420</v>
      </c>
      <c r="H44" s="14">
        <f>H35+H42</f>
        <v>151952536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'UtilityNetPlt-2017'!G18-'UtilityNetPlt-2017'!G12</f>
        <v>55928528</v>
      </c>
      <c r="G46" s="16">
        <f>'GasPlt-2017'!E39</f>
        <v>13776653</v>
      </c>
      <c r="H46" s="16">
        <f>'GasPlt-2017'!F39</f>
        <v>14158576</v>
      </c>
      <c r="I46" s="16">
        <f>'GasPlt-2017'!G39</f>
        <v>27993299</v>
      </c>
      <c r="J46" s="111">
        <f>SUM(G46:I46)</f>
        <v>55928528</v>
      </c>
      <c r="K46" s="112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>
        <f>IF(+G48+H48+I48=1,G48+H48+I48,"ERROR")</f>
        <v>1</v>
      </c>
      <c r="G48" s="36">
        <f>ROUND(+G46/F46,5)</f>
        <v>0.24632999999999999</v>
      </c>
      <c r="H48" s="36">
        <f>ROUND(+H46/F46,5)</f>
        <v>0.25314999999999999</v>
      </c>
      <c r="I48" s="37">
        <f>ROUND(+I46/F46,5)</f>
        <v>0.50051999999999996</v>
      </c>
      <c r="J48">
        <f>+I48+H48+G48-F48</f>
        <v>0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+'UtilityAccDep-2017'!I37</f>
        <v>22814356</v>
      </c>
      <c r="G51" s="3">
        <f>ROUND(G48*F51,0)</f>
        <v>5619860</v>
      </c>
      <c r="H51" s="3">
        <f>ROUND(H48*F51,0)</f>
        <v>5775454</v>
      </c>
      <c r="I51" s="3">
        <f>F51-G51-H51</f>
        <v>11419042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+'UtilityAccDep-2017'!I38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22814356</v>
      </c>
      <c r="G53" s="48">
        <f>G51+G52</f>
        <v>5619860</v>
      </c>
      <c r="H53" s="48">
        <f>H51+H52</f>
        <v>5775454</v>
      </c>
      <c r="I53" s="48">
        <f>I51+I52</f>
        <v>11419042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0.22284999999999999</v>
      </c>
      <c r="G54" s="38">
        <f>F54</f>
        <v>0.22284999999999999</v>
      </c>
      <c r="H54" s="38">
        <f>G54</f>
        <v>0.22284999999999999</v>
      </c>
      <c r="I54" s="38">
        <f>H54</f>
        <v>0.22284999999999999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5084180</v>
      </c>
      <c r="G55" s="16">
        <f>ROUND(G53*G54,0)</f>
        <v>1252386</v>
      </c>
      <c r="H55" s="16">
        <f>ROUND(H53*H54,0)</f>
        <v>1287060</v>
      </c>
      <c r="I55" s="16">
        <f>ROUND(I53*I54,0)</f>
        <v>2544734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25" activePane="bottomRight" state="frozen"/>
      <selection activeCell="D27" sqref="D27"/>
      <selection pane="topRight" activeCell="D27" sqref="D27"/>
      <selection pane="bottomLeft" activeCell="D27" sqref="D27"/>
      <selection pane="bottomRight" activeCell="D39" sqref="D39"/>
    </sheetView>
  </sheetViews>
  <sheetFormatPr defaultColWidth="9.6640625" defaultRowHeight="12.6" x14ac:dyDescent="0.25"/>
  <cols>
    <col min="1" max="1" width="36.6640625" style="74" customWidth="1"/>
    <col min="2" max="4" width="15.6640625" style="74" customWidth="1"/>
    <col min="5" max="5" width="11.44140625" style="74" bestFit="1" customWidth="1"/>
    <col min="10" max="16384" width="9.6640625" style="74"/>
  </cols>
  <sheetData>
    <row r="1" spans="1:5" x14ac:dyDescent="0.25">
      <c r="A1" s="71" t="str">
        <f>Notes!A1</f>
        <v>Avista Utilities</v>
      </c>
      <c r="B1" s="71"/>
      <c r="C1" s="71"/>
      <c r="D1" s="71"/>
      <c r="E1" s="98"/>
    </row>
    <row r="2" spans="1:5" x14ac:dyDescent="0.25">
      <c r="A2" s="71" t="s">
        <v>314</v>
      </c>
      <c r="B2" s="71"/>
      <c r="C2" s="71"/>
      <c r="D2" s="71"/>
      <c r="E2" s="71"/>
    </row>
    <row r="3" spans="1:5" x14ac:dyDescent="0.25">
      <c r="A3" s="71" t="str">
        <f>Notes!A4</f>
        <v>For the Twelve Months Ended December 31, 2017</v>
      </c>
      <c r="B3" s="71"/>
      <c r="C3" s="71"/>
      <c r="D3" s="71"/>
      <c r="E3" s="71"/>
    </row>
    <row r="4" spans="1:5" x14ac:dyDescent="0.25">
      <c r="A4" s="71"/>
      <c r="B4" s="71"/>
      <c r="C4" s="71"/>
      <c r="D4" s="71"/>
      <c r="E4" s="71"/>
    </row>
    <row r="5" spans="1:5" x14ac:dyDescent="0.25">
      <c r="A5" s="71"/>
      <c r="B5" s="71"/>
      <c r="C5" s="71"/>
      <c r="D5" s="71"/>
      <c r="E5" s="71"/>
    </row>
    <row r="6" spans="1:5" x14ac:dyDescent="0.25">
      <c r="A6" s="71"/>
      <c r="B6" s="71"/>
      <c r="C6" s="71"/>
      <c r="D6" s="71"/>
      <c r="E6" s="71"/>
    </row>
    <row r="7" spans="1:5" x14ac:dyDescent="0.25">
      <c r="A7" s="71"/>
      <c r="B7" s="99" t="s">
        <v>1</v>
      </c>
      <c r="C7" s="99" t="s">
        <v>78</v>
      </c>
      <c r="D7" s="99" t="s">
        <v>79</v>
      </c>
      <c r="E7" s="99" t="s">
        <v>55</v>
      </c>
    </row>
    <row r="8" spans="1:5" x14ac:dyDescent="0.25">
      <c r="A8" s="71"/>
      <c r="B8" s="99" t="s">
        <v>200</v>
      </c>
      <c r="C8" s="71"/>
      <c r="D8" s="71"/>
      <c r="E8" s="71"/>
    </row>
    <row r="9" spans="1:5" x14ac:dyDescent="0.25">
      <c r="A9" s="71"/>
      <c r="B9" s="71"/>
      <c r="C9" s="71"/>
      <c r="D9" s="71"/>
      <c r="E9" s="71"/>
    </row>
    <row r="10" spans="1:5" x14ac:dyDescent="0.25">
      <c r="A10" s="1" t="s">
        <v>307</v>
      </c>
      <c r="B10" s="71"/>
      <c r="C10" s="71"/>
      <c r="D10" s="71"/>
      <c r="E10" s="71"/>
    </row>
    <row r="11" spans="1:5" x14ac:dyDescent="0.25">
      <c r="A11" s="1" t="s">
        <v>308</v>
      </c>
      <c r="B11" s="100">
        <f>SUM(C11:D11)</f>
        <v>5930382</v>
      </c>
      <c r="C11" s="100">
        <f>'Expenses-2017'!Q12</f>
        <v>4118312</v>
      </c>
      <c r="D11" s="100">
        <f>'Expenses-2017'!O12</f>
        <v>1812070</v>
      </c>
      <c r="E11" s="8" t="s">
        <v>331</v>
      </c>
    </row>
    <row r="12" spans="1:5" x14ac:dyDescent="0.25">
      <c r="A12" s="1" t="s">
        <v>310</v>
      </c>
      <c r="B12" s="52">
        <f>SUM(C12:D12)</f>
        <v>10265941</v>
      </c>
      <c r="C12" s="52">
        <f>'Expenses-2017'!Q11</f>
        <v>8735191</v>
      </c>
      <c r="D12" s="52">
        <f>'Expenses-2017'!O11</f>
        <v>1530750</v>
      </c>
      <c r="E12" s="9">
        <v>-2</v>
      </c>
    </row>
    <row r="13" spans="1:5" x14ac:dyDescent="0.25">
      <c r="A13" s="1" t="s">
        <v>309</v>
      </c>
      <c r="B13" s="52">
        <f>SUM(C13:D13)</f>
        <v>1108543</v>
      </c>
      <c r="C13" s="52">
        <f>'Expenses-2017'!G11</f>
        <v>816377</v>
      </c>
      <c r="D13" s="52">
        <f>'Expenses-2017'!F11</f>
        <v>292166</v>
      </c>
      <c r="E13" s="9">
        <v>-2</v>
      </c>
    </row>
    <row r="14" spans="1:5" x14ac:dyDescent="0.25">
      <c r="A14" s="71" t="s">
        <v>135</v>
      </c>
      <c r="B14" s="101">
        <f>SUM(B11:B13)</f>
        <v>17304866</v>
      </c>
      <c r="C14" s="101">
        <f t="shared" ref="C14:D14" si="0">SUM(C11:C13)</f>
        <v>13669880</v>
      </c>
      <c r="D14" s="101">
        <f t="shared" si="0"/>
        <v>3634986</v>
      </c>
      <c r="E14" s="136"/>
    </row>
    <row r="15" spans="1:5" x14ac:dyDescent="0.25">
      <c r="A15" s="71"/>
      <c r="B15" s="71"/>
      <c r="C15" s="71"/>
      <c r="D15" s="71"/>
      <c r="E15" s="136"/>
    </row>
    <row r="16" spans="1:5" x14ac:dyDescent="0.25">
      <c r="A16" s="71" t="s">
        <v>58</v>
      </c>
      <c r="B16" s="102">
        <f>SUM(C16:D16)</f>
        <v>1</v>
      </c>
      <c r="C16" s="102">
        <f>ROUND(+C14/B14,5)</f>
        <v>0.78993999999999998</v>
      </c>
      <c r="D16" s="102">
        <f>ROUND(+D14/B14,5)</f>
        <v>0.21006</v>
      </c>
      <c r="E16" s="136"/>
    </row>
    <row r="17" spans="1:5" x14ac:dyDescent="0.25">
      <c r="A17" s="71"/>
      <c r="B17" s="71"/>
      <c r="C17" s="71"/>
      <c r="D17" s="71"/>
      <c r="E17" s="136"/>
    </row>
    <row r="18" spans="1:5" x14ac:dyDescent="0.25">
      <c r="A18" s="1" t="s">
        <v>59</v>
      </c>
      <c r="B18" s="71"/>
      <c r="C18" s="71"/>
      <c r="D18" s="71"/>
      <c r="E18" s="136"/>
    </row>
    <row r="19" spans="1:5" x14ac:dyDescent="0.25">
      <c r="A19" s="1" t="s">
        <v>308</v>
      </c>
      <c r="B19" s="100">
        <f>SUM(C19:D19)</f>
        <v>8201570</v>
      </c>
      <c r="C19" s="100">
        <f>'Expenses-2017'!Q15</f>
        <v>5627722</v>
      </c>
      <c r="D19" s="100">
        <f>'Expenses-2017'!O15</f>
        <v>2573848</v>
      </c>
      <c r="E19" s="137"/>
    </row>
    <row r="20" spans="1:5" x14ac:dyDescent="0.25">
      <c r="A20" s="1" t="s">
        <v>310</v>
      </c>
      <c r="B20" s="52">
        <f>SUM(C20:D20)</f>
        <v>150838</v>
      </c>
      <c r="C20" s="52">
        <f>'Expenses-2017'!Q14</f>
        <v>124897</v>
      </c>
      <c r="D20" s="52">
        <f>'Expenses-2017'!O14</f>
        <v>25941</v>
      </c>
      <c r="E20" s="137"/>
    </row>
    <row r="21" spans="1:5" x14ac:dyDescent="0.25">
      <c r="A21" s="1" t="s">
        <v>309</v>
      </c>
      <c r="B21" s="52">
        <f>SUM(C21:D21)</f>
        <v>2948081</v>
      </c>
      <c r="C21" s="52">
        <f>'Expenses-2017'!G14</f>
        <v>2450996</v>
      </c>
      <c r="D21" s="52">
        <f>'Expenses-2017'!F14</f>
        <v>497085</v>
      </c>
      <c r="E21" s="137"/>
    </row>
    <row r="22" spans="1:5" x14ac:dyDescent="0.25">
      <c r="A22" s="71" t="s">
        <v>135</v>
      </c>
      <c r="B22" s="101">
        <f>SUM(B19:B21)</f>
        <v>11300489</v>
      </c>
      <c r="C22" s="101">
        <f t="shared" ref="C22:D22" si="1">SUM(C19:C21)</f>
        <v>8203615</v>
      </c>
      <c r="D22" s="101">
        <f t="shared" si="1"/>
        <v>3096874</v>
      </c>
      <c r="E22" s="136"/>
    </row>
    <row r="23" spans="1:5" x14ac:dyDescent="0.25">
      <c r="A23" s="71"/>
      <c r="B23" s="71"/>
      <c r="C23" s="71"/>
      <c r="D23" s="71"/>
      <c r="E23" s="136"/>
    </row>
    <row r="24" spans="1:5" x14ac:dyDescent="0.25">
      <c r="A24" s="71" t="s">
        <v>58</v>
      </c>
      <c r="B24" s="102">
        <f>SUM(C24:D24)</f>
        <v>1</v>
      </c>
      <c r="C24" s="102">
        <f>ROUND(+C22/B22,5)</f>
        <v>0.72594999999999998</v>
      </c>
      <c r="D24" s="102">
        <f>ROUND(+D22/B22,5)</f>
        <v>0.27405000000000002</v>
      </c>
      <c r="E24" s="71"/>
    </row>
    <row r="25" spans="1:5" x14ac:dyDescent="0.25">
      <c r="A25" s="71"/>
      <c r="B25" s="71"/>
      <c r="C25" s="71"/>
      <c r="D25" s="71"/>
      <c r="E25" s="71"/>
    </row>
    <row r="26" spans="1:5" x14ac:dyDescent="0.25">
      <c r="A26" s="78" t="str">
        <f>'7-2017'!A28</f>
        <v>Year End Customers at 12/31/17</v>
      </c>
      <c r="B26" s="52">
        <f>SUM(C26:D26)</f>
        <v>245616</v>
      </c>
      <c r="C26" s="52">
        <f>'7-2017'!E29</f>
        <v>162739</v>
      </c>
      <c r="D26" s="52">
        <f>'7-2017'!E30</f>
        <v>82877</v>
      </c>
      <c r="E26" s="52"/>
    </row>
    <row r="27" spans="1:5" x14ac:dyDescent="0.25">
      <c r="A27" s="71"/>
      <c r="B27" s="71"/>
      <c r="C27" s="71"/>
      <c r="D27" s="71"/>
      <c r="E27" s="71"/>
    </row>
    <row r="28" spans="1:5" x14ac:dyDescent="0.25">
      <c r="A28" s="71" t="s">
        <v>58</v>
      </c>
      <c r="B28" s="102">
        <f>SUM(C28:D28)</f>
        <v>1</v>
      </c>
      <c r="C28" s="102">
        <f>ROUND(+C26/B26,5)</f>
        <v>0.66256999999999999</v>
      </c>
      <c r="D28" s="102">
        <f>ROUND(+D26/B26,5)</f>
        <v>0.33743000000000001</v>
      </c>
      <c r="E28" s="71"/>
    </row>
    <row r="29" spans="1:5" x14ac:dyDescent="0.25">
      <c r="A29" s="71"/>
      <c r="B29" s="71"/>
      <c r="C29" s="71"/>
      <c r="D29" s="71"/>
      <c r="E29" s="71"/>
    </row>
    <row r="30" spans="1:5" x14ac:dyDescent="0.25">
      <c r="A30" s="71" t="str">
        <f>'7-2017'!A36</f>
        <v>Net Direct Plant (Ending Balance at 12/31/17)</v>
      </c>
      <c r="B30" s="100">
        <f>SUM(C30:D30)</f>
        <v>468527956</v>
      </c>
      <c r="C30" s="100">
        <f>'GasNetPlt-2017'!G44</f>
        <v>316575420</v>
      </c>
      <c r="D30" s="100">
        <f>'GasNetPlt-2017'!H44</f>
        <v>151952536</v>
      </c>
      <c r="E30" s="103"/>
    </row>
    <row r="31" spans="1:5" x14ac:dyDescent="0.25">
      <c r="A31" s="71"/>
      <c r="B31" s="100"/>
      <c r="C31" s="96"/>
      <c r="D31" s="96"/>
      <c r="E31" s="103"/>
    </row>
    <row r="32" spans="1:5" x14ac:dyDescent="0.25">
      <c r="A32" s="71" t="s">
        <v>242</v>
      </c>
      <c r="B32" s="104">
        <f>SUM(C32:D32)</f>
        <v>468527956</v>
      </c>
      <c r="C32" s="104">
        <f>+C30+C31</f>
        <v>316575420</v>
      </c>
      <c r="D32" s="104">
        <f>+D30+D31</f>
        <v>151952536</v>
      </c>
      <c r="E32" s="103"/>
    </row>
    <row r="33" spans="1:5" x14ac:dyDescent="0.25">
      <c r="A33" s="71"/>
      <c r="B33" s="71"/>
      <c r="C33" s="71"/>
      <c r="D33" s="71"/>
      <c r="E33" s="71"/>
    </row>
    <row r="34" spans="1:5" x14ac:dyDescent="0.25">
      <c r="A34" s="71" t="s">
        <v>58</v>
      </c>
      <c r="B34" s="102">
        <f>SUM(C34:D34)</f>
        <v>1</v>
      </c>
      <c r="C34" s="102">
        <f>ROUND(+C32/B32,5)</f>
        <v>0.67567999999999995</v>
      </c>
      <c r="D34" s="102">
        <f>ROUND(+D32/B32,5)</f>
        <v>0.32432</v>
      </c>
      <c r="E34" s="71"/>
    </row>
    <row r="35" spans="1:5" x14ac:dyDescent="0.25">
      <c r="A35" s="71"/>
      <c r="B35" s="71"/>
      <c r="C35" s="71"/>
      <c r="D35" s="71"/>
      <c r="E35" s="71"/>
    </row>
    <row r="36" spans="1:5" x14ac:dyDescent="0.25">
      <c r="A36" s="71" t="s">
        <v>64</v>
      </c>
      <c r="B36" s="71"/>
      <c r="C36" s="71"/>
      <c r="D36" s="71"/>
      <c r="E36" s="71"/>
    </row>
    <row r="37" spans="1:5" x14ac:dyDescent="0.25">
      <c r="A37" s="71" t="s">
        <v>65</v>
      </c>
      <c r="B37" s="105">
        <f>SUM(C37:D37)</f>
        <v>4</v>
      </c>
      <c r="C37" s="105">
        <f>C16+C24+C28+C34</f>
        <v>2.8541399999999997</v>
      </c>
      <c r="D37" s="105">
        <f>D16+D24+D28+D34</f>
        <v>1.1458600000000001</v>
      </c>
      <c r="E37" s="99" t="s">
        <v>134</v>
      </c>
    </row>
    <row r="38" spans="1:5" ht="13.2" thickBot="1" x14ac:dyDescent="0.3">
      <c r="A38" s="71" t="s">
        <v>66</v>
      </c>
      <c r="B38" s="106">
        <f>SUM(C38:D38)</f>
        <v>1</v>
      </c>
      <c r="C38" s="30">
        <f>ROUND(+C37/4,5)</f>
        <v>0.71353999999999995</v>
      </c>
      <c r="D38" s="106">
        <f>ROUND(+D37/4,5)-0.00001</f>
        <v>0.28645999999999999</v>
      </c>
      <c r="E38" s="99" t="s">
        <v>134</v>
      </c>
    </row>
    <row r="39" spans="1:5" ht="13.2" thickTop="1" x14ac:dyDescent="0.25">
      <c r="A39" s="71"/>
      <c r="B39" s="71"/>
      <c r="C39" s="71"/>
      <c r="D39" s="71"/>
      <c r="E39" s="71"/>
    </row>
    <row r="40" spans="1:5" x14ac:dyDescent="0.25">
      <c r="A40" s="71" t="s">
        <v>334</v>
      </c>
      <c r="B40" s="71"/>
      <c r="C40" s="71"/>
      <c r="D40" s="71"/>
      <c r="E40" s="71"/>
    </row>
    <row r="41" spans="1:5" x14ac:dyDescent="0.25">
      <c r="A41" s="71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5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E27" sqref="E27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5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375890</v>
      </c>
      <c r="E11" s="6">
        <v>13611</v>
      </c>
      <c r="F11" s="6">
        <v>362279</v>
      </c>
      <c r="G11" s="51">
        <v>22774</v>
      </c>
      <c r="H11" s="53">
        <f>SUM(E11:G11)-'UtilityPlt-2017'!D29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3606649</v>
      </c>
      <c r="E12" s="6">
        <v>1052423</v>
      </c>
      <c r="F12" s="6">
        <v>2554226</v>
      </c>
      <c r="G12" s="51">
        <v>4632477</v>
      </c>
      <c r="H12" s="53">
        <f>SUM(E12:G12)-'UtilityPlt-2017'!D30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971846</v>
      </c>
      <c r="E13" s="6">
        <v>971846</v>
      </c>
      <c r="F13" s="6">
        <v>0</v>
      </c>
      <c r="G13" s="51">
        <v>2107292</v>
      </c>
      <c r="H13" s="53">
        <f>SUM(E13:G13)-'UtilityPlt-2017'!D31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28952932</v>
      </c>
      <c r="E14" s="6">
        <v>20344672</v>
      </c>
      <c r="F14" s="6">
        <v>8608260</v>
      </c>
      <c r="G14" s="51">
        <v>13875631</v>
      </c>
      <c r="H14" s="53">
        <f>SUM(E14:G14)-'UtilityPlt-2017'!D32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SUM(E15:G15)-'UtilityPlt-2017'!D33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1067993</v>
      </c>
      <c r="E16" s="6">
        <v>808146</v>
      </c>
      <c r="F16" s="6">
        <v>259847</v>
      </c>
      <c r="G16" s="51">
        <f>3372454+113841</f>
        <v>3486295</v>
      </c>
      <c r="H16" s="53">
        <f>SUM(E16:G16)-'UtilityPlt-2017'!D34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237210</v>
      </c>
      <c r="E17" s="6">
        <v>210583</v>
      </c>
      <c r="F17" s="6">
        <v>26627</v>
      </c>
      <c r="G17" s="51">
        <v>1235788</v>
      </c>
      <c r="H17" s="53">
        <f>SUM(E17:G17)-'UtilityPlt-2017'!D35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23879459</v>
      </c>
      <c r="E18" s="6">
        <v>14314857</v>
      </c>
      <c r="F18" s="6">
        <v>9564602</v>
      </c>
      <c r="G18" s="51">
        <v>8067447</v>
      </c>
      <c r="H18" s="53">
        <f>SUM(E18:G18)-'UtilityPlt-2017'!D36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18844549</v>
      </c>
      <c r="E19" s="6">
        <v>12042358</v>
      </c>
      <c r="F19" s="6">
        <v>6802191</v>
      </c>
      <c r="G19" s="51">
        <v>45625548</v>
      </c>
      <c r="H19" s="53">
        <f>SUM(E19:G19)-'UtilityPlt-2017'!D37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142848</v>
      </c>
      <c r="H20" s="53">
        <f>SUM(E20:G20)-'UtilityPlt-2017'!D38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77968198</v>
      </c>
      <c r="E21" s="14">
        <f>SUM(E11:E20)</f>
        <v>49768957</v>
      </c>
      <c r="F21" s="14">
        <f>SUM(F11:F20)</f>
        <v>28199241</v>
      </c>
      <c r="G21" s="46">
        <f>SUM(G11:G20)</f>
        <v>79570526</v>
      </c>
      <c r="H21" s="53">
        <f>SUM(E21:G21)-'UtilityPlt-2017'!D39</f>
        <v>0</v>
      </c>
    </row>
    <row r="22" spans="1:8" ht="13.2" thickTop="1" x14ac:dyDescent="0.25">
      <c r="A22" s="1"/>
      <c r="B22" s="1"/>
      <c r="C22" s="1"/>
      <c r="D22" s="73" t="str">
        <f>IF(+D21+G21-'UtilityPlt-2017'!D39=0," ",+'UtilityPlt-2017'!D39)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1660110</v>
      </c>
      <c r="E27" s="3">
        <f>'GasPlt-2017'!E29</f>
        <v>917233</v>
      </c>
      <c r="F27" s="3">
        <f>'GasPlt-2017'!F29</f>
        <v>437225</v>
      </c>
      <c r="G27" s="3">
        <f>'GasPlt-2017'!G29</f>
        <v>305652</v>
      </c>
      <c r="H27" s="53">
        <f>SUM(E27:G27)-'UtilityPlt-2017'!I29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24998735</v>
      </c>
      <c r="E28" s="3">
        <f>'GasPlt-2017'!E30</f>
        <v>7174915</v>
      </c>
      <c r="F28" s="3">
        <f>'GasPlt-2017'!F30</f>
        <v>7210719</v>
      </c>
      <c r="G28" s="3">
        <f>'GasPlt-2017'!G30</f>
        <v>10613101</v>
      </c>
      <c r="H28" s="53">
        <f>SUM(E28:G28)-'UtilityPlt-2017'!I30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638377</v>
      </c>
      <c r="E29" s="3">
        <f>'GasPlt-2017'!E31</f>
        <v>430002</v>
      </c>
      <c r="F29" s="3">
        <f>'GasPlt-2017'!F31</f>
        <v>85096</v>
      </c>
      <c r="G29" s="3">
        <f>'GasPlt-2017'!G31</f>
        <v>123279</v>
      </c>
      <c r="H29" s="53">
        <f>SUM(E29:G29)-'UtilityPlt-2017'!I31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6493757</v>
      </c>
      <c r="E30" s="3">
        <f>'GasPlt-2017'!E32</f>
        <v>2678389</v>
      </c>
      <c r="F30" s="3">
        <f>'GasPlt-2017'!F32</f>
        <v>1054812</v>
      </c>
      <c r="G30" s="3">
        <f>'GasPlt-2017'!G32</f>
        <v>2760556</v>
      </c>
      <c r="H30" s="53">
        <f>SUM(E30:G30)-'UtilityPlt-2017'!I32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4593251</v>
      </c>
      <c r="E31" s="3">
        <f>'GasPlt-2017'!E33</f>
        <v>204519</v>
      </c>
      <c r="F31" s="3">
        <f>'GasPlt-2017'!F33</f>
        <v>208022</v>
      </c>
      <c r="G31" s="3">
        <f>'GasPlt-2017'!G33</f>
        <v>4180710</v>
      </c>
      <c r="H31" s="53">
        <f>SUM(E31:G31)-'UtilityPlt-2017'!I33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1195245</v>
      </c>
      <c r="E32" s="3">
        <f>'GasPlt-2017'!E34</f>
        <v>18882</v>
      </c>
      <c r="F32" s="3">
        <f>'GasPlt-2017'!F34</f>
        <v>971929</v>
      </c>
      <c r="G32" s="3">
        <f>'GasPlt-2017'!G34</f>
        <v>204434</v>
      </c>
      <c r="H32" s="53">
        <f>SUM(E32:G32)-'UtilityPlt-2017'!I34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29071</v>
      </c>
      <c r="E33" s="3">
        <f>'GasPlt-2017'!E35</f>
        <v>1675</v>
      </c>
      <c r="F33" s="3">
        <f>'GasPlt-2017'!F35</f>
        <v>535</v>
      </c>
      <c r="G33" s="3">
        <f>'GasPlt-2017'!G35</f>
        <v>26861</v>
      </c>
      <c r="H33" s="53">
        <f>SUM(E33:G33)-'UtilityPlt-2017'!I35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1265106</v>
      </c>
      <c r="E34" s="3">
        <f>'GasPlt-2017'!E36</f>
        <v>324083</v>
      </c>
      <c r="F34" s="3">
        <f>'GasPlt-2017'!F36</f>
        <v>397015</v>
      </c>
      <c r="G34" s="3">
        <f>'GasPlt-2017'!G36</f>
        <v>544008</v>
      </c>
      <c r="H34" s="53">
        <f>SUM(E34:G34)-'UtilityPlt-2017'!I36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15036325</v>
      </c>
      <c r="E35" s="3">
        <f>'GasPlt-2017'!E37</f>
        <v>2021969</v>
      </c>
      <c r="F35" s="3">
        <f>'GasPlt-2017'!F37</f>
        <v>3784650</v>
      </c>
      <c r="G35" s="3">
        <f>'GasPlt-2017'!G37</f>
        <v>9229706</v>
      </c>
      <c r="H35" s="53">
        <f>SUM(E35:G35)-'UtilityPlt-2017'!I37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18551</v>
      </c>
      <c r="E36" s="3">
        <f>'GasPlt-2017'!E38</f>
        <v>4986</v>
      </c>
      <c r="F36" s="3">
        <f>'GasPlt-2017'!F38</f>
        <v>8573</v>
      </c>
      <c r="G36" s="3">
        <f>'GasPlt-2017'!G38</f>
        <v>4992</v>
      </c>
      <c r="H36">
        <f>SUM(E36:G36)-'UtilityPlt-2017'!I38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55928528</v>
      </c>
      <c r="E37" s="14">
        <f>SUM(E27:E36)</f>
        <v>13776653</v>
      </c>
      <c r="F37" s="14">
        <f>SUM(F27:F36)</f>
        <v>14158576</v>
      </c>
      <c r="G37" s="14">
        <f>SUM(G27:G36)</f>
        <v>27993299</v>
      </c>
      <c r="H37">
        <f>SUM(E37:G37)-'UtilityPlt-2017'!I39</f>
        <v>0</v>
      </c>
    </row>
    <row r="38" spans="1:8" ht="13.2" thickTop="1" x14ac:dyDescent="0.25">
      <c r="A38" s="1"/>
      <c r="B38" s="1"/>
      <c r="C38" s="1"/>
      <c r="D38" s="3" t="str">
        <f>IF(D37='UtilityPlt-2017'!I39,"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5" activePane="bottomRight" state="frozen"/>
      <selection pane="topRight"/>
      <selection pane="bottomLeft"/>
      <selection pane="bottomRight" activeCell="I57" sqref="I57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5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3302007</v>
      </c>
      <c r="G11" s="6">
        <v>3227557</v>
      </c>
      <c r="H11" s="6">
        <v>74450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1640505147</v>
      </c>
      <c r="G15" s="6">
        <v>1071668253</v>
      </c>
      <c r="H15" s="6">
        <v>568836894</v>
      </c>
      <c r="I15" s="3">
        <f>+F15-'UtilityPlt-2017'!D25+J15</f>
        <v>0</v>
      </c>
      <c r="J15" s="157">
        <v>3033975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77968198</v>
      </c>
      <c r="G16" s="3">
        <f>'ElecPlt-2017'!E21</f>
        <v>49768957</v>
      </c>
      <c r="H16" s="3">
        <f>'ElecPlt-2017'!F21</f>
        <v>28199241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1722697772</v>
      </c>
      <c r="G17" s="35">
        <f>SUM(G9:G16)</f>
        <v>1125587187</v>
      </c>
      <c r="H17" s="35">
        <f>SUM(H9:H16)</f>
        <v>597110585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77968198</v>
      </c>
      <c r="G21" s="3">
        <f>G16</f>
        <v>49768957</v>
      </c>
      <c r="H21" s="3">
        <f>H16</f>
        <v>28199241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-375890</v>
      </c>
      <c r="G22" s="3">
        <f>-'ElecPlt-2017'!E11</f>
        <v>-13611</v>
      </c>
      <c r="H22" s="3">
        <f>-'ElecPlt-2017'!F11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-28952932</v>
      </c>
      <c r="G23" s="3">
        <f>-'ElecPlt-2017'!E14</f>
        <v>-20344672</v>
      </c>
      <c r="H23" s="3">
        <f>-'ElecPlt-2017'!F14</f>
        <v>-8608260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48639376</v>
      </c>
      <c r="G24" s="14">
        <f>SUM(G21:G23)</f>
        <v>29410674</v>
      </c>
      <c r="H24" s="14">
        <f>SUM(H21:H23)</f>
        <v>19228702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0.60467000000000004</v>
      </c>
      <c r="H26" s="36">
        <f>ROUND(+H24/F24,5)</f>
        <v>0.39533000000000001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0.70267999999999997</v>
      </c>
      <c r="H28" s="36">
        <f>ROUND(+H23/F23,5)</f>
        <v>0.29731999999999997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230348</v>
      </c>
      <c r="G31" s="6">
        <v>230348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2490307</v>
      </c>
      <c r="G32" s="6">
        <v>2434625</v>
      </c>
      <c r="H32" s="6">
        <v>55682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527761853</v>
      </c>
      <c r="G35" s="6">
        <v>324599111</v>
      </c>
      <c r="H35" s="6">
        <v>203162742</v>
      </c>
      <c r="I35" s="3">
        <f>+F35-'UtilityNetPlt-2017'!D27+J35</f>
        <v>0</v>
      </c>
      <c r="J35" s="158">
        <v>133649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+'UtilityAccDep-2017'!D37</f>
        <v>74593385</v>
      </c>
      <c r="G36" s="3">
        <f>ROUND(F36*G26,0)</f>
        <v>45104382</v>
      </c>
      <c r="H36" s="3">
        <f>F36-G36</f>
        <v>29489003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+'UtilityAccDep-2017'!D38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605075893</v>
      </c>
      <c r="G38" s="35">
        <f>SUM(G31:G37)</f>
        <v>372368466</v>
      </c>
      <c r="H38" s="35">
        <f>SUM(H31:H37)</f>
        <v>232707427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1117621879</v>
      </c>
      <c r="G39" s="3">
        <f>G17-G38</f>
        <v>753218721</v>
      </c>
      <c r="H39" s="3">
        <f>H17-H38</f>
        <v>364403158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27935229</v>
      </c>
      <c r="G42" s="3">
        <f>'ElecPlt-2017'!E$37</f>
        <v>13776653</v>
      </c>
      <c r="H42" s="3">
        <f>'ElecPlt-2017'!F$37</f>
        <v>14158576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'UtilityNetPlt-2017'!D34</f>
        <v>0.77715000000000001</v>
      </c>
      <c r="G43" s="4">
        <f>F43</f>
        <v>0.77715000000000001</v>
      </c>
      <c r="H43" s="4">
        <f>G43</f>
        <v>0.77715000000000001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21709863</v>
      </c>
      <c r="G44" s="21">
        <f>ROUND(G42*G43,0)</f>
        <v>10706526</v>
      </c>
      <c r="H44" s="21">
        <f>ROUND(H42*H43,0)</f>
        <v>11003337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8855868</v>
      </c>
      <c r="G45" s="17">
        <f>G58</f>
        <v>4367474</v>
      </c>
      <c r="H45" s="17">
        <f>H58</f>
        <v>4488394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12853995</v>
      </c>
      <c r="G46" s="3">
        <f>G44-G45</f>
        <v>6339052</v>
      </c>
      <c r="H46" s="3">
        <f>H44-H45</f>
        <v>6514943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1130475874</v>
      </c>
      <c r="G47" s="14">
        <f>G39+G46</f>
        <v>759557773</v>
      </c>
      <c r="H47" s="14">
        <f>H39+H46</f>
        <v>370918101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'UtilityNetPlt-2017'!G18-'UtilityNetPlt-2017'!G12</f>
        <v>55928528</v>
      </c>
      <c r="G49" s="16">
        <f>G42</f>
        <v>13776653</v>
      </c>
      <c r="H49" s="16">
        <f>H42</f>
        <v>14158576</v>
      </c>
      <c r="I49" s="16">
        <f>'ElecPlt-2017'!$G$37</f>
        <v>27993299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>
        <f>IF(+G51+H51+I51=1,G51+H51+I51,"ERROR")</f>
        <v>1</v>
      </c>
      <c r="G51" s="36">
        <f>ROUND(+G49/F49,5)</f>
        <v>0.24632999999999999</v>
      </c>
      <c r="H51" s="36">
        <f>ROUND(+H49/F49,5)</f>
        <v>0.25314999999999999</v>
      </c>
      <c r="I51" s="37">
        <f>ROUND(+I49/F49,5)</f>
        <v>0.50051999999999996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'GasNetPlt-2017'!F51</f>
        <v>22814356</v>
      </c>
      <c r="G54" s="3">
        <f>ROUND($F54*G51,0)</f>
        <v>5619860</v>
      </c>
      <c r="H54" s="3">
        <f>ROUND($F54*H51,0)</f>
        <v>5775454</v>
      </c>
      <c r="I54" s="3">
        <f>F54-G54-H54</f>
        <v>11419042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'GasNetPlt-2017'!F52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22814356</v>
      </c>
      <c r="G56" s="21">
        <f>G55+G54</f>
        <v>5619860</v>
      </c>
      <c r="H56" s="21">
        <f>H55+H54</f>
        <v>5775454</v>
      </c>
      <c r="I56" s="21">
        <f>I55+I54</f>
        <v>11419042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0.77715000000000001</v>
      </c>
      <c r="G57" s="38">
        <f>F57</f>
        <v>0.77715000000000001</v>
      </c>
      <c r="H57" s="38">
        <f>G57</f>
        <v>0.77715000000000001</v>
      </c>
      <c r="I57" s="38">
        <f>H57</f>
        <v>0.77715000000000001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17730176</v>
      </c>
      <c r="G58" s="16">
        <f>ROUND(G56*G57,0)</f>
        <v>4367474</v>
      </c>
      <c r="H58" s="16">
        <f>ROUND(H56*H57,0)</f>
        <v>4488394</v>
      </c>
      <c r="I58" s="16">
        <f>ROUND(I56*I57,0)</f>
        <v>8874308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23" activePane="bottomRight" state="frozen"/>
      <selection activeCell="D27" sqref="D27"/>
      <selection pane="topRight" activeCell="D27" sqref="D27"/>
      <selection pane="bottomLeft" activeCell="D27" sqref="D27"/>
      <selection pane="bottomRight" activeCell="D41" sqref="D41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7"/>
      <c r="F1" s="87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2017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20402603</v>
      </c>
      <c r="C11" s="7">
        <f>'Expenses-2017'!K6</f>
        <v>13416921</v>
      </c>
      <c r="D11" s="7">
        <f>'Expenses-2017'!I6</f>
        <v>6985682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30803483</v>
      </c>
      <c r="C12" s="3">
        <f>'Expenses-2017'!K5</f>
        <v>22543579</v>
      </c>
      <c r="D12" s="3">
        <f>'Expenses-2017'!I5+'Expenses-2017'!J5</f>
        <v>8259904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2139495</v>
      </c>
      <c r="C13" s="3">
        <f>'Expenses-2017'!G5</f>
        <v>1518852</v>
      </c>
      <c r="D13" s="3">
        <f>'Expenses-2017'!F5</f>
        <v>620643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53345581</v>
      </c>
      <c r="C14" s="25">
        <f>SUM(C11:C13)</f>
        <v>37479352</v>
      </c>
      <c r="D14" s="25">
        <f>SUM(D11:D13)</f>
        <v>15866229</v>
      </c>
      <c r="E14" s="138"/>
      <c r="F14" s="1"/>
    </row>
    <row r="15" spans="1:6" x14ac:dyDescent="0.25">
      <c r="E15" s="112"/>
    </row>
    <row r="16" spans="1:6" x14ac:dyDescent="0.25">
      <c r="A16" s="1" t="s">
        <v>58</v>
      </c>
      <c r="B16" s="4">
        <f>SUM(C16:D16)</f>
        <v>1</v>
      </c>
      <c r="C16" s="4">
        <f>ROUND(+C14/B14,5)</f>
        <v>0.70257999999999998</v>
      </c>
      <c r="D16" s="4">
        <f>ROUND(+D14/B14,5)</f>
        <v>0.29742000000000002</v>
      </c>
      <c r="E16" s="139"/>
      <c r="F16" s="77"/>
    </row>
    <row r="17" spans="1:6" x14ac:dyDescent="0.25">
      <c r="E17" s="112"/>
    </row>
    <row r="18" spans="1:6" x14ac:dyDescent="0.25">
      <c r="A18" s="1" t="s">
        <v>59</v>
      </c>
      <c r="B18" s="1"/>
      <c r="C18" s="1"/>
      <c r="D18" s="1"/>
      <c r="E18" s="138"/>
      <c r="F18" s="1"/>
    </row>
    <row r="19" spans="1:6" x14ac:dyDescent="0.25">
      <c r="A19" s="1" t="s">
        <v>308</v>
      </c>
      <c r="B19" s="7">
        <f>SUM(C19:D19)</f>
        <v>12213628</v>
      </c>
      <c r="C19" s="7">
        <f>'Expenses-2017'!K9</f>
        <v>7920911</v>
      </c>
      <c r="D19" s="7">
        <f>'Expenses-2017'!I9</f>
        <v>4292717</v>
      </c>
      <c r="E19" s="140"/>
      <c r="F19" s="8"/>
    </row>
    <row r="20" spans="1:6" x14ac:dyDescent="0.25">
      <c r="A20" s="1" t="s">
        <v>310</v>
      </c>
      <c r="B20" s="3">
        <f>SUM(C20:D20)</f>
        <v>575857</v>
      </c>
      <c r="C20" s="3">
        <f>'Expenses-2017'!K8</f>
        <v>396697</v>
      </c>
      <c r="D20" s="3">
        <f>'Expenses-2017'!I8</f>
        <v>179160</v>
      </c>
      <c r="E20" s="140"/>
      <c r="F20" s="8"/>
    </row>
    <row r="21" spans="1:6" x14ac:dyDescent="0.25">
      <c r="A21" s="1" t="s">
        <v>309</v>
      </c>
      <c r="B21" s="3">
        <f>SUM(C21:D21)</f>
        <v>5518818</v>
      </c>
      <c r="C21" s="3">
        <f>'Expenses-2017'!G8</f>
        <v>4484870</v>
      </c>
      <c r="D21" s="3">
        <f>'Expenses-2017'!F8</f>
        <v>1033948</v>
      </c>
      <c r="E21" s="140"/>
      <c r="F21" s="8"/>
    </row>
    <row r="22" spans="1:6" x14ac:dyDescent="0.25">
      <c r="A22" s="1" t="s">
        <v>135</v>
      </c>
      <c r="B22" s="25">
        <f>SUM(B19:B21)</f>
        <v>18308303</v>
      </c>
      <c r="C22" s="25">
        <f>SUM(C19:C21)</f>
        <v>12802478</v>
      </c>
      <c r="D22" s="25">
        <f>SUM(D19:D21)</f>
        <v>5505825</v>
      </c>
      <c r="E22" s="138"/>
      <c r="F22" s="1"/>
    </row>
    <row r="23" spans="1:6" x14ac:dyDescent="0.25">
      <c r="E23" s="112"/>
    </row>
    <row r="24" spans="1:6" x14ac:dyDescent="0.25">
      <c r="A24" s="1" t="s">
        <v>58</v>
      </c>
      <c r="B24" s="4">
        <f>SUM(C24:D24)</f>
        <v>1</v>
      </c>
      <c r="C24" s="4">
        <f>ROUND(+C22/B22,5)</f>
        <v>0.69926999999999995</v>
      </c>
      <c r="D24" s="4">
        <f>ROUND(+D22/B22,5)</f>
        <v>0.30073</v>
      </c>
      <c r="E24" s="139"/>
      <c r="F24" s="77"/>
    </row>
    <row r="25" spans="1:6" x14ac:dyDescent="0.25">
      <c r="E25" s="112"/>
    </row>
    <row r="26" spans="1:6" x14ac:dyDescent="0.25">
      <c r="A26" s="1" t="str">
        <f>'7-2017'!A28</f>
        <v>Year End Customers at 12/31/17</v>
      </c>
      <c r="B26" s="3" t="str">
        <f>IF(B27=+'7-2017'!$D$32," ","CHECK CUSTOMER NUMBERS")</f>
        <v xml:space="preserve"> </v>
      </c>
      <c r="C26" s="1"/>
      <c r="D26" s="1"/>
      <c r="E26" s="138"/>
      <c r="F26" s="1"/>
    </row>
    <row r="27" spans="1:6" x14ac:dyDescent="0.25">
      <c r="A27" s="1" t="s">
        <v>63</v>
      </c>
      <c r="B27" s="3">
        <f>SUM(C27:D27)</f>
        <v>382273</v>
      </c>
      <c r="C27" s="3">
        <f>'7-2017'!D29</f>
        <v>250848</v>
      </c>
      <c r="D27" s="3">
        <f>'7-2017'!D30</f>
        <v>131425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0.65620000000000001</v>
      </c>
      <c r="D29" s="4">
        <f>ROUND(+D27/B27,5)</f>
        <v>0.34379999999999999</v>
      </c>
      <c r="E29" s="77"/>
      <c r="F29" s="77"/>
    </row>
    <row r="31" spans="1:6" x14ac:dyDescent="0.25">
      <c r="A31" s="1" t="str">
        <f>'7-2017'!A36</f>
        <v>Net Direct Plant (Ending Balance at 12/31/17)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1130475874</v>
      </c>
      <c r="C32" s="7">
        <f>'ElecNetPlt-2017'!G47</f>
        <v>759557773</v>
      </c>
      <c r="D32" s="7">
        <f>'ElecNetPlt-2017'!H47</f>
        <v>370918101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1130475874</v>
      </c>
      <c r="C34" s="25">
        <f>SUM(C32:C33)</f>
        <v>759557773</v>
      </c>
      <c r="D34" s="25">
        <f>SUM(D32:D33)</f>
        <v>370918101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0.67188999999999999</v>
      </c>
      <c r="D36" s="4">
        <f>ROUND(+D34/B34,5)</f>
        <v>0.32811000000000001</v>
      </c>
      <c r="E36" s="77">
        <f>+C36+D36-1</f>
        <v>0</v>
      </c>
      <c r="F36" s="77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2.72994</v>
      </c>
      <c r="D39" s="27">
        <f>D16+D24+D29+D36</f>
        <v>1.27006</v>
      </c>
      <c r="E39" s="77">
        <f>+C39+D39-4</f>
        <v>0</v>
      </c>
      <c r="F39" s="77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0.68249000000000004</v>
      </c>
      <c r="D40" s="29">
        <f>ROUND(+D39/4,5)-0.00001</f>
        <v>0.31751000000000001</v>
      </c>
      <c r="E40" s="77">
        <f>+C40+D40-1</f>
        <v>0</v>
      </c>
      <c r="F40" s="77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4"/>
    </row>
    <row r="48" spans="1:6" x14ac:dyDescent="0.25">
      <c r="C48" s="55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6:G72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D27" sqref="D27"/>
    </sheetView>
  </sheetViews>
  <sheetFormatPr defaultRowHeight="12.6" x14ac:dyDescent="0.25"/>
  <cols>
    <col min="1" max="1" width="1.6640625" customWidth="1"/>
    <col min="2" max="2" width="20.6640625" customWidth="1"/>
    <col min="3" max="6" width="12.6640625" customWidth="1"/>
  </cols>
  <sheetData>
    <row r="6" spans="1:7" x14ac:dyDescent="0.25">
      <c r="C6" s="54" t="s">
        <v>1</v>
      </c>
      <c r="D6" s="88" t="s">
        <v>2</v>
      </c>
      <c r="E6" s="88" t="s">
        <v>3</v>
      </c>
      <c r="F6" s="88" t="s">
        <v>298</v>
      </c>
    </row>
    <row r="8" spans="1:7" x14ac:dyDescent="0.25">
      <c r="A8" s="55" t="s">
        <v>194</v>
      </c>
    </row>
    <row r="9" spans="1:7" x14ac:dyDescent="0.25">
      <c r="B9" s="97" t="s">
        <v>237</v>
      </c>
      <c r="C9" s="89">
        <f>+D9+E9+F9</f>
        <v>1</v>
      </c>
      <c r="D9" s="118">
        <v>0.72399000000000002</v>
      </c>
      <c r="E9" s="118">
        <v>0.19517999999999999</v>
      </c>
      <c r="F9" s="118">
        <v>8.0829999999999999E-2</v>
      </c>
      <c r="G9" s="89">
        <f>1-SUM(D9:F9)</f>
        <v>0</v>
      </c>
    </row>
    <row r="10" spans="1:7" x14ac:dyDescent="0.25">
      <c r="B10" s="72"/>
      <c r="C10" s="72"/>
      <c r="D10" s="118"/>
      <c r="E10" s="118"/>
      <c r="F10" s="118"/>
      <c r="G10" s="89"/>
    </row>
    <row r="11" spans="1:7" x14ac:dyDescent="0.25">
      <c r="B11" s="72" t="s">
        <v>238</v>
      </c>
      <c r="C11" s="89">
        <f>+D11+E11+F11</f>
        <v>1</v>
      </c>
      <c r="D11" s="118">
        <v>0.73197000000000001</v>
      </c>
      <c r="E11" s="118">
        <v>0.18926999999999999</v>
      </c>
      <c r="F11" s="118">
        <v>7.8759999999999997E-2</v>
      </c>
      <c r="G11" s="89">
        <f>1-SUM(D11:F11)</f>
        <v>0</v>
      </c>
    </row>
    <row r="12" spans="1:7" x14ac:dyDescent="0.25">
      <c r="B12" s="72" t="s">
        <v>239</v>
      </c>
      <c r="C12" s="89">
        <f>+D12+E12+F12</f>
        <v>1</v>
      </c>
      <c r="D12" s="118">
        <v>0.73541000000000001</v>
      </c>
      <c r="E12" s="118">
        <v>0.18382999999999999</v>
      </c>
      <c r="F12" s="118">
        <v>8.0759999999999998E-2</v>
      </c>
      <c r="G12" s="89">
        <f>1-SUM(D12:F12)</f>
        <v>0</v>
      </c>
    </row>
    <row r="13" spans="1:7" x14ac:dyDescent="0.25">
      <c r="B13" s="72"/>
      <c r="C13" s="72"/>
      <c r="D13" s="118"/>
      <c r="E13" s="118"/>
      <c r="F13" s="118"/>
      <c r="G13" s="89"/>
    </row>
    <row r="14" spans="1:7" x14ac:dyDescent="0.25">
      <c r="B14" s="72" t="s">
        <v>240</v>
      </c>
      <c r="C14" s="89">
        <f>+D14+E14+F14</f>
        <v>0.99999999999999989</v>
      </c>
      <c r="D14" s="118">
        <v>0.73341999999999996</v>
      </c>
      <c r="E14" s="118">
        <v>0.18434</v>
      </c>
      <c r="F14" s="118">
        <v>8.2239999999999994E-2</v>
      </c>
      <c r="G14" s="89">
        <f>1-SUM(D14:F14)</f>
        <v>0</v>
      </c>
    </row>
    <row r="15" spans="1:7" x14ac:dyDescent="0.25">
      <c r="B15" s="72" t="s">
        <v>241</v>
      </c>
      <c r="C15" s="89">
        <f>+D15+E15+F15</f>
        <v>1</v>
      </c>
      <c r="D15" s="118">
        <v>0.71960000000000002</v>
      </c>
      <c r="E15" s="118">
        <v>0.1918</v>
      </c>
      <c r="F15" s="118">
        <v>8.8599999999999998E-2</v>
      </c>
      <c r="G15" s="89">
        <f>1-SUM(D15:F15)</f>
        <v>0</v>
      </c>
    </row>
    <row r="16" spans="1:7" x14ac:dyDescent="0.25">
      <c r="B16" s="72" t="s">
        <v>243</v>
      </c>
      <c r="C16" s="89">
        <f>+D16+E16+F16</f>
        <v>0.99999999999999989</v>
      </c>
      <c r="D16" s="118">
        <v>0.72043999999999997</v>
      </c>
      <c r="E16" s="118">
        <v>0.19345999999999999</v>
      </c>
      <c r="F16" s="118">
        <v>8.6099999999999996E-2</v>
      </c>
      <c r="G16" s="89"/>
    </row>
    <row r="17" spans="1:7" x14ac:dyDescent="0.25">
      <c r="B17" s="72" t="s">
        <v>269</v>
      </c>
      <c r="C17" s="89">
        <f>+D17+E17+F17</f>
        <v>1</v>
      </c>
      <c r="D17" s="118">
        <v>0.72382999999999997</v>
      </c>
      <c r="E17" s="118">
        <v>0.19477</v>
      </c>
      <c r="F17" s="118">
        <v>8.14E-2</v>
      </c>
      <c r="G17" s="89">
        <f>1-SUM(D17:F17)</f>
        <v>0</v>
      </c>
    </row>
    <row r="18" spans="1:7" x14ac:dyDescent="0.25">
      <c r="B18" s="72"/>
      <c r="C18" s="89"/>
      <c r="D18" s="118"/>
      <c r="E18" s="118"/>
      <c r="F18" s="118"/>
      <c r="G18" s="89"/>
    </row>
    <row r="19" spans="1:7" x14ac:dyDescent="0.25">
      <c r="B19" s="72" t="s">
        <v>335</v>
      </c>
      <c r="C19" s="89">
        <f>+D19+E19+F19</f>
        <v>1</v>
      </c>
      <c r="D19" s="118">
        <v>0.72043999999999997</v>
      </c>
      <c r="E19" s="118">
        <v>0.19889000000000001</v>
      </c>
      <c r="F19" s="118">
        <v>8.0670000000000006E-2</v>
      </c>
      <c r="G19" s="89"/>
    </row>
    <row r="20" spans="1:7" x14ac:dyDescent="0.25">
      <c r="B20" s="72" t="s">
        <v>336</v>
      </c>
      <c r="C20" s="89">
        <f>+D20+E20+F20</f>
        <v>1</v>
      </c>
      <c r="D20" s="141">
        <v>0.71122000000000007</v>
      </c>
      <c r="E20" s="141">
        <v>0.20502000000000001</v>
      </c>
      <c r="F20" s="141">
        <v>8.3760000000000001E-2</v>
      </c>
      <c r="G20" s="89"/>
    </row>
    <row r="21" spans="1:7" x14ac:dyDescent="0.25">
      <c r="B21" s="72"/>
      <c r="C21" s="89"/>
      <c r="D21" s="118"/>
      <c r="E21" s="118"/>
      <c r="F21" s="118"/>
      <c r="G21" s="89"/>
    </row>
    <row r="22" spans="1:7" x14ac:dyDescent="0.25">
      <c r="B22" s="72" t="s">
        <v>337</v>
      </c>
      <c r="C22" s="89">
        <f t="shared" ref="C22:C27" si="0">+D22+E22+F22</f>
        <v>1</v>
      </c>
      <c r="D22" s="118">
        <v>0.72345999999999999</v>
      </c>
      <c r="E22" s="118">
        <v>0.19400999999999999</v>
      </c>
      <c r="F22" s="118">
        <v>8.2530000000000006E-2</v>
      </c>
      <c r="G22" s="89"/>
    </row>
    <row r="23" spans="1:7" x14ac:dyDescent="0.25">
      <c r="B23" s="72" t="s">
        <v>342</v>
      </c>
      <c r="C23" s="89">
        <f t="shared" si="0"/>
        <v>0.99999999999999989</v>
      </c>
      <c r="D23" s="118">
        <v>0.71289999999999998</v>
      </c>
      <c r="E23" s="118">
        <v>0.19822000000000001</v>
      </c>
      <c r="F23" s="118">
        <v>8.8880000000000001E-2</v>
      </c>
      <c r="G23" s="89"/>
    </row>
    <row r="24" spans="1:7" x14ac:dyDescent="0.25">
      <c r="B24" s="72" t="s">
        <v>364</v>
      </c>
      <c r="C24" s="89">
        <v>1</v>
      </c>
      <c r="D24" s="118">
        <v>0.71547000000000005</v>
      </c>
      <c r="E24" s="118">
        <v>0.19750999999999999</v>
      </c>
      <c r="F24" s="118">
        <v>8.702E-2</v>
      </c>
      <c r="G24" s="89"/>
    </row>
    <row r="25" spans="1:7" x14ac:dyDescent="0.25">
      <c r="B25" s="72" t="s">
        <v>367</v>
      </c>
      <c r="C25" s="89">
        <v>1</v>
      </c>
      <c r="D25" s="118">
        <v>0.71326000000000001</v>
      </c>
      <c r="E25" s="118">
        <v>0.19958000000000001</v>
      </c>
      <c r="F25" s="118">
        <v>8.7160000000000001E-2</v>
      </c>
      <c r="G25" s="89"/>
    </row>
    <row r="26" spans="1:7" x14ac:dyDescent="0.25">
      <c r="B26" s="72" t="s">
        <v>370</v>
      </c>
      <c r="C26" s="89">
        <v>1</v>
      </c>
      <c r="D26" s="118">
        <v>0.70328000000000002</v>
      </c>
      <c r="E26" s="118">
        <v>0.20444999999999999</v>
      </c>
      <c r="F26" s="118">
        <v>9.2270000000000005E-2</v>
      </c>
      <c r="G26" s="89"/>
    </row>
    <row r="27" spans="1:7" x14ac:dyDescent="0.25">
      <c r="B27" s="72" t="s">
        <v>378</v>
      </c>
      <c r="C27" s="89">
        <f t="shared" si="0"/>
        <v>1</v>
      </c>
      <c r="D27" s="89">
        <f>+NewMemo!H22</f>
        <v>0.70135000000000003</v>
      </c>
      <c r="E27" s="89">
        <f>+NewMemo!I22</f>
        <v>0.20549000000000001</v>
      </c>
      <c r="F27" s="89">
        <f>+NewMemo!J22</f>
        <v>9.3160000000000007E-2</v>
      </c>
      <c r="G27" s="89"/>
    </row>
    <row r="28" spans="1:7" x14ac:dyDescent="0.25">
      <c r="B28" s="72"/>
      <c r="C28" s="89"/>
      <c r="D28" s="89"/>
      <c r="E28" s="89"/>
      <c r="F28" s="89"/>
      <c r="G28" s="89"/>
    </row>
    <row r="29" spans="1:7" x14ac:dyDescent="0.25">
      <c r="D29" s="89"/>
      <c r="E29" s="89"/>
      <c r="F29" s="89"/>
      <c r="G29" s="89"/>
    </row>
    <row r="30" spans="1:7" x14ac:dyDescent="0.25">
      <c r="A30" s="55" t="s">
        <v>195</v>
      </c>
      <c r="D30" s="89"/>
      <c r="E30" s="89"/>
      <c r="F30" s="89"/>
      <c r="G30" s="89"/>
    </row>
    <row r="31" spans="1:7" x14ac:dyDescent="0.25">
      <c r="B31" s="90" t="str">
        <f>+B9</f>
        <v>For 2005</v>
      </c>
      <c r="C31" s="89">
        <f>+D31+E31+F31</f>
        <v>1</v>
      </c>
      <c r="D31" s="118">
        <v>0</v>
      </c>
      <c r="E31" s="118">
        <v>0.71536</v>
      </c>
      <c r="F31" s="118">
        <v>0.28464</v>
      </c>
      <c r="G31" s="89">
        <f>1-SUM(D31:F31)</f>
        <v>0</v>
      </c>
    </row>
    <row r="32" spans="1:7" x14ac:dyDescent="0.25">
      <c r="D32" s="118"/>
      <c r="E32" s="118"/>
      <c r="F32" s="118"/>
      <c r="G32" s="89"/>
    </row>
    <row r="33" spans="2:7" x14ac:dyDescent="0.25">
      <c r="B33" s="90" t="str">
        <f>+B11</f>
        <v>Original For 2006</v>
      </c>
      <c r="C33" s="89">
        <f>+D33+E33+F33</f>
        <v>1</v>
      </c>
      <c r="D33" s="118"/>
      <c r="E33" s="118">
        <v>0.71565000000000001</v>
      </c>
      <c r="F33" s="118">
        <v>0.28434999999999999</v>
      </c>
      <c r="G33" s="89">
        <f>1-SUM(D33:F33)</f>
        <v>0</v>
      </c>
    </row>
    <row r="34" spans="2:7" x14ac:dyDescent="0.25">
      <c r="B34" s="90" t="str">
        <f>+B12</f>
        <v>Revised For 2006</v>
      </c>
      <c r="C34" s="89">
        <f>+D34+E34+F34</f>
        <v>1</v>
      </c>
      <c r="D34" s="118"/>
      <c r="E34" s="118">
        <v>0.69884999999999997</v>
      </c>
      <c r="F34" s="118">
        <v>0.30114999999999997</v>
      </c>
      <c r="G34" s="89">
        <f>1-SUM(D34:F34)</f>
        <v>0</v>
      </c>
    </row>
    <row r="35" spans="2:7" x14ac:dyDescent="0.25">
      <c r="D35" s="118"/>
      <c r="E35" s="118"/>
      <c r="F35" s="118"/>
      <c r="G35" s="89"/>
    </row>
    <row r="36" spans="2:7" x14ac:dyDescent="0.25">
      <c r="B36" s="90" t="str">
        <f>+B14</f>
        <v>For 2007</v>
      </c>
      <c r="C36" s="89">
        <f>+D36+E36+F36</f>
        <v>1</v>
      </c>
      <c r="D36" s="118"/>
      <c r="E36" s="118">
        <v>0.6925</v>
      </c>
      <c r="F36" s="118">
        <v>0.3075</v>
      </c>
      <c r="G36" s="89">
        <f>1-SUM(D36:F36)</f>
        <v>0</v>
      </c>
    </row>
    <row r="37" spans="2:7" x14ac:dyDescent="0.25">
      <c r="B37" s="90" t="str">
        <f>+B15</f>
        <v>For 2008</v>
      </c>
      <c r="C37" s="89">
        <f>+D37+E37+F37</f>
        <v>1</v>
      </c>
      <c r="D37" s="118"/>
      <c r="E37" s="118">
        <v>0.68157000000000001</v>
      </c>
      <c r="F37" s="118">
        <v>0.31842999999999999</v>
      </c>
      <c r="G37" s="89">
        <f>1-SUM(D37:F37)</f>
        <v>0</v>
      </c>
    </row>
    <row r="38" spans="2:7" x14ac:dyDescent="0.25">
      <c r="B38" s="90" t="str">
        <f>+B16</f>
        <v>For 2009</v>
      </c>
      <c r="C38" s="89">
        <f>+D38+E38+F38</f>
        <v>1</v>
      </c>
      <c r="D38" s="118"/>
      <c r="E38" s="118">
        <v>0.68979999999999997</v>
      </c>
      <c r="F38" s="118">
        <v>0.31019999999999998</v>
      </c>
      <c r="G38" s="89"/>
    </row>
    <row r="39" spans="2:7" x14ac:dyDescent="0.25">
      <c r="B39" s="90" t="str">
        <f>+B17</f>
        <v>For 2010</v>
      </c>
      <c r="C39" s="89">
        <f>+D39+E39+F39</f>
        <v>1</v>
      </c>
      <c r="D39" s="118"/>
      <c r="E39" s="118">
        <v>0.70574999999999999</v>
      </c>
      <c r="F39" s="118">
        <v>0.29425000000000001</v>
      </c>
      <c r="G39" s="89">
        <f>1-SUM(D39:F39)</f>
        <v>0</v>
      </c>
    </row>
    <row r="40" spans="2:7" x14ac:dyDescent="0.25">
      <c r="B40" s="90"/>
      <c r="C40" s="89"/>
      <c r="D40" s="118"/>
      <c r="E40" s="118"/>
      <c r="F40" s="118"/>
      <c r="G40" s="89"/>
    </row>
    <row r="41" spans="2:7" x14ac:dyDescent="0.25">
      <c r="B41" s="90" t="str">
        <f>+B19</f>
        <v>Original For 2011</v>
      </c>
      <c r="C41" s="89">
        <f>+D41+E41+F41</f>
        <v>1</v>
      </c>
      <c r="D41" s="89"/>
      <c r="E41" s="118">
        <v>0.71331</v>
      </c>
      <c r="F41" s="118">
        <v>0.28669</v>
      </c>
      <c r="G41" s="89"/>
    </row>
    <row r="42" spans="2:7" x14ac:dyDescent="0.25">
      <c r="B42" s="142" t="s">
        <v>336</v>
      </c>
      <c r="C42" s="89">
        <f>+D42+E42+F42</f>
        <v>1</v>
      </c>
      <c r="D42" s="89"/>
      <c r="E42" s="141">
        <v>0.71467000000000003</v>
      </c>
      <c r="F42" s="141">
        <v>0.28532999999999997</v>
      </c>
      <c r="G42" s="89"/>
    </row>
    <row r="43" spans="2:7" x14ac:dyDescent="0.25">
      <c r="B43" s="90"/>
      <c r="C43" s="89"/>
      <c r="D43" s="89"/>
      <c r="E43" s="118"/>
      <c r="F43" s="118"/>
      <c r="G43" s="89"/>
    </row>
    <row r="44" spans="2:7" x14ac:dyDescent="0.25">
      <c r="B44" s="90" t="str">
        <f>+B22</f>
        <v>For 2012</v>
      </c>
      <c r="C44" s="89">
        <f t="shared" ref="C44:C45" si="1">+D44+E44+F44</f>
        <v>1</v>
      </c>
      <c r="D44" s="89"/>
      <c r="E44" s="118">
        <v>0.70320000000000005</v>
      </c>
      <c r="F44" s="118">
        <v>0.29680000000000001</v>
      </c>
      <c r="G44" s="89"/>
    </row>
    <row r="45" spans="2:7" x14ac:dyDescent="0.25">
      <c r="B45" s="90" t="str">
        <f>+B23</f>
        <v>For 2013</v>
      </c>
      <c r="C45" s="89">
        <f t="shared" si="1"/>
        <v>1</v>
      </c>
      <c r="D45" s="89"/>
      <c r="E45" s="118">
        <v>0.68732000000000004</v>
      </c>
      <c r="F45" s="118">
        <v>0.31268000000000001</v>
      </c>
      <c r="G45" s="89"/>
    </row>
    <row r="46" spans="2:7" x14ac:dyDescent="0.25">
      <c r="B46" s="90" t="s">
        <v>364</v>
      </c>
      <c r="C46" s="89">
        <v>1</v>
      </c>
      <c r="D46" s="89"/>
      <c r="E46" s="118">
        <v>0.69081999999999999</v>
      </c>
      <c r="F46" s="118">
        <v>0.30918000000000001</v>
      </c>
      <c r="G46" s="89"/>
    </row>
    <row r="47" spans="2:7" x14ac:dyDescent="0.25">
      <c r="B47" s="90" t="s">
        <v>367</v>
      </c>
      <c r="C47" s="89">
        <v>1</v>
      </c>
      <c r="D47" s="89"/>
      <c r="E47" s="118">
        <v>0.69633999999999996</v>
      </c>
      <c r="F47" s="118">
        <v>0.30365999999999999</v>
      </c>
      <c r="G47" s="89"/>
    </row>
    <row r="48" spans="2:7" x14ac:dyDescent="0.25">
      <c r="B48" s="90" t="s">
        <v>370</v>
      </c>
      <c r="C48" s="89">
        <v>1</v>
      </c>
      <c r="D48" s="89"/>
      <c r="E48" s="118">
        <v>0.68557999999999997</v>
      </c>
      <c r="F48" s="118">
        <v>0.31441999999999998</v>
      </c>
      <c r="G48" s="89"/>
    </row>
    <row r="49" spans="1:7" x14ac:dyDescent="0.25">
      <c r="B49" s="90" t="str">
        <f t="shared" ref="B49" si="2">+B27</f>
        <v>For 2017</v>
      </c>
      <c r="C49" s="89">
        <f t="shared" ref="C49" si="3">+D49+E49+F49</f>
        <v>1</v>
      </c>
      <c r="D49" s="89"/>
      <c r="E49" s="89">
        <f>+NewMemo!I26</f>
        <v>0.68562000000000001</v>
      </c>
      <c r="F49" s="89">
        <f>+NewMemo!J26</f>
        <v>0.31437999999999999</v>
      </c>
      <c r="G49" s="89"/>
    </row>
    <row r="50" spans="1:7" x14ac:dyDescent="0.25">
      <c r="B50" s="90"/>
      <c r="C50" s="89"/>
      <c r="D50" s="89"/>
      <c r="E50" s="89"/>
      <c r="F50" s="89"/>
      <c r="G50" s="89"/>
    </row>
    <row r="51" spans="1:7" x14ac:dyDescent="0.25">
      <c r="B51" s="90"/>
      <c r="C51" s="89"/>
      <c r="D51" s="89"/>
      <c r="E51" s="89"/>
      <c r="F51" s="89"/>
      <c r="G51" s="89"/>
    </row>
    <row r="52" spans="1:7" x14ac:dyDescent="0.25">
      <c r="B52" s="90"/>
      <c r="C52" s="90"/>
      <c r="D52" s="89"/>
      <c r="E52" s="89"/>
      <c r="F52" s="89"/>
      <c r="G52" s="89"/>
    </row>
    <row r="53" spans="1:7" x14ac:dyDescent="0.25">
      <c r="A53" s="55" t="s">
        <v>196</v>
      </c>
      <c r="D53" s="89"/>
      <c r="E53" s="89"/>
      <c r="F53" s="89"/>
      <c r="G53" s="89"/>
    </row>
    <row r="54" spans="1:7" x14ac:dyDescent="0.25">
      <c r="B54" s="90" t="str">
        <f>+B31</f>
        <v>For 2005</v>
      </c>
      <c r="C54" s="89">
        <f>+D54+E54+F54</f>
        <v>1</v>
      </c>
      <c r="D54" s="118">
        <v>0.79318</v>
      </c>
      <c r="E54" s="118">
        <v>0.20682</v>
      </c>
      <c r="F54" s="118"/>
      <c r="G54" s="89">
        <f>1-SUM(D54:F54)</f>
        <v>0</v>
      </c>
    </row>
    <row r="55" spans="1:7" x14ac:dyDescent="0.25">
      <c r="D55" s="118"/>
      <c r="E55" s="118"/>
      <c r="F55" s="118"/>
      <c r="G55" s="89"/>
    </row>
    <row r="56" spans="1:7" x14ac:dyDescent="0.25">
      <c r="B56" s="90" t="str">
        <f>+B33</f>
        <v>Original For 2006</v>
      </c>
      <c r="C56" s="89">
        <f>+D56+E56+F56</f>
        <v>1</v>
      </c>
      <c r="D56" s="118">
        <v>0.80105999999999999</v>
      </c>
      <c r="E56" s="118">
        <v>0.19894000000000001</v>
      </c>
      <c r="F56" s="118"/>
      <c r="G56" s="89">
        <f>1-SUM(D56:F56)</f>
        <v>0</v>
      </c>
    </row>
    <row r="57" spans="1:7" x14ac:dyDescent="0.25">
      <c r="B57" s="90" t="str">
        <f>+B34</f>
        <v>Revised For 2006</v>
      </c>
      <c r="C57" s="89">
        <f>+D57+E57+F57</f>
        <v>1</v>
      </c>
      <c r="D57" s="118">
        <v>0.80198000000000003</v>
      </c>
      <c r="E57" s="118">
        <v>0.19802</v>
      </c>
      <c r="F57" s="118"/>
      <c r="G57" s="89">
        <f>1-SUM(D57:F57)</f>
        <v>0</v>
      </c>
    </row>
    <row r="58" spans="1:7" x14ac:dyDescent="0.25">
      <c r="D58" s="118"/>
      <c r="E58" s="118"/>
      <c r="F58" s="118"/>
      <c r="G58" s="89"/>
    </row>
    <row r="59" spans="1:7" x14ac:dyDescent="0.25">
      <c r="B59" s="90" t="str">
        <f>+B36</f>
        <v>For 2007</v>
      </c>
      <c r="C59" s="89">
        <f>+D59+E59+F59</f>
        <v>1</v>
      </c>
      <c r="D59" s="118">
        <v>0.80115000000000003</v>
      </c>
      <c r="E59" s="118">
        <v>0.19885</v>
      </c>
      <c r="F59" s="118"/>
      <c r="G59" s="89">
        <f>1-SUM(D59:F59)</f>
        <v>0</v>
      </c>
    </row>
    <row r="60" spans="1:7" x14ac:dyDescent="0.25">
      <c r="B60" s="90" t="str">
        <f>+B37</f>
        <v>For 2008</v>
      </c>
      <c r="C60" s="89">
        <f>+D60+E60+F60</f>
        <v>1</v>
      </c>
      <c r="D60" s="118">
        <v>0.79122000000000003</v>
      </c>
      <c r="E60" s="118">
        <v>0.20877999999999999</v>
      </c>
      <c r="F60" s="118">
        <v>0</v>
      </c>
    </row>
    <row r="61" spans="1:7" x14ac:dyDescent="0.25">
      <c r="B61" s="90" t="str">
        <f>+B38</f>
        <v>For 2009</v>
      </c>
      <c r="C61" s="89">
        <f>+D61+E61+F61</f>
        <v>1</v>
      </c>
      <c r="D61" s="118">
        <v>0.79003999999999996</v>
      </c>
      <c r="E61" s="118">
        <v>0.20996000000000001</v>
      </c>
      <c r="F61" s="118"/>
    </row>
    <row r="62" spans="1:7" x14ac:dyDescent="0.25">
      <c r="B62" s="90" t="str">
        <f>+B39</f>
        <v>For 2010</v>
      </c>
      <c r="C62" s="89">
        <f>+D62+E62+F62</f>
        <v>1</v>
      </c>
      <c r="D62" s="118">
        <v>0.79074999999999995</v>
      </c>
      <c r="E62" s="118">
        <v>0.20924999999999999</v>
      </c>
      <c r="F62" s="118"/>
      <c r="G62" s="89">
        <f>1-SUM(D62:F62)</f>
        <v>0</v>
      </c>
    </row>
    <row r="63" spans="1:7" x14ac:dyDescent="0.25">
      <c r="B63" s="90"/>
      <c r="C63" s="89"/>
      <c r="D63" s="118"/>
      <c r="E63" s="118"/>
      <c r="F63" s="118"/>
      <c r="G63" s="89"/>
    </row>
    <row r="64" spans="1:7" x14ac:dyDescent="0.25">
      <c r="B64" s="90" t="str">
        <f>+B41</f>
        <v>Original For 2011</v>
      </c>
      <c r="C64" s="89">
        <f>+D64+E64+F64</f>
        <v>1</v>
      </c>
      <c r="D64" s="118">
        <v>0.78661000000000003</v>
      </c>
      <c r="E64" s="118">
        <v>0.21339</v>
      </c>
      <c r="F64" s="89"/>
      <c r="G64" s="89"/>
    </row>
    <row r="65" spans="2:7" x14ac:dyDescent="0.25">
      <c r="B65" s="142" t="s">
        <v>336</v>
      </c>
      <c r="C65" s="89">
        <f>+D65+E65+F65</f>
        <v>1</v>
      </c>
      <c r="D65" s="118">
        <v>0.77944000000000002</v>
      </c>
      <c r="E65" s="118">
        <v>0.22056000000000001</v>
      </c>
      <c r="F65" s="89"/>
      <c r="G65" s="89"/>
    </row>
    <row r="66" spans="2:7" x14ac:dyDescent="0.25">
      <c r="B66" s="90"/>
      <c r="C66" s="89"/>
      <c r="D66" s="118"/>
      <c r="E66" s="118"/>
      <c r="F66" s="89"/>
      <c r="G66" s="89"/>
    </row>
    <row r="67" spans="2:7" x14ac:dyDescent="0.25">
      <c r="B67" s="90" t="str">
        <f>+B44</f>
        <v>For 2012</v>
      </c>
      <c r="C67" s="89">
        <f t="shared" ref="C67:C68" si="4">+D67+E67+F67</f>
        <v>1</v>
      </c>
      <c r="D67" s="118">
        <v>0.79220999999999997</v>
      </c>
      <c r="E67" s="118">
        <v>0.20779</v>
      </c>
      <c r="F67" s="89"/>
    </row>
    <row r="68" spans="2:7" x14ac:dyDescent="0.25">
      <c r="B68" s="90" t="str">
        <f>+B45</f>
        <v>For 2013</v>
      </c>
      <c r="C68" s="89">
        <f t="shared" si="4"/>
        <v>1</v>
      </c>
      <c r="D68" s="118">
        <v>0.78641000000000005</v>
      </c>
      <c r="E68" s="118">
        <v>0.21359</v>
      </c>
    </row>
    <row r="69" spans="2:7" x14ac:dyDescent="0.25">
      <c r="B69" s="90" t="s">
        <v>364</v>
      </c>
      <c r="C69" s="89">
        <v>1</v>
      </c>
      <c r="D69" s="118">
        <v>0.78744000000000003</v>
      </c>
      <c r="E69" s="118">
        <v>0.21256</v>
      </c>
    </row>
    <row r="70" spans="2:7" x14ac:dyDescent="0.25">
      <c r="B70" s="90" t="s">
        <v>367</v>
      </c>
      <c r="C70" s="89">
        <v>1</v>
      </c>
      <c r="D70" s="118">
        <v>0.78481999999999996</v>
      </c>
      <c r="E70" s="118">
        <v>0.21518000000000001</v>
      </c>
    </row>
    <row r="71" spans="2:7" x14ac:dyDescent="0.25">
      <c r="B71" s="90" t="s">
        <v>370</v>
      </c>
      <c r="C71" s="89">
        <v>1</v>
      </c>
      <c r="D71" s="118">
        <v>0.77807999999999999</v>
      </c>
      <c r="E71" s="118">
        <v>0.22192000000000001</v>
      </c>
    </row>
    <row r="72" spans="2:7" x14ac:dyDescent="0.25">
      <c r="B72" s="90" t="str">
        <f t="shared" ref="B72" si="5">+B49</f>
        <v>For 2017</v>
      </c>
      <c r="C72" s="89">
        <f t="shared" ref="C72" si="6">+D72+E72+F72</f>
        <v>1</v>
      </c>
      <c r="D72" s="89">
        <f>+NewMemo!H30</f>
        <v>0.77715000000000001</v>
      </c>
      <c r="E72" s="89">
        <f>+NewMemo!I30</f>
        <v>0.22284999999999999</v>
      </c>
    </row>
  </sheetData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5" sqref="R5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9" bestFit="1" customWidth="1"/>
    <col min="19" max="19" width="10.88671875" style="149" bestFit="1" customWidth="1"/>
    <col min="20" max="20" width="8.88671875" style="149" bestFit="1" customWidth="1"/>
  </cols>
  <sheetData>
    <row r="1" spans="1:21" x14ac:dyDescent="0.25">
      <c r="A1" t="str">
        <f>Notes!A4</f>
        <v>For the Twelve Months Ended December 31, 2017</v>
      </c>
    </row>
    <row r="2" spans="1:21" ht="13.2" thickBot="1" x14ac:dyDescent="0.3"/>
    <row r="3" spans="1:21" ht="13.2" thickBot="1" x14ac:dyDescent="0.3">
      <c r="D3" s="161" t="s">
        <v>187</v>
      </c>
      <c r="E3" s="162"/>
      <c r="F3" s="162"/>
      <c r="G3" s="163"/>
      <c r="H3" s="161" t="s">
        <v>286</v>
      </c>
      <c r="I3" s="162"/>
      <c r="J3" s="162"/>
      <c r="K3" s="163"/>
      <c r="L3" s="161" t="s">
        <v>188</v>
      </c>
      <c r="M3" s="162"/>
      <c r="N3" s="162"/>
      <c r="O3" s="162"/>
      <c r="P3" s="162"/>
      <c r="Q3" s="163"/>
      <c r="R3" s="150" t="s">
        <v>235</v>
      </c>
      <c r="S3" s="150"/>
    </row>
    <row r="4" spans="1:21" s="128" customFormat="1" x14ac:dyDescent="0.25">
      <c r="D4" s="128" t="s">
        <v>189</v>
      </c>
      <c r="E4" s="128" t="s">
        <v>190</v>
      </c>
      <c r="F4" s="128" t="s">
        <v>291</v>
      </c>
      <c r="G4" s="128" t="s">
        <v>292</v>
      </c>
      <c r="H4" s="128" t="s">
        <v>190</v>
      </c>
      <c r="I4" s="128" t="s">
        <v>291</v>
      </c>
      <c r="J4" s="128" t="s">
        <v>293</v>
      </c>
      <c r="K4" s="128" t="s">
        <v>292</v>
      </c>
      <c r="L4" s="128" t="s">
        <v>189</v>
      </c>
      <c r="M4" s="128" t="s">
        <v>190</v>
      </c>
      <c r="N4" s="128" t="s">
        <v>297</v>
      </c>
      <c r="O4" s="128" t="s">
        <v>291</v>
      </c>
      <c r="P4" s="128" t="s">
        <v>298</v>
      </c>
      <c r="Q4" s="128" t="s">
        <v>292</v>
      </c>
      <c r="R4" s="151"/>
      <c r="S4" s="151"/>
      <c r="T4" s="151"/>
    </row>
    <row r="5" spans="1:21" x14ac:dyDescent="0.25">
      <c r="A5" t="s">
        <v>286</v>
      </c>
      <c r="B5" t="s">
        <v>287</v>
      </c>
      <c r="C5" t="s">
        <v>288</v>
      </c>
      <c r="D5" s="117">
        <v>31373016</v>
      </c>
      <c r="E5" s="117">
        <v>1325342</v>
      </c>
      <c r="F5" s="117">
        <v>620643</v>
      </c>
      <c r="G5" s="117">
        <v>1518852</v>
      </c>
      <c r="H5" s="117">
        <v>4720189</v>
      </c>
      <c r="I5" s="117">
        <v>8259892</v>
      </c>
      <c r="J5" s="117">
        <v>12</v>
      </c>
      <c r="K5" s="117">
        <v>22543579</v>
      </c>
      <c r="L5" s="117"/>
      <c r="M5" s="117"/>
      <c r="N5" s="117"/>
      <c r="O5" s="117"/>
      <c r="P5" s="117"/>
      <c r="Q5" s="117"/>
      <c r="R5" s="152">
        <f>S5-T5</f>
        <v>1</v>
      </c>
      <c r="S5" s="153">
        <v>70361526</v>
      </c>
      <c r="T5" s="152">
        <f>SUM(D5:Q5)</f>
        <v>70361525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7"/>
      <c r="E6" s="117"/>
      <c r="F6" s="117"/>
      <c r="G6" s="117"/>
      <c r="H6" s="117">
        <v>42089753</v>
      </c>
      <c r="I6" s="117">
        <v>6985682</v>
      </c>
      <c r="J6" s="117"/>
      <c r="K6" s="117">
        <v>13416921</v>
      </c>
      <c r="L6" s="117"/>
      <c r="M6" s="117"/>
      <c r="N6" s="117"/>
      <c r="O6" s="117"/>
      <c r="P6" s="117"/>
      <c r="Q6" s="117"/>
      <c r="R6" s="152">
        <f t="shared" ref="R6:R22" si="0">S6-T6</f>
        <v>-1</v>
      </c>
      <c r="S6" s="153">
        <v>62492355</v>
      </c>
      <c r="T6" s="152">
        <f t="shared" ref="T6:T22" si="1">SUM(D6:Q6)</f>
        <v>62492356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7"/>
      <c r="E7" s="117"/>
      <c r="F7" s="117"/>
      <c r="G7" s="117"/>
      <c r="H7" s="117">
        <v>307057304</v>
      </c>
      <c r="I7" s="117">
        <v>3880166</v>
      </c>
      <c r="J7" s="117"/>
      <c r="K7" s="117">
        <v>2794549</v>
      </c>
      <c r="L7" s="117"/>
      <c r="M7" s="117"/>
      <c r="N7" s="117"/>
      <c r="O7" s="117"/>
      <c r="P7" s="117"/>
      <c r="Q7" s="117"/>
      <c r="R7" s="152">
        <f t="shared" si="0"/>
        <v>1</v>
      </c>
      <c r="S7" s="153">
        <v>313732020</v>
      </c>
      <c r="T7" s="152">
        <f t="shared" si="1"/>
        <v>313732019</v>
      </c>
      <c r="U7" s="53"/>
    </row>
    <row r="8" spans="1:21" x14ac:dyDescent="0.25">
      <c r="A8" s="144" t="s">
        <v>286</v>
      </c>
      <c r="B8" s="144" t="s">
        <v>294</v>
      </c>
      <c r="C8" s="144" t="s">
        <v>288</v>
      </c>
      <c r="D8" s="145">
        <v>36961651</v>
      </c>
      <c r="E8" s="145">
        <v>1889097</v>
      </c>
      <c r="F8" s="145">
        <v>1033948</v>
      </c>
      <c r="G8" s="145">
        <v>4484870</v>
      </c>
      <c r="H8" s="145">
        <v>3233874</v>
      </c>
      <c r="I8" s="145">
        <v>179160</v>
      </c>
      <c r="J8" s="145">
        <v>0</v>
      </c>
      <c r="K8" s="145">
        <v>396697</v>
      </c>
      <c r="L8" s="145"/>
      <c r="M8" s="145"/>
      <c r="N8" s="145"/>
      <c r="O8" s="145"/>
      <c r="P8" s="145"/>
      <c r="Q8" s="145"/>
      <c r="R8" s="152">
        <f t="shared" si="0"/>
        <v>1</v>
      </c>
      <c r="S8" s="153">
        <v>48179298</v>
      </c>
      <c r="T8" s="152">
        <f t="shared" si="1"/>
        <v>48179297</v>
      </c>
      <c r="U8" s="53"/>
    </row>
    <row r="9" spans="1:21" x14ac:dyDescent="0.25">
      <c r="A9" s="144" t="s">
        <v>286</v>
      </c>
      <c r="B9" s="144" t="s">
        <v>294</v>
      </c>
      <c r="C9" s="144" t="s">
        <v>289</v>
      </c>
      <c r="D9" s="145"/>
      <c r="E9" s="145"/>
      <c r="F9" s="145"/>
      <c r="G9" s="145"/>
      <c r="H9" s="145">
        <v>36386128</v>
      </c>
      <c r="I9" s="145">
        <v>4292717</v>
      </c>
      <c r="J9" s="145"/>
      <c r="K9" s="145">
        <v>7920911</v>
      </c>
      <c r="L9" s="145"/>
      <c r="M9" s="145"/>
      <c r="N9" s="145"/>
      <c r="O9" s="145"/>
      <c r="P9" s="145"/>
      <c r="Q9" s="145"/>
      <c r="R9" s="152">
        <f t="shared" si="0"/>
        <v>0</v>
      </c>
      <c r="S9" s="153">
        <v>48599756</v>
      </c>
      <c r="T9" s="152">
        <f t="shared" si="1"/>
        <v>48599756</v>
      </c>
      <c r="U9" s="53"/>
    </row>
    <row r="10" spans="1:21" ht="13.2" thickBot="1" x14ac:dyDescent="0.3">
      <c r="A10" s="147" t="s">
        <v>286</v>
      </c>
      <c r="B10" s="147" t="s">
        <v>294</v>
      </c>
      <c r="C10" s="147" t="s">
        <v>290</v>
      </c>
      <c r="D10" s="148"/>
      <c r="E10" s="148"/>
      <c r="F10" s="148"/>
      <c r="G10" s="148"/>
      <c r="H10" s="148">
        <v>7332950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52">
        <f t="shared" si="0"/>
        <v>0</v>
      </c>
      <c r="S10" s="153">
        <v>7332950</v>
      </c>
      <c r="T10" s="152">
        <f t="shared" si="1"/>
        <v>7332950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7">
        <v>10658358</v>
      </c>
      <c r="E11" s="117">
        <v>580013</v>
      </c>
      <c r="F11" s="117">
        <v>292166</v>
      </c>
      <c r="G11" s="117">
        <v>816377</v>
      </c>
      <c r="H11" s="117"/>
      <c r="I11" s="117"/>
      <c r="J11" s="117"/>
      <c r="K11" s="117"/>
      <c r="L11" s="117">
        <v>254846</v>
      </c>
      <c r="M11" s="117">
        <v>87772</v>
      </c>
      <c r="N11" s="117"/>
      <c r="O11" s="117">
        <v>1530750</v>
      </c>
      <c r="P11" s="117"/>
      <c r="Q11" s="117">
        <v>8735191</v>
      </c>
      <c r="R11" s="152">
        <f t="shared" si="0"/>
        <v>-1</v>
      </c>
      <c r="S11" s="153">
        <v>22955472</v>
      </c>
      <c r="T11" s="152">
        <f t="shared" si="1"/>
        <v>22955473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7"/>
      <c r="E12" s="117"/>
      <c r="F12" s="117"/>
      <c r="G12" s="117"/>
      <c r="H12" s="117"/>
      <c r="I12" s="117"/>
      <c r="J12" s="117"/>
      <c r="K12" s="117"/>
      <c r="L12" s="117">
        <v>388331</v>
      </c>
      <c r="M12" s="117">
        <v>1778839</v>
      </c>
      <c r="N12" s="117"/>
      <c r="O12" s="117">
        <v>1812070</v>
      </c>
      <c r="P12" s="117"/>
      <c r="Q12" s="117">
        <v>4118312</v>
      </c>
      <c r="R12" s="152">
        <f t="shared" si="0"/>
        <v>0</v>
      </c>
      <c r="S12" s="153">
        <v>8097552</v>
      </c>
      <c r="T12" s="152">
        <f t="shared" si="1"/>
        <v>8097552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7"/>
      <c r="E13" s="117"/>
      <c r="F13" s="117"/>
      <c r="G13" s="117"/>
      <c r="H13" s="117"/>
      <c r="I13" s="117"/>
      <c r="J13" s="117"/>
      <c r="K13" s="117"/>
      <c r="L13" s="117">
        <v>0</v>
      </c>
      <c r="M13" s="117">
        <v>153469502</v>
      </c>
      <c r="N13" s="117"/>
      <c r="O13" s="117">
        <v>1307830</v>
      </c>
      <c r="P13" s="117"/>
      <c r="Q13" s="117">
        <v>2465662</v>
      </c>
      <c r="R13" s="152">
        <f t="shared" si="0"/>
        <v>0</v>
      </c>
      <c r="S13" s="153">
        <v>157242994</v>
      </c>
      <c r="T13" s="152">
        <f t="shared" si="1"/>
        <v>157242994</v>
      </c>
      <c r="U13" s="53"/>
    </row>
    <row r="14" spans="1:21" x14ac:dyDescent="0.25">
      <c r="A14" s="144" t="s">
        <v>295</v>
      </c>
      <c r="B14" s="144" t="s">
        <v>294</v>
      </c>
      <c r="C14" s="144" t="s">
        <v>288</v>
      </c>
      <c r="D14" s="145">
        <v>13073005</v>
      </c>
      <c r="E14" s="145">
        <v>781500</v>
      </c>
      <c r="F14" s="145">
        <v>497085</v>
      </c>
      <c r="G14" s="145">
        <v>2450996</v>
      </c>
      <c r="H14" s="145"/>
      <c r="I14" s="145"/>
      <c r="J14" s="145"/>
      <c r="K14" s="145"/>
      <c r="L14" s="145">
        <v>382503</v>
      </c>
      <c r="M14" s="145">
        <v>722</v>
      </c>
      <c r="N14" s="145"/>
      <c r="O14" s="145">
        <v>25941</v>
      </c>
      <c r="P14" s="145"/>
      <c r="Q14" s="145">
        <v>124897</v>
      </c>
      <c r="R14" s="152">
        <f t="shared" si="0"/>
        <v>-1</v>
      </c>
      <c r="S14" s="153">
        <v>17336648</v>
      </c>
      <c r="T14" s="152">
        <f t="shared" si="1"/>
        <v>17336649</v>
      </c>
      <c r="U14" s="53"/>
    </row>
    <row r="15" spans="1:21" x14ac:dyDescent="0.25">
      <c r="A15" s="144" t="s">
        <v>295</v>
      </c>
      <c r="B15" s="144" t="s">
        <v>294</v>
      </c>
      <c r="C15" s="144" t="s">
        <v>289</v>
      </c>
      <c r="D15" s="145"/>
      <c r="E15" s="145"/>
      <c r="F15" s="145"/>
      <c r="G15" s="145"/>
      <c r="H15" s="145"/>
      <c r="I15" s="145"/>
      <c r="J15" s="145"/>
      <c r="K15" s="145"/>
      <c r="L15" s="145">
        <v>3453893</v>
      </c>
      <c r="M15" s="145">
        <v>1094048</v>
      </c>
      <c r="N15" s="145"/>
      <c r="O15" s="145">
        <v>2573848</v>
      </c>
      <c r="P15" s="145"/>
      <c r="Q15" s="145">
        <v>5627722</v>
      </c>
      <c r="R15" s="152">
        <f t="shared" si="0"/>
        <v>-1</v>
      </c>
      <c r="S15" s="153">
        <v>12749510</v>
      </c>
      <c r="T15" s="152">
        <f t="shared" si="1"/>
        <v>12749511</v>
      </c>
      <c r="U15" s="53"/>
    </row>
    <row r="16" spans="1:21" ht="13.2" thickBot="1" x14ac:dyDescent="0.3">
      <c r="A16" s="147" t="s">
        <v>295</v>
      </c>
      <c r="B16" s="147" t="s">
        <v>294</v>
      </c>
      <c r="C16" s="147" t="s">
        <v>290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52">
        <f t="shared" si="0"/>
        <v>0</v>
      </c>
      <c r="S16" s="153"/>
      <c r="T16" s="152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7">
        <v>4718524</v>
      </c>
      <c r="E17" s="117"/>
      <c r="F17" s="117"/>
      <c r="G17" s="117"/>
      <c r="H17" s="117"/>
      <c r="I17" s="117"/>
      <c r="J17" s="117"/>
      <c r="K17" s="117"/>
      <c r="L17" s="117">
        <v>116877</v>
      </c>
      <c r="M17" s="117"/>
      <c r="N17" s="117">
        <v>116570</v>
      </c>
      <c r="O17" s="117"/>
      <c r="P17" s="117">
        <v>4979173</v>
      </c>
      <c r="Q17" s="117"/>
      <c r="R17" s="152">
        <f t="shared" si="0"/>
        <v>-1</v>
      </c>
      <c r="S17" s="153">
        <v>9931143</v>
      </c>
      <c r="T17" s="152">
        <f t="shared" si="1"/>
        <v>9931144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7"/>
      <c r="E18" s="117"/>
      <c r="F18" s="117"/>
      <c r="G18" s="117"/>
      <c r="H18" s="117"/>
      <c r="I18" s="117"/>
      <c r="J18" s="117"/>
      <c r="K18" s="117"/>
      <c r="L18" s="117">
        <v>178096</v>
      </c>
      <c r="M18" s="117"/>
      <c r="N18" s="117"/>
      <c r="O18" s="117"/>
      <c r="P18" s="117">
        <v>3793524</v>
      </c>
      <c r="Q18" s="117"/>
      <c r="R18" s="152">
        <f t="shared" si="0"/>
        <v>0</v>
      </c>
      <c r="S18" s="153">
        <v>3971620</v>
      </c>
      <c r="T18" s="152">
        <f t="shared" si="1"/>
        <v>3971620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7"/>
      <c r="E19" s="117"/>
      <c r="F19" s="117"/>
      <c r="G19" s="117"/>
      <c r="H19" s="117"/>
      <c r="I19" s="117"/>
      <c r="J19" s="117"/>
      <c r="K19" s="117"/>
      <c r="L19" s="117">
        <v>0</v>
      </c>
      <c r="M19" s="117"/>
      <c r="N19" s="117"/>
      <c r="O19" s="117"/>
      <c r="P19" s="117">
        <v>93705988</v>
      </c>
      <c r="Q19" s="117"/>
      <c r="R19" s="152">
        <f t="shared" si="0"/>
        <v>0</v>
      </c>
      <c r="S19" s="153">
        <v>93705988</v>
      </c>
      <c r="T19" s="152">
        <f t="shared" si="1"/>
        <v>93705988</v>
      </c>
      <c r="U19" s="53"/>
    </row>
    <row r="20" spans="1:21" x14ac:dyDescent="0.25">
      <c r="A20" s="144" t="s">
        <v>296</v>
      </c>
      <c r="B20" s="144" t="s">
        <v>294</v>
      </c>
      <c r="C20" s="144" t="s">
        <v>288</v>
      </c>
      <c r="D20" s="145">
        <v>5761169</v>
      </c>
      <c r="E20" s="145"/>
      <c r="F20" s="145"/>
      <c r="G20" s="145"/>
      <c r="H20" s="145"/>
      <c r="I20" s="145"/>
      <c r="J20" s="145"/>
      <c r="K20" s="145"/>
      <c r="L20" s="145">
        <v>175423</v>
      </c>
      <c r="M20" s="145"/>
      <c r="N20" s="145">
        <v>3666</v>
      </c>
      <c r="O20" s="145"/>
      <c r="P20" s="145">
        <v>1663818</v>
      </c>
      <c r="Q20" s="145"/>
      <c r="R20" s="152">
        <f t="shared" si="0"/>
        <v>2</v>
      </c>
      <c r="S20" s="153">
        <v>7604078</v>
      </c>
      <c r="T20" s="152">
        <f t="shared" si="1"/>
        <v>7604076</v>
      </c>
      <c r="U20" s="53"/>
    </row>
    <row r="21" spans="1:21" x14ac:dyDescent="0.25">
      <c r="A21" s="144" t="s">
        <v>296</v>
      </c>
      <c r="B21" s="144" t="s">
        <v>294</v>
      </c>
      <c r="C21" s="144" t="s">
        <v>289</v>
      </c>
      <c r="D21" s="145"/>
      <c r="E21" s="145"/>
      <c r="F21" s="145"/>
      <c r="G21" s="145"/>
      <c r="H21" s="145"/>
      <c r="I21" s="145"/>
      <c r="J21" s="145"/>
      <c r="K21" s="145"/>
      <c r="L21" s="145">
        <v>1584021</v>
      </c>
      <c r="M21" s="145"/>
      <c r="N21" s="145"/>
      <c r="O21" s="145"/>
      <c r="P21" s="145">
        <v>3960267</v>
      </c>
      <c r="Q21" s="145"/>
      <c r="R21" s="152">
        <f t="shared" si="0"/>
        <v>0</v>
      </c>
      <c r="S21" s="153">
        <v>5544288</v>
      </c>
      <c r="T21" s="152">
        <f t="shared" si="1"/>
        <v>5544288</v>
      </c>
      <c r="U21" s="53"/>
    </row>
    <row r="22" spans="1:21" x14ac:dyDescent="0.25">
      <c r="A22" s="144" t="s">
        <v>296</v>
      </c>
      <c r="B22" s="144" t="s">
        <v>294</v>
      </c>
      <c r="C22" s="144" t="s">
        <v>290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52">
        <f t="shared" si="0"/>
        <v>0</v>
      </c>
      <c r="S22" s="153"/>
      <c r="T22" s="152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52"/>
      <c r="S23" s="152"/>
      <c r="T23" s="152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52"/>
      <c r="S24" s="152"/>
      <c r="T24" s="152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9" t="s">
        <v>305</v>
      </c>
      <c r="Q25" s="120"/>
      <c r="R25" s="154"/>
      <c r="S25" s="154"/>
      <c r="T25" s="152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21" t="s">
        <v>1</v>
      </c>
      <c r="Q26" s="122">
        <f>SUM(D5:Q22)</f>
        <v>889837198</v>
      </c>
      <c r="R26" s="154"/>
      <c r="S26" s="154"/>
      <c r="T26" s="152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21" t="s">
        <v>299</v>
      </c>
      <c r="Q27" s="135">
        <v>446585901</v>
      </c>
      <c r="R27" s="155"/>
      <c r="S27" s="155"/>
      <c r="T27" s="152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21" t="s">
        <v>300</v>
      </c>
      <c r="Q28" s="135">
        <v>104112004</v>
      </c>
      <c r="R28" s="155"/>
      <c r="S28" s="155"/>
      <c r="T28" s="152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21" t="s">
        <v>301</v>
      </c>
      <c r="Q29" s="135">
        <v>187947814</v>
      </c>
      <c r="R29" s="155"/>
      <c r="S29" s="155"/>
      <c r="T29" s="152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21" t="s">
        <v>302</v>
      </c>
      <c r="Q30" s="135">
        <v>28009207</v>
      </c>
      <c r="R30" s="155"/>
      <c r="S30" s="155"/>
      <c r="T30" s="152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21" t="s">
        <v>303</v>
      </c>
      <c r="Q31" s="135">
        <v>107956955</v>
      </c>
      <c r="R31" s="155"/>
      <c r="S31" s="155"/>
      <c r="T31" s="152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21" t="s">
        <v>304</v>
      </c>
      <c r="Q32" s="135">
        <v>15225317</v>
      </c>
      <c r="R32" s="155"/>
      <c r="S32" s="155"/>
      <c r="T32" s="152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3" t="s">
        <v>306</v>
      </c>
      <c r="Q33" s="124">
        <f>SUM(Q26-Q27-Q28-Q29-Q30-Q31-Q32)</f>
        <v>0</v>
      </c>
      <c r="R33" s="154"/>
      <c r="S33" s="154"/>
      <c r="T33" s="152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J26" sqref="J26"/>
    </sheetView>
  </sheetViews>
  <sheetFormatPr defaultColWidth="9.6640625" defaultRowHeight="12.6" x14ac:dyDescent="0.25"/>
  <cols>
    <col min="1" max="1" width="3.6640625" customWidth="1"/>
    <col min="2" max="2" width="10.88671875" style="128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6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1" t="str">
        <f>Notes!A5</f>
        <v>Balances at December 31, 2017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8350000+1179262+31863919</f>
        <v>41393181</v>
      </c>
      <c r="E12" s="6"/>
      <c r="F12" s="6"/>
      <c r="G12" s="3"/>
      <c r="H12" s="3"/>
      <c r="I12" s="3"/>
      <c r="J12" s="3">
        <f>SUM(D12:I12)</f>
        <v>41393181</v>
      </c>
    </row>
    <row r="13" spans="1:10" x14ac:dyDescent="0.25">
      <c r="A13" s="1"/>
      <c r="B13" s="115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88045103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88045103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428218701</v>
      </c>
      <c r="E16" s="6"/>
      <c r="F16" s="6"/>
      <c r="G16" s="3"/>
      <c r="H16" s="3"/>
      <c r="I16" s="3"/>
      <c r="J16" s="3">
        <f>SUM(D16:I16)</f>
        <v>428218701</v>
      </c>
    </row>
    <row r="17" spans="1:11" x14ac:dyDescent="0.25">
      <c r="A17" s="1" t="s">
        <v>9</v>
      </c>
      <c r="B17" s="8"/>
      <c r="C17" s="1"/>
      <c r="D17" s="6">
        <v>639773063</v>
      </c>
      <c r="E17" s="6"/>
      <c r="F17" s="6"/>
      <c r="G17" s="3"/>
      <c r="H17" s="3"/>
      <c r="I17" s="3"/>
      <c r="J17" s="3">
        <f>SUM(D17:I17)</f>
        <v>639773063</v>
      </c>
    </row>
    <row r="18" spans="1:11" x14ac:dyDescent="0.25">
      <c r="A18" s="1" t="s">
        <v>10</v>
      </c>
      <c r="B18" s="8"/>
      <c r="C18" s="1"/>
      <c r="D18" s="6">
        <v>305460873</v>
      </c>
      <c r="E18" s="6"/>
      <c r="F18" s="6">
        <v>7628</v>
      </c>
      <c r="G18" s="3"/>
      <c r="H18" s="3"/>
      <c r="I18" s="3"/>
      <c r="J18" s="3">
        <f>SUM(D18:I18)</f>
        <v>305468501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1373452637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1373460265</v>
      </c>
    </row>
    <row r="20" spans="1:11" ht="13.2" thickTop="1" x14ac:dyDescent="0.25">
      <c r="A20" s="1"/>
      <c r="B20" s="8"/>
      <c r="C20" s="1"/>
      <c r="D20" s="3">
        <f>-D19+1373452637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722397541</v>
      </c>
      <c r="E21" s="15"/>
      <c r="F21" s="15"/>
      <c r="G21" s="16"/>
      <c r="H21" s="16"/>
      <c r="I21" s="16"/>
      <c r="J21" s="16">
        <f>SUM(D21:I21)</f>
        <v>722397541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39885633</v>
      </c>
      <c r="F23" s="15">
        <v>6347098</v>
      </c>
      <c r="G23" s="16"/>
      <c r="H23" s="16"/>
      <c r="I23" s="16"/>
      <c r="J23" s="16">
        <f>SUM(D23:I23)</f>
        <v>46232731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1643539122</v>
      </c>
      <c r="E25" s="15">
        <v>666283197</v>
      </c>
      <c r="F25" s="15">
        <v>366390848</v>
      </c>
      <c r="G25" s="16"/>
      <c r="H25" s="16"/>
      <c r="I25" s="16"/>
      <c r="J25" s="16">
        <f>SUM(D25:I25)</f>
        <v>2676213167</v>
      </c>
    </row>
    <row r="26" spans="1:11" ht="13.2" thickTop="1" x14ac:dyDescent="0.25">
      <c r="A26" s="1"/>
      <c r="B26" s="8"/>
      <c r="C26" s="1"/>
      <c r="D26" s="3">
        <f>ROUND(+D25+D23+D21+D19+D14-4392824569+17162477+70295634+3532169+70912569+21140722+923644+381422951,0)</f>
        <v>0</v>
      </c>
      <c r="E26" s="3">
        <f>ROUND(+E25+E23+E21+E19+E14-851185158+95845177+49171151,0)</f>
        <v>0</v>
      </c>
      <c r="F26" s="3">
        <f>ROUND(+F25+F23+F21+F19+F14-431128334+21769543+36613217,0)</f>
        <v>0</v>
      </c>
      <c r="G26" s="113"/>
      <c r="H26" s="113"/>
      <c r="I26" s="113"/>
      <c r="J26" s="113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398664</v>
      </c>
      <c r="E29" s="6">
        <v>2518764</v>
      </c>
      <c r="F29" s="6">
        <v>848544</v>
      </c>
      <c r="G29" s="6">
        <v>9936581</v>
      </c>
      <c r="H29" s="6"/>
      <c r="I29" s="6">
        <v>1660110</v>
      </c>
      <c r="J29" s="3">
        <f t="shared" ref="J29:J39" si="2">SUM(D29:I29)</f>
        <v>15362663</v>
      </c>
      <c r="K29" s="53">
        <f>-J29+15362663</f>
        <v>0</v>
      </c>
    </row>
    <row r="30" spans="1:11" x14ac:dyDescent="0.25">
      <c r="A30" s="1"/>
      <c r="B30" s="8" t="s">
        <v>225</v>
      </c>
      <c r="C30" s="1" t="s">
        <v>17</v>
      </c>
      <c r="D30" s="6">
        <v>8239126</v>
      </c>
      <c r="E30" s="6">
        <v>3511602</v>
      </c>
      <c r="F30" s="6">
        <v>3649256</v>
      </c>
      <c r="G30" s="6">
        <v>102013775</v>
      </c>
      <c r="H30" s="6"/>
      <c r="I30" s="6">
        <v>24998735</v>
      </c>
      <c r="J30" s="3">
        <f t="shared" si="2"/>
        <v>142412494</v>
      </c>
      <c r="K30" s="53">
        <f>-J30+142412494</f>
        <v>0</v>
      </c>
    </row>
    <row r="31" spans="1:11" x14ac:dyDescent="0.25">
      <c r="A31" s="1"/>
      <c r="B31" s="8" t="s">
        <v>226</v>
      </c>
      <c r="C31" s="1" t="s">
        <v>18</v>
      </c>
      <c r="D31" s="6">
        <v>3079138</v>
      </c>
      <c r="E31" s="6">
        <v>1202</v>
      </c>
      <c r="F31" s="6"/>
      <c r="G31" s="6">
        <v>75375518</v>
      </c>
      <c r="H31" s="6">
        <v>735198</v>
      </c>
      <c r="I31" s="6">
        <v>638377</v>
      </c>
      <c r="J31" s="3">
        <f t="shared" si="2"/>
        <v>79829433</v>
      </c>
      <c r="K31" s="53">
        <f>-J31+79829433</f>
        <v>0</v>
      </c>
    </row>
    <row r="32" spans="1:11" x14ac:dyDescent="0.25">
      <c r="A32" s="1"/>
      <c r="B32" s="8" t="s">
        <v>227</v>
      </c>
      <c r="C32" s="1" t="s">
        <v>19</v>
      </c>
      <c r="D32" s="6">
        <v>42828563</v>
      </c>
      <c r="E32" s="6">
        <v>12754710</v>
      </c>
      <c r="F32" s="6">
        <v>4234452</v>
      </c>
      <c r="G32" s="6">
        <v>949249</v>
      </c>
      <c r="H32" s="6"/>
      <c r="I32" s="6">
        <v>6493757</v>
      </c>
      <c r="J32" s="3">
        <f t="shared" si="2"/>
        <v>67260731</v>
      </c>
      <c r="K32" s="53">
        <f>-J32+67260731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48630</v>
      </c>
      <c r="G33" s="6">
        <v>0</v>
      </c>
      <c r="H33" s="6"/>
      <c r="I33" s="6">
        <v>4593251</v>
      </c>
      <c r="J33" s="3">
        <f t="shared" si="2"/>
        <v>5129291</v>
      </c>
      <c r="K33" s="53">
        <f>-J33+5129291</f>
        <v>0</v>
      </c>
    </row>
    <row r="34" spans="1:11" x14ac:dyDescent="0.25">
      <c r="A34" s="1"/>
      <c r="B34" s="8" t="s">
        <v>229</v>
      </c>
      <c r="C34" s="1" t="s">
        <v>198</v>
      </c>
      <c r="D34" s="6">
        <f>4440447+113841</f>
        <v>4554288</v>
      </c>
      <c r="E34" s="6">
        <v>2614166</v>
      </c>
      <c r="F34" s="6">
        <v>919536</v>
      </c>
      <c r="G34" s="6">
        <v>13672950</v>
      </c>
      <c r="H34" s="6">
        <v>4139965</v>
      </c>
      <c r="I34" s="6">
        <v>1195245</v>
      </c>
      <c r="J34" s="3">
        <f t="shared" si="2"/>
        <v>27096150</v>
      </c>
      <c r="K34" s="53">
        <f>-J34+26982309+113841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1472998</v>
      </c>
      <c r="E35" s="6">
        <v>138729</v>
      </c>
      <c r="F35" s="6">
        <v>40917</v>
      </c>
      <c r="G35" s="6">
        <v>355663</v>
      </c>
      <c r="H35" s="6">
        <v>161302</v>
      </c>
      <c r="I35" s="6">
        <v>29071</v>
      </c>
      <c r="J35" s="3">
        <f t="shared" si="2"/>
        <v>2198680</v>
      </c>
      <c r="K35" s="53">
        <f>-J35+2198680</f>
        <v>0</v>
      </c>
    </row>
    <row r="36" spans="1:11" x14ac:dyDescent="0.25">
      <c r="A36" s="1"/>
      <c r="B36" s="8" t="s">
        <v>231</v>
      </c>
      <c r="C36" s="1" t="s">
        <v>23</v>
      </c>
      <c r="D36" s="6">
        <v>31946906</v>
      </c>
      <c r="E36" s="6">
        <v>3952602</v>
      </c>
      <c r="F36" s="6">
        <v>43834</v>
      </c>
      <c r="G36" s="6">
        <v>528478</v>
      </c>
      <c r="H36" s="6"/>
      <c r="I36" s="6">
        <v>1265106</v>
      </c>
      <c r="J36" s="3">
        <f t="shared" si="2"/>
        <v>37736926</v>
      </c>
      <c r="K36" s="53">
        <f>-J36+37736926</f>
        <v>0</v>
      </c>
    </row>
    <row r="37" spans="1:11" x14ac:dyDescent="0.25">
      <c r="A37" s="1"/>
      <c r="B37" s="8" t="s">
        <v>232</v>
      </c>
      <c r="C37" s="1" t="s">
        <v>24</v>
      </c>
      <c r="D37" s="6">
        <v>64470097</v>
      </c>
      <c r="E37" s="6">
        <v>1177680</v>
      </c>
      <c r="F37" s="6">
        <v>1216105</v>
      </c>
      <c r="G37" s="6">
        <v>53247681</v>
      </c>
      <c r="H37" s="6">
        <v>1151237</v>
      </c>
      <c r="I37" s="6">
        <v>15036325</v>
      </c>
      <c r="J37" s="3">
        <f t="shared" si="2"/>
        <v>136299125</v>
      </c>
      <c r="K37" s="53">
        <f>-J37+136299125</f>
        <v>0</v>
      </c>
    </row>
    <row r="38" spans="1:11" x14ac:dyDescent="0.25">
      <c r="A38" s="1"/>
      <c r="B38" s="8" t="s">
        <v>233</v>
      </c>
      <c r="C38" s="1" t="s">
        <v>25</v>
      </c>
      <c r="D38" s="13">
        <v>149694</v>
      </c>
      <c r="E38" s="13"/>
      <c r="F38" s="13">
        <v>2367</v>
      </c>
      <c r="G38" s="6">
        <v>385235</v>
      </c>
      <c r="H38" s="6">
        <v>0</v>
      </c>
      <c r="I38" s="6">
        <v>18551</v>
      </c>
      <c r="J38" s="3">
        <f t="shared" si="2"/>
        <v>555847</v>
      </c>
      <c r="K38" s="53">
        <f>-J38+555847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157538724</v>
      </c>
      <c r="E39" s="16">
        <f t="shared" si="3"/>
        <v>26757615</v>
      </c>
      <c r="F39" s="16">
        <f t="shared" si="3"/>
        <v>11003641</v>
      </c>
      <c r="G39" s="14">
        <f t="shared" si="3"/>
        <v>256465130</v>
      </c>
      <c r="H39" s="14">
        <f t="shared" si="3"/>
        <v>6187702</v>
      </c>
      <c r="I39" s="14">
        <f t="shared" si="3"/>
        <v>55928528</v>
      </c>
      <c r="J39" s="14">
        <f t="shared" si="2"/>
        <v>513881340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-J39+513881340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5">
        <v>303000</v>
      </c>
      <c r="C42" s="1" t="s">
        <v>174</v>
      </c>
      <c r="D42" s="6">
        <v>10693280</v>
      </c>
      <c r="E42" s="6">
        <v>1802199</v>
      </c>
      <c r="F42" s="6">
        <v>426123</v>
      </c>
      <c r="G42" s="6">
        <v>8983908</v>
      </c>
      <c r="H42" s="6"/>
      <c r="I42" s="6">
        <v>194058</v>
      </c>
      <c r="J42" s="3">
        <f>SUM(D42:I42)</f>
        <v>22099568</v>
      </c>
      <c r="K42" s="53">
        <f>-J42+22099568</f>
        <v>0</v>
      </c>
    </row>
    <row r="43" spans="1:11" x14ac:dyDescent="0.25">
      <c r="A43" s="1"/>
      <c r="B43" s="115">
        <v>303100</v>
      </c>
      <c r="C43" s="1" t="s">
        <v>26</v>
      </c>
      <c r="D43" s="6">
        <v>11863826</v>
      </c>
      <c r="E43" s="6"/>
      <c r="F43" s="6">
        <v>0</v>
      </c>
      <c r="G43" s="6">
        <v>82881225</v>
      </c>
      <c r="H43" s="6">
        <v>652235</v>
      </c>
      <c r="I43" s="6">
        <v>183912</v>
      </c>
      <c r="J43" s="3">
        <f>SUM(D43:I43)</f>
        <v>95581198</v>
      </c>
      <c r="K43" s="53">
        <f>-J43+95581198</f>
        <v>0</v>
      </c>
    </row>
    <row r="44" spans="1:11" x14ac:dyDescent="0.25">
      <c r="A44" s="1"/>
      <c r="B44" s="115">
        <v>303110</v>
      </c>
      <c r="C44" s="1" t="s">
        <v>27</v>
      </c>
      <c r="D44" s="6">
        <v>0</v>
      </c>
      <c r="E44" s="6"/>
      <c r="F44" s="6"/>
      <c r="G44" s="6">
        <v>5022422</v>
      </c>
      <c r="H44" s="6"/>
      <c r="I44" s="6"/>
      <c r="J44" s="3">
        <f>SUM(D44:I44)</f>
        <v>5022422</v>
      </c>
      <c r="K44" s="53">
        <f>-J44+5022422</f>
        <v>0</v>
      </c>
    </row>
    <row r="45" spans="1:11" x14ac:dyDescent="0.25">
      <c r="A45" s="1"/>
      <c r="B45" s="115">
        <v>303115</v>
      </c>
      <c r="C45" s="1" t="s">
        <v>27</v>
      </c>
      <c r="D45" s="6"/>
      <c r="E45" s="6"/>
      <c r="F45" s="6"/>
      <c r="G45" s="6">
        <v>100831204</v>
      </c>
      <c r="H45" s="6"/>
      <c r="I45" s="6"/>
      <c r="J45" s="113">
        <f t="shared" ref="J45:J46" si="4">SUM(D45:I45)</f>
        <v>100831204</v>
      </c>
      <c r="K45" s="53">
        <f t="shared" ref="K45" si="5">-J45+100831204</f>
        <v>0</v>
      </c>
    </row>
    <row r="46" spans="1:11" x14ac:dyDescent="0.25">
      <c r="A46" s="1"/>
      <c r="B46" s="115">
        <v>303120</v>
      </c>
      <c r="C46" s="1" t="s">
        <v>379</v>
      </c>
      <c r="D46" s="6"/>
      <c r="E46" s="6"/>
      <c r="F46" s="6"/>
      <c r="G46" s="6">
        <v>30060178</v>
      </c>
      <c r="H46" s="6"/>
      <c r="I46" s="6"/>
      <c r="J46" s="113">
        <f t="shared" si="4"/>
        <v>30060178</v>
      </c>
      <c r="K46" s="53">
        <f>-J46+30060178</f>
        <v>0</v>
      </c>
    </row>
    <row r="47" spans="1:11" x14ac:dyDescent="0.25">
      <c r="A47" s="1"/>
      <c r="B47" s="115">
        <v>303121</v>
      </c>
      <c r="C47" s="1" t="s">
        <v>380</v>
      </c>
      <c r="D47" s="6"/>
      <c r="E47" s="6"/>
      <c r="F47" s="6"/>
      <c r="G47" s="6">
        <v>1313339</v>
      </c>
      <c r="H47" s="6"/>
      <c r="I47" s="6"/>
      <c r="J47" s="17">
        <f>SUM(D47:I47)</f>
        <v>1313339</v>
      </c>
      <c r="K47" s="53">
        <f>-J47+1313339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6">SUM(D42:D47)</f>
        <v>22557106</v>
      </c>
      <c r="E48" s="14">
        <f t="shared" si="6"/>
        <v>1802199</v>
      </c>
      <c r="F48" s="14">
        <f t="shared" si="6"/>
        <v>426123</v>
      </c>
      <c r="G48" s="14">
        <f t="shared" si="6"/>
        <v>229092276</v>
      </c>
      <c r="H48" s="14">
        <f t="shared" si="6"/>
        <v>652235</v>
      </c>
      <c r="I48" s="14">
        <f t="shared" si="6"/>
        <v>377970</v>
      </c>
      <c r="J48" s="16">
        <f>SUM(D48:I48)</f>
        <v>254907909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-J48+254907909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5675138056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3">
        <v>4392824569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3">
        <v>851185158</v>
      </c>
    </row>
    <row r="54" spans="1:10" x14ac:dyDescent="0.25">
      <c r="A54" s="75"/>
      <c r="B54" s="8"/>
      <c r="I54" s="3" t="s">
        <v>323</v>
      </c>
      <c r="J54" s="117">
        <v>431128334</v>
      </c>
    </row>
    <row r="55" spans="1:10" x14ac:dyDescent="0.25">
      <c r="I55" t="s">
        <v>317</v>
      </c>
      <c r="J55" s="53">
        <f>J51-J52-J53-J54</f>
        <v>-5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K33" sqref="K33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6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2017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12674118</v>
      </c>
      <c r="E10" s="18"/>
      <c r="F10" s="18"/>
      <c r="G10" s="18"/>
      <c r="H10" s="18"/>
      <c r="I10" s="18"/>
      <c r="J10" s="3">
        <f t="shared" ref="J10:J14" si="0">SUM(D10:I10)</f>
        <v>12674118</v>
      </c>
      <c r="K10" s="53">
        <f>-J10+12674118</f>
        <v>0</v>
      </c>
    </row>
    <row r="11" spans="1:11" x14ac:dyDescent="0.25">
      <c r="A11" s="1"/>
      <c r="B11" s="8"/>
      <c r="C11" s="1" t="s">
        <v>283</v>
      </c>
      <c r="D11" s="18">
        <v>230348</v>
      </c>
      <c r="E11" s="18"/>
      <c r="F11" s="18"/>
      <c r="G11" s="18"/>
      <c r="H11" s="18"/>
      <c r="I11" s="18"/>
      <c r="J11" s="3">
        <f t="shared" si="0"/>
        <v>230348</v>
      </c>
      <c r="K11" s="53">
        <f>-J11+230348</f>
        <v>0</v>
      </c>
    </row>
    <row r="12" spans="1:11" x14ac:dyDescent="0.25">
      <c r="A12" s="1"/>
      <c r="B12" s="8"/>
      <c r="C12" s="1" t="s">
        <v>277</v>
      </c>
      <c r="D12" s="18"/>
      <c r="E12" s="18">
        <f>86389+191290</f>
        <v>277679</v>
      </c>
      <c r="F12" s="18">
        <v>88686</v>
      </c>
      <c r="G12" s="18">
        <v>2509174</v>
      </c>
      <c r="H12" s="18"/>
      <c r="I12" s="18">
        <v>96768</v>
      </c>
      <c r="J12" s="3">
        <f t="shared" si="0"/>
        <v>2972307</v>
      </c>
      <c r="K12" s="53">
        <f>-J12+2972307</f>
        <v>0</v>
      </c>
    </row>
    <row r="13" spans="1:11" x14ac:dyDescent="0.25">
      <c r="A13" s="1"/>
      <c r="B13" s="8"/>
      <c r="C13" s="1" t="s">
        <v>276</v>
      </c>
      <c r="D13" s="18">
        <f>2314185+2434625</f>
        <v>4748810</v>
      </c>
      <c r="E13" s="18">
        <v>0</v>
      </c>
      <c r="F13" s="18">
        <v>0</v>
      </c>
      <c r="G13" s="18">
        <v>52299404</v>
      </c>
      <c r="H13" s="18">
        <v>383264</v>
      </c>
      <c r="I13" s="18">
        <f>52223+71562</f>
        <v>123785</v>
      </c>
      <c r="J13" s="3">
        <f t="shared" si="0"/>
        <v>57555263</v>
      </c>
      <c r="K13" s="53">
        <f>-J13+57555263</f>
        <v>0</v>
      </c>
    </row>
    <row r="14" spans="1:11" x14ac:dyDescent="0.25">
      <c r="A14" s="1"/>
      <c r="B14" s="8"/>
      <c r="C14" s="1" t="s">
        <v>38</v>
      </c>
      <c r="D14" s="18"/>
      <c r="E14" s="18">
        <v>240542</v>
      </c>
      <c r="F14" s="18"/>
      <c r="G14" s="18"/>
      <c r="H14" s="18"/>
      <c r="I14" s="18"/>
      <c r="J14" s="3">
        <f t="shared" si="0"/>
        <v>240542</v>
      </c>
      <c r="K14" s="53">
        <f>-J14+240542</f>
        <v>0</v>
      </c>
    </row>
    <row r="15" spans="1:11" x14ac:dyDescent="0.25">
      <c r="A15" s="1"/>
      <c r="B15" s="8"/>
      <c r="C15" s="1" t="s">
        <v>278</v>
      </c>
      <c r="D15" s="18">
        <v>96927</v>
      </c>
      <c r="E15" s="18">
        <v>0</v>
      </c>
      <c r="F15" s="18">
        <v>0</v>
      </c>
      <c r="G15" s="18"/>
      <c r="H15" s="18"/>
      <c r="I15" s="18"/>
      <c r="J15" s="3">
        <f>SUM(D15:I15)</f>
        <v>96927</v>
      </c>
      <c r="K15" s="53">
        <f>-J15+96927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17750203</v>
      </c>
      <c r="E16" s="19">
        <f t="shared" si="1"/>
        <v>518221</v>
      </c>
      <c r="F16" s="19">
        <f t="shared" si="1"/>
        <v>88686</v>
      </c>
      <c r="G16" s="19">
        <f t="shared" si="1"/>
        <v>54808578</v>
      </c>
      <c r="H16" s="19">
        <f t="shared" si="1"/>
        <v>383264</v>
      </c>
      <c r="I16" s="19">
        <f t="shared" si="1"/>
        <v>220553</v>
      </c>
      <c r="J16" s="156">
        <f>SUM(J10:J15)</f>
        <v>73769505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-J16+73769505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299307409</v>
      </c>
      <c r="E24" s="6"/>
      <c r="F24" s="6"/>
      <c r="G24" s="3"/>
      <c r="H24" s="3"/>
      <c r="I24" s="3"/>
      <c r="J24" s="3">
        <f>SUM(D24:I24)</f>
        <v>299307409</v>
      </c>
      <c r="K24" s="53">
        <f>-J24+299307409</f>
        <v>0</v>
      </c>
    </row>
    <row r="25" spans="1:11" x14ac:dyDescent="0.25">
      <c r="A25" s="1"/>
      <c r="B25" s="9"/>
      <c r="C25" s="1" t="s">
        <v>36</v>
      </c>
      <c r="D25" s="6">
        <v>131252609</v>
      </c>
      <c r="E25" s="6"/>
      <c r="F25" s="6"/>
      <c r="G25" s="3"/>
      <c r="H25" s="3"/>
      <c r="I25" s="3"/>
      <c r="J25" s="3">
        <f>SUM(D25:I25)</f>
        <v>131252609</v>
      </c>
      <c r="K25" s="53">
        <f>-J25+131252609</f>
        <v>0</v>
      </c>
    </row>
    <row r="26" spans="1:11" x14ac:dyDescent="0.25">
      <c r="A26" s="1"/>
      <c r="B26" s="8"/>
      <c r="C26" s="1" t="s">
        <v>37</v>
      </c>
      <c r="D26" s="18">
        <v>119358789</v>
      </c>
      <c r="E26" s="3"/>
      <c r="F26" s="3"/>
      <c r="G26" s="3"/>
      <c r="H26" s="3"/>
      <c r="I26" s="3"/>
      <c r="J26" s="3">
        <f>SUM(D26:I26)</f>
        <v>119358789</v>
      </c>
      <c r="K26" s="53">
        <f>-J26+119358789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549918807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549918807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211773710</v>
      </c>
      <c r="E30" s="15"/>
      <c r="F30" s="15"/>
      <c r="G30" s="15"/>
      <c r="H30" s="15"/>
      <c r="I30" s="15"/>
      <c r="J30" s="16">
        <f>SUM(D30:I30)</f>
        <v>211773710</v>
      </c>
      <c r="K30" s="53">
        <f>-J30+211773710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15314546</v>
      </c>
      <c r="F32" s="15">
        <v>1012457</v>
      </c>
      <c r="G32" s="15"/>
      <c r="H32" s="15"/>
      <c r="I32" s="15"/>
      <c r="J32" s="16">
        <f>SUM(D32:I32)</f>
        <v>16327003</v>
      </c>
      <c r="K32" s="53">
        <f>-J32+16327003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527895502</v>
      </c>
      <c r="E34" s="15">
        <v>214937196</v>
      </c>
      <c r="F34" s="15">
        <v>106727386</v>
      </c>
      <c r="G34" s="15"/>
      <c r="H34" s="15"/>
      <c r="I34" s="15"/>
      <c r="J34" s="16">
        <f>SUM(D34:I34)</f>
        <v>849560084</v>
      </c>
      <c r="K34" s="53">
        <f>-J34+527895502+321664582</f>
        <v>0</v>
      </c>
    </row>
    <row r="35" spans="1:11" ht="13.2" thickTop="1" x14ac:dyDescent="0.25">
      <c r="A35" s="1"/>
      <c r="B35" s="1"/>
      <c r="C35" s="1"/>
      <c r="D35" s="3">
        <f>+D28+D30+D32+D34-1425454368+135866349</f>
        <v>0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45416291+9903141+19273953</f>
        <v>74593385</v>
      </c>
      <c r="E37" s="6">
        <f>2828815+1759350+6482459</f>
        <v>11070624</v>
      </c>
      <c r="F37" s="6">
        <v>5052704</v>
      </c>
      <c r="G37" s="6">
        <v>61883378</v>
      </c>
      <c r="H37" s="6">
        <v>2423659</v>
      </c>
      <c r="I37" s="6">
        <f>12498806+6079923+4235627</f>
        <v>22814356</v>
      </c>
      <c r="J37" s="3">
        <f>SUM(D37:I37)</f>
        <v>177838106</v>
      </c>
      <c r="K37" s="53">
        <f>-J37+177838106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74593385</v>
      </c>
      <c r="E39" s="14">
        <f t="shared" si="4"/>
        <v>11070624</v>
      </c>
      <c r="F39" s="14">
        <f t="shared" si="4"/>
        <v>5052704</v>
      </c>
      <c r="G39" s="14">
        <f t="shared" si="4"/>
        <v>61883378</v>
      </c>
      <c r="H39" s="14">
        <f t="shared" si="4"/>
        <v>2423659</v>
      </c>
      <c r="I39" s="14">
        <f t="shared" si="4"/>
        <v>22814356</v>
      </c>
      <c r="J39" s="14">
        <f t="shared" si="4"/>
        <v>177838106</v>
      </c>
      <c r="K39" s="86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1879187215</v>
      </c>
    </row>
    <row r="44" spans="1:11" x14ac:dyDescent="0.25">
      <c r="I44" t="s">
        <v>318</v>
      </c>
      <c r="J44" s="117">
        <v>1805417710</v>
      </c>
    </row>
    <row r="45" spans="1:11" x14ac:dyDescent="0.25">
      <c r="I45" t="s">
        <v>319</v>
      </c>
      <c r="J45" s="117">
        <v>73769505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E38" sqref="E38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6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6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30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'UtilityPlt-2017'!D14</f>
        <v>88045103</v>
      </c>
      <c r="E11" s="3">
        <f>'UtilityPlt-2017'!E14</f>
        <v>0</v>
      </c>
      <c r="F11" s="3">
        <f>'UtilityPlt-2017'!$F14</f>
        <v>0</v>
      </c>
      <c r="G11" s="3">
        <f>'UtilityPlt-2017'!I14</f>
        <v>0</v>
      </c>
      <c r="H11" s="3">
        <f>'UtilityPlt-2017'!H14</f>
        <v>0</v>
      </c>
      <c r="I11" s="3">
        <f>'UtilityPlt-2017'!G14</f>
        <v>0</v>
      </c>
      <c r="J11" s="3">
        <f t="shared" ref="J11:J17" si="0">SUM(D11:I11)</f>
        <v>88045103</v>
      </c>
    </row>
    <row r="12" spans="1:10" x14ac:dyDescent="0.25">
      <c r="A12" s="1"/>
      <c r="B12" s="3" t="s">
        <v>214</v>
      </c>
      <c r="C12" s="1"/>
      <c r="D12" s="3">
        <f>'UtilityPlt-2017'!D48</f>
        <v>22557106</v>
      </c>
      <c r="E12" s="3">
        <f>'UtilityPlt-2017'!E48</f>
        <v>1802199</v>
      </c>
      <c r="F12" s="3">
        <f>'UtilityPlt-2017'!F48</f>
        <v>426123</v>
      </c>
      <c r="G12" s="3">
        <f>'UtilityPlt-2017'!I48</f>
        <v>377970</v>
      </c>
      <c r="H12" s="3">
        <f>'UtilityPlt-2017'!H48</f>
        <v>652235</v>
      </c>
      <c r="I12" s="3">
        <f>'UtilityPlt-2017'!G48</f>
        <v>229092276</v>
      </c>
      <c r="J12" s="3">
        <f t="shared" si="0"/>
        <v>254907909</v>
      </c>
    </row>
    <row r="13" spans="1:10" x14ac:dyDescent="0.25">
      <c r="A13" s="1"/>
      <c r="B13" s="3" t="s">
        <v>44</v>
      </c>
      <c r="C13" s="1"/>
      <c r="D13" s="3">
        <f>'UtilityPlt-2017'!D19</f>
        <v>1373452637</v>
      </c>
      <c r="E13" s="3">
        <f>'UtilityPlt-2017'!E19</f>
        <v>0</v>
      </c>
      <c r="F13" s="3">
        <f>'UtilityPlt-2017'!F19</f>
        <v>7628</v>
      </c>
      <c r="G13" s="3">
        <f>'UtilityPlt-2017'!I19</f>
        <v>0</v>
      </c>
      <c r="H13" s="3">
        <f>'UtilityPlt-2017'!H19</f>
        <v>0</v>
      </c>
      <c r="I13" s="3">
        <f>'UtilityPlt-2017'!G19</f>
        <v>0</v>
      </c>
      <c r="J13" s="3">
        <f t="shared" si="0"/>
        <v>1373460265</v>
      </c>
    </row>
    <row r="14" spans="1:10" x14ac:dyDescent="0.25">
      <c r="A14" s="1"/>
      <c r="B14" s="3" t="s">
        <v>45</v>
      </c>
      <c r="C14" s="1"/>
      <c r="D14" s="3">
        <f>'UtilityPlt-2017'!D21</f>
        <v>722397541</v>
      </c>
      <c r="E14" s="3">
        <f>'UtilityPlt-2017'!E21</f>
        <v>0</v>
      </c>
      <c r="F14" s="3">
        <f>'UtilityPlt-2017'!F21</f>
        <v>0</v>
      </c>
      <c r="G14" s="3">
        <f>'UtilityPlt-2017'!I21</f>
        <v>0</v>
      </c>
      <c r="H14" s="3">
        <f>'UtilityPlt-2017'!H21</f>
        <v>0</v>
      </c>
      <c r="I14" s="3">
        <f>'UtilityPlt-2017'!G21</f>
        <v>0</v>
      </c>
      <c r="J14" s="3">
        <f t="shared" si="0"/>
        <v>722397541</v>
      </c>
    </row>
    <row r="15" spans="1:10" x14ac:dyDescent="0.25">
      <c r="A15" s="1"/>
      <c r="B15" s="3" t="s">
        <v>38</v>
      </c>
      <c r="C15" s="1"/>
      <c r="D15" s="3">
        <f>'UtilityPlt-2017'!D23</f>
        <v>0</v>
      </c>
      <c r="E15" s="3">
        <f>'UtilityPlt-2017'!E23</f>
        <v>39885633</v>
      </c>
      <c r="F15" s="3">
        <f>'UtilityPlt-2017'!F23</f>
        <v>6347098</v>
      </c>
      <c r="G15" s="3">
        <f>'UtilityPlt-2017'!I23</f>
        <v>0</v>
      </c>
      <c r="H15" s="3">
        <f>'UtilityPlt-2017'!H23</f>
        <v>0</v>
      </c>
      <c r="I15" s="3"/>
      <c r="J15" s="3">
        <f t="shared" si="0"/>
        <v>46232731</v>
      </c>
    </row>
    <row r="16" spans="1:10" x14ac:dyDescent="0.25">
      <c r="A16" s="1"/>
      <c r="B16" s="3" t="s">
        <v>46</v>
      </c>
      <c r="C16" s="1"/>
      <c r="D16" s="3">
        <f>'UtilityPlt-2017'!D25</f>
        <v>1643539122</v>
      </c>
      <c r="E16" s="3">
        <f>'UtilityPlt-2017'!E25</f>
        <v>666283197</v>
      </c>
      <c r="F16" s="3">
        <f>'UtilityPlt-2017'!F25</f>
        <v>366390848</v>
      </c>
      <c r="G16" s="3">
        <f>'UtilityPlt-2017'!I25</f>
        <v>0</v>
      </c>
      <c r="H16" s="3">
        <f>'UtilityPlt-2017'!H25</f>
        <v>0</v>
      </c>
      <c r="I16" s="3">
        <f>'UtilityPlt-2017'!G25</f>
        <v>0</v>
      </c>
      <c r="J16" s="3">
        <f t="shared" si="0"/>
        <v>2676213167</v>
      </c>
    </row>
    <row r="17" spans="1:11" x14ac:dyDescent="0.25">
      <c r="A17" s="1"/>
      <c r="B17" s="3" t="s">
        <v>47</v>
      </c>
      <c r="C17" s="1"/>
      <c r="D17" s="17">
        <f>'UtilityPlt-2017'!D39</f>
        <v>157538724</v>
      </c>
      <c r="E17" s="17">
        <f>'UtilityPlt-2017'!E39</f>
        <v>26757615</v>
      </c>
      <c r="F17" s="17">
        <f>'UtilityPlt-2017'!F39</f>
        <v>11003641</v>
      </c>
      <c r="G17" s="17">
        <f>'UtilityPlt-2017'!I39</f>
        <v>55928528</v>
      </c>
      <c r="H17" s="3">
        <f>'UtilityPlt-2017'!H39</f>
        <v>6187702</v>
      </c>
      <c r="I17" s="3">
        <f>'UtilityPlt-2017'!G39</f>
        <v>256465130</v>
      </c>
      <c r="J17" s="3">
        <f t="shared" si="0"/>
        <v>513881340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4007530233</v>
      </c>
      <c r="E18" s="21">
        <f t="shared" si="1"/>
        <v>734728644</v>
      </c>
      <c r="F18" s="21">
        <f t="shared" si="1"/>
        <v>384175338</v>
      </c>
      <c r="G18" s="21">
        <f t="shared" si="1"/>
        <v>56306498</v>
      </c>
      <c r="H18" s="21">
        <f t="shared" si="1"/>
        <v>6839937</v>
      </c>
      <c r="I18" s="21">
        <f t="shared" si="1"/>
        <v>485557406</v>
      </c>
      <c r="J18" s="21">
        <f t="shared" si="1"/>
        <v>5675138056</v>
      </c>
      <c r="K18" s="1"/>
    </row>
    <row r="19" spans="1:11" x14ac:dyDescent="0.25">
      <c r="D19" s="3">
        <f>+D18-'UtilityPlt-2017'!D14-'UtilityPlt-2017'!D19-'UtilityPlt-2017'!D21-'UtilityPlt-2017'!D23-'UtilityPlt-2017'!D25-'UtilityPlt-2017'!D39-'UtilityPlt-2017'!D48</f>
        <v>0</v>
      </c>
      <c r="E19" s="3">
        <f>+E18-'UtilityPlt-2017'!E14-'UtilityPlt-2017'!E19-'UtilityPlt-2017'!E21-'UtilityPlt-2017'!E23-'UtilityPlt-2017'!E25-'UtilityPlt-2017'!E39-'UtilityPlt-2017'!E48</f>
        <v>0</v>
      </c>
      <c r="F19" s="3">
        <f>+F18-'UtilityPlt-2017'!F14-'UtilityPlt-2017'!F19-'UtilityPlt-2017'!F21-'UtilityPlt-2017'!F23-'UtilityPlt-2017'!F25-'UtilityPlt-2017'!F39-'UtilityPlt-2017'!F48</f>
        <v>0</v>
      </c>
      <c r="G19" s="3">
        <f>+G18-'UtilityPlt-2017'!I14-'UtilityPlt-2017'!I19-'UtilityPlt-2017'!I21-'UtilityPlt-2017'!I23-'UtilityPlt-2017'!I25-'UtilityPlt-2017'!I39-'UtilityPlt-2017'!I48</f>
        <v>0</v>
      </c>
      <c r="H19" s="3">
        <f>+H18-'UtilityPlt-2017'!H14-'UtilityPlt-2017'!H19-'UtilityPlt-2017'!H21-'UtilityPlt-2017'!H23-'UtilityPlt-2017'!H25-'UtilityPlt-2017'!H39-'UtilityPlt-2017'!H48</f>
        <v>0</v>
      </c>
      <c r="I19" s="3">
        <f>+I18-'UtilityPlt-2017'!G14-'UtilityPlt-2017'!G19-'UtilityPlt-2017'!G21-'UtilityPlt-2017'!G23-'UtilityPlt-2017'!G25-'UtilityPlt-2017'!G39-'UtilityPlt-2017'!G48</f>
        <v>0</v>
      </c>
      <c r="J19" s="3">
        <f>+J18-'UtilityPlt-2017'!J14-'UtilityPlt-2017'!J19-'UtilityPlt-2017'!J21-'UtilityPlt-2017'!J23-'UtilityPlt-2017'!J25-'UtilityPlt-2017'!J39-'UtilityPlt-2017'!J48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'UtilityAccDep-2017'!D16</f>
        <v>17750203</v>
      </c>
      <c r="E21" s="3">
        <f>'UtilityAccDep-2017'!E16</f>
        <v>518221</v>
      </c>
      <c r="F21" s="3">
        <f>'UtilityAccDep-2017'!F16</f>
        <v>88686</v>
      </c>
      <c r="G21" s="3">
        <f>'UtilityAccDep-2017'!I16</f>
        <v>220553</v>
      </c>
      <c r="H21" s="3">
        <f>'UtilityAccDep-2017'!H16</f>
        <v>383264</v>
      </c>
      <c r="I21" s="3">
        <f>'UtilityAccDep-2017'!G16</f>
        <v>54808578</v>
      </c>
      <c r="J21" s="3">
        <f t="shared" ref="J21:J28" si="2">SUM(D21:I21)</f>
        <v>73769505</v>
      </c>
      <c r="K21" s="1"/>
    </row>
    <row r="22" spans="1:11" x14ac:dyDescent="0.25">
      <c r="A22" s="1"/>
      <c r="B22" s="3" t="s">
        <v>214</v>
      </c>
      <c r="C22" s="1"/>
      <c r="D22" s="3">
        <f>SUM('UtilityAccDep-2017'!D19)</f>
        <v>0</v>
      </c>
      <c r="E22" s="3">
        <f>SUM('UtilityAccDep-2017'!E19)</f>
        <v>0</v>
      </c>
      <c r="F22" s="3">
        <f>SUM('UtilityAccDep-2017'!F19)</f>
        <v>0</v>
      </c>
      <c r="G22" s="3">
        <f>SUM('UtilityAccDep-2017'!I19)</f>
        <v>0</v>
      </c>
      <c r="H22" s="3">
        <f>SUM('UtilityAccDep-2017'!H19)</f>
        <v>0</v>
      </c>
      <c r="I22" s="3">
        <f>SUM('UtilityAccDep-2017'!G19)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'UtilityAccDep-2017'!D20</f>
        <v>0</v>
      </c>
      <c r="E23" s="3">
        <f>'UtilityAccDep-2017'!E20</f>
        <v>0</v>
      </c>
      <c r="F23" s="3">
        <f>'UtilityAccDep-2017'!F20</f>
        <v>0</v>
      </c>
      <c r="G23" s="3">
        <f>'UtilityAccDep-2017'!I20</f>
        <v>0</v>
      </c>
      <c r="H23" s="3">
        <f>'UtilityAccDep-2017'!H20</f>
        <v>0</v>
      </c>
      <c r="I23" s="3">
        <f>'UtilityAccDep-2017'!G20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'UtilityAccDep-2017'!D28</f>
        <v>549918807</v>
      </c>
      <c r="E24" s="3">
        <f>'UtilityAccDep-2017'!E28</f>
        <v>0</v>
      </c>
      <c r="F24" s="3">
        <f>'UtilityAccDep-2017'!F28</f>
        <v>0</v>
      </c>
      <c r="G24" s="3">
        <f>'UtilityAccDep-2017'!I28</f>
        <v>0</v>
      </c>
      <c r="H24" s="3">
        <f>'UtilityAccDep-2017'!H28</f>
        <v>0</v>
      </c>
      <c r="I24" s="3">
        <f>'UtilityAccDep-2017'!G28</f>
        <v>0</v>
      </c>
      <c r="J24" s="3">
        <f t="shared" si="2"/>
        <v>549918807</v>
      </c>
      <c r="K24" s="1"/>
    </row>
    <row r="25" spans="1:11" x14ac:dyDescent="0.25">
      <c r="A25" s="1"/>
      <c r="B25" s="3" t="s">
        <v>45</v>
      </c>
      <c r="C25" s="1"/>
      <c r="D25" s="3">
        <f>'UtilityAccDep-2017'!D30</f>
        <v>211773710</v>
      </c>
      <c r="E25" s="3">
        <f>'UtilityAccDep-2017'!E30</f>
        <v>0</v>
      </c>
      <c r="F25" s="3">
        <f>'UtilityAccDep-2017'!F30</f>
        <v>0</v>
      </c>
      <c r="G25" s="3">
        <f>'UtilityAccDep-2017'!I30</f>
        <v>0</v>
      </c>
      <c r="H25" s="3">
        <f>'UtilityAccDep-2017'!H30</f>
        <v>0</v>
      </c>
      <c r="I25" s="3">
        <f>'UtilityAccDep-2017'!G30</f>
        <v>0</v>
      </c>
      <c r="J25" s="3">
        <f t="shared" si="2"/>
        <v>211773710</v>
      </c>
      <c r="K25" s="1"/>
    </row>
    <row r="26" spans="1:11" x14ac:dyDescent="0.25">
      <c r="A26" s="1"/>
      <c r="B26" s="3" t="s">
        <v>38</v>
      </c>
      <c r="C26" s="1"/>
      <c r="D26" s="3">
        <f>'UtilityAccDep-2017'!D32</f>
        <v>0</v>
      </c>
      <c r="E26" s="3">
        <f>'UtilityAccDep-2017'!E32</f>
        <v>15314546</v>
      </c>
      <c r="F26" s="3">
        <f>'UtilityAccDep-2017'!F32</f>
        <v>1012457</v>
      </c>
      <c r="G26" s="3">
        <f>'UtilityAccDep-2017'!I32</f>
        <v>0</v>
      </c>
      <c r="H26" s="3">
        <f>'UtilityAccDep-2017'!H32</f>
        <v>0</v>
      </c>
      <c r="I26" s="3">
        <f>'UtilityAccDep-2017'!G32</f>
        <v>0</v>
      </c>
      <c r="J26" s="3">
        <f t="shared" si="2"/>
        <v>16327003</v>
      </c>
      <c r="K26" s="1"/>
    </row>
    <row r="27" spans="1:11" x14ac:dyDescent="0.25">
      <c r="A27" s="1"/>
      <c r="B27" s="3" t="s">
        <v>46</v>
      </c>
      <c r="C27" s="1"/>
      <c r="D27" s="3">
        <f>'UtilityAccDep-2017'!D34</f>
        <v>527895502</v>
      </c>
      <c r="E27" s="3">
        <f>'UtilityAccDep-2017'!E34</f>
        <v>214937196</v>
      </c>
      <c r="F27" s="3">
        <f>'UtilityAccDep-2017'!F34</f>
        <v>106727386</v>
      </c>
      <c r="G27" s="3">
        <f>'UtilityAccDep-2017'!I34</f>
        <v>0</v>
      </c>
      <c r="H27" s="3">
        <f>'UtilityAccDep-2017'!H34</f>
        <v>0</v>
      </c>
      <c r="I27" s="3">
        <f>'UtilityAccDep-2017'!G34</f>
        <v>0</v>
      </c>
      <c r="J27" s="3">
        <f t="shared" si="2"/>
        <v>849560084</v>
      </c>
      <c r="K27" s="1"/>
    </row>
    <row r="28" spans="1:11" x14ac:dyDescent="0.25">
      <c r="A28" s="1"/>
      <c r="B28" s="3" t="s">
        <v>50</v>
      </c>
      <c r="C28" s="1"/>
      <c r="D28" s="17">
        <f>'UtilityAccDep-2017'!D39</f>
        <v>74593385</v>
      </c>
      <c r="E28" s="17">
        <f>'UtilityAccDep-2017'!E39</f>
        <v>11070624</v>
      </c>
      <c r="F28" s="17">
        <f>'UtilityAccDep-2017'!F39</f>
        <v>5052704</v>
      </c>
      <c r="G28" s="17">
        <f>'UtilityAccDep-2017'!I39</f>
        <v>22814356</v>
      </c>
      <c r="H28" s="17">
        <f>'UtilityAccDep-2017'!H39</f>
        <v>2423659</v>
      </c>
      <c r="I28" s="17">
        <f>'UtilityAccDep-2017'!G39</f>
        <v>61883378</v>
      </c>
      <c r="J28" s="17">
        <f t="shared" si="2"/>
        <v>177838106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1381931607</v>
      </c>
      <c r="E29" s="3">
        <f t="shared" si="3"/>
        <v>241840587</v>
      </c>
      <c r="F29" s="3">
        <f t="shared" si="3"/>
        <v>112881233</v>
      </c>
      <c r="G29" s="3">
        <f t="shared" si="3"/>
        <v>23034909</v>
      </c>
      <c r="H29" s="3">
        <f t="shared" si="3"/>
        <v>2806923</v>
      </c>
      <c r="I29" s="3">
        <f t="shared" si="3"/>
        <v>116691956</v>
      </c>
      <c r="J29" s="3">
        <f t="shared" si="3"/>
        <v>1879187215</v>
      </c>
      <c r="K29" s="1"/>
    </row>
    <row r="30" spans="1:11" x14ac:dyDescent="0.25">
      <c r="A30" s="1"/>
      <c r="B30" s="1"/>
      <c r="C30" s="1"/>
      <c r="D30" s="3">
        <f>+D29-'UtilityAccDep-2017'!D16-'UtilityAccDep-2017'!D21-'UtilityAccDep-2017'!D28-'UtilityAccDep-2017'!D30-'UtilityAccDep-2017'!D32-'UtilityAccDep-2017'!D34-'UtilityAccDep-2017'!D39</f>
        <v>0</v>
      </c>
      <c r="E30" s="3">
        <f>+E29-'UtilityAccDep-2017'!E16-'UtilityAccDep-2017'!E21-'UtilityAccDep-2017'!E28-'UtilityAccDep-2017'!E30-'UtilityAccDep-2017'!E32-'UtilityAccDep-2017'!E34-'UtilityAccDep-2017'!E39</f>
        <v>0</v>
      </c>
      <c r="F30" s="3">
        <f>+F29-'UtilityAccDep-2017'!F16-'UtilityAccDep-2017'!F21-'UtilityAccDep-2017'!F28-'UtilityAccDep-2017'!F30-'UtilityAccDep-2017'!F32-'UtilityAccDep-2017'!F34-'UtilityAccDep-2017'!F39</f>
        <v>0</v>
      </c>
      <c r="G30" s="3">
        <f>+G29-'UtilityAccDep-2017'!I16-'UtilityAccDep-2017'!I21-'UtilityAccDep-2017'!I28-'UtilityAccDep-2017'!I30-'UtilityAccDep-2017'!I32-'UtilityAccDep-2017'!I34-'UtilityAccDep-2017'!I39</f>
        <v>0</v>
      </c>
      <c r="H30" s="3">
        <f>+H29-'UtilityAccDep-2017'!H16-'UtilityAccDep-2017'!H21-'UtilityAccDep-2017'!H28-'UtilityAccDep-2017'!H30-'UtilityAccDep-2017'!H32-'UtilityAccDep-2017'!H34-'UtilityAccDep-2017'!H39</f>
        <v>0</v>
      </c>
      <c r="I30" s="3">
        <f>+I29-'UtilityAccDep-2017'!G16-'UtilityAccDep-2017'!G21-'UtilityAccDep-2017'!G28-'UtilityAccDep-2017'!G30-'UtilityAccDep-2017'!G32-'UtilityAccDep-2017'!G34-'UtilityAccDep-2017'!G39</f>
        <v>0</v>
      </c>
      <c r="J30" s="3">
        <f>+J29-'UtilityAccDep-2017'!J16-'UtilityAccDep-2017'!J21-'UtilityAccDep-2017'!J28-'UtilityAccDep-2017'!J30-'UtilityAccDep-2017'!J32-'UtilityAccDep-2017'!J34-'UtilityAccDep-2017'!J39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2625598626</v>
      </c>
      <c r="E31" s="3">
        <f t="shared" si="4"/>
        <v>492888057</v>
      </c>
      <c r="F31" s="3">
        <f t="shared" si="4"/>
        <v>271294105</v>
      </c>
      <c r="G31" s="3">
        <f t="shared" si="4"/>
        <v>33271589</v>
      </c>
      <c r="H31" s="3">
        <f t="shared" si="4"/>
        <v>4033014</v>
      </c>
      <c r="I31" s="3">
        <f t="shared" si="4"/>
        <v>368865450</v>
      </c>
      <c r="J31" s="3">
        <f t="shared" si="4"/>
        <v>3795950841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'9-2017'!D40</f>
        <v>0.77715000000000001</v>
      </c>
      <c r="E34" s="41">
        <f>'9-2017'!E40</f>
        <v>0.22284999999999999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25857015</v>
      </c>
      <c r="E35" s="3">
        <f>ROUND(+E34*G31,0)</f>
        <v>7414574</v>
      </c>
      <c r="F35" s="3"/>
      <c r="G35" s="3">
        <f>-D35-E35</f>
        <v>-33271589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'8-2017'!E38</f>
        <v>0.68562000000000001</v>
      </c>
      <c r="F38" s="41">
        <f>'8-2017'!F38</f>
        <v>0.31437999999999999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2765115</v>
      </c>
      <c r="F39" s="3">
        <f>ROUND(+F38*H31,0)</f>
        <v>1267899</v>
      </c>
      <c r="G39" s="3"/>
      <c r="H39" s="3">
        <f>-E39-F39</f>
        <v>-4033014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2651455641</v>
      </c>
      <c r="E41" s="14">
        <f t="shared" si="5"/>
        <v>503067746</v>
      </c>
      <c r="F41" s="14">
        <f t="shared" si="5"/>
        <v>272562004</v>
      </c>
      <c r="G41" s="14">
        <f t="shared" si="5"/>
        <v>0</v>
      </c>
      <c r="H41" s="14">
        <f t="shared" si="5"/>
        <v>0</v>
      </c>
      <c r="I41" s="14">
        <f t="shared" si="5"/>
        <v>368865450</v>
      </c>
      <c r="J41" s="14">
        <f t="shared" si="5"/>
        <v>3795950841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'UtilityPlt-2017'!J51-'UtilityAccDep-2017'!J43-J41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4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6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4" t="s">
        <v>311</v>
      </c>
      <c r="J5" s="164"/>
      <c r="K5" s="164"/>
      <c r="M5" s="164" t="s">
        <v>312</v>
      </c>
      <c r="N5" s="164"/>
      <c r="O5" s="164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74561528</v>
      </c>
      <c r="D10" s="7">
        <f>'Expenses-2017'!H6+'Expenses-2017'!I6+'Expenses-2017'!K6</f>
        <v>62492356</v>
      </c>
      <c r="E10" s="7">
        <f>ROUND(I10*(N10/M10),0)</f>
        <v>8088844</v>
      </c>
      <c r="F10" s="7">
        <f>ROUND(I10*(O10/M10),0)</f>
        <v>3980328</v>
      </c>
      <c r="G10" s="8" t="s">
        <v>331</v>
      </c>
      <c r="I10" s="53">
        <f>SUM(J10:K10)</f>
        <v>12069172</v>
      </c>
      <c r="J10" s="53">
        <f>'Expenses-2017'!L12+'Expenses-2017'!M12+'Expenses-2017'!O12+'Expenses-2017'!Q12</f>
        <v>8097552</v>
      </c>
      <c r="K10" s="53">
        <f>'Expenses-2017'!L18+'Expenses-2017'!P18</f>
        <v>3971620</v>
      </c>
      <c r="L10" s="53"/>
      <c r="M10" s="53">
        <f>SUM(N10:O10)</f>
        <v>11502745</v>
      </c>
      <c r="N10" s="53">
        <f>'Expenses-2017'!M12+'Expenses-2017'!O12+'Expenses-2017'!Q12</f>
        <v>7709221</v>
      </c>
      <c r="O10" s="53">
        <f>'Expenses-2017'!P18</f>
        <v>3793524</v>
      </c>
    </row>
    <row r="11" spans="1:15" x14ac:dyDescent="0.25">
      <c r="A11" s="1" t="s">
        <v>310</v>
      </c>
      <c r="B11" s="8" t="s">
        <v>201</v>
      </c>
      <c r="C11" s="3">
        <f>SUM(D11:F11)</f>
        <v>51344851</v>
      </c>
      <c r="D11" s="3">
        <f>'Expenses-2017'!H5+'Expenses-2017'!I5+'Expenses-2017'!J5+'Expenses-2017'!K5</f>
        <v>35523672</v>
      </c>
      <c r="E11" s="3">
        <f>ROUND(I11*(N11/M11),0)</f>
        <v>10602829</v>
      </c>
      <c r="F11" s="3">
        <f>ROUND(I11*(O11/M11),0)</f>
        <v>5218350</v>
      </c>
      <c r="G11" s="9">
        <v>-2</v>
      </c>
      <c r="I11" s="53">
        <f t="shared" ref="I11:I12" si="0">SUM(J11:K11)</f>
        <v>15821179</v>
      </c>
      <c r="J11" s="53">
        <f>'Expenses-2017'!L11+'Expenses-2017'!M11+'Expenses-2017'!O11+'Expenses-2017'!Q11</f>
        <v>10608559</v>
      </c>
      <c r="K11" s="53">
        <f>'Expenses-2017'!L17+'Expenses-2017'!N17+'Expenses-2017'!P17</f>
        <v>5212620</v>
      </c>
      <c r="L11" s="53"/>
      <c r="M11" s="53">
        <f t="shared" ref="M11:M12" si="1">SUM(N11:O11)</f>
        <v>15449456</v>
      </c>
      <c r="N11" s="53">
        <f>'Expenses-2017'!M11+'Expenses-2017'!O11+'Expenses-2017'!Q11</f>
        <v>10353713</v>
      </c>
      <c r="O11" s="53">
        <f>'Expenses-2017'!N17+'Expenses-2017'!P17</f>
        <v>5095743</v>
      </c>
    </row>
    <row r="12" spans="1:15" x14ac:dyDescent="0.25">
      <c r="A12" s="1" t="s">
        <v>309</v>
      </c>
      <c r="B12" s="8"/>
      <c r="C12" s="3">
        <f>SUM(D12:F12)</f>
        <v>5153393</v>
      </c>
      <c r="D12" s="42">
        <f>'Expenses-2017'!E5+'Expenses-2017'!F5+'Expenses-2017'!G5</f>
        <v>3464837</v>
      </c>
      <c r="E12" s="3">
        <f>ROUND(I12*(N12/M12),0)</f>
        <v>1688556</v>
      </c>
      <c r="F12" s="127">
        <f>ROUND(I12*(O12/M12),0)</f>
        <v>0</v>
      </c>
      <c r="G12" s="9">
        <v>-2</v>
      </c>
      <c r="I12" s="53">
        <f t="shared" si="0"/>
        <v>1688556</v>
      </c>
      <c r="J12" s="53">
        <f>'Expenses-2017'!E11+'Expenses-2017'!F11+'Expenses-2017'!G11</f>
        <v>1688556</v>
      </c>
      <c r="K12" s="125">
        <v>0</v>
      </c>
      <c r="L12" s="53"/>
      <c r="M12" s="53">
        <f t="shared" si="1"/>
        <v>1688556</v>
      </c>
      <c r="N12" s="53">
        <f>'Expenses-2017'!E11+'Expenses-2017'!F11+'Expenses-2017'!G11</f>
        <v>1688556</v>
      </c>
      <c r="O12" s="125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91"/>
      <c r="G15" s="9"/>
    </row>
    <row r="16" spans="1:15" x14ac:dyDescent="0.25">
      <c r="A16" s="1" t="s">
        <v>57</v>
      </c>
      <c r="B16" s="1"/>
      <c r="C16" s="25">
        <f>SUM(C10:C15)</f>
        <v>131059772</v>
      </c>
      <c r="D16" s="25">
        <f>SUM(D10:D15)</f>
        <v>101480865</v>
      </c>
      <c r="E16" s="25">
        <f>SUM(E10:E15)</f>
        <v>20380229</v>
      </c>
      <c r="F16" s="25">
        <f>SUM(F10:F15)</f>
        <v>9198678</v>
      </c>
      <c r="G16" s="1"/>
      <c r="I16" s="25">
        <f t="shared" ref="I16:K16" si="2">SUM(I10:I15)</f>
        <v>29578907</v>
      </c>
      <c r="J16" s="25">
        <f t="shared" si="2"/>
        <v>20394667</v>
      </c>
      <c r="K16" s="25">
        <f t="shared" si="2"/>
        <v>9184240</v>
      </c>
      <c r="M16" s="25">
        <f t="shared" ref="M16:O16" si="3">SUM(M10:M15)</f>
        <v>28640757</v>
      </c>
      <c r="N16" s="25">
        <f t="shared" si="3"/>
        <v>19751490</v>
      </c>
      <c r="O16" s="25">
        <f t="shared" si="3"/>
        <v>8889267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0.77431000000000005</v>
      </c>
      <c r="E18" s="4">
        <f>ROUND(+E16/C16,5)</f>
        <v>0.1555</v>
      </c>
      <c r="F18" s="4">
        <f>ROUND(F16/C16,5)</f>
        <v>7.0190000000000002E-2</v>
      </c>
      <c r="G18" s="76" t="str">
        <f>IF(C18=1," ","Check rounding")</f>
        <v xml:space="preserve"> </v>
      </c>
      <c r="I18" s="126">
        <f>I16/C16</f>
        <v>0.22569020645022944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74226505</v>
      </c>
      <c r="D21" s="7">
        <f>'Expenses-2017'!H9+'Expenses-2017'!I9+'Expenses-2017'!K9+'Expenses-2017'!H10</f>
        <v>55932706</v>
      </c>
      <c r="E21" s="7">
        <f t="shared" ref="E21:E23" si="4">ROUND(I21*(N21/M21),0)</f>
        <v>12828428</v>
      </c>
      <c r="F21" s="7">
        <f t="shared" ref="F21:F23" si="5">ROUND(I21*(O21/M21),0)</f>
        <v>5465371</v>
      </c>
      <c r="G21" s="8"/>
      <c r="I21" s="53">
        <f>SUM(J21:K21)</f>
        <v>18293799</v>
      </c>
      <c r="J21" s="53">
        <f>'Expenses-2017'!L15+'Expenses-2017'!M15+'Expenses-2017'!O15+'Expenses-2017'!Q15</f>
        <v>12749511</v>
      </c>
      <c r="K21" s="53">
        <f>'Expenses-2017'!L21+'Expenses-2017'!P21</f>
        <v>5544288</v>
      </c>
      <c r="L21" s="53"/>
      <c r="M21" s="53">
        <f>SUM(N21:O21)</f>
        <v>13255885</v>
      </c>
      <c r="N21" s="53">
        <f>'Expenses-2017'!M15+'Expenses-2017'!O15+'Expenses-2017'!Q15</f>
        <v>9295618</v>
      </c>
      <c r="O21" s="53">
        <f>'Expenses-2017'!P21</f>
        <v>3960267</v>
      </c>
    </row>
    <row r="22" spans="1:15" x14ac:dyDescent="0.25">
      <c r="A22" s="1" t="s">
        <v>310</v>
      </c>
      <c r="B22" s="8" t="s">
        <v>201</v>
      </c>
      <c r="C22" s="3">
        <f>SUM(D22:F22)</f>
        <v>6185979</v>
      </c>
      <c r="D22" s="3">
        <f>'Expenses-2017'!H8+'Expenses-2017'!I8+'Expenses-2017'!K8</f>
        <v>3809731</v>
      </c>
      <c r="E22" s="3">
        <f t="shared" si="4"/>
        <v>197120</v>
      </c>
      <c r="F22" s="3">
        <f t="shared" si="5"/>
        <v>2179128</v>
      </c>
      <c r="G22" s="9"/>
      <c r="I22" s="53">
        <f t="shared" ref="I22:I23" si="6">SUM(J22:K22)</f>
        <v>2376248</v>
      </c>
      <c r="J22" s="53">
        <f>'Expenses-2017'!L14+'Expenses-2017'!O14+'Expenses-2017'!Q14</f>
        <v>533341</v>
      </c>
      <c r="K22" s="53">
        <f>'Expenses-2017'!L20+'Expenses-2017'!N20+'Expenses-2017'!P20</f>
        <v>1842907</v>
      </c>
      <c r="L22" s="53"/>
      <c r="M22" s="53">
        <f t="shared" ref="M22:M23" si="7">SUM(N22:O22)</f>
        <v>1818322</v>
      </c>
      <c r="N22" s="53">
        <f>'Expenses-2017'!O14+'Expenses-2017'!Q14</f>
        <v>150838</v>
      </c>
      <c r="O22" s="53">
        <f>'Expenses-2017'!N20+'Expenses-2017'!P20</f>
        <v>1667484</v>
      </c>
    </row>
    <row r="23" spans="1:15" x14ac:dyDescent="0.25">
      <c r="A23" s="1" t="s">
        <v>309</v>
      </c>
      <c r="B23" s="8"/>
      <c r="C23" s="3">
        <f>SUM(D23:F23)</f>
        <v>11137496</v>
      </c>
      <c r="D23" s="42">
        <f>'Expenses-2017'!E8+'Expenses-2017'!F8+'Expenses-2017'!G8</f>
        <v>7407915</v>
      </c>
      <c r="E23" s="3">
        <f t="shared" si="4"/>
        <v>3729581</v>
      </c>
      <c r="F23" s="127">
        <f t="shared" si="5"/>
        <v>0</v>
      </c>
      <c r="G23" s="9"/>
      <c r="I23" s="53">
        <f t="shared" si="6"/>
        <v>3729581</v>
      </c>
      <c r="J23" s="53">
        <f>'Expenses-2017'!E14+'Expenses-2017'!F14+'Expenses-2017'!G14</f>
        <v>3729581</v>
      </c>
      <c r="K23" s="125">
        <v>0</v>
      </c>
      <c r="L23" s="53"/>
      <c r="M23" s="53">
        <f t="shared" si="7"/>
        <v>3729581</v>
      </c>
      <c r="N23" s="53">
        <f>'Expenses-2017'!E14+'Expenses-2017'!F14+'Expenses-2017'!G14</f>
        <v>3729581</v>
      </c>
      <c r="O23" s="125">
        <v>0</v>
      </c>
    </row>
    <row r="24" spans="1:15" x14ac:dyDescent="0.25">
      <c r="A24" s="1" t="s">
        <v>57</v>
      </c>
      <c r="B24" s="1"/>
      <c r="C24" s="25">
        <f>SUM(C21:C23)</f>
        <v>91549980</v>
      </c>
      <c r="D24" s="25">
        <f>SUM(D21:D23)</f>
        <v>67150352</v>
      </c>
      <c r="E24" s="25">
        <f>SUM(E21:E23)</f>
        <v>16755129</v>
      </c>
      <c r="F24" s="25">
        <f>SUM(F21:F23)</f>
        <v>7644499</v>
      </c>
      <c r="G24" s="1"/>
      <c r="I24" s="25">
        <f t="shared" ref="I24:K24" si="8">SUM(I21:I23)</f>
        <v>24399628</v>
      </c>
      <c r="J24" s="25">
        <f t="shared" si="8"/>
        <v>17012433</v>
      </c>
      <c r="K24" s="25">
        <f t="shared" si="8"/>
        <v>7387195</v>
      </c>
      <c r="M24" s="25">
        <f t="shared" ref="M24:O24" si="9">SUM(M21:M23)</f>
        <v>18803788</v>
      </c>
      <c r="N24" s="25">
        <f t="shared" si="9"/>
        <v>13176037</v>
      </c>
      <c r="O24" s="25">
        <f t="shared" si="9"/>
        <v>5627751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</f>
        <v>0.73348000000000002</v>
      </c>
      <c r="E26" s="4">
        <f>ROUND(+E24/C24,5)</f>
        <v>0.18301999999999999</v>
      </c>
      <c r="F26" s="4">
        <f>ROUND(F24/C24,5)</f>
        <v>8.3500000000000005E-2</v>
      </c>
      <c r="G26" s="76" t="str">
        <f>IF(C26=1," ","Check rounding")</f>
        <v xml:space="preserve"> </v>
      </c>
      <c r="I26" s="126">
        <f>I24/C24</f>
        <v>0.26651702163124447</v>
      </c>
    </row>
    <row r="28" spans="1:15" x14ac:dyDescent="0.25">
      <c r="A28" s="2" t="s">
        <v>375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413587</v>
      </c>
      <c r="D29" s="6">
        <v>250848</v>
      </c>
      <c r="E29" s="6">
        <v>162739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214302</v>
      </c>
      <c r="D30" s="6">
        <v>131425</v>
      </c>
      <c r="E30" s="6">
        <v>82877</v>
      </c>
      <c r="F30" s="6"/>
      <c r="G30" s="1"/>
    </row>
    <row r="31" spans="1:15" x14ac:dyDescent="0.25">
      <c r="A31" s="1" t="s">
        <v>62</v>
      </c>
      <c r="B31" s="1"/>
      <c r="C31" s="3">
        <f>SUM(D31:F31)</f>
        <v>101707</v>
      </c>
      <c r="D31" s="6"/>
      <c r="E31" s="6"/>
      <c r="F31" s="6">
        <v>101707</v>
      </c>
      <c r="G31" s="1"/>
    </row>
    <row r="32" spans="1:15" x14ac:dyDescent="0.25">
      <c r="A32" s="1" t="s">
        <v>65</v>
      </c>
      <c r="B32" s="1"/>
      <c r="C32" s="21">
        <f>SUM(D32:F32)</f>
        <v>729596</v>
      </c>
      <c r="D32" s="21">
        <f>SUM(D29:D31)</f>
        <v>382273</v>
      </c>
      <c r="E32" s="21">
        <f>SUM(E29:E31)</f>
        <v>245616</v>
      </c>
      <c r="F32" s="21">
        <f>SUM(F29:F31)</f>
        <v>101707</v>
      </c>
      <c r="G32" s="3"/>
    </row>
    <row r="33" spans="1:7" x14ac:dyDescent="0.25">
      <c r="C33" s="114"/>
      <c r="E33">
        <f>-E32-F32+334732</f>
        <v>-12591</v>
      </c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0.52395000000000003</v>
      </c>
      <c r="E34" s="4">
        <f>ROUND(+E32/C32,5)</f>
        <v>0.33665</v>
      </c>
      <c r="F34" s="4">
        <f>ROUND(F32/C32,5)</f>
        <v>0.1394</v>
      </c>
      <c r="G34" s="76" t="str">
        <f>IF(C34=1," ","Check rounding")</f>
        <v xml:space="preserve"> </v>
      </c>
    </row>
    <row r="36" spans="1:7" x14ac:dyDescent="0.25">
      <c r="A36" s="134" t="s">
        <v>376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3427085391</v>
      </c>
      <c r="D37" s="7">
        <f>'UtilityNetPlt-2017'!D41</f>
        <v>2651455641</v>
      </c>
      <c r="E37" s="7">
        <f>'UtilityNetPlt-2017'!E41</f>
        <v>503067746</v>
      </c>
      <c r="F37" s="7">
        <f>'UtilityNetPlt-2017'!F41</f>
        <v>272562004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ROUND(D37/C37,5)-0</f>
        <v>0.77368000000000003</v>
      </c>
      <c r="E39" s="4">
        <f>ROUND(E37/C37,5)</f>
        <v>0.14679</v>
      </c>
      <c r="F39" s="4">
        <f>ROUND(F37/C37,5)</f>
        <v>7.9530000000000003E-2</v>
      </c>
      <c r="G39" s="76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2.8054200000000002</v>
      </c>
      <c r="E42" s="27">
        <f>E18+E26+E34+E39</f>
        <v>0.82196000000000002</v>
      </c>
      <c r="F42" s="27">
        <f>F18+F26+F34+F39</f>
        <v>0.37261999999999995</v>
      </c>
      <c r="G42" s="1"/>
    </row>
    <row r="44" spans="1:7" ht="13.2" thickBot="1" x14ac:dyDescent="0.3">
      <c r="A44" s="1" t="s">
        <v>66</v>
      </c>
      <c r="B44" s="1"/>
      <c r="C44" s="92">
        <f>SUM(D44:F44)</f>
        <v>1</v>
      </c>
      <c r="D44" s="30">
        <f>ROUND(+D42/C42,5)-0.00001</f>
        <v>0.70135000000000003</v>
      </c>
      <c r="E44" s="29">
        <f>ROUND(+E42/C42,5)</f>
        <v>0.20549000000000001</v>
      </c>
      <c r="F44" s="29">
        <f>ROUND(F42/C42,5)</f>
        <v>9.3160000000000007E-2</v>
      </c>
      <c r="G44" s="76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6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11502745</v>
      </c>
      <c r="D10" s="7"/>
      <c r="E10" s="7">
        <f>'Expenses-2017'!M12+'Expenses-2017'!O12+'Expenses-2017'!Q12</f>
        <v>7709221</v>
      </c>
      <c r="F10" s="7">
        <f>'Expenses-2017'!P18</f>
        <v>3793524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15449456</v>
      </c>
      <c r="D11" s="3"/>
      <c r="E11" s="3">
        <f>'Expenses-2017'!M11+'Expenses-2017'!O11+'Expenses-2017'!Q11</f>
        <v>10353713</v>
      </c>
      <c r="F11" s="3">
        <f>'Expenses-2017'!N17+'Expenses-2017'!P17</f>
        <v>5095743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1688556</v>
      </c>
      <c r="D12" s="3"/>
      <c r="E12" s="3">
        <f>'Expenses-2017'!E11+'Expenses-2017'!F11+'Expenses-2017'!G11</f>
        <v>1688556</v>
      </c>
      <c r="F12" s="129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28640757</v>
      </c>
      <c r="D13" s="25">
        <f>SUM(D10:D12)</f>
        <v>0</v>
      </c>
      <c r="E13" s="25">
        <f>SUM(E10:E12)</f>
        <v>19751490</v>
      </c>
      <c r="F13" s="25">
        <f>SUM(F10:F12)</f>
        <v>8889267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0.68962999999999997</v>
      </c>
      <c r="F15" s="4">
        <f>ROUND(F13/C13,5)</f>
        <v>0.31036999999999998</v>
      </c>
      <c r="G15" s="76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13255885</v>
      </c>
      <c r="D18" s="7"/>
      <c r="E18" s="7">
        <f>'Expenses-2017'!M15+'Expenses-2017'!O15+'Expenses-2017'!Q15</f>
        <v>9295618</v>
      </c>
      <c r="F18" s="7">
        <f>'Expenses-2017'!P21</f>
        <v>3960267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1818322</v>
      </c>
      <c r="D19" s="3"/>
      <c r="E19" s="3">
        <f>'Expenses-2017'!O14+'Expenses-2017'!Q14</f>
        <v>150838</v>
      </c>
      <c r="F19" s="3">
        <f>'Expenses-2017'!N20+'Expenses-2017'!P20</f>
        <v>1667484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3729581</v>
      </c>
      <c r="D20" s="3"/>
      <c r="E20" s="3">
        <f>'Expenses-2017'!E14+'Expenses-2017'!F14+'Expenses-2017'!G14</f>
        <v>3729581</v>
      </c>
      <c r="F20" s="129">
        <v>0</v>
      </c>
      <c r="G20" s="9"/>
    </row>
    <row r="21" spans="1:7" x14ac:dyDescent="0.25">
      <c r="A21" s="1" t="s">
        <v>57</v>
      </c>
      <c r="B21" s="1"/>
      <c r="C21" s="25">
        <f>SUM(C18:C20)</f>
        <v>18803788</v>
      </c>
      <c r="D21" s="25">
        <f>SUM(D18:D20)</f>
        <v>0</v>
      </c>
      <c r="E21" s="25">
        <f>SUM(E18:E20)</f>
        <v>13176037</v>
      </c>
      <c r="F21" s="25">
        <f>SUM(F18:F20)</f>
        <v>5627751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0.70071000000000006</v>
      </c>
      <c r="F23" s="4">
        <f>ROUND(F21/C21,5)</f>
        <v>0.29929</v>
      </c>
      <c r="G23" s="76" t="str">
        <f>IF(C23=1," ","Check rounding")</f>
        <v xml:space="preserve"> </v>
      </c>
    </row>
    <row r="25" spans="1:7" x14ac:dyDescent="0.25">
      <c r="A25" s="1" t="str">
        <f>'7-2017'!A28</f>
        <v>Year End Customers at 12/31/17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347323</v>
      </c>
      <c r="D26" s="3"/>
      <c r="E26" s="3">
        <f>'7-2017'!E32</f>
        <v>245616</v>
      </c>
      <c r="F26" s="3">
        <f>'7-2017'!F32</f>
        <v>101707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0.70716999999999997</v>
      </c>
      <c r="F28" s="4">
        <f>ROUND(F26/C26,5)</f>
        <v>0.29282999999999998</v>
      </c>
      <c r="G28" s="76" t="str">
        <f>IF(C28=1," ","Check rounding")</f>
        <v xml:space="preserve"> </v>
      </c>
    </row>
    <row r="30" spans="1:7" x14ac:dyDescent="0.25">
      <c r="A30" s="1" t="str">
        <f>'7-2017'!A36</f>
        <v>Net Direct Plant (Ending Balance at 12/31/17)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764182162</v>
      </c>
      <c r="D31" s="7"/>
      <c r="E31" s="7">
        <f>'UtilityNetPlt-2017'!E31</f>
        <v>492888057</v>
      </c>
      <c r="F31" s="7">
        <f>'UtilityNetPlt-2017'!F31</f>
        <v>271294105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0.64498999999999995</v>
      </c>
      <c r="F33" s="4">
        <f>ROUND(F31/C31,5)</f>
        <v>0.35500999999999999</v>
      </c>
      <c r="G33" s="76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2.7425000000000002</v>
      </c>
      <c r="F36" s="27">
        <f>F15+F23+F28+F33</f>
        <v>1.2575000000000001</v>
      </c>
      <c r="G36" s="1"/>
    </row>
    <row r="38" spans="1:7" ht="13.2" thickBot="1" x14ac:dyDescent="0.3">
      <c r="A38" s="1" t="s">
        <v>66</v>
      </c>
      <c r="B38" s="1"/>
      <c r="C38" s="92">
        <f>SUM(D38:F38)</f>
        <v>1</v>
      </c>
      <c r="D38" s="29">
        <f>ROUND(+D36/C36,5)</f>
        <v>0</v>
      </c>
      <c r="E38" s="30">
        <f>ROUND(+E36/C36,5)-0.00001</f>
        <v>0.68562000000000001</v>
      </c>
      <c r="F38" s="29">
        <f>ROUND(F36/C36,5)</f>
        <v>0.31437999999999999</v>
      </c>
      <c r="G38" s="76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7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70589908</v>
      </c>
      <c r="D10" s="7">
        <f>'Expenses-2017'!H6+'Expenses-2017'!I6+'Expenses-2017'!K6</f>
        <v>62492356</v>
      </c>
      <c r="E10" s="7">
        <f>'Expenses-2017'!L12+'Expenses-2017'!M12+'Expenses-2017'!O12+'Expenses-2017'!Q12</f>
        <v>8097552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46132231</v>
      </c>
      <c r="D11" s="3">
        <f>'Expenses-2017'!H5+'Expenses-2017'!I5+'Expenses-2017'!J5+'Expenses-2017'!K5</f>
        <v>35523672</v>
      </c>
      <c r="E11" s="3">
        <f>'Expenses-2017'!L11+'Expenses-2017'!M11+'Expenses-2017'!O11+'Expenses-2017'!Q11</f>
        <v>10608559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91"/>
      <c r="G14" s="9"/>
    </row>
    <row r="15" spans="1:7" x14ac:dyDescent="0.25">
      <c r="A15" s="1" t="s">
        <v>57</v>
      </c>
      <c r="B15" s="1"/>
      <c r="C15" s="25">
        <f>SUM(C10:C14)</f>
        <v>116722139</v>
      </c>
      <c r="D15" s="25">
        <f>SUM(D10:D14)</f>
        <v>98016028</v>
      </c>
      <c r="E15" s="25">
        <f>SUM(E10:E14)</f>
        <v>18706111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0.83974000000000004</v>
      </c>
      <c r="E17" s="4">
        <f>ROUND(+E15/C15,5)</f>
        <v>0.16026000000000001</v>
      </c>
      <c r="F17" s="4">
        <f>ROUND(F15/C15,5)</f>
        <v>0</v>
      </c>
      <c r="G17" s="93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68682217</v>
      </c>
      <c r="D20" s="7">
        <f>'Expenses-2017'!H9+'Expenses-2017'!I9+'Expenses-2017'!K9+'Expenses-2017'!H10</f>
        <v>55932706</v>
      </c>
      <c r="E20" s="7">
        <f>'Expenses-2017'!L15+'Expenses-2017'!M15+'Expenses-2017'!O15+'Expenses-2017'!Q15</f>
        <v>12749511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4343072</v>
      </c>
      <c r="D21" s="3">
        <f>'Expenses-2017'!H8+'Expenses-2017'!I8+'Expenses-2017'!K8</f>
        <v>3809731</v>
      </c>
      <c r="E21" s="3">
        <f>'Expenses-2017'!L14+'Expenses-2017'!O14+'Expenses-2017'!Q14</f>
        <v>533341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73025289</v>
      </c>
      <c r="D23" s="25">
        <f>SUM(D20:D22)</f>
        <v>59742437</v>
      </c>
      <c r="E23" s="25">
        <f>SUM(E20:E22)</f>
        <v>13282852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0.81811</v>
      </c>
      <c r="E25" s="4">
        <f>ROUND(+E23/C23,5)</f>
        <v>0.18189</v>
      </c>
      <c r="F25" s="4">
        <f>ROUND(F23/C23,5)</f>
        <v>0</v>
      </c>
      <c r="G25" s="93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'7-2017'!A28</f>
        <v>Year End Customers at 12/31/17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627889</v>
      </c>
      <c r="D28" s="3">
        <f>'7-2017'!D32</f>
        <v>382273</v>
      </c>
      <c r="E28" s="3">
        <f>'7-2017'!$E$32</f>
        <v>245616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0.60882000000000003</v>
      </c>
      <c r="E30" s="4">
        <f>ROUND(+E28/C28,5)</f>
        <v>0.39118000000000003</v>
      </c>
      <c r="F30" s="4">
        <f>ROUND(F28/C28,5)</f>
        <v>0</v>
      </c>
      <c r="G30" s="93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'7-2017'!A36</f>
        <v>Net Direct Plant (Ending Balance at 12/31/17)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3118486683</v>
      </c>
      <c r="D33" s="7">
        <f>'UtilityNetPlt-2017'!D31</f>
        <v>2625598626</v>
      </c>
      <c r="E33" s="7">
        <f>'UtilityNetPlt-2017'!E31</f>
        <v>492888057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0.84194999999999998</v>
      </c>
      <c r="E35" s="4">
        <f>ROUND(+E33/C33,5)</f>
        <v>0.15805</v>
      </c>
      <c r="F35" s="4">
        <f>ROUND(F33/C33,5)</f>
        <v>0</v>
      </c>
      <c r="G35" s="93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3.1086200000000002</v>
      </c>
      <c r="E38" s="27">
        <f>E17+E25+E30+E35</f>
        <v>0.89138000000000006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92">
        <f>SUM(D40:F40)</f>
        <v>1</v>
      </c>
      <c r="D40" s="30">
        <f>ROUND(+D38/C38,5)-0.00001</f>
        <v>0.77715000000000001</v>
      </c>
      <c r="E40" s="29">
        <f>ROUND(+E38/C38,5)</f>
        <v>0.22284999999999999</v>
      </c>
      <c r="F40" s="29">
        <f>ROUND(F38/C38,5)</f>
        <v>0</v>
      </c>
      <c r="G40" s="93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2"/>
  <sheetViews>
    <sheetView showZeros="0" tabSelected="1" zoomScaleNormal="100" workbookViewId="0">
      <selection activeCell="I4" sqref="I4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6.2" x14ac:dyDescent="0.25">
      <c r="H1" s="81" t="s">
        <v>191</v>
      </c>
    </row>
    <row r="2" spans="2:10" ht="29.4" x14ac:dyDescent="0.5">
      <c r="B2" s="31"/>
      <c r="C2" s="31"/>
      <c r="D2" s="31"/>
      <c r="H2" s="81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5">
      <c r="B5" s="32" t="s">
        <v>68</v>
      </c>
      <c r="C5" s="12" t="s">
        <v>46</v>
      </c>
      <c r="D5" s="32"/>
      <c r="E5" s="33"/>
      <c r="H5" s="34" t="s">
        <v>69</v>
      </c>
      <c r="I5" s="146">
        <v>43126</v>
      </c>
    </row>
    <row r="6" spans="2:10" ht="15.6" x14ac:dyDescent="0.35">
      <c r="B6" s="33"/>
      <c r="C6" s="33"/>
      <c r="D6" s="33"/>
      <c r="E6" s="33"/>
      <c r="H6" s="33"/>
      <c r="I6" s="33"/>
      <c r="J6" s="33"/>
    </row>
    <row r="7" spans="2:10" ht="15.6" x14ac:dyDescent="0.35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5">
      <c r="B8" s="33"/>
      <c r="C8" s="33"/>
      <c r="D8" s="33"/>
      <c r="E8" s="33"/>
      <c r="H8" s="33"/>
      <c r="I8" s="33"/>
      <c r="J8" s="33"/>
    </row>
    <row r="9" spans="2:10" ht="15.6" x14ac:dyDescent="0.35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5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6" t="s">
        <v>377</v>
      </c>
      <c r="C11" s="167"/>
      <c r="D11" s="167"/>
      <c r="E11" s="167"/>
      <c r="F11" s="167"/>
      <c r="G11" s="167"/>
      <c r="H11" s="167"/>
      <c r="I11" s="167"/>
      <c r="J11" s="167"/>
    </row>
    <row r="12" spans="2:10" ht="15.75" customHeight="1" x14ac:dyDescent="0.25">
      <c r="B12" s="167"/>
      <c r="C12" s="167"/>
      <c r="D12" s="167"/>
      <c r="E12" s="167"/>
      <c r="F12" s="167"/>
      <c r="G12" s="167"/>
      <c r="H12" s="167"/>
      <c r="I12" s="167"/>
      <c r="J12" s="167"/>
    </row>
    <row r="13" spans="2:10" ht="15.6" x14ac:dyDescent="0.35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5">
      <c r="B14" s="34" t="s">
        <v>184</v>
      </c>
      <c r="C14" s="34" t="s">
        <v>184</v>
      </c>
      <c r="D14" s="34" t="s">
        <v>183</v>
      </c>
      <c r="E14" s="165" t="s">
        <v>72</v>
      </c>
      <c r="F14" s="165"/>
      <c r="G14" s="34"/>
      <c r="H14" s="34" t="s">
        <v>2</v>
      </c>
      <c r="I14" s="34" t="s">
        <v>3</v>
      </c>
      <c r="J14" s="143" t="s">
        <v>298</v>
      </c>
    </row>
    <row r="15" spans="2:10" ht="15.6" x14ac:dyDescent="0.35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5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5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5">
      <c r="B18" s="57" t="s">
        <v>187</v>
      </c>
      <c r="C18" s="79" t="s">
        <v>189</v>
      </c>
      <c r="D18" s="79">
        <v>7</v>
      </c>
      <c r="E18" s="70" t="s">
        <v>74</v>
      </c>
      <c r="F18" s="70"/>
      <c r="G18" s="70"/>
      <c r="H18" s="58">
        <f>'7-2017'!D34</f>
        <v>0.52395000000000003</v>
      </c>
      <c r="I18" s="58">
        <f>'7-2017'!E34</f>
        <v>0.33665</v>
      </c>
      <c r="J18" s="82">
        <f>'7-2017'!F34</f>
        <v>0.1394</v>
      </c>
      <c r="K18" t="str">
        <f>IF(1-SUM(H18:J18)=0," ",1-SUM(H18:J18))</f>
        <v xml:space="preserve"> </v>
      </c>
    </row>
    <row r="19" spans="2:11" ht="15.6" x14ac:dyDescent="0.35">
      <c r="B19" s="62"/>
      <c r="C19" s="69"/>
      <c r="D19" s="69"/>
      <c r="E19" s="63"/>
      <c r="F19" s="63"/>
      <c r="G19" s="63"/>
      <c r="H19" s="64"/>
      <c r="I19" s="64"/>
      <c r="J19" s="83"/>
    </row>
    <row r="20" spans="2:11" ht="15.6" x14ac:dyDescent="0.35">
      <c r="B20" s="62" t="s">
        <v>187</v>
      </c>
      <c r="C20" s="69" t="s">
        <v>189</v>
      </c>
      <c r="D20" s="69">
        <v>7</v>
      </c>
      <c r="E20" s="60" t="s">
        <v>75</v>
      </c>
      <c r="F20" s="60"/>
      <c r="G20" s="60"/>
      <c r="H20" s="64">
        <f>'7-2017'!D39</f>
        <v>0.77368000000000003</v>
      </c>
      <c r="I20" s="64">
        <f>'7-2017'!E39</f>
        <v>0.14679</v>
      </c>
      <c r="J20" s="83">
        <f>'7-2017'!F39</f>
        <v>7.9530000000000003E-2</v>
      </c>
      <c r="K20" t="str">
        <f>IF(1-SUM(H20:J20)=0," ",1-SUM(H20:J20))</f>
        <v xml:space="preserve"> </v>
      </c>
    </row>
    <row r="21" spans="2:11" ht="15.6" x14ac:dyDescent="0.35">
      <c r="B21" s="62"/>
      <c r="C21" s="69"/>
      <c r="D21" s="69"/>
      <c r="E21" s="60"/>
      <c r="F21" s="60"/>
      <c r="G21" s="60"/>
      <c r="H21" s="64"/>
      <c r="I21" s="64"/>
      <c r="J21" s="83"/>
    </row>
    <row r="22" spans="2:11" ht="15.6" x14ac:dyDescent="0.35">
      <c r="B22" s="65" t="s">
        <v>187</v>
      </c>
      <c r="C22" s="80" t="s">
        <v>189</v>
      </c>
      <c r="D22" s="80">
        <v>7</v>
      </c>
      <c r="E22" s="66" t="s">
        <v>64</v>
      </c>
      <c r="F22" s="66"/>
      <c r="G22" s="66"/>
      <c r="H22" s="67">
        <f>ROUND('7-2017'!D44,5)</f>
        <v>0.70135000000000003</v>
      </c>
      <c r="I22" s="67">
        <f>ROUND('7-2017'!E44,5)</f>
        <v>0.20549000000000001</v>
      </c>
      <c r="J22" s="84">
        <f>ROUND('7-2017'!F44,5)</f>
        <v>9.3160000000000007E-2</v>
      </c>
      <c r="K22" t="str">
        <f>IF(1-SUM(H22:J22)=0," ",1-SUM(H22:J22))</f>
        <v xml:space="preserve"> </v>
      </c>
    </row>
    <row r="23" spans="2:11" ht="15.6" x14ac:dyDescent="0.35">
      <c r="B23" s="60"/>
      <c r="C23" s="60"/>
      <c r="D23" s="60"/>
      <c r="E23" s="60"/>
      <c r="F23" s="60"/>
      <c r="G23" s="60"/>
      <c r="H23" s="60"/>
      <c r="I23" s="60"/>
      <c r="J23" s="60"/>
    </row>
    <row r="24" spans="2:11" ht="15.6" x14ac:dyDescent="0.35">
      <c r="B24" s="57" t="s">
        <v>188</v>
      </c>
      <c r="C24" s="79" t="s">
        <v>189</v>
      </c>
      <c r="D24" s="79">
        <v>8</v>
      </c>
      <c r="E24" s="70" t="s">
        <v>74</v>
      </c>
      <c r="F24" s="70"/>
      <c r="G24" s="70"/>
      <c r="H24" s="58">
        <f>'8-2017'!D28</f>
        <v>0</v>
      </c>
      <c r="I24" s="58">
        <f>'8-2017'!E28</f>
        <v>0.70716999999999997</v>
      </c>
      <c r="J24" s="82">
        <f>'8-2017'!F28</f>
        <v>0.29282999999999998</v>
      </c>
      <c r="K24" t="str">
        <f>IF(1-SUM(H24:J24)=0," ",1-SUM(H24:J24))</f>
        <v xml:space="preserve"> </v>
      </c>
    </row>
    <row r="25" spans="2:11" ht="15.6" x14ac:dyDescent="0.35">
      <c r="B25" s="59"/>
      <c r="C25" s="60"/>
      <c r="D25" s="60"/>
      <c r="E25" s="60"/>
      <c r="F25" s="60"/>
      <c r="G25" s="60"/>
      <c r="H25" s="60"/>
      <c r="I25" s="60"/>
      <c r="J25" s="61"/>
    </row>
    <row r="26" spans="2:11" ht="15.6" x14ac:dyDescent="0.35">
      <c r="B26" s="65" t="s">
        <v>188</v>
      </c>
      <c r="C26" s="80" t="s">
        <v>189</v>
      </c>
      <c r="D26" s="80">
        <v>8</v>
      </c>
      <c r="E26" s="66" t="str">
        <f>E22</f>
        <v>Four Factor</v>
      </c>
      <c r="F26" s="66"/>
      <c r="G26" s="66"/>
      <c r="H26" s="67">
        <f>'8-2017'!D38</f>
        <v>0</v>
      </c>
      <c r="I26" s="67">
        <f>'8-2017'!E38</f>
        <v>0.68562000000000001</v>
      </c>
      <c r="J26" s="84">
        <f>'8-2017'!F38</f>
        <v>0.31437999999999999</v>
      </c>
      <c r="K26" t="str">
        <f>IF(1-SUM(H26:J26)=0," ",1-SUM(H26:J26))</f>
        <v xml:space="preserve"> </v>
      </c>
    </row>
    <row r="27" spans="2:11" x14ac:dyDescent="0.25">
      <c r="B27" s="68"/>
      <c r="C27" s="68"/>
      <c r="D27" s="68"/>
      <c r="E27" s="68"/>
      <c r="F27" s="68"/>
      <c r="G27" s="68"/>
      <c r="H27" s="68"/>
      <c r="I27" s="68"/>
      <c r="J27" s="68"/>
    </row>
    <row r="28" spans="2:11" ht="15.6" x14ac:dyDescent="0.35">
      <c r="B28" s="57" t="s">
        <v>187</v>
      </c>
      <c r="C28" s="79" t="s">
        <v>190</v>
      </c>
      <c r="D28" s="79">
        <v>9</v>
      </c>
      <c r="E28" s="70" t="s">
        <v>74</v>
      </c>
      <c r="F28" s="70"/>
      <c r="G28" s="70"/>
      <c r="H28" s="58">
        <f>'9-2017'!D30</f>
        <v>0.60882000000000003</v>
      </c>
      <c r="I28" s="58">
        <f>'9-2017'!E30</f>
        <v>0.39118000000000003</v>
      </c>
      <c r="J28" s="82">
        <f>'9-2017'!F30</f>
        <v>0</v>
      </c>
      <c r="K28" t="str">
        <f>IF(1-SUM(H28:J28)=0," ",1-SUM(H28:J28))</f>
        <v xml:space="preserve"> </v>
      </c>
    </row>
    <row r="29" spans="2:11" ht="15.6" x14ac:dyDescent="0.35">
      <c r="B29" s="62"/>
      <c r="C29" s="69"/>
      <c r="D29" s="69"/>
      <c r="E29" s="63"/>
      <c r="F29" s="63"/>
      <c r="G29" s="63"/>
      <c r="H29" s="64"/>
      <c r="I29" s="64"/>
      <c r="J29" s="83"/>
    </row>
    <row r="30" spans="2:11" ht="15.6" x14ac:dyDescent="0.35">
      <c r="B30" s="65" t="s">
        <v>187</v>
      </c>
      <c r="C30" s="80" t="s">
        <v>193</v>
      </c>
      <c r="D30" s="80">
        <v>9</v>
      </c>
      <c r="E30" s="66" t="str">
        <f>E26</f>
        <v>Four Factor</v>
      </c>
      <c r="F30" s="66"/>
      <c r="G30" s="66"/>
      <c r="H30" s="67">
        <f>ROUND('9-2017'!D40,5)</f>
        <v>0.77715000000000001</v>
      </c>
      <c r="I30" s="67">
        <f>ROUND('9-2017'!E40,5)</f>
        <v>0.22284999999999999</v>
      </c>
      <c r="J30" s="84">
        <f>ROUND('9-2017'!F40,5)</f>
        <v>0</v>
      </c>
      <c r="K30" t="str">
        <f>IF(1-SUM(H30:J30)=0," ",1-SUM(H30:J30))</f>
        <v xml:space="preserve"> </v>
      </c>
    </row>
    <row r="31" spans="2:11" ht="15.6" x14ac:dyDescent="0.35">
      <c r="B31" s="69"/>
      <c r="C31" s="69"/>
      <c r="D31" s="69"/>
      <c r="E31" s="63"/>
      <c r="F31" s="63"/>
      <c r="G31" s="63"/>
      <c r="H31" s="64"/>
      <c r="I31" s="64"/>
      <c r="J31" s="64"/>
    </row>
    <row r="32" spans="2:11" ht="15.6" x14ac:dyDescent="0.35">
      <c r="B32" s="69"/>
      <c r="C32" s="69"/>
      <c r="D32" s="69"/>
      <c r="E32" s="63"/>
      <c r="F32" s="63"/>
      <c r="G32" s="63"/>
      <c r="H32" s="64"/>
      <c r="I32" s="64"/>
      <c r="J32" s="64"/>
    </row>
    <row r="33" spans="2:10" ht="15.6" x14ac:dyDescent="0.35">
      <c r="B33" s="33" t="s">
        <v>341</v>
      </c>
      <c r="C33" s="33"/>
      <c r="D33" s="33"/>
      <c r="E33" s="33"/>
      <c r="F33" s="33"/>
      <c r="G33" s="33"/>
      <c r="H33" s="33"/>
      <c r="I33" s="33"/>
      <c r="J33" s="33"/>
    </row>
    <row r="34" spans="2:10" ht="15.6" x14ac:dyDescent="0.35">
      <c r="B34" s="33"/>
      <c r="C34" s="33"/>
      <c r="D34" s="33"/>
      <c r="E34" s="33"/>
      <c r="F34" s="33"/>
      <c r="G34" s="33"/>
      <c r="H34" s="33"/>
      <c r="I34" s="33"/>
      <c r="J34" s="33"/>
    </row>
    <row r="35" spans="2:10" ht="15.6" hidden="1" x14ac:dyDescent="0.35">
      <c r="B35" s="33" t="s">
        <v>76</v>
      </c>
      <c r="C35" s="33" t="s">
        <v>246</v>
      </c>
      <c r="E35" s="33" t="s">
        <v>252</v>
      </c>
      <c r="H35" s="33" t="s">
        <v>259</v>
      </c>
    </row>
    <row r="36" spans="2:10" ht="15.6" hidden="1" x14ac:dyDescent="0.35">
      <c r="B36" s="33"/>
      <c r="C36" s="33" t="s">
        <v>250</v>
      </c>
      <c r="D36" s="33"/>
      <c r="E36" s="33" t="s">
        <v>253</v>
      </c>
      <c r="F36" s="33"/>
      <c r="H36" s="33" t="s">
        <v>260</v>
      </c>
    </row>
    <row r="37" spans="2:10" ht="15.6" hidden="1" x14ac:dyDescent="0.35">
      <c r="B37" s="33"/>
      <c r="C37" s="33" t="s">
        <v>247</v>
      </c>
      <c r="D37" s="33"/>
      <c r="E37" s="33" t="s">
        <v>254</v>
      </c>
      <c r="F37" s="33"/>
      <c r="H37" s="33" t="s">
        <v>261</v>
      </c>
    </row>
    <row r="38" spans="2:10" ht="15.6" hidden="1" x14ac:dyDescent="0.35">
      <c r="B38" s="33"/>
      <c r="C38" s="33" t="s">
        <v>245</v>
      </c>
      <c r="D38" s="33"/>
      <c r="E38" s="33" t="s">
        <v>255</v>
      </c>
      <c r="F38" s="33"/>
      <c r="H38" s="33" t="s">
        <v>262</v>
      </c>
    </row>
    <row r="39" spans="2:10" ht="15.6" hidden="1" x14ac:dyDescent="0.35">
      <c r="B39" s="33"/>
      <c r="C39" s="33" t="s">
        <v>248</v>
      </c>
      <c r="D39" s="33"/>
      <c r="E39" s="33" t="s">
        <v>256</v>
      </c>
      <c r="F39" s="33"/>
      <c r="H39" s="33" t="s">
        <v>263</v>
      </c>
    </row>
    <row r="40" spans="2:10" ht="15.6" hidden="1" x14ac:dyDescent="0.35">
      <c r="C40" s="33" t="s">
        <v>249</v>
      </c>
      <c r="D40" s="33"/>
      <c r="E40" s="33" t="s">
        <v>257</v>
      </c>
      <c r="F40" s="33"/>
      <c r="H40" s="33" t="s">
        <v>264</v>
      </c>
    </row>
    <row r="41" spans="2:10" ht="15.6" hidden="1" x14ac:dyDescent="0.35">
      <c r="C41" s="33" t="s">
        <v>251</v>
      </c>
      <c r="E41" s="33" t="s">
        <v>258</v>
      </c>
      <c r="H41" s="33" t="s">
        <v>265</v>
      </c>
    </row>
    <row r="42" spans="2:10" ht="15.6" hidden="1" x14ac:dyDescent="0.35">
      <c r="C42" s="33" t="s">
        <v>266</v>
      </c>
      <c r="E42" s="33" t="s">
        <v>267</v>
      </c>
      <c r="H42" s="33" t="s">
        <v>268</v>
      </c>
    </row>
    <row r="43" spans="2:10" ht="15.6" x14ac:dyDescent="0.35">
      <c r="B43" s="33" t="s">
        <v>76</v>
      </c>
      <c r="C43" s="33" t="s">
        <v>356</v>
      </c>
      <c r="E43" s="33" t="s">
        <v>343</v>
      </c>
      <c r="H43" s="159" t="s">
        <v>384</v>
      </c>
    </row>
    <row r="44" spans="2:10" ht="15.6" x14ac:dyDescent="0.35">
      <c r="B44" s="33"/>
      <c r="C44" s="33" t="s">
        <v>344</v>
      </c>
      <c r="D44" s="33"/>
      <c r="E44" s="159" t="s">
        <v>383</v>
      </c>
      <c r="F44" s="33"/>
      <c r="H44" s="33" t="s">
        <v>345</v>
      </c>
    </row>
    <row r="45" spans="2:10" ht="15.6" x14ac:dyDescent="0.35">
      <c r="B45" s="33"/>
      <c r="C45" s="33" t="s">
        <v>346</v>
      </c>
      <c r="D45" s="33"/>
      <c r="E45" s="33" t="s">
        <v>347</v>
      </c>
      <c r="F45" s="33"/>
      <c r="H45" s="33" t="s">
        <v>350</v>
      </c>
    </row>
    <row r="46" spans="2:10" ht="15.6" x14ac:dyDescent="0.35">
      <c r="B46" s="33"/>
      <c r="C46" s="33" t="s">
        <v>348</v>
      </c>
      <c r="D46" s="33"/>
      <c r="E46" s="33" t="s">
        <v>349</v>
      </c>
      <c r="F46" s="33"/>
      <c r="H46" s="33" t="s">
        <v>366</v>
      </c>
    </row>
    <row r="47" spans="2:10" ht="15.6" x14ac:dyDescent="0.35">
      <c r="B47" s="33"/>
      <c r="C47" s="33" t="s">
        <v>351</v>
      </c>
      <c r="D47" s="33"/>
      <c r="E47" s="159" t="s">
        <v>381</v>
      </c>
      <c r="F47" s="33"/>
      <c r="H47" s="33" t="s">
        <v>354</v>
      </c>
    </row>
    <row r="48" spans="2:10" ht="15.6" x14ac:dyDescent="0.35">
      <c r="C48" s="159" t="s">
        <v>382</v>
      </c>
      <c r="D48" s="33"/>
      <c r="E48" s="33" t="s">
        <v>363</v>
      </c>
      <c r="F48" s="33"/>
      <c r="H48" s="33" t="s">
        <v>358</v>
      </c>
    </row>
    <row r="49" spans="3:8" ht="15.6" x14ac:dyDescent="0.35">
      <c r="C49" s="33" t="s">
        <v>352</v>
      </c>
      <c r="E49" s="33" t="s">
        <v>353</v>
      </c>
      <c r="H49" s="33" t="s">
        <v>359</v>
      </c>
    </row>
    <row r="50" spans="3:8" ht="15.6" x14ac:dyDescent="0.35">
      <c r="C50" s="33" t="s">
        <v>355</v>
      </c>
      <c r="E50" s="33" t="s">
        <v>362</v>
      </c>
      <c r="H50" s="33" t="s">
        <v>365</v>
      </c>
    </row>
    <row r="51" spans="3:8" ht="15.6" x14ac:dyDescent="0.35">
      <c r="C51" s="33" t="s">
        <v>385</v>
      </c>
      <c r="E51" s="33" t="s">
        <v>372</v>
      </c>
      <c r="H51" s="33" t="s">
        <v>371</v>
      </c>
    </row>
    <row r="52" spans="3:8" ht="15.6" x14ac:dyDescent="0.35">
      <c r="C52" s="33"/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19, 2018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EF338E-AA12-41B5-A7EC-36305B76E678}"/>
</file>

<file path=customXml/itemProps2.xml><?xml version="1.0" encoding="utf-8"?>
<ds:datastoreItem xmlns:ds="http://schemas.openxmlformats.org/officeDocument/2006/customXml" ds:itemID="{DFB98D27-D85C-4AA5-BC07-8988F1C8E297}"/>
</file>

<file path=customXml/itemProps3.xml><?xml version="1.0" encoding="utf-8"?>
<ds:datastoreItem xmlns:ds="http://schemas.openxmlformats.org/officeDocument/2006/customXml" ds:itemID="{DBE05951-5A9F-4C6F-A7CD-8BC2A9FBC438}"/>
</file>

<file path=customXml/itemProps4.xml><?xml version="1.0" encoding="utf-8"?>
<ds:datastoreItem xmlns:ds="http://schemas.openxmlformats.org/officeDocument/2006/customXml" ds:itemID="{6EC28FA5-690B-4317-B6BD-0F714D939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Notes</vt:lpstr>
      <vt:lpstr>Expenses-2017</vt:lpstr>
      <vt:lpstr>UtilityPlt-2017</vt:lpstr>
      <vt:lpstr>UtilityAccDep-2017</vt:lpstr>
      <vt:lpstr>UtilityNetPlt-2017</vt:lpstr>
      <vt:lpstr>7-2017</vt:lpstr>
      <vt:lpstr>8-2017</vt:lpstr>
      <vt:lpstr>9-2017</vt:lpstr>
      <vt:lpstr>NewMemo</vt:lpstr>
      <vt:lpstr>GasPlt-2017</vt:lpstr>
      <vt:lpstr>GasNetPlt-2017</vt:lpstr>
      <vt:lpstr>GAS-2017</vt:lpstr>
      <vt:lpstr>ElecPlt-2017</vt:lpstr>
      <vt:lpstr>ElecNetPlt-2017</vt:lpstr>
      <vt:lpstr>ELEC-2017</vt:lpstr>
      <vt:lpstr>Historic%</vt:lpstr>
      <vt:lpstr>'UtilityAccDep-2017'!DEPREC</vt:lpstr>
      <vt:lpstr>'ElecPlt-2017'!ELEC_GENERAL</vt:lpstr>
      <vt:lpstr>'ELEC-2017'!ELECTRIC</vt:lpstr>
      <vt:lpstr>'GasNetPlt-2017'!GAS_PLANT</vt:lpstr>
      <vt:lpstr>'GasPlt-2017'!GENERAL_PLANT</vt:lpstr>
      <vt:lpstr>'UtilityPlt-2017'!INTANGIBLE_PLT</vt:lpstr>
      <vt:lpstr>'ElecNetPlt-2017'!NET_ELEC_PLANT</vt:lpstr>
      <vt:lpstr>'UtilityNetPlt-2017'!NET_PLANT</vt:lpstr>
      <vt:lpstr>'7-2017'!Print_Area</vt:lpstr>
      <vt:lpstr>'ElecNetPlt-2017'!Print_Area</vt:lpstr>
      <vt:lpstr>'ElecPlt-2017'!Print_Area</vt:lpstr>
      <vt:lpstr>'Expenses-2017'!Print_Area</vt:lpstr>
      <vt:lpstr>'GAS-2017'!Print_Area</vt:lpstr>
      <vt:lpstr>'GasNetPlt-2017'!Print_Area</vt:lpstr>
      <vt:lpstr>'GasPlt-2017'!Print_Area</vt:lpstr>
      <vt:lpstr>NewMemo!Print_Area</vt:lpstr>
      <vt:lpstr>'UtilityAccDep-2017'!Print_Area</vt:lpstr>
      <vt:lpstr>'UtilityPlt-2017'!Print_Area</vt:lpstr>
      <vt:lpstr>'7-2017'!UTILITY_7</vt:lpstr>
      <vt:lpstr>'8-2017'!UTILITY_8</vt:lpstr>
      <vt:lpstr>'9-2017'!UTILITY_9</vt:lpstr>
      <vt:lpstr>'GAS-2017'!WWP_GAS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2018-01-19T18:05:20Z</cp:lastPrinted>
  <dcterms:created xsi:type="dcterms:W3CDTF">2000-01-21T22:20:02Z</dcterms:created>
  <dcterms:modified xsi:type="dcterms:W3CDTF">2018-06-01T19:42:25Z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