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8E Authorized Power Supply\"/>
    </mc:Choice>
  </mc:AlternateContent>
  <bookViews>
    <workbookView xWindow="-15" yWindow="4530" windowWidth="12120" windowHeight="3300" tabRatio="796" firstSheet="1" activeTab="3"/>
  </bookViews>
  <sheets>
    <sheet name="Directions" sheetId="11" state="hidden" r:id="rId1"/>
    <sheet name="Input Tab" sheetId="27" r:id="rId2"/>
    <sheet name="WA Summary " sheetId="10" r:id="rId3"/>
    <sheet name="WA Monthly" sheetId="6" r:id="rId4"/>
    <sheet name="WA RRC" sheetId="24" r:id="rId5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3">'WA Monthly'!$A$1:$R$137</definedName>
    <definedName name="_xlnm.Print_Area" localSheetId="4">'WA RRC'!$A$1:$N$15</definedName>
    <definedName name="_xlnm.Print_Area" localSheetId="2">'WA Summary '!$A$1:$Q$41</definedName>
    <definedName name="_xlnm.Print_Titles" localSheetId="3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Q31" i="10" l="1"/>
  <c r="N38" i="27" l="1"/>
  <c r="N21" i="27"/>
  <c r="N79" i="27"/>
  <c r="N53" i="27"/>
  <c r="N80" i="27"/>
  <c r="N54" i="27"/>
  <c r="P49" i="6"/>
  <c r="N46" i="27" l="1"/>
  <c r="N45" i="27"/>
  <c r="N20" i="27"/>
  <c r="N19" i="27"/>
  <c r="M80" i="27" l="1"/>
  <c r="M79" i="27"/>
  <c r="M54" i="27"/>
  <c r="M53" i="27"/>
  <c r="M46" i="27" l="1"/>
  <c r="M45" i="27"/>
  <c r="M38" i="27" l="1"/>
  <c r="M20" i="27"/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9" i="24"/>
  <c r="F11" i="24" s="1"/>
  <c r="G9" i="24"/>
  <c r="I9" i="24"/>
  <c r="I11" i="24" s="1"/>
  <c r="D36" i="6"/>
  <c r="N12" i="24" l="1"/>
  <c r="M9" i="24"/>
  <c r="D22" i="10"/>
  <c r="D21" i="10"/>
  <c r="D20" i="10"/>
  <c r="D19" i="10"/>
  <c r="D18" i="10"/>
  <c r="D17" i="10"/>
  <c r="D16" i="10"/>
  <c r="D15" i="10"/>
  <c r="L9" i="24"/>
  <c r="L11" i="24" s="1"/>
  <c r="L13" i="24" s="1"/>
  <c r="L15" i="24" s="1"/>
  <c r="L19" i="24" s="1"/>
  <c r="J9" i="24"/>
  <c r="I13" i="24"/>
  <c r="I15" i="24" s="1"/>
  <c r="I19" i="24" s="1"/>
  <c r="I20" i="24" s="1"/>
  <c r="F13" i="24"/>
  <c r="F15" i="24" s="1"/>
  <c r="F19" i="24" s="1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R41" i="6"/>
  <c r="D19" i="6"/>
  <c r="R20" i="6"/>
  <c r="D16" i="6"/>
  <c r="R65" i="6"/>
  <c r="E18" i="24"/>
  <c r="H5" i="10"/>
  <c r="J11" i="24"/>
  <c r="J13" i="24" s="1"/>
  <c r="J15" i="24" s="1"/>
  <c r="J19" i="24" s="1"/>
  <c r="N30" i="10" s="1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P30" i="10"/>
  <c r="L20" i="24"/>
  <c r="J30" i="10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M30" i="10" l="1"/>
  <c r="C20" i="24"/>
  <c r="G30" i="10"/>
  <c r="A63" i="27"/>
  <c r="M11" i="24"/>
  <c r="M13" i="24" s="1"/>
  <c r="M15" i="24" s="1"/>
  <c r="M19" i="24" s="1"/>
  <c r="Q30" i="10" s="1"/>
  <c r="D66" i="6"/>
  <c r="D42" i="6"/>
  <c r="D20" i="6"/>
  <c r="D15" i="6"/>
  <c r="R15" i="6"/>
  <c r="D13" i="6"/>
  <c r="R11" i="6"/>
  <c r="D10" i="6"/>
  <c r="J20" i="24"/>
  <c r="M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4" i="27"/>
  <c r="D51" i="6" l="1"/>
  <c r="R51" i="6"/>
  <c r="N11" i="24"/>
  <c r="J5" i="10"/>
  <c r="I14" i="10"/>
  <c r="H18" i="24"/>
  <c r="I7" i="24"/>
  <c r="E20" i="24"/>
  <c r="I30" i="10"/>
  <c r="B15" i="24"/>
  <c r="N13" i="24"/>
  <c r="A65" i="27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D30" i="10"/>
  <c r="A68" i="27"/>
  <c r="M14" i="10" l="1"/>
  <c r="N5" i="10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I92" i="6"/>
  <c r="J10" i="10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L92" i="6"/>
  <c r="M10" i="10" s="1"/>
  <c r="H92" i="6"/>
  <c r="I10" i="10" s="1"/>
  <c r="P79" i="6"/>
  <c r="Q9" i="10" s="1"/>
  <c r="L79" i="6"/>
  <c r="M9" i="10" s="1"/>
  <c r="H79" i="6"/>
  <c r="I9" i="10" s="1"/>
  <c r="P70" i="6"/>
  <c r="L70" i="6"/>
  <c r="H70" i="6"/>
  <c r="P69" i="6"/>
  <c r="P62" i="6"/>
  <c r="Q8" i="10" s="1"/>
  <c r="L69" i="6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K92" i="6"/>
  <c r="L10" i="10" s="1"/>
  <c r="G92" i="6"/>
  <c r="H10" i="10" s="1"/>
  <c r="O79" i="6"/>
  <c r="P9" i="10" s="1"/>
  <c r="K79" i="6"/>
  <c r="L9" i="10" s="1"/>
  <c r="G79" i="6"/>
  <c r="H9" i="10" s="1"/>
  <c r="O70" i="6"/>
  <c r="K70" i="6"/>
  <c r="G70" i="6"/>
  <c r="O69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I7" i="10"/>
  <c r="H40" i="6"/>
  <c r="M7" i="10"/>
  <c r="L40" i="6"/>
  <c r="Q7" i="10"/>
  <c r="P40" i="6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F9" i="10"/>
  <c r="D79" i="6"/>
  <c r="F10" i="10"/>
  <c r="D92" i="6"/>
  <c r="R92" i="6"/>
  <c r="G6" i="10"/>
  <c r="F7" i="6"/>
  <c r="F81" i="6"/>
  <c r="F123" i="6"/>
  <c r="F135" i="6" s="1"/>
  <c r="F137" i="6"/>
  <c r="K7" i="10"/>
  <c r="J40" i="6"/>
  <c r="K6" i="10"/>
  <c r="J7" i="6"/>
  <c r="J81" i="6"/>
  <c r="J123" i="6"/>
  <c r="J135" i="6"/>
  <c r="J137" i="6"/>
  <c r="O7" i="10"/>
  <c r="N40" i="6"/>
  <c r="F11" i="10"/>
  <c r="D98" i="6"/>
  <c r="R98" i="6"/>
  <c r="O6" i="10"/>
  <c r="N7" i="6"/>
  <c r="N81" i="6"/>
  <c r="N123" i="6"/>
  <c r="N135" i="6"/>
  <c r="N137" i="6"/>
  <c r="D128" i="6"/>
  <c r="R128" i="6"/>
  <c r="F29" i="10"/>
  <c r="D29" i="10" s="1"/>
  <c r="D133" i="6"/>
  <c r="G7" i="10"/>
  <c r="F40" i="6"/>
  <c r="D12" i="10"/>
  <c r="P137" i="6" l="1"/>
  <c r="O25" i="10"/>
  <c r="O13" i="10"/>
  <c r="D11" i="10"/>
  <c r="K25" i="10"/>
  <c r="K13" i="10"/>
  <c r="G25" i="10"/>
  <c r="R135" i="6"/>
  <c r="G13" i="10"/>
  <c r="D10" i="10"/>
  <c r="D9" i="10"/>
  <c r="D8" i="10"/>
  <c r="F7" i="10"/>
  <c r="E40" i="6"/>
  <c r="D45" i="6"/>
  <c r="N25" i="10"/>
  <c r="N13" i="10"/>
  <c r="J13" i="10"/>
  <c r="F6" i="10"/>
  <c r="E7" i="6"/>
  <c r="E81" i="6"/>
  <c r="D81" i="6" s="1"/>
  <c r="E123" i="6"/>
  <c r="D23" i="6"/>
  <c r="E135" i="6"/>
  <c r="E137" i="6"/>
  <c r="D137" i="6" s="1"/>
  <c r="Q13" i="10"/>
  <c r="Q25" i="10"/>
  <c r="M25" i="10"/>
  <c r="M13" i="10"/>
  <c r="I13" i="10"/>
  <c r="P13" i="10"/>
  <c r="P25" i="10"/>
  <c r="L25" i="10"/>
  <c r="L13" i="10"/>
  <c r="H13" i="10"/>
  <c r="H24" i="10" l="1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L24" i="10"/>
  <c r="L26" i="10" s="1"/>
  <c r="L28" i="10" s="1"/>
  <c r="L31" i="10" s="1"/>
  <c r="P24" i="10"/>
  <c r="P26" i="10" s="1"/>
  <c r="P28" i="10" s="1"/>
  <c r="P31" i="10" s="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M24" i="10"/>
  <c r="M26" i="10"/>
  <c r="M28" i="10" s="1"/>
  <c r="M31" i="10" s="1"/>
  <c r="Q24" i="10"/>
  <c r="Q26" i="10" s="1"/>
  <c r="Q28" i="10" s="1"/>
  <c r="D135" i="6"/>
  <c r="F25" i="10"/>
  <c r="D123" i="6"/>
  <c r="R123" i="6"/>
  <c r="D7" i="6"/>
  <c r="R7" i="6"/>
  <c r="R23" i="6" s="1"/>
  <c r="F13" i="10"/>
  <c r="D6" i="10"/>
  <c r="J24" i="10"/>
  <c r="J26" i="10" s="1"/>
  <c r="J28" i="10" s="1"/>
  <c r="J31" i="10" s="1"/>
  <c r="J33" i="10"/>
  <c r="J34" i="10"/>
  <c r="J35" i="10"/>
  <c r="J36" i="10"/>
  <c r="J38" i="10"/>
  <c r="J39" i="10" s="1"/>
  <c r="J40" i="10" s="1"/>
  <c r="J41" i="10"/>
  <c r="J37" i="10"/>
  <c r="N24" i="10"/>
  <c r="N26" i="10"/>
  <c r="N28" i="10" s="1"/>
  <c r="N31" i="10"/>
  <c r="D40" i="6"/>
  <c r="R40" i="6"/>
  <c r="R45" i="6" s="1"/>
  <c r="D7" i="10"/>
  <c r="G24" i="10"/>
  <c r="G26" i="10" s="1"/>
  <c r="G28" i="10" s="1"/>
  <c r="G31" i="10" s="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O24" i="10"/>
  <c r="O26" i="10"/>
  <c r="O28" i="10" s="1"/>
  <c r="O31" i="10"/>
  <c r="R81" i="6" l="1"/>
  <c r="L35" i="10"/>
  <c r="L36" i="10"/>
  <c r="L34" i="10"/>
  <c r="L37" i="10" s="1"/>
  <c r="M35" i="10"/>
  <c r="M36" i="10"/>
  <c r="M34" i="10"/>
  <c r="M37" i="10" s="1"/>
  <c r="M38" i="10"/>
  <c r="M41" i="10"/>
  <c r="N33" i="10"/>
  <c r="F24" i="10"/>
  <c r="D13" i="10"/>
  <c r="D25" i="10"/>
  <c r="L38" i="10" l="1"/>
  <c r="N34" i="10"/>
  <c r="N36" i="10"/>
  <c r="N35" i="10"/>
  <c r="N37" i="10" s="1"/>
  <c r="N38" i="10"/>
  <c r="N39" i="10" s="1"/>
  <c r="N40" i="10" s="1"/>
  <c r="N41" i="10"/>
  <c r="O33" i="10"/>
  <c r="P33" i="10" s="1"/>
  <c r="Q33" i="10" s="1"/>
  <c r="D24" i="10"/>
  <c r="F26" i="10"/>
  <c r="Q34" i="10" l="1"/>
  <c r="Q36" i="10"/>
  <c r="Q35" i="10"/>
  <c r="P34" i="10"/>
  <c r="P36" i="10"/>
  <c r="P35" i="10"/>
  <c r="P38" i="10"/>
  <c r="P41" i="10"/>
  <c r="L39" i="10"/>
  <c r="L40" i="10" s="1"/>
  <c r="L41" i="10"/>
  <c r="M39" i="10"/>
  <c r="M40" i="10" s="1"/>
  <c r="O35" i="10"/>
  <c r="O36" i="10"/>
  <c r="O34" i="10"/>
  <c r="O37" i="10" s="1"/>
  <c r="O38" i="10"/>
  <c r="O39" i="10" s="1"/>
  <c r="O40" i="10" s="1"/>
  <c r="O41" i="10"/>
  <c r="F28" i="10"/>
  <c r="D26" i="10"/>
  <c r="Q38" i="10" l="1"/>
  <c r="Q41" i="10" s="1"/>
  <c r="Q37" i="10"/>
  <c r="P39" i="10"/>
  <c r="P40" i="10" s="1"/>
  <c r="P37" i="10"/>
  <c r="D28" i="10"/>
  <c r="F31" i="10"/>
  <c r="Q39" i="10" l="1"/>
  <c r="Q40" i="10" s="1"/>
  <c r="F33" i="10"/>
  <c r="D31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P49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Deduct $21,534.51 for revenue from Solar Select Program.  Took effect 12/05/18.</t>
        </r>
      </text>
    </comment>
    <comment ref="B5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<sst xmlns="http://schemas.openxmlformats.org/spreadsheetml/2006/main" count="291" uniqueCount="229">
  <si>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</si>
  <si>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</si>
  <si>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</si>
  <si>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</si>
  <si>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</si>
  <si>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</si>
  <si>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</si>
  <si>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</si>
  <si>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</si>
  <si>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</si>
  <si>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</si>
  <si>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</si>
  <si>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</si>
  <si>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</si>
  <si>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</si>
  <si>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</si>
  <si>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</si>
  <si>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</si>
  <si>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</si>
  <si>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</si>
  <si>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</si>
  <si>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</si>
  <si>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</si>
  <si>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</si>
  <si>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</si>
  <si>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</si>
  <si>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</si>
  <si>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</si>
  <si>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</si>
  <si>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</si>
  <si>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</si>
  <si>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</si>
  <si>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</si>
  <si>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</si>
  <si>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Other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</si>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</sst>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17" fontId="2" fillId="0" borderId="1" xfId="0" applyNumberFormat="1" applyFont="1" applyBorder="1" applyAlignment="1">
      <alignment horizontal="center"/>
    </xf>
    <xf numFmtId="166" fontId="0" fillId="0" borderId="0" xfId="3" applyNumberFormat="1" applyFont="1"/>
    <xf numFmtId="0" fontId="3" fillId="0" borderId="0" xfId="0" applyFont="1"/>
    <xf numFmtId="0" fontId="3" fillId="0" borderId="0" xfId="0" applyFont="1" applyBorder="1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1" fillId="0" borderId="0" xfId="0" applyFont="1"/>
    <xf numFmtId="0" fontId="16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0" fontId="17" fillId="0" borderId="0" xfId="0" applyFont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1" fillId="0" borderId="1" xfId="6" applyNumberFormat="1" applyFill="1" applyBorder="1"/>
    <xf numFmtId="0" fontId="0" fillId="3" borderId="0" xfId="0" applyFill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7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3" fillId="3" borderId="0" xfId="0" applyFont="1" applyFill="1"/>
    <xf numFmtId="0" fontId="13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29" fillId="5" borderId="0" xfId="3" applyFont="1" applyFill="1"/>
    <xf numFmtId="43" fontId="29" fillId="4" borderId="0" xfId="3" applyFont="1" applyFill="1"/>
    <xf numFmtId="43" fontId="29" fillId="3" borderId="0" xfId="3" applyFont="1" applyFill="1"/>
    <xf numFmtId="43" fontId="0" fillId="0" borderId="0" xfId="3" applyFont="1" applyFill="1"/>
    <xf numFmtId="43" fontId="29" fillId="6" borderId="0" xfId="3" applyFont="1" applyFill="1"/>
    <xf numFmtId="43" fontId="29" fillId="3" borderId="0" xfId="3" applyFont="1" applyFill="1"/>
    <xf numFmtId="0" fontId="3" fillId="0" borderId="0" xfId="0" applyFont="1" applyAlignment="1">
      <alignment vertical="center" wrapText="1"/>
    </xf>
    <xf numFmtId="166" fontId="29" fillId="3" borderId="0" xfId="3" applyNumberFormat="1" applyFont="1" applyFill="1"/>
    <xf numFmtId="165" fontId="0" fillId="3" borderId="0" xfId="0" applyNumberFormat="1" applyFill="1"/>
    <xf numFmtId="43" fontId="29" fillId="0" borderId="0" xfId="3" applyFont="1" applyFill="1"/>
    <xf numFmtId="10" fontId="3" fillId="3" borderId="0" xfId="19" applyNumberFormat="1" applyFont="1" applyFill="1" applyBorder="1"/>
    <xf numFmtId="5" fontId="1" fillId="0" borderId="2" xfId="6" applyNumberFormat="1" applyFill="1" applyBorder="1"/>
    <xf numFmtId="43" fontId="30" fillId="0" borderId="0" xfId="3" applyFont="1" applyFill="1"/>
    <xf numFmtId="43" fontId="31" fillId="7" borderId="0" xfId="3" applyFont="1" applyFill="1"/>
    <xf numFmtId="43" fontId="3" fillId="3" borderId="0" xfId="4" applyFont="1" applyFill="1" applyBorder="1"/>
    <xf numFmtId="43" fontId="3" fillId="3" borderId="0" xfId="4" applyFont="1" applyFill="1" applyBorder="1" applyAlignment="1">
      <alignment horizontal="center"/>
    </xf>
    <xf numFmtId="166" fontId="3" fillId="3" borderId="0" xfId="4" applyNumberFormat="1" applyFont="1" applyFill="1"/>
    <xf numFmtId="43" fontId="3" fillId="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8" borderId="0" xfId="4" applyFont="1" applyFill="1" applyBorder="1" applyAlignment="1">
      <alignment horizontal="center"/>
    </xf>
    <xf numFmtId="0" fontId="0" fillId="8" borderId="0" xfId="0" applyFill="1"/>
    <xf numFmtId="10" fontId="0" fillId="8" borderId="0" xfId="18" applyNumberFormat="1" applyFont="1" applyFill="1"/>
    <xf numFmtId="166" fontId="3" fillId="8" borderId="0" xfId="4" applyNumberFormat="1" applyFont="1" applyFill="1"/>
    <xf numFmtId="43" fontId="3" fillId="8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4" fillId="3" borderId="0" xfId="3" applyFont="1" applyFill="1"/>
    <xf numFmtId="43" fontId="1" fillId="0" borderId="0" xfId="3" applyFont="1" applyFill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69" fontId="2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9" fillId="0" borderId="0" xfId="3" applyNumberFormat="1" applyFont="1" applyFill="1" applyBorder="1"/>
    <xf numFmtId="0" fontId="43" fillId="0" borderId="0" xfId="0" applyFont="1" applyFill="1" applyBorder="1" applyAlignment="1">
      <alignment horizontal="center"/>
    </xf>
    <xf numFmtId="0" fontId="24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68" fontId="1" fillId="0" borderId="0" xfId="3" applyNumberFormat="1" applyFill="1" applyBorder="1"/>
    <xf numFmtId="5" fontId="0" fillId="0" borderId="1" xfId="3" applyNumberFormat="1" applyFont="1" applyFill="1" applyBorder="1"/>
    <xf numFmtId="168" fontId="2" fillId="0" borderId="0" xfId="3" applyNumberFormat="1" applyFont="1" applyFill="1" applyBorder="1"/>
    <xf numFmtId="168" fontId="3" fillId="0" borderId="0" xfId="3" applyNumberFormat="1" applyFont="1" applyFill="1" applyBorder="1"/>
    <xf numFmtId="5" fontId="3" fillId="0" borderId="1" xfId="0" applyNumberFormat="1" applyFont="1" applyFill="1" applyBorder="1"/>
    <xf numFmtId="168" fontId="2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0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8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51</v>
      </c>
    </row>
    <row r="4" spans="2:4">
      <c r="B4" t="s">
        <v>54</v>
      </c>
    </row>
    <row r="5" spans="2:4">
      <c r="B5" t="s">
        <v>55</v>
      </c>
    </row>
    <row r="6" spans="2:4">
      <c r="B6">
        <v>1</v>
      </c>
      <c r="C6" s="7" t="s">
        <v>69</v>
      </c>
    </row>
    <row r="7" spans="2:4">
      <c r="C7" s="7" t="s">
        <v>89</v>
      </c>
    </row>
    <row r="8" spans="2:4">
      <c r="B8">
        <v>2</v>
      </c>
      <c r="C8" t="s">
        <v>52</v>
      </c>
    </row>
    <row r="9" spans="2:4">
      <c r="C9" t="s">
        <v>87</v>
      </c>
    </row>
    <row r="10" spans="2:4">
      <c r="C10" s="7" t="s">
        <v>88</v>
      </c>
    </row>
    <row r="11" spans="2:4">
      <c r="B11">
        <v>3</v>
      </c>
      <c r="C11" t="s">
        <v>53</v>
      </c>
    </row>
    <row r="12" spans="2:4" hidden="1">
      <c r="B12">
        <v>4</v>
      </c>
      <c r="C12" s="29" t="s">
        <v>78</v>
      </c>
    </row>
    <row r="13" spans="2:4">
      <c r="B13">
        <v>4</v>
      </c>
      <c r="C13" s="7" t="s">
        <v>136</v>
      </c>
    </row>
    <row r="15" spans="2:4">
      <c r="B15" t="s">
        <v>57</v>
      </c>
    </row>
    <row r="16" spans="2:4">
      <c r="B16" t="s">
        <v>56</v>
      </c>
    </row>
    <row r="17" spans="2:3">
      <c r="B17">
        <v>1</v>
      </c>
      <c r="C17" s="7" t="s">
        <v>77</v>
      </c>
    </row>
    <row r="18" spans="2:3">
      <c r="B18">
        <v>2</v>
      </c>
      <c r="C18" s="7" t="s">
        <v>70</v>
      </c>
    </row>
    <row r="19" spans="2:3">
      <c r="B19">
        <v>3</v>
      </c>
      <c r="C19" s="7" t="s">
        <v>71</v>
      </c>
    </row>
    <row r="21" spans="2:3">
      <c r="B21" t="s">
        <v>93</v>
      </c>
    </row>
    <row r="22" spans="2:3">
      <c r="B22" t="s">
        <v>58</v>
      </c>
    </row>
    <row r="24" spans="2:3">
      <c r="B24" s="7" t="s">
        <v>79</v>
      </c>
    </row>
    <row r="25" spans="2:3">
      <c r="B25" s="7"/>
    </row>
    <row r="26" spans="2:3">
      <c r="B26" s="7" t="s">
        <v>90</v>
      </c>
    </row>
    <row r="27" spans="2:3">
      <c r="B27">
        <v>1</v>
      </c>
      <c r="C27" s="7" t="s">
        <v>137</v>
      </c>
    </row>
    <row r="28" spans="2:3">
      <c r="B28">
        <v>2</v>
      </c>
      <c r="C28" s="29" t="s">
        <v>92</v>
      </c>
    </row>
    <row r="29" spans="2:3">
      <c r="B29">
        <v>3</v>
      </c>
      <c r="C29" s="29" t="s">
        <v>80</v>
      </c>
    </row>
    <row r="30" spans="2:3">
      <c r="B30">
        <v>4</v>
      </c>
      <c r="C30" s="7" t="s">
        <v>81</v>
      </c>
    </row>
    <row r="31" spans="2:3">
      <c r="B31">
        <v>5</v>
      </c>
      <c r="C31" s="7" t="s">
        <v>34</v>
      </c>
    </row>
    <row r="33" spans="2:3">
      <c r="B33" s="7" t="s">
        <v>82</v>
      </c>
    </row>
    <row r="34" spans="2:3">
      <c r="B34">
        <v>1</v>
      </c>
      <c r="C34" s="7" t="s">
        <v>83</v>
      </c>
    </row>
    <row r="35" spans="2:3">
      <c r="C35" s="7" t="s">
        <v>84</v>
      </c>
    </row>
    <row r="36" spans="2:3">
      <c r="B36">
        <v>2</v>
      </c>
      <c r="C36" s="7" t="s">
        <v>85</v>
      </c>
    </row>
    <row r="37" spans="2:3">
      <c r="C37" s="7" t="s">
        <v>86</v>
      </c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N41" sqref="N4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94" t="s">
        <v>192</v>
      </c>
      <c r="P1" s="13"/>
      <c r="Q1" s="65"/>
    </row>
    <row r="2" spans="1:17">
      <c r="C2" s="5">
        <v>43131</v>
      </c>
      <c r="D2" s="5">
        <f>EOMONTH(C2,1)</f>
        <v>43159</v>
      </c>
      <c r="E2" s="5">
        <f t="shared" ref="E2:N2" si="0">EOMONTH(D2,1)</f>
        <v>43190</v>
      </c>
      <c r="F2" s="5">
        <f t="shared" si="0"/>
        <v>43220</v>
      </c>
      <c r="G2" s="5">
        <f t="shared" si="0"/>
        <v>43251</v>
      </c>
      <c r="H2" s="5">
        <f t="shared" si="0"/>
        <v>43281</v>
      </c>
      <c r="I2" s="5">
        <f t="shared" si="0"/>
        <v>43312</v>
      </c>
      <c r="J2" s="5">
        <f t="shared" si="0"/>
        <v>43343</v>
      </c>
      <c r="K2" s="5">
        <f t="shared" si="0"/>
        <v>43373</v>
      </c>
      <c r="L2" s="5">
        <f t="shared" si="0"/>
        <v>43404</v>
      </c>
      <c r="M2" s="5">
        <f t="shared" si="0"/>
        <v>43434</v>
      </c>
      <c r="N2" s="5">
        <f t="shared" si="0"/>
        <v>43465</v>
      </c>
      <c r="O2" s="124" t="s">
        <v>226</v>
      </c>
      <c r="P2" s="13"/>
    </row>
    <row r="3" spans="1:17">
      <c r="A3" s="2" t="s">
        <v>199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7">
      <c r="B4" s="96" t="s">
        <v>12</v>
      </c>
      <c r="C4" s="102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7">
      <c r="A5" s="128">
        <f>'WA Summary '!A15</f>
        <v>9</v>
      </c>
      <c r="B5" s="10" t="s">
        <v>3</v>
      </c>
      <c r="C5" s="117">
        <v>12127251.189999999</v>
      </c>
      <c r="D5" s="118">
        <v>11591984.93</v>
      </c>
      <c r="E5" s="118">
        <v>10660400.51</v>
      </c>
      <c r="F5" s="118">
        <v>10031882.140000001</v>
      </c>
      <c r="G5" s="123">
        <v>7204007.3300000001</v>
      </c>
      <c r="H5" s="123">
        <v>6832768.3600000003</v>
      </c>
      <c r="I5" s="123">
        <v>7367141.2599999998</v>
      </c>
      <c r="J5" s="123">
        <v>8064915.6600000001</v>
      </c>
      <c r="K5" s="123">
        <v>7448796.1699999999</v>
      </c>
      <c r="L5" s="123">
        <v>7999787.46</v>
      </c>
      <c r="M5" s="123">
        <v>11642227.199999999</v>
      </c>
      <c r="N5" s="123">
        <v>12112599.34</v>
      </c>
    </row>
    <row r="6" spans="1:17">
      <c r="A6" s="128">
        <f>'WA Summary '!A16</f>
        <v>10</v>
      </c>
      <c r="B6" s="10" t="s">
        <v>6</v>
      </c>
      <c r="C6" s="117">
        <v>-7154528.2800000003</v>
      </c>
      <c r="D6" s="118">
        <v>-6331582.5999999996</v>
      </c>
      <c r="E6" s="118">
        <v>-7373144.1100000003</v>
      </c>
      <c r="F6" s="118">
        <v>-9451450.3200000003</v>
      </c>
      <c r="G6" s="123">
        <v>-3992970.36</v>
      </c>
      <c r="H6" s="123">
        <v>-3782255.59</v>
      </c>
      <c r="I6" s="123">
        <v>-5325599.3499999996</v>
      </c>
      <c r="J6" s="123">
        <v>-3215250.64</v>
      </c>
      <c r="K6" s="123">
        <v>-4016772.06</v>
      </c>
      <c r="L6" s="123">
        <v>-3304258.83</v>
      </c>
      <c r="M6" s="123">
        <v>-4468024.59</v>
      </c>
      <c r="N6" s="123">
        <v>-6320022.7000000002</v>
      </c>
    </row>
    <row r="7" spans="1:17">
      <c r="A7" s="128">
        <f>'WA Summary '!A17</f>
        <v>11</v>
      </c>
      <c r="B7" s="10" t="s">
        <v>4</v>
      </c>
      <c r="C7" s="117">
        <v>2667343.1</v>
      </c>
      <c r="D7" s="118">
        <v>2503516.62</v>
      </c>
      <c r="E7" s="118">
        <v>2494287.48</v>
      </c>
      <c r="F7" s="118">
        <v>2179004.29</v>
      </c>
      <c r="G7" s="123">
        <v>1551263.17</v>
      </c>
      <c r="H7" s="123">
        <v>1358750.78</v>
      </c>
      <c r="I7" s="123">
        <v>2219592.2200000002</v>
      </c>
      <c r="J7" s="123">
        <v>2478124.66</v>
      </c>
      <c r="K7" s="123">
        <v>2578207.41</v>
      </c>
      <c r="L7" s="123">
        <v>2592986.98</v>
      </c>
      <c r="M7" s="123">
        <v>2566832.77</v>
      </c>
      <c r="N7" s="123">
        <v>2703883.73</v>
      </c>
    </row>
    <row r="8" spans="1:17">
      <c r="A8" s="128">
        <f>'WA Summary '!A18</f>
        <v>12</v>
      </c>
      <c r="B8" s="10" t="s">
        <v>5</v>
      </c>
      <c r="C8" s="117">
        <v>8481667.5999999996</v>
      </c>
      <c r="D8" s="118">
        <v>7698691.8099999996</v>
      </c>
      <c r="E8" s="118">
        <v>7292619.1900000004</v>
      </c>
      <c r="F8" s="118">
        <v>5265751.1399999997</v>
      </c>
      <c r="G8" s="123">
        <v>1426182.27</v>
      </c>
      <c r="H8" s="123">
        <v>1698326.77</v>
      </c>
      <c r="I8" s="123">
        <v>5653252.0099999998</v>
      </c>
      <c r="J8" s="123">
        <v>7341418.3399999999</v>
      </c>
      <c r="K8" s="123">
        <v>6493557.54</v>
      </c>
      <c r="L8" s="123">
        <v>6103470.4500000002</v>
      </c>
      <c r="M8" s="123">
        <v>6561954.4000000004</v>
      </c>
      <c r="N8" s="123">
        <v>8397560.5700000003</v>
      </c>
    </row>
    <row r="9" spans="1:17">
      <c r="A9" s="128">
        <f>'WA Summary '!A19</f>
        <v>13</v>
      </c>
      <c r="B9" s="10" t="s">
        <v>44</v>
      </c>
      <c r="C9" s="117">
        <v>-1306341.6000000001</v>
      </c>
      <c r="D9" s="118">
        <v>-1061936.3799999999</v>
      </c>
      <c r="E9" s="118">
        <v>-1137644.24</v>
      </c>
      <c r="F9" s="118">
        <v>-1166933.42</v>
      </c>
      <c r="G9" s="123">
        <v>-1253487.52</v>
      </c>
      <c r="H9" s="123">
        <v>-1398528.7</v>
      </c>
      <c r="I9" s="123">
        <v>-1450378.42</v>
      </c>
      <c r="J9" s="123">
        <v>-1346818.86</v>
      </c>
      <c r="K9" s="123">
        <v>-1372212.68</v>
      </c>
      <c r="L9" s="123">
        <v>-1319316.33</v>
      </c>
      <c r="M9" s="123">
        <v>-1257650.3400000001</v>
      </c>
      <c r="N9" s="123">
        <v>-1191496.26</v>
      </c>
    </row>
    <row r="10" spans="1:17">
      <c r="A10" s="128">
        <f>'WA Summary '!A20</f>
        <v>14</v>
      </c>
      <c r="B10" s="10" t="s">
        <v>38</v>
      </c>
      <c r="C10" s="117">
        <v>1503378.97</v>
      </c>
      <c r="D10" s="118">
        <v>1417561.5</v>
      </c>
      <c r="E10" s="118">
        <v>1557827.18</v>
      </c>
      <c r="F10" s="118">
        <v>1347286.17</v>
      </c>
      <c r="G10" s="123">
        <v>1394142.28</v>
      </c>
      <c r="H10" s="123">
        <v>1391307.66</v>
      </c>
      <c r="I10" s="123">
        <v>1452951.07</v>
      </c>
      <c r="J10" s="123">
        <v>1443201.71</v>
      </c>
      <c r="K10" s="123">
        <v>1567440.78</v>
      </c>
      <c r="L10" s="123">
        <v>1406860.96</v>
      </c>
      <c r="M10" s="123">
        <v>1416448.5</v>
      </c>
      <c r="N10" s="123">
        <v>1446134.29</v>
      </c>
    </row>
    <row r="11" spans="1:17">
      <c r="A11" s="128">
        <f>'WA Summary '!A21</f>
        <v>15</v>
      </c>
      <c r="B11" s="10" t="s">
        <v>39</v>
      </c>
      <c r="C11" s="117">
        <v>57500</v>
      </c>
      <c r="D11" s="118">
        <v>57500</v>
      </c>
      <c r="E11" s="118">
        <v>57500</v>
      </c>
      <c r="F11" s="118">
        <v>57500</v>
      </c>
      <c r="G11" s="123">
        <v>34250</v>
      </c>
      <c r="H11" s="123">
        <v>34250</v>
      </c>
      <c r="I11" s="123">
        <v>34250</v>
      </c>
      <c r="J11" s="123">
        <v>34250</v>
      </c>
      <c r="K11" s="123">
        <v>34250</v>
      </c>
      <c r="L11" s="123">
        <v>34250</v>
      </c>
      <c r="M11" s="123">
        <v>34250</v>
      </c>
      <c r="N11" s="123">
        <v>34250</v>
      </c>
    </row>
    <row r="12" spans="1:17">
      <c r="A12" s="129">
        <f>'WA Summary '!A22</f>
        <v>16</v>
      </c>
      <c r="B12" s="7" t="s">
        <v>208</v>
      </c>
      <c r="C12" s="118">
        <v>-125000</v>
      </c>
      <c r="D12" s="118">
        <v>-125000</v>
      </c>
      <c r="E12" s="118">
        <v>-125000</v>
      </c>
      <c r="F12" s="118">
        <v>-125000</v>
      </c>
      <c r="G12" s="123">
        <v>-165583.32999999999</v>
      </c>
      <c r="H12" s="123">
        <v>-165583.32999999999</v>
      </c>
      <c r="I12" s="123">
        <v>-165583.32999999999</v>
      </c>
      <c r="J12" s="123">
        <v>-165583.32999999999</v>
      </c>
      <c r="K12" s="123">
        <v>-165583.32999999999</v>
      </c>
      <c r="L12" s="123">
        <v>-165583.32999999999</v>
      </c>
      <c r="M12" s="123">
        <v>-165583.32999999999</v>
      </c>
      <c r="N12" s="123">
        <v>-165583.32999999999</v>
      </c>
      <c r="O12" s="18" t="s">
        <v>227</v>
      </c>
    </row>
    <row r="13" spans="1:17">
      <c r="A13" s="129">
        <f>'WA Summary '!A27</f>
        <v>21</v>
      </c>
      <c r="B13" s="10" t="s">
        <v>101</v>
      </c>
      <c r="C13" s="113">
        <v>0.64710000000000001</v>
      </c>
      <c r="D13" s="113">
        <v>0.64710000000000001</v>
      </c>
      <c r="E13" s="113">
        <v>0.64710000000000001</v>
      </c>
      <c r="F13" s="113">
        <v>0.64710000000000001</v>
      </c>
      <c r="G13" s="125">
        <v>0.6573</v>
      </c>
      <c r="H13" s="125">
        <v>0.6573</v>
      </c>
      <c r="I13" s="125">
        <v>0.6573</v>
      </c>
      <c r="J13" s="125">
        <v>0.6573</v>
      </c>
      <c r="K13" s="125">
        <v>0.6573</v>
      </c>
      <c r="L13" s="125">
        <v>0.6573</v>
      </c>
      <c r="M13" s="125">
        <v>0.6573</v>
      </c>
      <c r="N13" s="125">
        <v>0.6573</v>
      </c>
    </row>
    <row r="14" spans="1:17"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6" spans="1:17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6">
      <c r="A17" s="2" t="s">
        <v>191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6">
      <c r="B18" s="19" t="s">
        <v>13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6">
      <c r="A19" s="1">
        <f>'WA Monthly'!A8</f>
        <v>2</v>
      </c>
      <c r="B19" s="10" t="s">
        <v>141</v>
      </c>
      <c r="C19" s="100">
        <f>1216938-490204.75</f>
        <v>726733.25</v>
      </c>
      <c r="D19" s="100">
        <v>1216938</v>
      </c>
      <c r="E19" s="100">
        <v>1216938</v>
      </c>
      <c r="F19" s="100">
        <v>1216938</v>
      </c>
      <c r="G19" s="100">
        <v>1216938</v>
      </c>
      <c r="H19" s="100">
        <v>1216938</v>
      </c>
      <c r="I19" s="100">
        <v>1216938</v>
      </c>
      <c r="J19" s="100">
        <v>1216938</v>
      </c>
      <c r="K19" s="100">
        <v>1216938</v>
      </c>
      <c r="L19" s="100">
        <v>1216938</v>
      </c>
      <c r="M19" s="100">
        <v>1216938</v>
      </c>
      <c r="N19" s="100">
        <f>1216938-60009</f>
        <v>1156929</v>
      </c>
    </row>
    <row r="20" spans="1:16">
      <c r="A20" s="1">
        <f>'WA Monthly'!A9</f>
        <v>3</v>
      </c>
      <c r="B20" s="10" t="s">
        <v>142</v>
      </c>
      <c r="C20" s="100">
        <v>67916.61</v>
      </c>
      <c r="D20" s="100">
        <v>81240.899999999994</v>
      </c>
      <c r="E20" s="100">
        <v>93497.61</v>
      </c>
      <c r="F20" s="100">
        <v>152573.94</v>
      </c>
      <c r="G20" s="100">
        <v>162896.94</v>
      </c>
      <c r="H20" s="100">
        <v>158630.1</v>
      </c>
      <c r="I20" s="100">
        <v>58962.21</v>
      </c>
      <c r="J20" s="100">
        <v>55517.73</v>
      </c>
      <c r="K20" s="100">
        <v>50510</v>
      </c>
      <c r="L20" s="131">
        <v>66662.399999999994</v>
      </c>
      <c r="M20" s="100">
        <f>73556.42+3.58+3.84</f>
        <v>73563.839999999997</v>
      </c>
      <c r="N20" s="100">
        <f>70065.81+8.19</f>
        <v>70074</v>
      </c>
    </row>
    <row r="21" spans="1:16">
      <c r="A21" s="1">
        <f>'WA Monthly'!A10</f>
        <v>4</v>
      </c>
      <c r="B21" s="10" t="s">
        <v>145</v>
      </c>
      <c r="C21" s="100">
        <v>153740</v>
      </c>
      <c r="D21" s="100">
        <v>153740</v>
      </c>
      <c r="E21" s="100">
        <v>153740</v>
      </c>
      <c r="F21" s="100">
        <v>153740</v>
      </c>
      <c r="G21" s="100">
        <v>153740</v>
      </c>
      <c r="H21" s="100">
        <v>153740</v>
      </c>
      <c r="I21" s="100">
        <v>153740</v>
      </c>
      <c r="J21" s="100">
        <v>153740</v>
      </c>
      <c r="K21" s="100">
        <v>165218</v>
      </c>
      <c r="L21" s="100">
        <v>165218</v>
      </c>
      <c r="M21" s="100">
        <v>165218</v>
      </c>
      <c r="N21" s="100">
        <f>165218-93237</f>
        <v>71981</v>
      </c>
    </row>
    <row r="22" spans="1:16">
      <c r="A22" s="1">
        <f>'WA Monthly'!A11</f>
        <v>5</v>
      </c>
      <c r="B22" s="10" t="s">
        <v>143</v>
      </c>
      <c r="C22" s="100">
        <v>618453.74</v>
      </c>
      <c r="D22" s="100">
        <v>618453.74</v>
      </c>
      <c r="E22" s="100">
        <v>618453.74</v>
      </c>
      <c r="F22" s="100">
        <f>618453.74+172659.84</f>
        <v>791113.58</v>
      </c>
      <c r="G22" s="100">
        <v>618453.74</v>
      </c>
      <c r="H22" s="100">
        <v>618453.74</v>
      </c>
      <c r="I22" s="100">
        <v>618453.74</v>
      </c>
      <c r="J22" s="100">
        <v>618453.74</v>
      </c>
      <c r="K22" s="100">
        <v>618453.74</v>
      </c>
      <c r="L22" s="100">
        <v>618453.74</v>
      </c>
      <c r="M22" s="100">
        <v>618453.74</v>
      </c>
      <c r="N22" s="100">
        <v>618453.74</v>
      </c>
    </row>
    <row r="23" spans="1:16" ht="14.25">
      <c r="A23" s="1">
        <f>'WA Monthly'!A12</f>
        <v>6</v>
      </c>
      <c r="B23" s="7" t="s">
        <v>144</v>
      </c>
      <c r="C23" s="100">
        <v>3744666.75</v>
      </c>
      <c r="D23" s="100">
        <v>3383687</v>
      </c>
      <c r="E23" s="100">
        <v>1848736.5</v>
      </c>
      <c r="F23" s="100">
        <v>1790509.9</v>
      </c>
      <c r="G23" s="103"/>
      <c r="H23" s="103"/>
      <c r="I23" s="103"/>
      <c r="J23" s="103"/>
      <c r="K23" s="103"/>
      <c r="L23" s="103"/>
      <c r="M23" s="100">
        <v>2662711.7999999998</v>
      </c>
      <c r="N23" s="100">
        <v>2751195.2</v>
      </c>
    </row>
    <row r="24" spans="1:16">
      <c r="A24" s="1">
        <f>'WA Monthly'!A13</f>
        <v>7</v>
      </c>
      <c r="B24" t="s">
        <v>138</v>
      </c>
      <c r="C24" s="100">
        <v>1067.57</v>
      </c>
      <c r="D24" s="100">
        <v>885.41</v>
      </c>
      <c r="E24" s="100">
        <v>1088.27</v>
      </c>
      <c r="F24" s="100">
        <v>716.55</v>
      </c>
      <c r="G24" s="100">
        <v>691.35</v>
      </c>
      <c r="H24" s="100">
        <v>443.81</v>
      </c>
      <c r="I24" s="100">
        <v>537.20000000000005</v>
      </c>
      <c r="J24" s="100">
        <v>656.06</v>
      </c>
      <c r="K24" s="100">
        <v>647.57000000000005</v>
      </c>
      <c r="L24" s="100">
        <v>678.75</v>
      </c>
      <c r="M24" s="100">
        <v>783.75</v>
      </c>
      <c r="N24" s="100">
        <v>981.15</v>
      </c>
    </row>
    <row r="25" spans="1:16">
      <c r="A25" s="1">
        <f>'WA Monthly'!A14</f>
        <v>8</v>
      </c>
      <c r="B25" s="2" t="s">
        <v>198</v>
      </c>
      <c r="C25" s="107">
        <f>SUM(C26:C33)</f>
        <v>196326.72</v>
      </c>
      <c r="D25" s="107">
        <f t="shared" ref="D25:N25" si="1">SUM(D26:D33)</f>
        <v>176449.19</v>
      </c>
      <c r="E25" s="107">
        <f t="shared" si="1"/>
        <v>137699.89000000001</v>
      </c>
      <c r="F25" s="107">
        <f t="shared" si="1"/>
        <v>145244.5</v>
      </c>
      <c r="G25" s="107">
        <f t="shared" si="1"/>
        <v>118255.54</v>
      </c>
      <c r="H25" s="107">
        <f t="shared" si="1"/>
        <v>119817.55</v>
      </c>
      <c r="I25" s="107">
        <f t="shared" si="1"/>
        <v>109806.91</v>
      </c>
      <c r="J25" s="107">
        <f t="shared" si="1"/>
        <v>71032.06</v>
      </c>
      <c r="K25" s="107">
        <f t="shared" si="1"/>
        <v>47083.97</v>
      </c>
      <c r="L25" s="107">
        <f t="shared" si="1"/>
        <v>48926.95</v>
      </c>
      <c r="M25" s="107">
        <f t="shared" si="1"/>
        <v>102929.25</v>
      </c>
      <c r="N25" s="107">
        <f t="shared" si="1"/>
        <v>103599.13</v>
      </c>
      <c r="P25" s="22"/>
    </row>
    <row r="26" spans="1:16">
      <c r="A26" s="1"/>
      <c r="B26" s="21" t="s">
        <v>194</v>
      </c>
      <c r="C26" s="100">
        <v>87062.6</v>
      </c>
      <c r="D26" s="100">
        <v>69242.05</v>
      </c>
      <c r="E26" s="100">
        <v>40381.07</v>
      </c>
      <c r="F26" s="100">
        <v>37858.050000000003</v>
      </c>
      <c r="G26" s="100">
        <v>19569.04</v>
      </c>
      <c r="H26" s="100">
        <v>8986.94</v>
      </c>
      <c r="I26" s="100">
        <v>0</v>
      </c>
      <c r="J26" s="100">
        <v>0</v>
      </c>
      <c r="K26" s="100">
        <v>0</v>
      </c>
      <c r="L26" s="100">
        <v>0</v>
      </c>
      <c r="M26" s="100">
        <v>6216.1</v>
      </c>
      <c r="N26" s="100">
        <v>30000.83</v>
      </c>
    </row>
    <row r="27" spans="1:16">
      <c r="A27" s="1"/>
      <c r="B27" s="21" t="s">
        <v>195</v>
      </c>
      <c r="C27" s="100">
        <v>25338.94</v>
      </c>
      <c r="D27" s="100">
        <v>23425.64</v>
      </c>
      <c r="E27" s="100">
        <v>30273.599999999999</v>
      </c>
      <c r="F27" s="100">
        <v>41252.879999999997</v>
      </c>
      <c r="G27" s="100">
        <v>25145.26</v>
      </c>
      <c r="H27" s="100">
        <v>46034.32</v>
      </c>
      <c r="I27" s="100">
        <v>40001.599999999999</v>
      </c>
      <c r="J27" s="100">
        <v>19852.87</v>
      </c>
      <c r="K27" s="100">
        <v>15376.48</v>
      </c>
      <c r="L27" s="100">
        <v>16758.3</v>
      </c>
      <c r="M27" s="100">
        <v>23103.279999999999</v>
      </c>
      <c r="N27" s="100">
        <v>24208.47</v>
      </c>
    </row>
    <row r="28" spans="1:16">
      <c r="A28" s="1"/>
      <c r="B28" s="21" t="s">
        <v>213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1318.96</v>
      </c>
      <c r="J28" s="100">
        <v>195.89</v>
      </c>
      <c r="K28" s="100">
        <v>0</v>
      </c>
      <c r="L28" s="100">
        <v>0</v>
      </c>
      <c r="M28" s="100">
        <v>0</v>
      </c>
      <c r="N28" s="100">
        <v>0</v>
      </c>
    </row>
    <row r="29" spans="1:16">
      <c r="A29" s="1"/>
      <c r="B29" s="21" t="s">
        <v>196</v>
      </c>
      <c r="C29" s="100">
        <v>18784.810000000001</v>
      </c>
      <c r="D29" s="100">
        <v>20311.2</v>
      </c>
      <c r="E29" s="100">
        <v>11733.87</v>
      </c>
      <c r="F29" s="100">
        <v>15232.61</v>
      </c>
      <c r="G29" s="100">
        <v>12944.55</v>
      </c>
      <c r="H29" s="100">
        <v>5177.3100000000004</v>
      </c>
      <c r="I29" s="100">
        <v>4932.8100000000004</v>
      </c>
      <c r="J29" s="100">
        <v>5297.8</v>
      </c>
      <c r="K29" s="100">
        <v>11.34</v>
      </c>
      <c r="L29" s="100">
        <v>9143.19</v>
      </c>
      <c r="M29" s="100">
        <v>26706.3</v>
      </c>
      <c r="N29" s="100">
        <v>20879.16</v>
      </c>
    </row>
    <row r="30" spans="1:16">
      <c r="A30" s="1"/>
      <c r="B30" s="121" t="s">
        <v>218</v>
      </c>
      <c r="C30" s="100">
        <v>2282.34</v>
      </c>
      <c r="D30" s="100">
        <v>7907.08</v>
      </c>
      <c r="E30" s="100">
        <v>2888.35</v>
      </c>
      <c r="F30" s="100">
        <v>5800.34</v>
      </c>
      <c r="G30" s="100">
        <v>9597.16</v>
      </c>
      <c r="H30" s="100">
        <v>9738.5499999999993</v>
      </c>
      <c r="I30" s="100">
        <v>7531.67</v>
      </c>
      <c r="J30" s="100">
        <v>4142.82</v>
      </c>
      <c r="K30" s="100">
        <v>2483.13</v>
      </c>
      <c r="L30" s="100">
        <v>375.03</v>
      </c>
      <c r="M30" s="100">
        <v>329.08</v>
      </c>
      <c r="N30" s="100">
        <v>327.25</v>
      </c>
    </row>
    <row r="31" spans="1:16">
      <c r="A31" s="1"/>
      <c r="B31" s="121" t="s">
        <v>219</v>
      </c>
      <c r="C31" s="100">
        <v>56380.92</v>
      </c>
      <c r="D31" s="100">
        <v>49329.04</v>
      </c>
      <c r="E31" s="100">
        <v>48233.1</v>
      </c>
      <c r="F31" s="100">
        <v>42288.05</v>
      </c>
      <c r="G31" s="100">
        <v>46520.15</v>
      </c>
      <c r="H31" s="100">
        <v>46108</v>
      </c>
      <c r="I31" s="100">
        <v>49928.76</v>
      </c>
      <c r="J31" s="100">
        <v>35531.86</v>
      </c>
      <c r="K31" s="100">
        <v>22061.94</v>
      </c>
      <c r="L31" s="100">
        <v>17411.53</v>
      </c>
      <c r="M31" s="100">
        <v>40430.44</v>
      </c>
      <c r="N31" s="100">
        <v>21428.1</v>
      </c>
    </row>
    <row r="32" spans="1:16">
      <c r="A32" s="1"/>
      <c r="B32" s="21" t="s">
        <v>197</v>
      </c>
      <c r="C32" s="100">
        <v>5160.53</v>
      </c>
      <c r="D32" s="100">
        <v>4274.9799999999996</v>
      </c>
      <c r="E32" s="100">
        <v>2364.63</v>
      </c>
      <c r="F32" s="100">
        <v>2812.57</v>
      </c>
      <c r="G32" s="100">
        <v>4479.38</v>
      </c>
      <c r="H32" s="100">
        <v>3772.43</v>
      </c>
      <c r="I32" s="100">
        <v>5638.58</v>
      </c>
      <c r="J32" s="100">
        <v>6010.82</v>
      </c>
      <c r="K32" s="100">
        <v>7021.77</v>
      </c>
      <c r="L32" s="100">
        <v>5238.8999999999996</v>
      </c>
      <c r="M32" s="100">
        <v>5458.33</v>
      </c>
      <c r="N32" s="100">
        <v>6202.83</v>
      </c>
    </row>
    <row r="33" spans="1:14">
      <c r="A33" s="1"/>
      <c r="B33" s="121" t="s">
        <v>220</v>
      </c>
      <c r="C33" s="100">
        <v>1316.58</v>
      </c>
      <c r="D33" s="100">
        <v>1959.2</v>
      </c>
      <c r="E33" s="100">
        <v>1825.27</v>
      </c>
      <c r="F33" s="100">
        <v>0</v>
      </c>
      <c r="G33" s="100">
        <v>0</v>
      </c>
      <c r="H33" s="100">
        <v>0</v>
      </c>
      <c r="I33" s="100">
        <v>454.53</v>
      </c>
      <c r="J33" s="100">
        <v>0</v>
      </c>
      <c r="K33" s="100">
        <v>129.31</v>
      </c>
      <c r="L33" s="100">
        <v>0</v>
      </c>
      <c r="M33" s="100">
        <v>685.72</v>
      </c>
      <c r="N33" s="100">
        <v>552.49</v>
      </c>
    </row>
    <row r="34" spans="1:14">
      <c r="A34" s="1">
        <f>'WA Monthly'!A15</f>
        <v>9</v>
      </c>
      <c r="B34" s="18" t="s">
        <v>221</v>
      </c>
      <c r="C34" s="100">
        <v>167411.29999999999</v>
      </c>
      <c r="D34" s="100">
        <v>151142.16</v>
      </c>
      <c r="E34" s="100">
        <v>134752.32000000001</v>
      </c>
      <c r="F34" s="100">
        <v>9638.73</v>
      </c>
      <c r="G34" s="100">
        <v>139720.07999999999</v>
      </c>
      <c r="H34" s="100">
        <v>156195</v>
      </c>
      <c r="I34" s="100">
        <v>206662.44</v>
      </c>
      <c r="J34" s="100">
        <v>124688.08</v>
      </c>
      <c r="K34" s="100">
        <v>38427.199999999997</v>
      </c>
      <c r="L34" s="100">
        <v>196020.84</v>
      </c>
      <c r="M34" s="100">
        <v>186143.99</v>
      </c>
      <c r="N34" s="100">
        <v>173029.9</v>
      </c>
    </row>
    <row r="35" spans="1:14">
      <c r="A35" s="1">
        <f>'WA Monthly'!A16</f>
        <v>10</v>
      </c>
      <c r="B35" s="7" t="s">
        <v>202</v>
      </c>
      <c r="C35" s="100">
        <v>509116.36</v>
      </c>
      <c r="D35" s="100">
        <v>428289.88</v>
      </c>
      <c r="E35" s="100">
        <v>551749.19999999995</v>
      </c>
      <c r="F35" s="100">
        <v>336085.63</v>
      </c>
      <c r="G35" s="100">
        <v>237800.84</v>
      </c>
      <c r="H35" s="100">
        <v>242504.84</v>
      </c>
      <c r="I35" s="100">
        <v>18009.36</v>
      </c>
      <c r="J35" s="100">
        <v>61.36</v>
      </c>
      <c r="K35" s="100">
        <v>7398.64</v>
      </c>
      <c r="L35" s="100">
        <v>98204.52</v>
      </c>
      <c r="M35" s="100">
        <v>181859.48</v>
      </c>
      <c r="N35" s="100">
        <v>284150.03999999998</v>
      </c>
    </row>
    <row r="36" spans="1:14">
      <c r="A36" s="1">
        <f>'WA Monthly'!A17</f>
        <v>11</v>
      </c>
      <c r="B36" s="18" t="s">
        <v>222</v>
      </c>
      <c r="C36" s="100">
        <v>503269.5</v>
      </c>
      <c r="D36" s="100">
        <v>466387.56</v>
      </c>
      <c r="E36" s="100">
        <v>406267.94</v>
      </c>
      <c r="F36" s="100">
        <v>349209.12</v>
      </c>
      <c r="G36" s="100">
        <v>332411.43</v>
      </c>
      <c r="H36" s="100">
        <v>457879.89</v>
      </c>
      <c r="I36" s="100">
        <v>561310.80000000005</v>
      </c>
      <c r="J36" s="100">
        <v>434207.7</v>
      </c>
      <c r="K36" s="100">
        <v>588004.9</v>
      </c>
      <c r="L36" s="100">
        <v>590209</v>
      </c>
      <c r="M36" s="100">
        <v>384101.16</v>
      </c>
      <c r="N36" s="100">
        <v>523253.34</v>
      </c>
    </row>
    <row r="37" spans="1:14">
      <c r="A37" s="1">
        <f>'WA Monthly'!A18</f>
        <v>12</v>
      </c>
      <c r="B37" s="18" t="s">
        <v>223</v>
      </c>
      <c r="C37" s="100">
        <v>0</v>
      </c>
      <c r="D37" s="100">
        <v>0</v>
      </c>
      <c r="E37" s="100">
        <f>1411.5+1359.92</f>
        <v>2771.42</v>
      </c>
      <c r="F37" s="100">
        <v>1252.47</v>
      </c>
      <c r="G37" s="100">
        <v>1245.71</v>
      </c>
      <c r="H37" s="100">
        <v>1021</v>
      </c>
      <c r="I37" s="100">
        <v>1028.3599999999999</v>
      </c>
      <c r="J37" s="100">
        <v>1024.68</v>
      </c>
      <c r="K37" s="100">
        <v>1109.4100000000001</v>
      </c>
      <c r="L37" s="100">
        <v>951</v>
      </c>
      <c r="M37" s="100">
        <v>995.21</v>
      </c>
      <c r="N37" s="100">
        <v>1116.78</v>
      </c>
    </row>
    <row r="38" spans="1:14">
      <c r="A38" s="1">
        <f>'WA Monthly'!A19</f>
        <v>13</v>
      </c>
      <c r="B38" s="11" t="s">
        <v>139</v>
      </c>
      <c r="C38" s="100">
        <f>2311799.36+35.95+15018.17</f>
        <v>2326853.48</v>
      </c>
      <c r="D38" s="100">
        <f>2144634.67-5035.12+6261.75+37010.14</f>
        <v>2182871.44</v>
      </c>
      <c r="E38" s="100">
        <f>2331714.55+99.39+25957.02</f>
        <v>2357770.96</v>
      </c>
      <c r="F38" s="100">
        <f>2184072.62+66.5+51631.06</f>
        <v>2235770.1800000002</v>
      </c>
      <c r="G38" s="100">
        <f>2056178.44+121.01+41759.13</f>
        <v>2098058.58</v>
      </c>
      <c r="H38" s="100">
        <f>2041840.76+129.2+14420.2</f>
        <v>2056390.16</v>
      </c>
      <c r="I38" s="100">
        <f>2361758.54-0.01+73.61+15763.98</f>
        <v>2377596.12</v>
      </c>
      <c r="J38" s="100">
        <f>2358639.46-40.51+57648.67</f>
        <v>2416247.62</v>
      </c>
      <c r="K38" s="100">
        <f>2352121.14+79.14+73159.66</f>
        <v>2425359.94</v>
      </c>
      <c r="L38" s="132">
        <f>2271936.53+80.64+38577.34</f>
        <v>2310594.5099999998</v>
      </c>
      <c r="M38" s="100">
        <f>2333463.23+14540.3+89.22+36437.97</f>
        <v>2384530.7200000002</v>
      </c>
      <c r="N38" s="100">
        <f>2399328.8+88.74+44404.76</f>
        <v>2443822.2999999998</v>
      </c>
    </row>
    <row r="39" spans="1:14">
      <c r="A39" s="1">
        <f>'WA Monthly'!A20</f>
        <v>14</v>
      </c>
      <c r="B39" s="11" t="s">
        <v>150</v>
      </c>
      <c r="C39" s="100">
        <v>2365264</v>
      </c>
      <c r="D39" s="100">
        <v>2240477.6</v>
      </c>
      <c r="E39" s="100">
        <v>2072807.2</v>
      </c>
      <c r="F39" s="100">
        <v>2009810</v>
      </c>
      <c r="G39" s="100">
        <v>1146210.8</v>
      </c>
      <c r="H39" s="100">
        <v>1530958.8</v>
      </c>
      <c r="I39" s="100">
        <v>1018827.2</v>
      </c>
      <c r="J39" s="100">
        <v>1297090</v>
      </c>
      <c r="K39" s="100">
        <v>1187101.6000000001</v>
      </c>
      <c r="L39" s="100">
        <v>1148264.3999999999</v>
      </c>
      <c r="M39" s="100">
        <v>1820818.4</v>
      </c>
      <c r="N39" s="100">
        <v>1958228.4</v>
      </c>
    </row>
    <row r="40" spans="1:14">
      <c r="A40" s="1"/>
      <c r="B40" s="11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4">
      <c r="A41" s="1"/>
      <c r="B41" s="99" t="s">
        <v>50</v>
      </c>
      <c r="C41" s="116">
        <f>89265*(45.32-41.95)</f>
        <v>300823.05</v>
      </c>
      <c r="D41" s="116">
        <f>80660*(45.32-41.95)</f>
        <v>271824.2</v>
      </c>
      <c r="E41" s="116">
        <f>44070*(45.32-41.95)</f>
        <v>148515.9</v>
      </c>
      <c r="F41" s="116">
        <f>42682*(45.32-41.95)</f>
        <v>143838.34</v>
      </c>
      <c r="G41" s="104"/>
      <c r="H41" s="104"/>
      <c r="I41" s="104"/>
      <c r="J41" s="104"/>
      <c r="K41" s="104"/>
      <c r="L41" s="104"/>
      <c r="M41" s="116">
        <f>58380*(46.15-45.61)</f>
        <v>31525.200000000001</v>
      </c>
      <c r="N41" s="116">
        <f>60320*(46.15-45.61)</f>
        <v>32572.799999999999</v>
      </c>
    </row>
    <row r="42" spans="1:14"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>
      <c r="B43" s="69" t="s">
        <v>22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>
      <c r="A44" s="1">
        <f>'WA Monthly'!A41</f>
        <v>19</v>
      </c>
      <c r="B44" s="13" t="s">
        <v>28</v>
      </c>
      <c r="C44" s="100">
        <v>96850.08</v>
      </c>
      <c r="D44" s="100">
        <v>54051.06</v>
      </c>
      <c r="E44" s="100">
        <v>67735.03</v>
      </c>
      <c r="F44" s="100">
        <v>46837.56</v>
      </c>
      <c r="G44" s="100">
        <v>23444.400000000001</v>
      </c>
      <c r="H44" s="100">
        <v>38086.019999999997</v>
      </c>
      <c r="I44" s="100">
        <v>256172.96</v>
      </c>
      <c r="J44" s="100">
        <v>268722.36</v>
      </c>
      <c r="K44" s="100">
        <v>122394.78</v>
      </c>
      <c r="L44" s="100">
        <v>152030.76</v>
      </c>
      <c r="M44" s="100">
        <v>185444.6</v>
      </c>
      <c r="N44" s="100">
        <v>190333.5</v>
      </c>
    </row>
    <row r="45" spans="1:14">
      <c r="A45" s="1">
        <f>'WA Monthly'!A42</f>
        <v>20</v>
      </c>
      <c r="B45" s="11" t="s">
        <v>205</v>
      </c>
      <c r="C45" s="100">
        <f>5766+3073.73+3073.73+1064.5</f>
        <v>12977.96</v>
      </c>
      <c r="D45" s="115">
        <f>5208+2746.01+2746.01+894.25</f>
        <v>11594.27</v>
      </c>
      <c r="E45" s="100">
        <f>699+5758.25+2905.76+2905.76</f>
        <v>12268.77</v>
      </c>
      <c r="F45" s="100">
        <f>864+22320+386.64+386.64</f>
        <v>23957.279999999999</v>
      </c>
      <c r="G45" s="100">
        <f>676.25+5766+2899.01+2899.01</f>
        <v>12240.27</v>
      </c>
      <c r="H45" s="100">
        <f>5580+2815.43+2815.43+676.5</f>
        <v>11887.36</v>
      </c>
      <c r="I45" s="100">
        <f>790.75+5766+2950.54+2950.54</f>
        <v>12457.83</v>
      </c>
      <c r="J45" s="100">
        <f>758.75+5766+2936.14+2936.14</f>
        <v>12397.03</v>
      </c>
      <c r="K45" s="100">
        <f>5580+2801.93+2801.93+646.5</f>
        <v>11830.36</v>
      </c>
      <c r="L45" s="106">
        <f>803.25+5766+2956.16+2956.16</f>
        <v>12481.57</v>
      </c>
      <c r="M45" s="100">
        <f>941+5587.75+2937.94+2937.94</f>
        <v>12404.63</v>
      </c>
      <c r="N45" s="100">
        <f>1015.75+5766+3051.79+3051.79</f>
        <v>12885.33</v>
      </c>
    </row>
    <row r="46" spans="1:14">
      <c r="A46" s="1">
        <f>'WA Monthly'!A43</f>
        <v>21</v>
      </c>
      <c r="B46" s="13" t="s">
        <v>32</v>
      </c>
      <c r="C46" s="100">
        <f>10587.71+10587.71+26351.64+4376.14+4376.14+5580</f>
        <v>61859.34</v>
      </c>
      <c r="D46" s="115">
        <f>9540.79+9540.79+23745.96+5636.93+5636.93+5040</f>
        <v>59141.4</v>
      </c>
      <c r="E46" s="100">
        <f>10713.83+10713.83+26665.52+5981.18+5981.18+5572.5</f>
        <v>65628.039999999994</v>
      </c>
      <c r="F46" s="100">
        <f>9452.7+9452.7+23526.72+5190.53+5190.53+5400</f>
        <v>58213.18</v>
      </c>
      <c r="G46" s="100">
        <f>9289.35+9289.35+23120.16+580.61+580.61+5580</f>
        <v>48440.08</v>
      </c>
      <c r="H46" s="100">
        <f>8588.25+8588.25+21375.2+2612.81+2612.81+5400</f>
        <v>49177.32</v>
      </c>
      <c r="I46" s="100">
        <f>8840.93+8840.93+22004.08+5465.7+5465.7+5580</f>
        <v>56197.34</v>
      </c>
      <c r="J46" s="100">
        <f>8690.4+8690.4+21629.44+2890.01+2890.01+5580</f>
        <v>50370.26</v>
      </c>
      <c r="K46" s="100">
        <f>8671.84+8671.84+21583.24+2890.01+2890.01+5400</f>
        <v>50106.94</v>
      </c>
      <c r="L46" s="106">
        <f>9349.99+9349.99+23271.08+6066.56+6066.56+5580</f>
        <v>59684.18</v>
      </c>
      <c r="M46" s="100">
        <f>10293.75+10293.75+25620+4120.76+4120.76+5407.5</f>
        <v>59856.52</v>
      </c>
      <c r="N46" s="100">
        <f>10801.13+10801.13+26882.8+4170.94+4170.94+5580</f>
        <v>62406.94</v>
      </c>
    </row>
    <row r="47" spans="1:14">
      <c r="A47" s="1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>
      <c r="A48" s="1"/>
      <c r="B48" s="69" t="s">
        <v>24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1:14">
      <c r="A49" s="1">
        <f>'WA Monthly'!A65</f>
        <v>29</v>
      </c>
      <c r="B49" s="13" t="s">
        <v>17</v>
      </c>
      <c r="C49" s="6">
        <v>53359</v>
      </c>
      <c r="D49" s="6">
        <v>48502</v>
      </c>
      <c r="E49" s="6">
        <v>58811</v>
      </c>
      <c r="F49" s="6">
        <v>52478</v>
      </c>
      <c r="G49" s="6">
        <v>0</v>
      </c>
      <c r="H49" s="6">
        <v>16710</v>
      </c>
      <c r="I49" s="6">
        <v>56362</v>
      </c>
      <c r="J49" s="6">
        <v>58199</v>
      </c>
      <c r="K49" s="6">
        <v>57315</v>
      </c>
      <c r="L49" s="6">
        <v>53085</v>
      </c>
      <c r="M49" s="6">
        <v>54631</v>
      </c>
      <c r="N49" s="6">
        <v>49990</v>
      </c>
    </row>
    <row r="50" spans="1:14">
      <c r="A50" s="1">
        <f>'WA Monthly'!A66</f>
        <v>30</v>
      </c>
      <c r="B50" s="13" t="s">
        <v>26</v>
      </c>
      <c r="C50" s="6">
        <v>99606</v>
      </c>
      <c r="D50" s="6">
        <v>73063</v>
      </c>
      <c r="E50" s="6">
        <v>96702</v>
      </c>
      <c r="F50" s="6">
        <v>72391</v>
      </c>
      <c r="G50" s="6">
        <v>52614</v>
      </c>
      <c r="H50" s="6">
        <v>61022</v>
      </c>
      <c r="I50" s="6">
        <v>23288</v>
      </c>
      <c r="J50" s="6">
        <v>49111</v>
      </c>
      <c r="K50" s="6">
        <v>82493</v>
      </c>
      <c r="L50" s="6">
        <v>96213</v>
      </c>
      <c r="M50" s="6">
        <v>97539</v>
      </c>
      <c r="N50" s="6">
        <v>83567</v>
      </c>
    </row>
    <row r="51" spans="1:14"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  <row r="52" spans="1:14">
      <c r="A52" s="2" t="s">
        <v>207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1:14">
      <c r="A53" s="1">
        <v>8</v>
      </c>
      <c r="B53" s="4" t="s">
        <v>203</v>
      </c>
      <c r="C53" s="6">
        <f>574459679/1000</f>
        <v>574460</v>
      </c>
      <c r="D53" s="6">
        <f>485123313/1000</f>
        <v>485123</v>
      </c>
      <c r="E53" s="6">
        <f>466253415/1000</f>
        <v>466253</v>
      </c>
      <c r="F53" s="6">
        <f>456156773/1000</f>
        <v>456157</v>
      </c>
      <c r="G53" s="6">
        <f>380975932/1000</f>
        <v>380976</v>
      </c>
      <c r="H53" s="6">
        <f>422918343/1000</f>
        <v>422918</v>
      </c>
      <c r="I53" s="6">
        <f>442081662/1000</f>
        <v>442082</v>
      </c>
      <c r="J53" s="6">
        <f>510132476/1000</f>
        <v>510132</v>
      </c>
      <c r="K53" s="6">
        <f>452187273/1000</f>
        <v>452187</v>
      </c>
      <c r="L53" s="6">
        <f>409388557/1000</f>
        <v>409389</v>
      </c>
      <c r="M53" s="6">
        <f>440915146/1000</f>
        <v>440915</v>
      </c>
      <c r="N53" s="6">
        <f>516411273/1000</f>
        <v>516411</v>
      </c>
    </row>
    <row r="54" spans="1:14">
      <c r="A54" s="1">
        <v>10</v>
      </c>
      <c r="B54" s="4" t="s">
        <v>204</v>
      </c>
      <c r="C54" s="6">
        <f>232280424/1000</f>
        <v>232280</v>
      </c>
      <c r="D54" s="6">
        <f>228150617/1000</f>
        <v>228151</v>
      </c>
      <c r="E54" s="6">
        <f>250554267/1000</f>
        <v>250554</v>
      </c>
      <c r="F54" s="6">
        <f>228167045/1000</f>
        <v>228167</v>
      </c>
      <c r="G54" s="6">
        <f>264392948/1000</f>
        <v>264393</v>
      </c>
      <c r="H54" s="6">
        <f>261603337/1000</f>
        <v>261603</v>
      </c>
      <c r="I54" s="6">
        <f>303870716/1000</f>
        <v>303871</v>
      </c>
      <c r="J54" s="6">
        <f>290569560/1000</f>
        <v>290570</v>
      </c>
      <c r="K54" s="6">
        <f>237418718/1000</f>
        <v>237419</v>
      </c>
      <c r="L54" s="6">
        <f>267642789/1000</f>
        <v>267643</v>
      </c>
      <c r="M54" s="6">
        <f>304478686/1000</f>
        <v>304479</v>
      </c>
      <c r="N54" s="6">
        <f>312515235/1000</f>
        <v>312515</v>
      </c>
    </row>
    <row r="55" spans="1:14">
      <c r="A55" s="1">
        <v>12</v>
      </c>
      <c r="B55" s="4" t="s">
        <v>168</v>
      </c>
      <c r="C55" s="119">
        <v>555937</v>
      </c>
      <c r="D55" s="119">
        <v>498647</v>
      </c>
      <c r="E55" s="119">
        <v>492113</v>
      </c>
      <c r="F55" s="119">
        <v>431145</v>
      </c>
      <c r="G55" s="126">
        <v>432473</v>
      </c>
      <c r="H55" s="126">
        <v>424693</v>
      </c>
      <c r="I55" s="126">
        <v>490670</v>
      </c>
      <c r="J55" s="126">
        <v>464617</v>
      </c>
      <c r="K55" s="126">
        <v>435934</v>
      </c>
      <c r="L55" s="126">
        <v>436959</v>
      </c>
      <c r="M55" s="126">
        <v>468856</v>
      </c>
      <c r="N55" s="126">
        <v>553150</v>
      </c>
    </row>
    <row r="56" spans="1:14">
      <c r="A56" s="1">
        <v>14</v>
      </c>
      <c r="B56" s="4" t="s">
        <v>169</v>
      </c>
      <c r="C56" s="120">
        <v>15.66</v>
      </c>
      <c r="D56" s="120">
        <v>15.66</v>
      </c>
      <c r="E56" s="120">
        <v>15.66</v>
      </c>
      <c r="F56" s="120">
        <v>15.66</v>
      </c>
      <c r="G56" s="127">
        <v>18.11</v>
      </c>
      <c r="H56" s="127">
        <v>18.11</v>
      </c>
      <c r="I56" s="127">
        <v>18.11</v>
      </c>
      <c r="J56" s="127">
        <v>18.11</v>
      </c>
      <c r="K56" s="127">
        <v>18.11</v>
      </c>
      <c r="L56" s="127">
        <v>18.11</v>
      </c>
      <c r="M56" s="127">
        <v>18.11</v>
      </c>
      <c r="N56" s="127">
        <v>18.11</v>
      </c>
    </row>
    <row r="57" spans="1:14">
      <c r="A57" s="1"/>
      <c r="B57" s="4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</row>
    <row r="58" spans="1:14">
      <c r="A58" s="1">
        <v>21</v>
      </c>
      <c r="B58" s="4" t="s">
        <v>164</v>
      </c>
      <c r="C58" s="105">
        <v>-37943.33</v>
      </c>
      <c r="D58" s="105">
        <v>339003.31</v>
      </c>
      <c r="E58" s="105">
        <v>187670.73</v>
      </c>
      <c r="F58" s="105">
        <v>-84609.600000000006</v>
      </c>
      <c r="G58" s="105">
        <v>107839.18</v>
      </c>
      <c r="H58" s="105">
        <v>-120586.87</v>
      </c>
      <c r="I58" s="105">
        <v>-749950.95</v>
      </c>
      <c r="J58" s="105">
        <v>-189109.75</v>
      </c>
      <c r="K58" s="105">
        <v>-118698.29</v>
      </c>
      <c r="L58" s="105">
        <v>-79221.710000000006</v>
      </c>
      <c r="M58" s="105">
        <v>-448598.03</v>
      </c>
      <c r="N58" s="105">
        <v>-402928.44</v>
      </c>
    </row>
    <row r="59" spans="1:14">
      <c r="A59" s="1"/>
      <c r="B59" s="4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</row>
    <row r="60" spans="1:14"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>
      <c r="A61" s="2" t="s">
        <v>193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1:14">
      <c r="B62" s="3" t="s">
        <v>11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>
      <c r="A63" s="1" t="e">
        <f>#REF!</f>
        <v>#REF!</v>
      </c>
      <c r="B63" s="13" t="s">
        <v>3</v>
      </c>
      <c r="C63" s="105">
        <v>9702833.2899999991</v>
      </c>
      <c r="D63" s="105">
        <v>10328500.119999999</v>
      </c>
      <c r="E63" s="105">
        <v>8924403.1600000001</v>
      </c>
      <c r="F63" s="105">
        <v>7339923.5499999998</v>
      </c>
      <c r="G63" s="105">
        <v>5493489.1799999997</v>
      </c>
      <c r="H63" s="105">
        <v>5495060.4100000001</v>
      </c>
      <c r="I63" s="105">
        <v>6450837.8700000001</v>
      </c>
      <c r="J63" s="105">
        <v>7374829.1500000004</v>
      </c>
      <c r="K63" s="105">
        <v>6454509.96</v>
      </c>
      <c r="L63" s="105">
        <v>6678057.5800000001</v>
      </c>
      <c r="M63" s="105">
        <v>9322262.8599999994</v>
      </c>
      <c r="N63" s="105">
        <v>9533433.6400000006</v>
      </c>
    </row>
    <row r="64" spans="1:14">
      <c r="A64" s="1" t="e">
        <f>#REF!</f>
        <v>#REF!</v>
      </c>
      <c r="B64" s="13" t="s">
        <v>6</v>
      </c>
      <c r="C64" s="105">
        <v>-3781357.36</v>
      </c>
      <c r="D64" s="105">
        <v>-1822086.49</v>
      </c>
      <c r="E64" s="105">
        <v>-2040710.31</v>
      </c>
      <c r="F64" s="105">
        <v>-2860479.36</v>
      </c>
      <c r="G64" s="105">
        <v>-2523087.88</v>
      </c>
      <c r="H64" s="105">
        <v>-2502706</v>
      </c>
      <c r="I64" s="105">
        <v>-4670615.3</v>
      </c>
      <c r="J64" s="105">
        <v>-2827345.05</v>
      </c>
      <c r="K64" s="105">
        <v>-2878367.34</v>
      </c>
      <c r="L64" s="105">
        <v>-2286264.87</v>
      </c>
      <c r="M64" s="105">
        <v>-3502619.01</v>
      </c>
      <c r="N64" s="105">
        <v>-5561523.5599999996</v>
      </c>
    </row>
    <row r="65" spans="1:14">
      <c r="A65" s="1" t="e">
        <f>#REF!</f>
        <v>#REF!</v>
      </c>
      <c r="B65" s="13" t="s">
        <v>4</v>
      </c>
      <c r="C65" s="105">
        <v>2710747.74</v>
      </c>
      <c r="D65" s="105">
        <v>2436292.5499999998</v>
      </c>
      <c r="E65" s="105">
        <v>2495478.85</v>
      </c>
      <c r="F65" s="105">
        <v>1999248.03</v>
      </c>
      <c r="G65" s="105">
        <v>1543139.19</v>
      </c>
      <c r="H65" s="105">
        <v>1346032.7</v>
      </c>
      <c r="I65" s="105">
        <v>2191772.3199999998</v>
      </c>
      <c r="J65" s="105">
        <v>2428910.81</v>
      </c>
      <c r="K65" s="105">
        <v>2491210.04</v>
      </c>
      <c r="L65" s="105">
        <v>2486833.9700000002</v>
      </c>
      <c r="M65" s="105">
        <v>2527218.2799999998</v>
      </c>
      <c r="N65" s="105">
        <v>2686721.65</v>
      </c>
    </row>
    <row r="66" spans="1:14">
      <c r="A66" s="1" t="e">
        <f>#REF!</f>
        <v>#REF!</v>
      </c>
      <c r="B66" s="13" t="s">
        <v>5</v>
      </c>
      <c r="C66" s="105">
        <v>8280148.4299999997</v>
      </c>
      <c r="D66" s="105">
        <v>5188309.49</v>
      </c>
      <c r="E66" s="105">
        <v>4595189.95</v>
      </c>
      <c r="F66" s="105">
        <v>2864295.64</v>
      </c>
      <c r="G66" s="105">
        <v>1538979.51</v>
      </c>
      <c r="H66" s="105">
        <v>1733332.64</v>
      </c>
      <c r="I66" s="105">
        <v>5506610.8600000003</v>
      </c>
      <c r="J66" s="105">
        <v>6911917.7199999997</v>
      </c>
      <c r="K66" s="105">
        <v>5890074.7699999996</v>
      </c>
      <c r="L66" s="105">
        <v>5805698.3300000001</v>
      </c>
      <c r="M66" s="105">
        <v>6416983.3099999996</v>
      </c>
      <c r="N66" s="105">
        <v>8327512.7999999998</v>
      </c>
    </row>
    <row r="67" spans="1:14">
      <c r="A67" s="1" t="e">
        <f>#REF!</f>
        <v>#REF!</v>
      </c>
      <c r="B67" s="13" t="s">
        <v>44</v>
      </c>
      <c r="C67" s="105">
        <v>-1062694.25</v>
      </c>
      <c r="D67" s="105">
        <v>-1178480.71</v>
      </c>
      <c r="E67" s="105">
        <v>-1177115.3999999999</v>
      </c>
      <c r="F67" s="105">
        <v>-1141305.3700000001</v>
      </c>
      <c r="G67" s="105">
        <v>-1253487.52</v>
      </c>
      <c r="H67" s="105">
        <v>-1398528.7</v>
      </c>
      <c r="I67" s="105">
        <v>-1450378.42</v>
      </c>
      <c r="J67" s="105">
        <v>-1346818.86</v>
      </c>
      <c r="K67" s="105">
        <v>-1372212.68</v>
      </c>
      <c r="L67" s="105">
        <v>-1319316.33</v>
      </c>
      <c r="M67" s="105">
        <v>-1257650.3400000001</v>
      </c>
      <c r="N67" s="105">
        <v>-1191496.26</v>
      </c>
    </row>
    <row r="68" spans="1:14">
      <c r="A68" s="1" t="e">
        <f>#REF!</f>
        <v>#REF!</v>
      </c>
      <c r="B68" s="13" t="s">
        <v>38</v>
      </c>
      <c r="C68" s="105">
        <v>1367136.34</v>
      </c>
      <c r="D68" s="105">
        <v>1600334.72</v>
      </c>
      <c r="E68" s="105">
        <v>1468739.29</v>
      </c>
      <c r="F68" s="105">
        <v>1449914.73</v>
      </c>
      <c r="G68" s="105">
        <v>1423359.44</v>
      </c>
      <c r="H68" s="105">
        <v>1415702.57</v>
      </c>
      <c r="I68" s="105">
        <v>1470703.45</v>
      </c>
      <c r="J68" s="105">
        <v>1461594.51</v>
      </c>
      <c r="K68" s="105">
        <v>1427129.57</v>
      </c>
      <c r="L68" s="105">
        <v>1424958.44</v>
      </c>
      <c r="M68" s="105">
        <v>1434977.94</v>
      </c>
      <c r="N68" s="105">
        <v>1459895.67</v>
      </c>
    </row>
    <row r="69" spans="1:14">
      <c r="A69" s="1" t="e">
        <f>#REF!</f>
        <v>#REF!</v>
      </c>
      <c r="B69" s="8" t="s">
        <v>209</v>
      </c>
      <c r="C69" s="105">
        <v>-293350</v>
      </c>
      <c r="D69" s="105">
        <v>-264550</v>
      </c>
      <c r="E69" s="105">
        <v>-293350</v>
      </c>
      <c r="F69" s="105">
        <v>-283750</v>
      </c>
      <c r="G69" s="105">
        <v>-293350</v>
      </c>
      <c r="H69" s="105">
        <v>-283750</v>
      </c>
      <c r="I69" s="105">
        <v>-293350</v>
      </c>
      <c r="J69" s="105">
        <v>-293350</v>
      </c>
      <c r="K69" s="105">
        <v>-283750</v>
      </c>
      <c r="L69" s="105">
        <v>-293350</v>
      </c>
      <c r="M69" s="105">
        <v>-283750</v>
      </c>
      <c r="N69" s="105">
        <v>-293350</v>
      </c>
    </row>
    <row r="70" spans="1:14">
      <c r="A70" s="1" t="e">
        <f>#REF!</f>
        <v>#REF!</v>
      </c>
      <c r="B70" s="8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</row>
    <row r="71" spans="1:14">
      <c r="A71" s="1"/>
      <c r="B71" s="13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>
      <c r="A72" s="1" t="e">
        <f>#REF!</f>
        <v>#REF!</v>
      </c>
      <c r="B72" s="8" t="s">
        <v>117</v>
      </c>
      <c r="C72" s="113">
        <v>0.3427</v>
      </c>
      <c r="D72" s="113">
        <v>0.3427</v>
      </c>
      <c r="E72" s="113">
        <v>0.3427</v>
      </c>
      <c r="F72" s="113">
        <v>0.3427</v>
      </c>
      <c r="G72" s="113">
        <v>0.3427</v>
      </c>
      <c r="H72" s="113">
        <v>0.3427</v>
      </c>
      <c r="I72" s="113">
        <v>0.3427</v>
      </c>
      <c r="J72" s="113">
        <v>0.3427</v>
      </c>
      <c r="K72" s="113">
        <v>0.3427</v>
      </c>
      <c r="L72" s="113">
        <v>0.3427</v>
      </c>
      <c r="M72" s="113">
        <v>0.3427</v>
      </c>
      <c r="N72" s="113">
        <v>0.3427</v>
      </c>
    </row>
    <row r="73" spans="1:14">
      <c r="A73" s="1"/>
      <c r="B73" s="8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</row>
    <row r="74" spans="1:14">
      <c r="A74" s="39" t="s">
        <v>201</v>
      </c>
      <c r="B74" s="8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>
      <c r="A75" s="1"/>
      <c r="B75" s="8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</row>
    <row r="76" spans="1:14">
      <c r="A76" s="1"/>
      <c r="B76" s="8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</row>
    <row r="77" spans="1:14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>
      <c r="A78" s="2" t="s">
        <v>200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4">
      <c r="A79" s="1">
        <v>8</v>
      </c>
      <c r="B79" s="97" t="s">
        <v>203</v>
      </c>
      <c r="C79" s="6">
        <f>297624218/1000</f>
        <v>297624</v>
      </c>
      <c r="D79" s="6">
        <f>260888156/1000</f>
        <v>260888</v>
      </c>
      <c r="E79" s="6">
        <f>262754378/1000</f>
        <v>262754</v>
      </c>
      <c r="F79" s="6">
        <f>246270905/1000</f>
        <v>246271</v>
      </c>
      <c r="G79" s="6">
        <f>164134280/1000</f>
        <v>164134</v>
      </c>
      <c r="H79" s="6">
        <f>219544183/1000</f>
        <v>219544</v>
      </c>
      <c r="I79" s="6">
        <f>229425021/1000</f>
        <v>229425</v>
      </c>
      <c r="J79" s="6">
        <f>258244550/1000</f>
        <v>258245</v>
      </c>
      <c r="K79" s="6">
        <f>256666987/1000</f>
        <v>256667</v>
      </c>
      <c r="L79" s="6">
        <f>227695178/1000</f>
        <v>227695</v>
      </c>
      <c r="M79" s="6">
        <f>237727823/1000</f>
        <v>237728</v>
      </c>
      <c r="N79" s="6">
        <f>277646451/1000</f>
        <v>277646</v>
      </c>
    </row>
    <row r="80" spans="1:14">
      <c r="A80" s="1">
        <v>10</v>
      </c>
      <c r="B80" s="97" t="s">
        <v>204</v>
      </c>
      <c r="C80" s="6">
        <f>107600432/1000</f>
        <v>107600</v>
      </c>
      <c r="D80" s="6">
        <f>108134844/1000</f>
        <v>108135</v>
      </c>
      <c r="E80" s="6">
        <f>103775959/1000</f>
        <v>103776</v>
      </c>
      <c r="F80" s="6">
        <f>95924098/1000</f>
        <v>95924</v>
      </c>
      <c r="G80" s="6">
        <f>148864745/1000</f>
        <v>148865</v>
      </c>
      <c r="H80" s="6">
        <f>140298234/1000</f>
        <v>140298</v>
      </c>
      <c r="I80" s="6">
        <f>168994182/1000</f>
        <v>168994</v>
      </c>
      <c r="J80" s="6">
        <f>184575453/1000</f>
        <v>184575</v>
      </c>
      <c r="K80" s="6">
        <f>143322824/1000</f>
        <v>143323</v>
      </c>
      <c r="L80" s="6">
        <f>148700840/1000</f>
        <v>148701</v>
      </c>
      <c r="M80" s="6">
        <f>165540696/1000</f>
        <v>165541</v>
      </c>
      <c r="N80" s="6">
        <f>171136099/1000</f>
        <v>171136</v>
      </c>
    </row>
    <row r="81" spans="1:14">
      <c r="A81" s="1">
        <v>12</v>
      </c>
      <c r="B81" s="98" t="s">
        <v>172</v>
      </c>
      <c r="C81" s="110">
        <v>294914</v>
      </c>
      <c r="D81" s="110">
        <v>261971</v>
      </c>
      <c r="E81" s="110">
        <v>251422</v>
      </c>
      <c r="F81" s="110">
        <v>228917</v>
      </c>
      <c r="G81" s="110">
        <v>211441</v>
      </c>
      <c r="H81" s="110">
        <v>204736</v>
      </c>
      <c r="I81" s="110">
        <v>252026</v>
      </c>
      <c r="J81" s="110">
        <v>245232</v>
      </c>
      <c r="K81" s="110">
        <v>206024</v>
      </c>
      <c r="L81" s="110">
        <v>240501</v>
      </c>
      <c r="M81" s="110">
        <v>257717</v>
      </c>
      <c r="N81" s="110">
        <v>298131</v>
      </c>
    </row>
    <row r="82" spans="1:14">
      <c r="A82" s="1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</row>
    <row r="83" spans="1:14">
      <c r="A83" s="1">
        <v>14</v>
      </c>
      <c r="B83" s="109" t="s">
        <v>163</v>
      </c>
      <c r="C83" s="111">
        <v>24.73</v>
      </c>
      <c r="D83" s="111">
        <v>24.73</v>
      </c>
      <c r="E83" s="111">
        <v>24.73</v>
      </c>
      <c r="F83" s="111">
        <v>24.73</v>
      </c>
      <c r="G83" s="111">
        <v>24.73</v>
      </c>
      <c r="H83" s="111">
        <v>24.73</v>
      </c>
      <c r="I83" s="111">
        <v>24.73</v>
      </c>
      <c r="J83" s="111">
        <v>24.73</v>
      </c>
      <c r="K83" s="111">
        <v>24.73</v>
      </c>
      <c r="L83" s="111">
        <v>24.73</v>
      </c>
      <c r="M83" s="111">
        <v>24.73</v>
      </c>
      <c r="N83" s="111">
        <v>24.73</v>
      </c>
    </row>
    <row r="84" spans="1:14"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</row>
    <row r="85" spans="1:14">
      <c r="A85" s="1">
        <v>24</v>
      </c>
      <c r="B85" s="10" t="s">
        <v>164</v>
      </c>
      <c r="C85" s="108">
        <v>-93865.44</v>
      </c>
      <c r="D85" s="108">
        <v>112043.88</v>
      </c>
      <c r="E85" s="108">
        <v>-350999.37</v>
      </c>
      <c r="F85" s="108">
        <v>-238903.87</v>
      </c>
      <c r="G85" s="108">
        <v>-545700.26</v>
      </c>
      <c r="H85" s="108">
        <v>-572639.06999999995</v>
      </c>
      <c r="I85" s="108">
        <v>-289106.92</v>
      </c>
      <c r="J85" s="108">
        <v>-23343.4</v>
      </c>
      <c r="K85" s="108">
        <v>-294999.42</v>
      </c>
      <c r="L85" s="108">
        <v>79670.53</v>
      </c>
      <c r="M85" s="108">
        <v>-180437.08</v>
      </c>
      <c r="N85" s="108">
        <v>-205884.39</v>
      </c>
    </row>
    <row r="86" spans="1:14"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</row>
    <row r="88" spans="1:14"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</row>
    <row r="89" spans="1:14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</row>
    <row r="91" spans="1:14"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</row>
    <row r="92" spans="1:14"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</row>
    <row r="94" spans="1:14"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</row>
    <row r="95" spans="1:14"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</row>
    <row r="97" spans="3:14"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</row>
    <row r="98" spans="3:14"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3:14"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</row>
    <row r="100" spans="3:14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</row>
    <row r="101" spans="3:14"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3:14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</row>
    <row r="103" spans="3:14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</row>
    <row r="104" spans="3:14"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3:14"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</row>
    <row r="106" spans="3:14"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</row>
    <row r="107" spans="3:14"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3:14"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</row>
    <row r="109" spans="3:14"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</row>
    <row r="110" spans="3:14"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3:14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3:14"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3:14"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</row>
    <row r="114" spans="3:14"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</row>
    <row r="115" spans="3:14"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</row>
    <row r="116" spans="3:14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</row>
    <row r="117" spans="3:14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</row>
    <row r="118" spans="3:14"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</row>
    <row r="119" spans="3:14"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</row>
    <row r="120" spans="3:14"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</row>
    <row r="121" spans="3:14"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</row>
    <row r="122" spans="3:14"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</row>
    <row r="123" spans="3:14"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</row>
    <row r="124" spans="3:14"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</row>
    <row r="125" spans="3:14"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</row>
    <row r="126" spans="3:14"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</row>
    <row r="127" spans="3:14"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</row>
    <row r="128" spans="3:14"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</row>
    <row r="129" spans="3:14"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</row>
    <row r="130" spans="3:14"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</row>
    <row r="131" spans="3:14"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</row>
    <row r="132" spans="3:14"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</row>
    <row r="133" spans="3:14"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</row>
    <row r="134" spans="3:14"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</row>
    <row r="135" spans="3:14"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</row>
    <row r="136" spans="3:14"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</row>
    <row r="137" spans="3:14"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</row>
    <row r="138" spans="3:14"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</row>
    <row r="139" spans="3:14"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</row>
    <row r="140" spans="3:14"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</row>
    <row r="141" spans="3:14"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</row>
    <row r="142" spans="3:14"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</row>
    <row r="143" spans="3:14"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</row>
    <row r="144" spans="3:14"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</row>
    <row r="145" spans="3:14"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</row>
    <row r="146" spans="3:14"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</row>
    <row r="147" spans="3:14"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</row>
    <row r="148" spans="3:14"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</row>
    <row r="149" spans="3:14"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</row>
    <row r="150" spans="3:14"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</row>
    <row r="151" spans="3:14"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</row>
    <row r="152" spans="3:14"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</row>
    <row r="153" spans="3:14"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</row>
    <row r="154" spans="3:14"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</row>
    <row r="155" spans="3:14"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</row>
    <row r="156" spans="3:14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</row>
    <row r="157" spans="3:14"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</row>
    <row r="158" spans="3:14"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</row>
    <row r="159" spans="3:14"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</row>
    <row r="160" spans="3:14"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</row>
    <row r="161" spans="3:14"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</row>
    <row r="162" spans="3:14"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</row>
    <row r="163" spans="3:14"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</row>
    <row r="164" spans="3:14"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</row>
    <row r="165" spans="3:14"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</row>
    <row r="166" spans="3:14"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</row>
    <row r="167" spans="3:14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</row>
    <row r="168" spans="3:14"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</row>
    <row r="169" spans="3:14"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</row>
    <row r="170" spans="3:14"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</row>
    <row r="171" spans="3:14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</row>
    <row r="172" spans="3:14"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</row>
    <row r="173" spans="3:14"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</row>
    <row r="174" spans="3:14"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</row>
    <row r="175" spans="3:14"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</row>
    <row r="176" spans="3:14"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</row>
    <row r="177" spans="3:14"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</row>
    <row r="178" spans="3:14"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</row>
    <row r="179" spans="3:14"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</row>
    <row r="180" spans="3:14"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</row>
    <row r="181" spans="3:14"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</row>
    <row r="182" spans="3:14"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</row>
    <row r="183" spans="3:14"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</row>
    <row r="184" spans="3:14"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</row>
    <row r="185" spans="3:14"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</row>
    <row r="186" spans="3:14"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</row>
    <row r="187" spans="3:14"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</row>
    <row r="188" spans="3:14"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</row>
    <row r="189" spans="3:14"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</row>
    <row r="190" spans="3:14"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</row>
    <row r="191" spans="3:14"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</row>
    <row r="192" spans="3:14"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</row>
    <row r="193" spans="3:14"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</row>
    <row r="194" spans="3:14"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</row>
    <row r="195" spans="3:14"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</row>
    <row r="196" spans="3:14"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</row>
    <row r="197" spans="3:14"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</row>
    <row r="198" spans="3:14"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</row>
    <row r="199" spans="3:14"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</row>
    <row r="200" spans="3:14"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</row>
    <row r="201" spans="3:14"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</row>
    <row r="202" spans="3:14"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</row>
    <row r="203" spans="3:14"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</row>
    <row r="204" spans="3:14"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</row>
    <row r="205" spans="3:14"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</row>
    <row r="206" spans="3:14"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</row>
    <row r="207" spans="3:14"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</row>
    <row r="208" spans="3:14"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</row>
    <row r="209" spans="3:14"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</row>
    <row r="210" spans="3:14"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</row>
    <row r="211" spans="3:14"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</row>
    <row r="212" spans="3:14"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</row>
    <row r="213" spans="3:14"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</row>
    <row r="214" spans="3:14"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</row>
    <row r="215" spans="3:14"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</row>
    <row r="216" spans="3:14"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</row>
    <row r="217" spans="3:14"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</row>
    <row r="218" spans="3:14"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</row>
    <row r="219" spans="3:14"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</row>
    <row r="220" spans="3:14"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</row>
    <row r="221" spans="3:14"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</row>
    <row r="222" spans="3:14"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</row>
    <row r="223" spans="3:14"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</row>
    <row r="224" spans="3:14"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</row>
    <row r="225" spans="3:14"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</row>
    <row r="226" spans="3:14"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</row>
    <row r="227" spans="3:14"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</row>
    <row r="228" spans="3:14"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</row>
    <row r="229" spans="3:14"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</row>
    <row r="230" spans="3:14"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</row>
    <row r="231" spans="3:14"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</row>
    <row r="232" spans="3:14"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3:14"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3:14"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3:14"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3:14"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3:14"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3:14"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3:14"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3:14"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3:14"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3:14"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3:14"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3:14"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3:14"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3:14"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3:14"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3:14"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3:14"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3:14"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3:14"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3:14"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3:14"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3:14"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3:14"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3:14"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3:14"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3:14"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3:14"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3:14"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3:14"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3:14"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3:14"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3:14"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3:14"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3:14"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3:14"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3:14"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3:14"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3:14"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3:14"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3:14"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3:14"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3:14"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3:14"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3:14"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3:14"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3:14"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3:14"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3:14"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3:14"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3:14"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3:14"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3:14"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3:14"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3:14"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3:14"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3:14"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3:14"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3:14"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3:14"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3:14"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3:14"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3:14"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3:14"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3:14"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3:14"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3:14"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3:14"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3:14"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3:14"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3:14"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3:14"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3:14"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3:14"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3:14"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3:14"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3:14"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3:14"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3:14"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3:14"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3:14"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3:14"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3:14"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3:14"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3:14"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3:14"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3:14"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3:14"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3:14"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3:14"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3:14"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3:14"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3:14"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3:14"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3:14"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3:14"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3:14"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3:14"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3:14"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3:14"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3:14"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  <row r="333" spans="3:14"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</row>
    <row r="334" spans="3:14"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</row>
    <row r="335" spans="3:14"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</row>
    <row r="336" spans="3:14"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</row>
    <row r="337" spans="3:14"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</row>
    <row r="338" spans="3:14"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</row>
    <row r="339" spans="3:14"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</row>
    <row r="340" spans="3:14"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</row>
    <row r="341" spans="3:14"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</row>
    <row r="342" spans="3:14"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</row>
    <row r="343" spans="3:14"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</row>
    <row r="344" spans="3:14"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</row>
    <row r="345" spans="3:14"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</row>
    <row r="346" spans="3:14"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</row>
    <row r="347" spans="3:14"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</row>
    <row r="348" spans="3:14"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</row>
    <row r="349" spans="3:14"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</row>
    <row r="350" spans="3:14"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</row>
    <row r="351" spans="3:14"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D6" sqref="D6:E6"/>
    </sheetView>
  </sheetViews>
  <sheetFormatPr defaultRowHeight="12.75" outlineLevelRow="1" outlineLevelCol="1"/>
  <cols>
    <col min="1" max="1" width="4.85546875" style="23" customWidth="1"/>
    <col min="2" max="2" width="10.7109375" style="10" customWidth="1"/>
    <col min="3" max="3" width="24.28515625" style="10" customWidth="1"/>
    <col min="4" max="4" width="9" style="10" customWidth="1" outlineLevel="1"/>
    <col min="5" max="5" width="5.28515625" style="10" customWidth="1" outlineLevel="1"/>
    <col min="6" max="6" width="14.5703125" style="10" bestFit="1" customWidth="1"/>
    <col min="7" max="10" width="15.7109375" style="10" bestFit="1" customWidth="1"/>
    <col min="11" max="11" width="12.7109375" style="10" customWidth="1"/>
    <col min="12" max="17" width="15.7109375" style="10" bestFit="1" customWidth="1"/>
    <col min="18" max="18" width="13.140625" style="10" customWidth="1"/>
    <col min="19" max="19" width="13.85546875" style="10" customWidth="1"/>
    <col min="20" max="20" width="13.140625" style="10" customWidth="1"/>
    <col min="21" max="16384" width="9.140625" style="10"/>
  </cols>
  <sheetData>
    <row r="1" spans="1:19">
      <c r="A1" s="242" t="s">
        <v>103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9" ht="15.75">
      <c r="A2" s="243" t="s">
        <v>31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9">
      <c r="A3" s="79" t="s">
        <v>0</v>
      </c>
    </row>
    <row r="4" spans="1:19">
      <c r="A4" s="23" t="s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9">
      <c r="B5" s="96" t="s">
        <v>104</v>
      </c>
      <c r="C5" s="78"/>
      <c r="D5" s="245" t="s">
        <v>9</v>
      </c>
      <c r="E5" s="245"/>
      <c r="F5" s="134">
        <v>43131</v>
      </c>
      <c r="G5" s="134">
        <f>EOMONTH(F5,1)</f>
        <v>43159</v>
      </c>
      <c r="H5" s="134">
        <f t="shared" ref="H5:Q5" si="0">EOMONTH(G5,1)</f>
        <v>43190</v>
      </c>
      <c r="I5" s="134">
        <f t="shared" si="0"/>
        <v>43220</v>
      </c>
      <c r="J5" s="134">
        <f t="shared" si="0"/>
        <v>43251</v>
      </c>
      <c r="K5" s="134">
        <f t="shared" si="0"/>
        <v>43281</v>
      </c>
      <c r="L5" s="134">
        <f t="shared" si="0"/>
        <v>43312</v>
      </c>
      <c r="M5" s="134">
        <f t="shared" si="0"/>
        <v>43343</v>
      </c>
      <c r="N5" s="134">
        <f t="shared" si="0"/>
        <v>43373</v>
      </c>
      <c r="O5" s="134">
        <f t="shared" si="0"/>
        <v>43404</v>
      </c>
      <c r="P5" s="134">
        <f t="shared" si="0"/>
        <v>43434</v>
      </c>
      <c r="Q5" s="134">
        <f t="shared" si="0"/>
        <v>43465</v>
      </c>
    </row>
    <row r="6" spans="1:19" ht="15.95" customHeight="1">
      <c r="A6" s="23">
        <v>1</v>
      </c>
      <c r="B6" s="10" t="s">
        <v>3</v>
      </c>
      <c r="D6" s="246">
        <f>SUM(F6:Q6)</f>
        <v>137170286</v>
      </c>
      <c r="E6" s="246"/>
      <c r="F6" s="30">
        <f>'WA Monthly'!E23</f>
        <v>16833261</v>
      </c>
      <c r="G6" s="30">
        <f>'WA Monthly'!F23</f>
        <v>15418244</v>
      </c>
      <c r="H6" s="30">
        <f>'WA Monthly'!G23</f>
        <v>12301548</v>
      </c>
      <c r="I6" s="30">
        <f>'WA Monthly'!H23</f>
        <v>11248597</v>
      </c>
      <c r="J6" s="30">
        <f>'WA Monthly'!I23</f>
        <v>7857289</v>
      </c>
      <c r="K6" s="30">
        <f>'WA Monthly'!J23</f>
        <v>8387960</v>
      </c>
      <c r="L6" s="30">
        <f>'WA Monthly'!K23</f>
        <v>6606233</v>
      </c>
      <c r="M6" s="30">
        <f>'WA Monthly'!L23</f>
        <v>15747984</v>
      </c>
      <c r="N6" s="30">
        <f>'WA Monthly'!M23</f>
        <v>9527787</v>
      </c>
      <c r="O6" s="30">
        <f>'WA Monthly'!N23</f>
        <v>6852563</v>
      </c>
      <c r="P6" s="30">
        <f>'WA Monthly'!O23</f>
        <v>10502323</v>
      </c>
      <c r="Q6" s="30">
        <f>'WA Monthly'!P23</f>
        <v>15886497</v>
      </c>
    </row>
    <row r="7" spans="1:19" ht="15.95" customHeight="1">
      <c r="A7" s="23">
        <f t="shared" ref="A7:A13" si="1">A6+1</f>
        <v>2</v>
      </c>
      <c r="B7" s="10" t="s">
        <v>6</v>
      </c>
      <c r="D7" s="247">
        <f t="shared" ref="D7:D13" si="2">SUM(F7:Q7)</f>
        <v>-91753935</v>
      </c>
      <c r="E7" s="247"/>
      <c r="F7" s="30">
        <f>'WA Monthly'!E45</f>
        <v>-14027524</v>
      </c>
      <c r="G7" s="30">
        <f>'WA Monthly'!F45</f>
        <v>-9676671</v>
      </c>
      <c r="H7" s="30">
        <f>'WA Monthly'!G45</f>
        <v>-11198097</v>
      </c>
      <c r="I7" s="30">
        <f>'WA Monthly'!H45</f>
        <v>-11240332</v>
      </c>
      <c r="J7" s="30">
        <f>'WA Monthly'!I45</f>
        <v>-6705953</v>
      </c>
      <c r="K7" s="30">
        <f>'WA Monthly'!J45</f>
        <v>-7688520</v>
      </c>
      <c r="L7" s="30">
        <f>'WA Monthly'!K45</f>
        <v>-2002952</v>
      </c>
      <c r="M7" s="30">
        <f>'WA Monthly'!L45</f>
        <v>-8712018</v>
      </c>
      <c r="N7" s="30">
        <f>'WA Monthly'!M45</f>
        <v>-4747226</v>
      </c>
      <c r="O7" s="30">
        <f>'WA Monthly'!N45</f>
        <v>-412907</v>
      </c>
      <c r="P7" s="30">
        <f>'WA Monthly'!O45</f>
        <v>-8796041</v>
      </c>
      <c r="Q7" s="30">
        <f>'WA Monthly'!P45</f>
        <v>-6545694</v>
      </c>
    </row>
    <row r="8" spans="1:19" ht="15.95" customHeight="1">
      <c r="A8" s="23">
        <f t="shared" si="1"/>
        <v>3</v>
      </c>
      <c r="B8" s="10" t="s">
        <v>4</v>
      </c>
      <c r="D8" s="244">
        <f t="shared" si="2"/>
        <v>26090859</v>
      </c>
      <c r="E8" s="244"/>
      <c r="F8" s="30">
        <f>'WA Monthly'!E62</f>
        <v>2809889</v>
      </c>
      <c r="G8" s="30">
        <f>'WA Monthly'!F62</f>
        <v>1451692</v>
      </c>
      <c r="H8" s="30">
        <f>'WA Monthly'!G62</f>
        <v>2809269</v>
      </c>
      <c r="I8" s="30">
        <f>'WA Monthly'!H62</f>
        <v>2116433</v>
      </c>
      <c r="J8" s="30">
        <f>'WA Monthly'!I62</f>
        <v>593184</v>
      </c>
      <c r="K8" s="30">
        <f>'WA Monthly'!J62</f>
        <v>1706688</v>
      </c>
      <c r="L8" s="30">
        <f>'WA Monthly'!K62</f>
        <v>1521108</v>
      </c>
      <c r="M8" s="30">
        <f>'WA Monthly'!L62</f>
        <v>2093856</v>
      </c>
      <c r="N8" s="30">
        <f>'WA Monthly'!M62</f>
        <v>2657404</v>
      </c>
      <c r="O8" s="30">
        <f>'WA Monthly'!N62</f>
        <v>3019827</v>
      </c>
      <c r="P8" s="30">
        <f>'WA Monthly'!O62</f>
        <v>2907379</v>
      </c>
      <c r="Q8" s="30">
        <f>'WA Monthly'!P62</f>
        <v>2404130</v>
      </c>
    </row>
    <row r="9" spans="1:19" ht="15.95" customHeight="1">
      <c r="A9" s="23">
        <f t="shared" si="1"/>
        <v>4</v>
      </c>
      <c r="B9" s="10" t="s">
        <v>5</v>
      </c>
      <c r="D9" s="244">
        <f t="shared" si="2"/>
        <v>63237753</v>
      </c>
      <c r="E9" s="244"/>
      <c r="F9" s="30">
        <f>'WA Monthly'!E79</f>
        <v>6964296</v>
      </c>
      <c r="G9" s="30">
        <f>'WA Monthly'!F79</f>
        <v>4564678</v>
      </c>
      <c r="H9" s="30">
        <f>'WA Monthly'!G79</f>
        <v>6313406</v>
      </c>
      <c r="I9" s="30">
        <f>'WA Monthly'!H79</f>
        <v>4231002</v>
      </c>
      <c r="J9" s="30">
        <f>'WA Monthly'!I79</f>
        <v>1876822</v>
      </c>
      <c r="K9" s="30">
        <f>'WA Monthly'!J79</f>
        <v>2234952</v>
      </c>
      <c r="L9" s="30">
        <f>'WA Monthly'!K79</f>
        <v>7376855</v>
      </c>
      <c r="M9" s="30">
        <f>'WA Monthly'!L79</f>
        <v>7709363</v>
      </c>
      <c r="N9" s="30">
        <f>'WA Monthly'!M79</f>
        <v>5836996</v>
      </c>
      <c r="O9" s="30">
        <f>'WA Monthly'!N79</f>
        <v>4507069</v>
      </c>
      <c r="P9" s="30">
        <f>'WA Monthly'!O79</f>
        <v>7286568</v>
      </c>
      <c r="Q9" s="30">
        <f>'WA Monthly'!P79</f>
        <v>4335746</v>
      </c>
    </row>
    <row r="10" spans="1:19" ht="15.95" customHeight="1">
      <c r="A10" s="23">
        <f t="shared" si="1"/>
        <v>5</v>
      </c>
      <c r="B10" s="10" t="s">
        <v>44</v>
      </c>
      <c r="C10" s="9"/>
      <c r="D10" s="247">
        <f t="shared" si="2"/>
        <v>-18187702</v>
      </c>
      <c r="E10" s="247"/>
      <c r="F10" s="30">
        <f>'WA Monthly'!E92</f>
        <v>-1346464</v>
      </c>
      <c r="G10" s="30">
        <f>'WA Monthly'!F92</f>
        <v>-1432165</v>
      </c>
      <c r="H10" s="30">
        <f>'WA Monthly'!G92</f>
        <v>-1085780</v>
      </c>
      <c r="I10" s="30">
        <f>'WA Monthly'!H92</f>
        <v>-1084499</v>
      </c>
      <c r="J10" s="30">
        <f>'WA Monthly'!I92</f>
        <v>-1558363</v>
      </c>
      <c r="K10" s="30">
        <f>'WA Monthly'!J92</f>
        <v>-1680324</v>
      </c>
      <c r="L10" s="30">
        <f>'WA Monthly'!K92</f>
        <v>-1890542</v>
      </c>
      <c r="M10" s="30">
        <f>'WA Monthly'!L92</f>
        <v>-1741991</v>
      </c>
      <c r="N10" s="30">
        <f>'WA Monthly'!M92</f>
        <v>-1215513</v>
      </c>
      <c r="O10" s="30">
        <f>'WA Monthly'!N92</f>
        <v>-1310638</v>
      </c>
      <c r="P10" s="30">
        <f>'WA Monthly'!O92</f>
        <v>-1805571</v>
      </c>
      <c r="Q10" s="30">
        <f>'WA Monthly'!P92</f>
        <v>-2035852</v>
      </c>
    </row>
    <row r="11" spans="1:19" ht="15.95" customHeight="1">
      <c r="A11" s="23">
        <f t="shared" si="1"/>
        <v>6</v>
      </c>
      <c r="B11" s="10" t="s">
        <v>38</v>
      </c>
      <c r="C11" s="9"/>
      <c r="D11" s="244">
        <f t="shared" si="2"/>
        <v>17529487</v>
      </c>
      <c r="E11" s="244"/>
      <c r="F11" s="30">
        <f>'WA Monthly'!E98</f>
        <v>1537140</v>
      </c>
      <c r="G11" s="30">
        <f>'WA Monthly'!F98</f>
        <v>1480382</v>
      </c>
      <c r="H11" s="30">
        <f>'WA Monthly'!G98</f>
        <v>1516859</v>
      </c>
      <c r="I11" s="30">
        <f>'WA Monthly'!H98</f>
        <v>1455249</v>
      </c>
      <c r="J11" s="30">
        <f>'WA Monthly'!I98</f>
        <v>1428486</v>
      </c>
      <c r="K11" s="30">
        <f>'WA Monthly'!J98</f>
        <v>1408481</v>
      </c>
      <c r="L11" s="30">
        <f>'WA Monthly'!K98</f>
        <v>1431372</v>
      </c>
      <c r="M11" s="30">
        <f>'WA Monthly'!L98</f>
        <v>1471267</v>
      </c>
      <c r="N11" s="30">
        <f>'WA Monthly'!M98</f>
        <v>1507466</v>
      </c>
      <c r="O11" s="30">
        <f>'WA Monthly'!N98</f>
        <v>1419923</v>
      </c>
      <c r="P11" s="30">
        <f>'WA Monthly'!O98</f>
        <v>1453500</v>
      </c>
      <c r="Q11" s="30">
        <f>'WA Monthly'!P98</f>
        <v>1419362</v>
      </c>
    </row>
    <row r="12" spans="1:19" ht="15.95" customHeight="1">
      <c r="A12" s="23">
        <f t="shared" si="1"/>
        <v>7</v>
      </c>
      <c r="B12" s="10" t="s">
        <v>39</v>
      </c>
      <c r="C12" s="9"/>
      <c r="D12" s="244">
        <f t="shared" si="2"/>
        <v>636070</v>
      </c>
      <c r="E12" s="244"/>
      <c r="F12" s="30">
        <f>'WA Monthly'!E105</f>
        <v>64248</v>
      </c>
      <c r="G12" s="30">
        <f>'WA Monthly'!F105</f>
        <v>38145</v>
      </c>
      <c r="H12" s="30">
        <f>'WA Monthly'!G105</f>
        <v>56451</v>
      </c>
      <c r="I12" s="30">
        <f>'WA Monthly'!H105</f>
        <v>55776</v>
      </c>
      <c r="J12" s="30">
        <f>'WA Monthly'!I105</f>
        <v>56900</v>
      </c>
      <c r="K12" s="30">
        <f>'WA Monthly'!J105</f>
        <v>54711</v>
      </c>
      <c r="L12" s="30">
        <f>'WA Monthly'!K105</f>
        <v>42517</v>
      </c>
      <c r="M12" s="30">
        <f>'WA Monthly'!L105</f>
        <v>54638</v>
      </c>
      <c r="N12" s="30">
        <f>'WA Monthly'!M105</f>
        <v>67390</v>
      </c>
      <c r="O12" s="30">
        <f>'WA Monthly'!N105</f>
        <v>40351</v>
      </c>
      <c r="P12" s="30">
        <f>'WA Monthly'!O105</f>
        <v>41327</v>
      </c>
      <c r="Q12" s="30">
        <f>'WA Monthly'!P105</f>
        <v>63616</v>
      </c>
    </row>
    <row r="13" spans="1:19" ht="15.95" customHeight="1">
      <c r="A13" s="23">
        <f t="shared" si="1"/>
        <v>8</v>
      </c>
      <c r="B13" s="135" t="s">
        <v>10</v>
      </c>
      <c r="C13" s="135"/>
      <c r="D13" s="248">
        <f t="shared" si="2"/>
        <v>134722818</v>
      </c>
      <c r="E13" s="248"/>
      <c r="F13" s="136">
        <f t="shared" ref="F13:Q13" si="3">SUM(F6:F12)</f>
        <v>12834846</v>
      </c>
      <c r="G13" s="136">
        <f t="shared" si="3"/>
        <v>11844305</v>
      </c>
      <c r="H13" s="136">
        <f t="shared" si="3"/>
        <v>10713656</v>
      </c>
      <c r="I13" s="136">
        <f t="shared" si="3"/>
        <v>6782226</v>
      </c>
      <c r="J13" s="136">
        <f t="shared" si="3"/>
        <v>3548365</v>
      </c>
      <c r="K13" s="136">
        <f t="shared" si="3"/>
        <v>4423948</v>
      </c>
      <c r="L13" s="136">
        <f t="shared" si="3"/>
        <v>13084591</v>
      </c>
      <c r="M13" s="136">
        <f t="shared" si="3"/>
        <v>16623099</v>
      </c>
      <c r="N13" s="136">
        <f t="shared" si="3"/>
        <v>13634304</v>
      </c>
      <c r="O13" s="136">
        <f t="shared" si="3"/>
        <v>14116188</v>
      </c>
      <c r="P13" s="136">
        <f t="shared" si="3"/>
        <v>11589485</v>
      </c>
      <c r="Q13" s="136">
        <f t="shared" si="3"/>
        <v>15527805</v>
      </c>
    </row>
    <row r="14" spans="1:19" ht="37.5" customHeight="1">
      <c r="B14" s="96" t="s">
        <v>12</v>
      </c>
      <c r="C14" s="78"/>
      <c r="D14" s="250" t="s">
        <v>228</v>
      </c>
      <c r="E14" s="251"/>
      <c r="F14" s="137">
        <f>F5</f>
        <v>43131</v>
      </c>
      <c r="G14" s="137">
        <f>G5</f>
        <v>43159</v>
      </c>
      <c r="H14" s="137">
        <f t="shared" ref="H14:Q14" si="4">H5</f>
        <v>43190</v>
      </c>
      <c r="I14" s="137">
        <f t="shared" si="4"/>
        <v>43220</v>
      </c>
      <c r="J14" s="137">
        <f t="shared" si="4"/>
        <v>43251</v>
      </c>
      <c r="K14" s="137">
        <f t="shared" si="4"/>
        <v>43281</v>
      </c>
      <c r="L14" s="137">
        <f t="shared" si="4"/>
        <v>43312</v>
      </c>
      <c r="M14" s="137">
        <f t="shared" si="4"/>
        <v>43343</v>
      </c>
      <c r="N14" s="137">
        <f t="shared" si="4"/>
        <v>43373</v>
      </c>
      <c r="O14" s="137">
        <f t="shared" si="4"/>
        <v>43404</v>
      </c>
      <c r="P14" s="137">
        <f t="shared" si="4"/>
        <v>43434</v>
      </c>
      <c r="Q14" s="137">
        <f t="shared" si="4"/>
        <v>43465</v>
      </c>
    </row>
    <row r="15" spans="1:19" ht="15.95" customHeight="1">
      <c r="A15" s="23">
        <f>A13+1</f>
        <v>9</v>
      </c>
      <c r="B15" s="10" t="s">
        <v>3</v>
      </c>
      <c r="C15" s="9"/>
      <c r="D15" s="249">
        <f t="shared" ref="D15:D22" si="5">SUM(F15:Q15)</f>
        <v>113083760</v>
      </c>
      <c r="E15" s="249"/>
      <c r="F15" s="63">
        <f>'Input Tab'!C5</f>
        <v>12127251</v>
      </c>
      <c r="G15" s="63">
        <f>'Input Tab'!D5</f>
        <v>11591985</v>
      </c>
      <c r="H15" s="63">
        <f>'Input Tab'!E5</f>
        <v>10660401</v>
      </c>
      <c r="I15" s="63">
        <f>'Input Tab'!F5</f>
        <v>10031882</v>
      </c>
      <c r="J15" s="63">
        <f>'Input Tab'!G5</f>
        <v>7204007</v>
      </c>
      <c r="K15" s="63">
        <f>'Input Tab'!H5</f>
        <v>6832768</v>
      </c>
      <c r="L15" s="63">
        <f>'Input Tab'!I5</f>
        <v>7367141</v>
      </c>
      <c r="M15" s="63">
        <f>'Input Tab'!J5</f>
        <v>8064916</v>
      </c>
      <c r="N15" s="63">
        <f>'Input Tab'!K5</f>
        <v>7448796</v>
      </c>
      <c r="O15" s="63">
        <f>'Input Tab'!L5</f>
        <v>7999787</v>
      </c>
      <c r="P15" s="63">
        <f>'Input Tab'!M5</f>
        <v>11642227</v>
      </c>
      <c r="Q15" s="63">
        <f>'Input Tab'!N5</f>
        <v>12112599</v>
      </c>
      <c r="R15" s="59"/>
      <c r="S15" s="15"/>
    </row>
    <row r="16" spans="1:19" ht="15.95" customHeight="1">
      <c r="A16" s="23">
        <f t="shared" ref="A16:A33" si="6">A15+1</f>
        <v>10</v>
      </c>
      <c r="B16" s="10" t="s">
        <v>6</v>
      </c>
      <c r="C16" s="9"/>
      <c r="D16" s="249">
        <f t="shared" si="5"/>
        <v>-64735860</v>
      </c>
      <c r="E16" s="249"/>
      <c r="F16" s="138">
        <f>'Input Tab'!C6</f>
        <v>-7154528</v>
      </c>
      <c r="G16" s="138">
        <f>'Input Tab'!D6</f>
        <v>-6331583</v>
      </c>
      <c r="H16" s="138">
        <f>'Input Tab'!E6</f>
        <v>-7373144</v>
      </c>
      <c r="I16" s="138">
        <f>'Input Tab'!F6</f>
        <v>-9451450</v>
      </c>
      <c r="J16" s="138">
        <f>'Input Tab'!G6</f>
        <v>-3992970</v>
      </c>
      <c r="K16" s="138">
        <f>'Input Tab'!H6</f>
        <v>-3782256</v>
      </c>
      <c r="L16" s="138">
        <f>'Input Tab'!I6</f>
        <v>-5325599</v>
      </c>
      <c r="M16" s="138">
        <f>'Input Tab'!J6</f>
        <v>-3215251</v>
      </c>
      <c r="N16" s="138">
        <f>'Input Tab'!K6</f>
        <v>-4016772</v>
      </c>
      <c r="O16" s="138">
        <f>'Input Tab'!L6</f>
        <v>-3304259</v>
      </c>
      <c r="P16" s="138">
        <f>'Input Tab'!M6</f>
        <v>-4468025</v>
      </c>
      <c r="Q16" s="138">
        <f>'Input Tab'!N6</f>
        <v>-6320023</v>
      </c>
      <c r="R16" s="59"/>
      <c r="S16" s="15"/>
    </row>
    <row r="17" spans="1:19" ht="15.95" customHeight="1">
      <c r="A17" s="23">
        <f>A16+1</f>
        <v>11</v>
      </c>
      <c r="B17" s="10" t="s">
        <v>4</v>
      </c>
      <c r="C17" s="9"/>
      <c r="D17" s="249">
        <f t="shared" si="5"/>
        <v>27893793</v>
      </c>
      <c r="E17" s="249"/>
      <c r="F17" s="63">
        <f>'Input Tab'!C7</f>
        <v>2667343</v>
      </c>
      <c r="G17" s="63">
        <f>'Input Tab'!D7</f>
        <v>2503517</v>
      </c>
      <c r="H17" s="63">
        <f>'Input Tab'!E7</f>
        <v>2494287</v>
      </c>
      <c r="I17" s="63">
        <f>'Input Tab'!F7</f>
        <v>2179004</v>
      </c>
      <c r="J17" s="63">
        <f>'Input Tab'!G7</f>
        <v>1551263</v>
      </c>
      <c r="K17" s="63">
        <f>'Input Tab'!H7</f>
        <v>1358751</v>
      </c>
      <c r="L17" s="63">
        <f>'Input Tab'!I7</f>
        <v>2219592</v>
      </c>
      <c r="M17" s="63">
        <f>'Input Tab'!J7</f>
        <v>2478125</v>
      </c>
      <c r="N17" s="63">
        <f>'Input Tab'!K7</f>
        <v>2578207</v>
      </c>
      <c r="O17" s="63">
        <f>'Input Tab'!L7</f>
        <v>2592987</v>
      </c>
      <c r="P17" s="63">
        <f>'Input Tab'!M7</f>
        <v>2566833</v>
      </c>
      <c r="Q17" s="63">
        <f>'Input Tab'!N7</f>
        <v>2703884</v>
      </c>
      <c r="R17" s="59"/>
      <c r="S17" s="15"/>
    </row>
    <row r="18" spans="1:19" ht="15.95" customHeight="1">
      <c r="A18" s="23">
        <f t="shared" si="6"/>
        <v>12</v>
      </c>
      <c r="B18" s="10" t="s">
        <v>5</v>
      </c>
      <c r="C18" s="9"/>
      <c r="D18" s="249">
        <f t="shared" si="5"/>
        <v>72414452</v>
      </c>
      <c r="E18" s="249"/>
      <c r="F18" s="63">
        <f>'Input Tab'!C8</f>
        <v>8481668</v>
      </c>
      <c r="G18" s="63">
        <f>'Input Tab'!D8</f>
        <v>7698692</v>
      </c>
      <c r="H18" s="63">
        <f>'Input Tab'!E8</f>
        <v>7292619</v>
      </c>
      <c r="I18" s="63">
        <f>'Input Tab'!F8</f>
        <v>5265751</v>
      </c>
      <c r="J18" s="63">
        <f>'Input Tab'!G8</f>
        <v>1426182</v>
      </c>
      <c r="K18" s="63">
        <f>'Input Tab'!H8</f>
        <v>1698327</v>
      </c>
      <c r="L18" s="63">
        <f>'Input Tab'!I8</f>
        <v>5653252</v>
      </c>
      <c r="M18" s="63">
        <f>'Input Tab'!J8</f>
        <v>7341418</v>
      </c>
      <c r="N18" s="63">
        <f>'Input Tab'!K8</f>
        <v>6493558</v>
      </c>
      <c r="O18" s="63">
        <f>'Input Tab'!L8</f>
        <v>6103470</v>
      </c>
      <c r="P18" s="63">
        <f>'Input Tab'!M8</f>
        <v>6561954</v>
      </c>
      <c r="Q18" s="63">
        <f>'Input Tab'!N8</f>
        <v>8397561</v>
      </c>
      <c r="R18" s="59"/>
    </row>
    <row r="19" spans="1:19" ht="15.95" customHeight="1">
      <c r="A19" s="23">
        <f t="shared" si="6"/>
        <v>13</v>
      </c>
      <c r="B19" s="10" t="s">
        <v>44</v>
      </c>
      <c r="C19" s="9"/>
      <c r="D19" s="249">
        <f t="shared" si="5"/>
        <v>-15262744</v>
      </c>
      <c r="E19" s="249"/>
      <c r="F19" s="138">
        <f>'Input Tab'!C9</f>
        <v>-1306342</v>
      </c>
      <c r="G19" s="138">
        <f>'Input Tab'!D9</f>
        <v>-1061936</v>
      </c>
      <c r="H19" s="138">
        <f>'Input Tab'!E9</f>
        <v>-1137644</v>
      </c>
      <c r="I19" s="138">
        <f>'Input Tab'!F9</f>
        <v>-1166933</v>
      </c>
      <c r="J19" s="138">
        <f>'Input Tab'!G9</f>
        <v>-1253488</v>
      </c>
      <c r="K19" s="138">
        <f>'Input Tab'!H9</f>
        <v>-1398529</v>
      </c>
      <c r="L19" s="138">
        <f>'Input Tab'!I9</f>
        <v>-1450378</v>
      </c>
      <c r="M19" s="138">
        <f>'Input Tab'!J9</f>
        <v>-1346819</v>
      </c>
      <c r="N19" s="138">
        <f>'Input Tab'!K9</f>
        <v>-1372213</v>
      </c>
      <c r="O19" s="138">
        <f>'Input Tab'!L9</f>
        <v>-1319316</v>
      </c>
      <c r="P19" s="138">
        <f>'Input Tab'!M9</f>
        <v>-1257650</v>
      </c>
      <c r="Q19" s="138">
        <f>'Input Tab'!N9</f>
        <v>-1191496</v>
      </c>
      <c r="R19" s="59"/>
    </row>
    <row r="20" spans="1:19" ht="15.95" customHeight="1">
      <c r="A20" s="23">
        <f t="shared" si="6"/>
        <v>14</v>
      </c>
      <c r="B20" s="10" t="s">
        <v>38</v>
      </c>
      <c r="C20" s="9"/>
      <c r="D20" s="249">
        <f t="shared" si="5"/>
        <v>17344542</v>
      </c>
      <c r="E20" s="249"/>
      <c r="F20" s="139">
        <f>'Input Tab'!C10</f>
        <v>1503379</v>
      </c>
      <c r="G20" s="139">
        <f>'Input Tab'!D10</f>
        <v>1417562</v>
      </c>
      <c r="H20" s="139">
        <f>'Input Tab'!E10</f>
        <v>1557827</v>
      </c>
      <c r="I20" s="139">
        <f>'Input Tab'!F10</f>
        <v>1347286</v>
      </c>
      <c r="J20" s="139">
        <f>'Input Tab'!G10</f>
        <v>1394142</v>
      </c>
      <c r="K20" s="139">
        <f>'Input Tab'!H10</f>
        <v>1391308</v>
      </c>
      <c r="L20" s="139">
        <f>'Input Tab'!I10</f>
        <v>1452951</v>
      </c>
      <c r="M20" s="139">
        <f>'Input Tab'!J10</f>
        <v>1443202</v>
      </c>
      <c r="N20" s="139">
        <f>'Input Tab'!K10</f>
        <v>1567441</v>
      </c>
      <c r="O20" s="139">
        <f>'Input Tab'!L10</f>
        <v>1406861</v>
      </c>
      <c r="P20" s="139">
        <f>'Input Tab'!M10</f>
        <v>1416449</v>
      </c>
      <c r="Q20" s="139">
        <f>'Input Tab'!N10</f>
        <v>1446134</v>
      </c>
      <c r="R20" s="59"/>
    </row>
    <row r="21" spans="1:19" ht="15.95" customHeight="1">
      <c r="A21" s="23">
        <f t="shared" si="6"/>
        <v>15</v>
      </c>
      <c r="B21" s="10" t="s">
        <v>39</v>
      </c>
      <c r="D21" s="249">
        <f t="shared" si="5"/>
        <v>504000</v>
      </c>
      <c r="E21" s="249"/>
      <c r="F21" s="63">
        <f>'Input Tab'!C11</f>
        <v>57500</v>
      </c>
      <c r="G21" s="63">
        <f>'Input Tab'!D11</f>
        <v>57500</v>
      </c>
      <c r="H21" s="63">
        <f>'Input Tab'!E11</f>
        <v>57500</v>
      </c>
      <c r="I21" s="63">
        <f>'Input Tab'!F11</f>
        <v>57500</v>
      </c>
      <c r="J21" s="63">
        <f>'Input Tab'!G11</f>
        <v>34250</v>
      </c>
      <c r="K21" s="63">
        <f>'Input Tab'!H11</f>
        <v>34250</v>
      </c>
      <c r="L21" s="63">
        <f>'Input Tab'!I11</f>
        <v>34250</v>
      </c>
      <c r="M21" s="63">
        <f>'Input Tab'!J11</f>
        <v>34250</v>
      </c>
      <c r="N21" s="63">
        <f>'Input Tab'!K11</f>
        <v>34250</v>
      </c>
      <c r="O21" s="63">
        <f>'Input Tab'!L11</f>
        <v>34250</v>
      </c>
      <c r="P21" s="63">
        <f>'Input Tab'!M11</f>
        <v>34250</v>
      </c>
      <c r="Q21" s="63">
        <f>'Input Tab'!N11</f>
        <v>34250</v>
      </c>
      <c r="R21" s="59"/>
    </row>
    <row r="22" spans="1:19" ht="15.95" customHeight="1">
      <c r="A22" s="23">
        <f>A21+1</f>
        <v>16</v>
      </c>
      <c r="B22" s="10" t="s">
        <v>210</v>
      </c>
      <c r="D22" s="249">
        <f t="shared" si="5"/>
        <v>-2787992</v>
      </c>
      <c r="E22" s="249"/>
      <c r="F22" s="63">
        <f>('Input Tab'!C12)/'Input Tab'!C13</f>
        <v>-193170</v>
      </c>
      <c r="G22" s="63">
        <f>('Input Tab'!D12)/'Input Tab'!D13</f>
        <v>-193170</v>
      </c>
      <c r="H22" s="63">
        <f>('Input Tab'!E12)/'Input Tab'!E13</f>
        <v>-193170</v>
      </c>
      <c r="I22" s="63">
        <f>('Input Tab'!F12)/'Input Tab'!F13</f>
        <v>-193170</v>
      </c>
      <c r="J22" s="63">
        <f>('Input Tab'!G12)/'Input Tab'!G13</f>
        <v>-251914</v>
      </c>
      <c r="K22" s="63">
        <f>('Input Tab'!H12)/'Input Tab'!H13</f>
        <v>-251914</v>
      </c>
      <c r="L22" s="63">
        <f>('Input Tab'!I12)/'Input Tab'!I13</f>
        <v>-251914</v>
      </c>
      <c r="M22" s="63">
        <f>('Input Tab'!J12)/'Input Tab'!J13</f>
        <v>-251914</v>
      </c>
      <c r="N22" s="63">
        <f>('Input Tab'!K12)/'Input Tab'!K13</f>
        <v>-251914</v>
      </c>
      <c r="O22" s="63">
        <f>('Input Tab'!L12)/'Input Tab'!L13</f>
        <v>-251914</v>
      </c>
      <c r="P22" s="63">
        <f>('Input Tab'!M12)/'Input Tab'!M13</f>
        <v>-251914</v>
      </c>
      <c r="Q22" s="63">
        <f>('Input Tab'!N12)/'Input Tab'!N13</f>
        <v>-251914</v>
      </c>
      <c r="R22" s="59"/>
    </row>
    <row r="23" spans="1:19" ht="20.25" customHeight="1">
      <c r="A23" s="23">
        <f>A22+1</f>
        <v>17</v>
      </c>
      <c r="B23" s="135" t="s">
        <v>7</v>
      </c>
      <c r="C23" s="135"/>
      <c r="D23" s="248">
        <f>SUM(D15:E22)</f>
        <v>148453951</v>
      </c>
      <c r="E23" s="248"/>
      <c r="F23" s="140">
        <f>SUM(F15:F22)</f>
        <v>16183101</v>
      </c>
      <c r="G23" s="140">
        <f t="shared" ref="G23:Q23" si="7">SUM(G15:G22)</f>
        <v>15682567</v>
      </c>
      <c r="H23" s="140">
        <f t="shared" si="7"/>
        <v>13358676</v>
      </c>
      <c r="I23" s="140">
        <f t="shared" si="7"/>
        <v>8069870</v>
      </c>
      <c r="J23" s="140">
        <f t="shared" si="7"/>
        <v>6111472</v>
      </c>
      <c r="K23" s="140">
        <f t="shared" si="7"/>
        <v>5882705</v>
      </c>
      <c r="L23" s="140">
        <f t="shared" si="7"/>
        <v>9699295</v>
      </c>
      <c r="M23" s="140">
        <f t="shared" si="7"/>
        <v>14547927</v>
      </c>
      <c r="N23" s="140">
        <f t="shared" si="7"/>
        <v>12481353</v>
      </c>
      <c r="O23" s="140">
        <f t="shared" si="7"/>
        <v>13261866</v>
      </c>
      <c r="P23" s="140">
        <f t="shared" si="7"/>
        <v>16244124</v>
      </c>
      <c r="Q23" s="140">
        <f t="shared" si="7"/>
        <v>16930995</v>
      </c>
      <c r="R23" s="59"/>
    </row>
    <row r="24" spans="1:19" ht="28.5" customHeight="1">
      <c r="A24" s="23">
        <f t="shared" si="6"/>
        <v>18</v>
      </c>
      <c r="B24" s="135" t="s">
        <v>8</v>
      </c>
      <c r="C24" s="135"/>
      <c r="D24" s="260">
        <f>SUM(F24:Q24)</f>
        <v>-13731133</v>
      </c>
      <c r="E24" s="260" t="str">
        <f t="shared" ref="E24:Q24" si="8">IF(E13=0," ",E13-E23)</f>
        <v xml:space="preserve"> </v>
      </c>
      <c r="F24" s="140">
        <f t="shared" si="8"/>
        <v>-3348255</v>
      </c>
      <c r="G24" s="140">
        <f t="shared" si="8"/>
        <v>-3838262</v>
      </c>
      <c r="H24" s="140">
        <f t="shared" si="8"/>
        <v>-2645020</v>
      </c>
      <c r="I24" s="140">
        <f t="shared" si="8"/>
        <v>-1287644</v>
      </c>
      <c r="J24" s="140">
        <f t="shared" si="8"/>
        <v>-2563107</v>
      </c>
      <c r="K24" s="140">
        <f t="shared" si="8"/>
        <v>-1458757</v>
      </c>
      <c r="L24" s="140">
        <f t="shared" si="8"/>
        <v>3385296</v>
      </c>
      <c r="M24" s="140">
        <f t="shared" si="8"/>
        <v>2075172</v>
      </c>
      <c r="N24" s="140">
        <f t="shared" si="8"/>
        <v>1152951</v>
      </c>
      <c r="O24" s="140">
        <f t="shared" si="8"/>
        <v>854322</v>
      </c>
      <c r="P24" s="140">
        <f t="shared" si="8"/>
        <v>-4654639</v>
      </c>
      <c r="Q24" s="140">
        <f t="shared" si="8"/>
        <v>-1403190</v>
      </c>
    </row>
    <row r="25" spans="1:19" ht="26.25" customHeight="1">
      <c r="A25" s="23">
        <f t="shared" si="6"/>
        <v>19</v>
      </c>
      <c r="B25" s="45" t="s">
        <v>157</v>
      </c>
      <c r="C25" s="45"/>
      <c r="D25" s="256">
        <f>SUM(F25:Q25)</f>
        <v>-12165500</v>
      </c>
      <c r="E25" s="256"/>
      <c r="F25" s="46">
        <f>'WA Monthly'!E135</f>
        <v>-641912</v>
      </c>
      <c r="G25" s="46">
        <f>'WA Monthly'!F135</f>
        <v>-1114849</v>
      </c>
      <c r="H25" s="46">
        <f>'WA Monthly'!G135</f>
        <v>-797723</v>
      </c>
      <c r="I25" s="46">
        <f>'WA Monthly'!H135</f>
        <v>-1239602</v>
      </c>
      <c r="J25" s="46">
        <f>'WA Monthly'!I135</f>
        <v>-1465561</v>
      </c>
      <c r="K25" s="46">
        <f>'WA Monthly'!J135</f>
        <v>-1476561</v>
      </c>
      <c r="L25" s="46">
        <f>'WA Monthly'!K135</f>
        <v>-1394230</v>
      </c>
      <c r="M25" s="46">
        <f>'WA Monthly'!L135</f>
        <v>-912263</v>
      </c>
      <c r="N25" s="46">
        <f>'WA Monthly'!M135</f>
        <v>-1264473</v>
      </c>
      <c r="O25" s="46">
        <f>'WA Monthly'!N135</f>
        <v>-1560414</v>
      </c>
      <c r="P25" s="46">
        <f>'WA Monthly'!O135</f>
        <v>-166880</v>
      </c>
      <c r="Q25" s="46">
        <f>'WA Monthly'!P135</f>
        <v>-131032</v>
      </c>
      <c r="S25" s="24"/>
    </row>
    <row r="26" spans="1:19" ht="19.5" customHeight="1">
      <c r="A26" s="23">
        <f>A25+1</f>
        <v>20</v>
      </c>
      <c r="B26" s="45" t="s">
        <v>41</v>
      </c>
      <c r="C26" s="45"/>
      <c r="D26" s="256">
        <f>SUM(F26:Q26)</f>
        <v>-25896633</v>
      </c>
      <c r="E26" s="256"/>
      <c r="F26" s="46">
        <f>+F24+F25</f>
        <v>-3990167</v>
      </c>
      <c r="G26" s="46">
        <f t="shared" ref="G26:Q26" si="9">IF(G13=0,0,+G24+G25)</f>
        <v>-4953111</v>
      </c>
      <c r="H26" s="46">
        <f t="shared" si="9"/>
        <v>-3442743</v>
      </c>
      <c r="I26" s="46">
        <f t="shared" si="9"/>
        <v>-2527246</v>
      </c>
      <c r="J26" s="46">
        <f t="shared" si="9"/>
        <v>-4028668</v>
      </c>
      <c r="K26" s="46">
        <f t="shared" si="9"/>
        <v>-2935318</v>
      </c>
      <c r="L26" s="46">
        <f t="shared" si="9"/>
        <v>1991066</v>
      </c>
      <c r="M26" s="46">
        <f t="shared" si="9"/>
        <v>1162909</v>
      </c>
      <c r="N26" s="46">
        <f t="shared" si="9"/>
        <v>-111522</v>
      </c>
      <c r="O26" s="46">
        <f t="shared" si="9"/>
        <v>-706092</v>
      </c>
      <c r="P26" s="46">
        <f t="shared" si="9"/>
        <v>-4821519</v>
      </c>
      <c r="Q26" s="46">
        <f t="shared" si="9"/>
        <v>-1534222</v>
      </c>
    </row>
    <row r="27" spans="1:19" ht="18.75" customHeight="1">
      <c r="A27" s="23">
        <f t="shared" si="6"/>
        <v>21</v>
      </c>
      <c r="B27" s="10" t="s">
        <v>101</v>
      </c>
      <c r="D27" s="28"/>
      <c r="E27" s="28"/>
      <c r="F27" s="141">
        <f>'Input Tab'!C13</f>
        <v>0.64710000000000001</v>
      </c>
      <c r="G27" s="141">
        <f>'Input Tab'!D13</f>
        <v>0.64710000000000001</v>
      </c>
      <c r="H27" s="141">
        <f>'Input Tab'!E13</f>
        <v>0.64710000000000001</v>
      </c>
      <c r="I27" s="141">
        <f>'Input Tab'!F13</f>
        <v>0.64710000000000001</v>
      </c>
      <c r="J27" s="141">
        <f>'Input Tab'!G13</f>
        <v>0.6573</v>
      </c>
      <c r="K27" s="141">
        <f>'Input Tab'!H13</f>
        <v>0.6573</v>
      </c>
      <c r="L27" s="141">
        <f>'Input Tab'!I13</f>
        <v>0.6573</v>
      </c>
      <c r="M27" s="141">
        <f>'Input Tab'!J13</f>
        <v>0.6573</v>
      </c>
      <c r="N27" s="141">
        <f>'Input Tab'!K13</f>
        <v>0.6573</v>
      </c>
      <c r="O27" s="141">
        <f>'Input Tab'!L13</f>
        <v>0.6573</v>
      </c>
      <c r="P27" s="141">
        <f>'Input Tab'!M13</f>
        <v>0.6573</v>
      </c>
      <c r="Q27" s="141">
        <f>'Input Tab'!N13</f>
        <v>0.6573</v>
      </c>
    </row>
    <row r="28" spans="1:19" ht="20.25" customHeight="1">
      <c r="A28" s="23">
        <f t="shared" si="6"/>
        <v>22</v>
      </c>
      <c r="B28" s="10" t="s">
        <v>102</v>
      </c>
      <c r="D28" s="252">
        <f>SUM(F28:Q28)</f>
        <v>-16869740</v>
      </c>
      <c r="E28" s="252"/>
      <c r="F28" s="142">
        <f>+F26*F27</f>
        <v>-2582037</v>
      </c>
      <c r="G28" s="142">
        <f>+G26*G27</f>
        <v>-3205158</v>
      </c>
      <c r="H28" s="142">
        <f>+H26*H27</f>
        <v>-2227799</v>
      </c>
      <c r="I28" s="142">
        <f t="shared" ref="I28:Q28" si="10">+I26*I27</f>
        <v>-1635381</v>
      </c>
      <c r="J28" s="142">
        <f t="shared" si="10"/>
        <v>-2648043</v>
      </c>
      <c r="K28" s="142">
        <f t="shared" si="10"/>
        <v>-1929385</v>
      </c>
      <c r="L28" s="142">
        <f t="shared" si="10"/>
        <v>1308728</v>
      </c>
      <c r="M28" s="142">
        <f t="shared" si="10"/>
        <v>764380</v>
      </c>
      <c r="N28" s="142">
        <f t="shared" si="10"/>
        <v>-73303</v>
      </c>
      <c r="O28" s="142">
        <f t="shared" si="10"/>
        <v>-464114</v>
      </c>
      <c r="P28" s="142">
        <f t="shared" si="10"/>
        <v>-3169184</v>
      </c>
      <c r="Q28" s="142">
        <f t="shared" si="10"/>
        <v>-1008444</v>
      </c>
    </row>
    <row r="29" spans="1:19" ht="20.25" customHeight="1">
      <c r="A29" s="23">
        <f>A28+1</f>
        <v>23</v>
      </c>
      <c r="B29" s="10" t="s">
        <v>187</v>
      </c>
      <c r="D29" s="252">
        <f>SUM(F29:Q29)</f>
        <v>0</v>
      </c>
      <c r="E29" s="252"/>
      <c r="F29" s="142">
        <f>'WA Monthly'!E133</f>
        <v>0</v>
      </c>
      <c r="G29" s="142">
        <f>'WA Monthly'!F133</f>
        <v>0</v>
      </c>
      <c r="H29" s="142">
        <f>'WA Monthly'!G133</f>
        <v>0</v>
      </c>
      <c r="I29" s="142">
        <f>'WA Monthly'!H133</f>
        <v>0</v>
      </c>
      <c r="J29" s="142">
        <f>'WA Monthly'!I133</f>
        <v>0</v>
      </c>
      <c r="K29" s="142">
        <f>'WA Monthly'!J133</f>
        <v>0</v>
      </c>
      <c r="L29" s="142">
        <f>'WA Monthly'!K133</f>
        <v>0</v>
      </c>
      <c r="M29" s="142">
        <f>'WA Monthly'!L133</f>
        <v>0</v>
      </c>
      <c r="N29" s="142">
        <f>'WA Monthly'!M133</f>
        <v>0</v>
      </c>
      <c r="O29" s="142">
        <f>'WA Monthly'!N133</f>
        <v>0</v>
      </c>
      <c r="P29" s="142">
        <f>'WA Monthly'!O133</f>
        <v>0</v>
      </c>
      <c r="Q29" s="142">
        <f>'WA Monthly'!P133</f>
        <v>0</v>
      </c>
    </row>
    <row r="30" spans="1:19" ht="29.25" customHeight="1">
      <c r="A30" s="23">
        <f t="shared" si="6"/>
        <v>24</v>
      </c>
      <c r="B30" s="254" t="s">
        <v>131</v>
      </c>
      <c r="C30" s="254"/>
      <c r="D30" s="258">
        <f>SUM(F30:Q30)</f>
        <v>1325472</v>
      </c>
      <c r="E30" s="258"/>
      <c r="F30" s="143">
        <f>'WA RRC'!B19</f>
        <v>166826</v>
      </c>
      <c r="G30" s="143">
        <f>'WA RRC'!C19</f>
        <v>276446</v>
      </c>
      <c r="H30" s="143">
        <f>'WA RRC'!D19</f>
        <v>54137</v>
      </c>
      <c r="I30" s="143">
        <f>'WA RRC'!E19</f>
        <v>-41108</v>
      </c>
      <c r="J30" s="143">
        <f>'WA RRC'!F19</f>
        <v>276558</v>
      </c>
      <c r="K30" s="143">
        <f>'WA RRC'!G19</f>
        <v>82672</v>
      </c>
      <c r="L30" s="143">
        <f>'WA RRC'!H19</f>
        <v>114455</v>
      </c>
      <c r="M30" s="143">
        <f>'WA RRC'!I19</f>
        <v>-583396</v>
      </c>
      <c r="N30" s="143">
        <f>'WA RRC'!J19</f>
        <v>668223</v>
      </c>
      <c r="O30" s="143">
        <f>'WA RRC'!K19</f>
        <v>-48064</v>
      </c>
      <c r="P30" s="143">
        <f>'WA RRC'!L19</f>
        <v>-161088</v>
      </c>
      <c r="Q30" s="143">
        <f>'WA RRC'!M19</f>
        <v>519811</v>
      </c>
    </row>
    <row r="31" spans="1:19" ht="27" customHeight="1">
      <c r="A31" s="23">
        <f t="shared" si="6"/>
        <v>25</v>
      </c>
      <c r="B31" s="257" t="s">
        <v>76</v>
      </c>
      <c r="C31" s="257"/>
      <c r="D31" s="259">
        <f>SUM(F31:Q31)</f>
        <v>-15544268</v>
      </c>
      <c r="E31" s="259"/>
      <c r="F31" s="43">
        <f>IF(F13=0," ",F28+F30+F29)</f>
        <v>-2415211</v>
      </c>
      <c r="G31" s="43">
        <f t="shared" ref="G31:P31" si="11">IF(G13=0," ",G28+G30+G29)</f>
        <v>-2928712</v>
      </c>
      <c r="H31" s="43">
        <f t="shared" si="11"/>
        <v>-2173662</v>
      </c>
      <c r="I31" s="43">
        <f t="shared" si="11"/>
        <v>-1676489</v>
      </c>
      <c r="J31" s="43">
        <f t="shared" si="11"/>
        <v>-2371485</v>
      </c>
      <c r="K31" s="43">
        <f t="shared" si="11"/>
        <v>-1846713</v>
      </c>
      <c r="L31" s="43">
        <f t="shared" si="11"/>
        <v>1423183</v>
      </c>
      <c r="M31" s="43">
        <f t="shared" si="11"/>
        <v>180984</v>
      </c>
      <c r="N31" s="43">
        <f t="shared" si="11"/>
        <v>594920</v>
      </c>
      <c r="O31" s="43">
        <f t="shared" si="11"/>
        <v>-512178</v>
      </c>
      <c r="P31" s="43">
        <f t="shared" si="11"/>
        <v>-3330272</v>
      </c>
      <c r="Q31" s="43">
        <f>IF(Q13=0," ",Q28+Q30+Q29)</f>
        <v>-488633</v>
      </c>
    </row>
    <row r="32" spans="1:19" ht="21" hidden="1" customHeight="1">
      <c r="A32" s="23">
        <f t="shared" si="6"/>
        <v>26</v>
      </c>
      <c r="B32" s="255" t="s">
        <v>156</v>
      </c>
      <c r="C32" s="255"/>
      <c r="D32" s="133"/>
      <c r="E32" s="133"/>
      <c r="F32" s="43"/>
      <c r="G32" s="43"/>
      <c r="H32" s="43"/>
      <c r="I32" s="43"/>
      <c r="J32" s="43"/>
      <c r="K32" s="43"/>
      <c r="L32" s="144">
        <v>0</v>
      </c>
      <c r="M32" s="43"/>
      <c r="N32" s="43"/>
      <c r="O32" s="43"/>
      <c r="P32" s="43"/>
      <c r="Q32" s="43"/>
    </row>
    <row r="33" spans="1:19" ht="28.5" customHeight="1">
      <c r="A33" s="23">
        <f t="shared" si="6"/>
        <v>27</v>
      </c>
      <c r="B33" s="135" t="s">
        <v>149</v>
      </c>
      <c r="C33" s="135"/>
      <c r="D33" s="87"/>
      <c r="E33" s="87"/>
      <c r="F33" s="27">
        <f>IF(F13=0," ",F31)</f>
        <v>-2415211</v>
      </c>
      <c r="G33" s="27">
        <f t="shared" ref="G33:Q33" si="12">IF(G13=0," ",+F33+G31)</f>
        <v>-5343923</v>
      </c>
      <c r="H33" s="27">
        <f t="shared" si="12"/>
        <v>-7517585</v>
      </c>
      <c r="I33" s="27">
        <f t="shared" si="12"/>
        <v>-9194074</v>
      </c>
      <c r="J33" s="27">
        <f t="shared" si="12"/>
        <v>-11565559</v>
      </c>
      <c r="K33" s="27">
        <f t="shared" si="12"/>
        <v>-13412272</v>
      </c>
      <c r="L33" s="27">
        <f t="shared" si="12"/>
        <v>-11989089</v>
      </c>
      <c r="M33" s="27">
        <f t="shared" si="12"/>
        <v>-11808105</v>
      </c>
      <c r="N33" s="27">
        <f t="shared" si="12"/>
        <v>-11213185</v>
      </c>
      <c r="O33" s="27">
        <f t="shared" si="12"/>
        <v>-11725363</v>
      </c>
      <c r="P33" s="27">
        <f t="shared" si="12"/>
        <v>-15055635</v>
      </c>
      <c r="Q33" s="27">
        <f t="shared" si="12"/>
        <v>-15544268</v>
      </c>
      <c r="R33" s="24"/>
    </row>
    <row r="34" spans="1:19" ht="30.75" hidden="1" customHeight="1" outlineLevel="1">
      <c r="A34" s="10" t="s">
        <v>35</v>
      </c>
      <c r="B34" s="145">
        <v>10000000</v>
      </c>
      <c r="C34" s="146" t="s">
        <v>36</v>
      </c>
      <c r="D34" s="88">
        <v>0.9</v>
      </c>
      <c r="E34" s="88">
        <v>0.9</v>
      </c>
      <c r="F34" s="28">
        <f t="shared" ref="F34:Q34" si="13">IF(F13=0," ",IF(ABS(F$33)&lt;$B34,0,(ABS(F$33)-$B34)*SIGN(F$33)))</f>
        <v>0</v>
      </c>
      <c r="G34" s="28">
        <f t="shared" si="13"/>
        <v>0</v>
      </c>
      <c r="H34" s="28">
        <f t="shared" si="13"/>
        <v>0</v>
      </c>
      <c r="I34" s="28">
        <f t="shared" si="13"/>
        <v>0</v>
      </c>
      <c r="J34" s="28">
        <f t="shared" si="13"/>
        <v>-1565559</v>
      </c>
      <c r="K34" s="28">
        <f t="shared" si="13"/>
        <v>-3412272</v>
      </c>
      <c r="L34" s="28">
        <f t="shared" si="13"/>
        <v>-1989089</v>
      </c>
      <c r="M34" s="28">
        <f t="shared" si="13"/>
        <v>-1808105</v>
      </c>
      <c r="N34" s="28">
        <f t="shared" si="13"/>
        <v>-1213185</v>
      </c>
      <c r="O34" s="28">
        <f t="shared" si="13"/>
        <v>-1725363</v>
      </c>
      <c r="P34" s="28">
        <f t="shared" si="13"/>
        <v>-5055635</v>
      </c>
      <c r="Q34" s="28">
        <f t="shared" si="13"/>
        <v>-5544268</v>
      </c>
      <c r="R34" s="25"/>
      <c r="S34" s="147"/>
    </row>
    <row r="35" spans="1:19" ht="19.5" hidden="1" customHeight="1" outlineLevel="1">
      <c r="A35" s="10" t="s">
        <v>35</v>
      </c>
      <c r="B35" s="145">
        <v>4000000</v>
      </c>
      <c r="C35" s="146" t="str">
        <f>"to "&amp;TEXT(B34,"$#,##0,,")&amp;"M"</f>
        <v>to $10M</v>
      </c>
      <c r="D35" s="88">
        <v>0.5</v>
      </c>
      <c r="E35" s="88">
        <v>0.75</v>
      </c>
      <c r="F35" s="28">
        <f t="shared" ref="F35:Q35" si="14">IF(F13=0," ",IF(ABS(F$33)&lt;$B35,0,MIN($B$34-$B$35,ABS(F$33)-$B35)*SIGN(F$33)))</f>
        <v>0</v>
      </c>
      <c r="G35" s="28">
        <f t="shared" si="14"/>
        <v>-1343923</v>
      </c>
      <c r="H35" s="28">
        <f t="shared" si="14"/>
        <v>-3517585</v>
      </c>
      <c r="I35" s="28">
        <f t="shared" si="14"/>
        <v>-5194074</v>
      </c>
      <c r="J35" s="28">
        <f t="shared" si="14"/>
        <v>-6000000</v>
      </c>
      <c r="K35" s="28">
        <f t="shared" si="14"/>
        <v>-6000000</v>
      </c>
      <c r="L35" s="28">
        <f t="shared" si="14"/>
        <v>-6000000</v>
      </c>
      <c r="M35" s="28">
        <f t="shared" si="14"/>
        <v>-6000000</v>
      </c>
      <c r="N35" s="28">
        <f t="shared" si="14"/>
        <v>-6000000</v>
      </c>
      <c r="O35" s="28">
        <f t="shared" si="14"/>
        <v>-6000000</v>
      </c>
      <c r="P35" s="28">
        <f t="shared" si="14"/>
        <v>-6000000</v>
      </c>
      <c r="Q35" s="28">
        <f t="shared" si="14"/>
        <v>-6000000</v>
      </c>
      <c r="R35" s="25"/>
      <c r="S35" s="147"/>
    </row>
    <row r="36" spans="1:19" ht="21.75" hidden="1" customHeight="1" outlineLevel="1">
      <c r="A36" s="10" t="s">
        <v>35</v>
      </c>
      <c r="B36" s="145">
        <v>0</v>
      </c>
      <c r="C36" s="146" t="str">
        <f>"to "&amp;TEXT(B35,"$#,##0,,")&amp;"M"</f>
        <v>to $4M</v>
      </c>
      <c r="D36" s="88">
        <v>0</v>
      </c>
      <c r="E36" s="88">
        <v>0</v>
      </c>
      <c r="F36" s="28">
        <f t="shared" ref="F36:Q36" si="15">IF(F13=0," ",IF(ABS(F$33)&lt;$B36,0,MIN($B$35-$B$36,ABS(F$33)-$B36)*SIGN(F$33)))</f>
        <v>-2415211</v>
      </c>
      <c r="G36" s="28">
        <f t="shared" si="15"/>
        <v>-4000000</v>
      </c>
      <c r="H36" s="28">
        <f t="shared" si="15"/>
        <v>-4000000</v>
      </c>
      <c r="I36" s="28">
        <f t="shared" si="15"/>
        <v>-4000000</v>
      </c>
      <c r="J36" s="28">
        <f t="shared" si="15"/>
        <v>-4000000</v>
      </c>
      <c r="K36" s="28">
        <f t="shared" si="15"/>
        <v>-4000000</v>
      </c>
      <c r="L36" s="28">
        <f t="shared" si="15"/>
        <v>-4000000</v>
      </c>
      <c r="M36" s="28">
        <f t="shared" si="15"/>
        <v>-4000000</v>
      </c>
      <c r="N36" s="28">
        <f t="shared" si="15"/>
        <v>-4000000</v>
      </c>
      <c r="O36" s="28">
        <f t="shared" si="15"/>
        <v>-4000000</v>
      </c>
      <c r="P36" s="28">
        <f t="shared" si="15"/>
        <v>-4000000</v>
      </c>
      <c r="Q36" s="28">
        <f t="shared" si="15"/>
        <v>-4000000</v>
      </c>
      <c r="R36" s="25"/>
    </row>
    <row r="37" spans="1:19" ht="15.95" hidden="1" customHeight="1" outlineLevel="1">
      <c r="A37" s="10"/>
      <c r="B37" s="148"/>
      <c r="C37" s="10" t="s">
        <v>37</v>
      </c>
      <c r="D37" s="89"/>
      <c r="E37" s="89"/>
      <c r="F37" s="90">
        <f t="shared" ref="F37:Q37" si="16">IF(F13=0," ",SUM(F34:F36)-F33)</f>
        <v>0</v>
      </c>
      <c r="G37" s="90">
        <f t="shared" si="16"/>
        <v>0</v>
      </c>
      <c r="H37" s="90">
        <f t="shared" si="16"/>
        <v>0</v>
      </c>
      <c r="I37" s="90">
        <f t="shared" si="16"/>
        <v>0</v>
      </c>
      <c r="J37" s="90">
        <f t="shared" si="16"/>
        <v>0</v>
      </c>
      <c r="K37" s="90">
        <f t="shared" si="16"/>
        <v>0</v>
      </c>
      <c r="L37" s="90">
        <f t="shared" si="16"/>
        <v>0</v>
      </c>
      <c r="M37" s="90">
        <f t="shared" si="16"/>
        <v>0</v>
      </c>
      <c r="N37" s="90">
        <f t="shared" si="16"/>
        <v>0</v>
      </c>
      <c r="O37" s="90">
        <f t="shared" si="16"/>
        <v>0</v>
      </c>
      <c r="P37" s="90">
        <f t="shared" si="16"/>
        <v>0</v>
      </c>
      <c r="Q37" s="90">
        <f t="shared" si="16"/>
        <v>0</v>
      </c>
      <c r="R37" s="26"/>
    </row>
    <row r="38" spans="1:19" ht="23.25" customHeight="1" collapsed="1">
      <c r="A38" s="10" t="s">
        <v>132</v>
      </c>
      <c r="D38" s="91"/>
      <c r="E38" s="91"/>
      <c r="F38" s="28">
        <f t="shared" ref="F38:Q38" si="17">IF(F13=0," ",SUMPRODUCT(IF(F33&gt;0,$D$34:$D$36,$E$34:$E$36),F34:F36))</f>
        <v>0</v>
      </c>
      <c r="G38" s="28">
        <f t="shared" si="17"/>
        <v>-1007942</v>
      </c>
      <c r="H38" s="28">
        <f t="shared" si="17"/>
        <v>-2638189</v>
      </c>
      <c r="I38" s="28">
        <f t="shared" si="17"/>
        <v>-3895556</v>
      </c>
      <c r="J38" s="28">
        <f t="shared" si="17"/>
        <v>-5909003</v>
      </c>
      <c r="K38" s="28">
        <f t="shared" si="17"/>
        <v>-7571045</v>
      </c>
      <c r="L38" s="28">
        <f t="shared" si="17"/>
        <v>-6290180</v>
      </c>
      <c r="M38" s="28">
        <f t="shared" si="17"/>
        <v>-6127295</v>
      </c>
      <c r="N38" s="28">
        <f t="shared" si="17"/>
        <v>-5591867</v>
      </c>
      <c r="O38" s="28">
        <f t="shared" si="17"/>
        <v>-6052827</v>
      </c>
      <c r="P38" s="28">
        <f t="shared" si="17"/>
        <v>-9050072</v>
      </c>
      <c r="Q38" s="28">
        <f t="shared" si="17"/>
        <v>-9489841</v>
      </c>
      <c r="R38" s="25" t="s">
        <v>133</v>
      </c>
    </row>
    <row r="39" spans="1:19" ht="20.25" customHeight="1">
      <c r="A39" s="10" t="s">
        <v>188</v>
      </c>
      <c r="D39" s="92"/>
      <c r="E39" s="92"/>
      <c r="F39" s="28">
        <f>IF(F13=0," ",F38-D38)</f>
        <v>0</v>
      </c>
      <c r="G39" s="28">
        <f t="shared" ref="G39:Q39" si="18">IF(G13=0," ",G38-F38)</f>
        <v>-1007942</v>
      </c>
      <c r="H39" s="28">
        <f t="shared" si="18"/>
        <v>-1630247</v>
      </c>
      <c r="I39" s="28">
        <f t="shared" si="18"/>
        <v>-1257367</v>
      </c>
      <c r="J39" s="28">
        <f t="shared" si="18"/>
        <v>-2013447</v>
      </c>
      <c r="K39" s="28">
        <f t="shared" si="18"/>
        <v>-1662042</v>
      </c>
      <c r="L39" s="28">
        <f t="shared" si="18"/>
        <v>1280865</v>
      </c>
      <c r="M39" s="28">
        <f t="shared" si="18"/>
        <v>162885</v>
      </c>
      <c r="N39" s="28">
        <f t="shared" si="18"/>
        <v>535428</v>
      </c>
      <c r="O39" s="28">
        <f t="shared" si="18"/>
        <v>-460960</v>
      </c>
      <c r="P39" s="28">
        <f t="shared" si="18"/>
        <v>-2997245</v>
      </c>
      <c r="Q39" s="28">
        <f t="shared" si="18"/>
        <v>-439769</v>
      </c>
      <c r="R39" s="26"/>
    </row>
    <row r="40" spans="1:19" ht="24.75" customHeight="1">
      <c r="A40" s="255" t="s">
        <v>135</v>
      </c>
      <c r="B40" s="255"/>
      <c r="C40" s="255"/>
      <c r="D40" s="259">
        <f>SUM(F40:Q40)</f>
        <v>9489841</v>
      </c>
      <c r="E40" s="259"/>
      <c r="F40" s="31">
        <f t="shared" ref="F40:Q40" si="19">IF(F13=0," ",-F39)</f>
        <v>0</v>
      </c>
      <c r="G40" s="31">
        <f t="shared" si="19"/>
        <v>1007942</v>
      </c>
      <c r="H40" s="31">
        <f t="shared" si="19"/>
        <v>1630247</v>
      </c>
      <c r="I40" s="31">
        <f t="shared" si="19"/>
        <v>1257367</v>
      </c>
      <c r="J40" s="31">
        <f t="shared" si="19"/>
        <v>2013447</v>
      </c>
      <c r="K40" s="31">
        <f t="shared" si="19"/>
        <v>1662042</v>
      </c>
      <c r="L40" s="31">
        <f t="shared" si="19"/>
        <v>-1280865</v>
      </c>
      <c r="M40" s="31">
        <f t="shared" si="19"/>
        <v>-162885</v>
      </c>
      <c r="N40" s="31">
        <f t="shared" si="19"/>
        <v>-535428</v>
      </c>
      <c r="O40" s="31">
        <f t="shared" si="19"/>
        <v>460960</v>
      </c>
      <c r="P40" s="31">
        <f t="shared" si="19"/>
        <v>2997245</v>
      </c>
      <c r="Q40" s="31">
        <f t="shared" si="19"/>
        <v>439769</v>
      </c>
      <c r="R40" s="25"/>
    </row>
    <row r="41" spans="1:19" ht="26.25" customHeight="1" thickBot="1">
      <c r="A41" s="253" t="s">
        <v>40</v>
      </c>
      <c r="B41" s="253"/>
      <c r="C41" s="253"/>
      <c r="D41" s="93"/>
      <c r="E41" s="93"/>
      <c r="F41" s="33">
        <f t="shared" ref="F41:Q41" si="20">IF(F13=0," ",F33-F38)</f>
        <v>-2415211</v>
      </c>
      <c r="G41" s="33">
        <f t="shared" si="20"/>
        <v>-4335981</v>
      </c>
      <c r="H41" s="33">
        <f t="shared" si="20"/>
        <v>-4879396</v>
      </c>
      <c r="I41" s="33">
        <f t="shared" si="20"/>
        <v>-5298518</v>
      </c>
      <c r="J41" s="33">
        <f t="shared" si="20"/>
        <v>-5656556</v>
      </c>
      <c r="K41" s="33">
        <f t="shared" si="20"/>
        <v>-5841227</v>
      </c>
      <c r="L41" s="33">
        <f t="shared" si="20"/>
        <v>-5698909</v>
      </c>
      <c r="M41" s="33">
        <f t="shared" si="20"/>
        <v>-5680810</v>
      </c>
      <c r="N41" s="33">
        <f t="shared" si="20"/>
        <v>-5621318</v>
      </c>
      <c r="O41" s="33">
        <f t="shared" si="20"/>
        <v>-5672536</v>
      </c>
      <c r="P41" s="33">
        <f t="shared" si="20"/>
        <v>-6005563</v>
      </c>
      <c r="Q41" s="33">
        <f t="shared" si="20"/>
        <v>-6054427</v>
      </c>
      <c r="R41" s="10" t="s">
        <v>43</v>
      </c>
    </row>
    <row r="42" spans="1:19" ht="13.5" thickTop="1">
      <c r="A42" s="149"/>
    </row>
    <row r="43" spans="1:19">
      <c r="E43" s="150"/>
      <c r="F43" s="17"/>
      <c r="Q43" s="28"/>
      <c r="R43" s="24"/>
    </row>
    <row r="44" spans="1:19">
      <c r="E44" s="67"/>
      <c r="F44" s="13"/>
      <c r="H44" s="151"/>
      <c r="I44" s="151"/>
      <c r="J44" s="151"/>
      <c r="K44" s="151"/>
      <c r="Q44" s="56"/>
      <c r="R44" s="24"/>
    </row>
    <row r="45" spans="1:19">
      <c r="E45" s="150"/>
      <c r="F45" s="152"/>
      <c r="H45" s="151"/>
      <c r="I45" s="151"/>
      <c r="J45" s="151"/>
      <c r="K45" s="151"/>
      <c r="Q45" s="56"/>
      <c r="R45" s="24"/>
    </row>
    <row r="46" spans="1:19">
      <c r="H46" s="151"/>
      <c r="I46" s="151"/>
      <c r="J46" s="151"/>
      <c r="K46" s="151"/>
    </row>
    <row r="47" spans="1:19">
      <c r="F47" s="153"/>
      <c r="H47" s="151"/>
      <c r="I47" s="151"/>
      <c r="J47" s="151"/>
      <c r="K47" s="151"/>
    </row>
    <row r="48" spans="1:19">
      <c r="F48" s="153"/>
      <c r="H48" s="151"/>
      <c r="I48" s="151"/>
      <c r="J48" s="151"/>
      <c r="K48" s="151"/>
      <c r="Q48" s="24"/>
    </row>
    <row r="49" spans="8:11">
      <c r="H49" s="151"/>
      <c r="I49" s="151"/>
      <c r="J49" s="151"/>
      <c r="K49" s="151"/>
    </row>
    <row r="50" spans="8:11">
      <c r="H50" s="151"/>
      <c r="I50" s="151"/>
      <c r="J50" s="151"/>
      <c r="K50" s="151"/>
    </row>
    <row r="51" spans="8:11">
      <c r="H51" s="151"/>
      <c r="I51" s="151"/>
      <c r="J51" s="151"/>
      <c r="K51" s="15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tabSelected="1" zoomScaleNormal="100" zoomScaleSheetLayoutView="100" workbookViewId="0">
      <pane xSplit="4" ySplit="5" topLeftCell="F45" activePane="bottomRight" state="frozen"/>
      <selection sqref="A1:XFD1048576"/>
      <selection pane="topRight" sqref="A1:XFD1048576"/>
      <selection pane="bottomLeft" sqref="A1:XFD1048576"/>
      <selection pane="bottomRight" activeCell="P49" sqref="P49"/>
    </sheetView>
  </sheetViews>
  <sheetFormatPr defaultColWidth="11.42578125" defaultRowHeight="12.75" outlineLevelRow="2" outlineLevelCol="1"/>
  <cols>
    <col min="1" max="1" width="5" style="99" customWidth="1"/>
    <col min="2" max="2" width="46.140625" style="13" customWidth="1"/>
    <col min="3" max="3" width="31.42578125" style="13" hidden="1" customWidth="1" outlineLevel="1"/>
    <col min="4" max="4" width="13.42578125" style="13" bestFit="1" customWidth="1" collapsed="1"/>
    <col min="5" max="5" width="13.7109375" style="13" customWidth="1"/>
    <col min="6" max="6" width="12.7109375" style="13" customWidth="1"/>
    <col min="7" max="7" width="12.42578125" style="13" customWidth="1"/>
    <col min="8" max="8" width="12.5703125" style="13" customWidth="1"/>
    <col min="9" max="9" width="12.140625" style="13" customWidth="1"/>
    <col min="10" max="10" width="12.5703125" style="13" customWidth="1"/>
    <col min="11" max="16" width="12.7109375" style="13" customWidth="1"/>
    <col min="17" max="17" width="2.7109375" style="14" hidden="1" customWidth="1" outlineLevel="1"/>
    <col min="18" max="18" width="14.28515625" style="13" hidden="1" customWidth="1" outlineLevel="1"/>
    <col min="19" max="19" width="11.42578125" style="13" collapsed="1"/>
    <col min="20" max="20" width="13.28515625" style="13" bestFit="1" customWidth="1"/>
    <col min="21" max="16384" width="11.42578125" style="13"/>
  </cols>
  <sheetData>
    <row r="1" spans="1:18">
      <c r="A1" s="261" t="s">
        <v>103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>
      <c r="A2" s="261" t="s">
        <v>116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38.25" customHeight="1">
      <c r="A3" s="13"/>
    </row>
    <row r="4" spans="1:18">
      <c r="A4" s="85" t="s">
        <v>0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8">
      <c r="A5" s="190" t="s">
        <v>1</v>
      </c>
      <c r="C5" s="13" t="s">
        <v>121</v>
      </c>
      <c r="D5" s="191" t="s">
        <v>9</v>
      </c>
      <c r="E5" s="134">
        <v>43131</v>
      </c>
      <c r="F5" s="134">
        <f t="shared" ref="F5:P5" si="0">EOMONTH(E5,1)</f>
        <v>43159</v>
      </c>
      <c r="G5" s="134">
        <f t="shared" si="0"/>
        <v>43190</v>
      </c>
      <c r="H5" s="134">
        <f t="shared" si="0"/>
        <v>43220</v>
      </c>
      <c r="I5" s="134">
        <f t="shared" si="0"/>
        <v>43251</v>
      </c>
      <c r="J5" s="134">
        <f t="shared" si="0"/>
        <v>43281</v>
      </c>
      <c r="K5" s="134">
        <f t="shared" si="0"/>
        <v>43312</v>
      </c>
      <c r="L5" s="134">
        <f t="shared" si="0"/>
        <v>43343</v>
      </c>
      <c r="M5" s="134">
        <f t="shared" si="0"/>
        <v>43373</v>
      </c>
      <c r="N5" s="134">
        <f t="shared" si="0"/>
        <v>43404</v>
      </c>
      <c r="O5" s="134">
        <f t="shared" si="0"/>
        <v>43434</v>
      </c>
      <c r="P5" s="134">
        <f t="shared" si="0"/>
        <v>43465</v>
      </c>
      <c r="Q5" s="192"/>
      <c r="R5" s="134" t="s">
        <v>97</v>
      </c>
    </row>
    <row r="6" spans="1:18">
      <c r="A6" s="85"/>
      <c r="B6" s="69" t="s">
        <v>13</v>
      </c>
      <c r="C6" s="75"/>
    </row>
    <row r="7" spans="1:18">
      <c r="A7" s="85">
        <f>A6+1</f>
        <v>1</v>
      </c>
      <c r="B7" s="11" t="s">
        <v>134</v>
      </c>
      <c r="C7" s="44"/>
      <c r="D7" s="34">
        <f>SUM(E7:P7)</f>
        <v>35364168</v>
      </c>
      <c r="E7" s="34">
        <f t="shared" ref="E7:P7" si="1">E23-SUM(E8:E22)</f>
        <v>5222009</v>
      </c>
      <c r="F7" s="34">
        <f t="shared" si="1"/>
        <v>4094932</v>
      </c>
      <c r="G7" s="34">
        <f t="shared" si="1"/>
        <v>2500917</v>
      </c>
      <c r="H7" s="34">
        <f t="shared" si="1"/>
        <v>1879275</v>
      </c>
      <c r="I7" s="34">
        <f t="shared" si="1"/>
        <v>1466768</v>
      </c>
      <c r="J7" s="34">
        <f t="shared" si="1"/>
        <v>1497022</v>
      </c>
      <c r="K7" s="34">
        <f t="shared" si="1"/>
        <v>45964</v>
      </c>
      <c r="L7" s="34">
        <f t="shared" si="1"/>
        <v>9116052</v>
      </c>
      <c r="M7" s="34">
        <f t="shared" si="1"/>
        <v>3059931</v>
      </c>
      <c r="N7" s="34">
        <f t="shared" si="1"/>
        <v>446709</v>
      </c>
      <c r="O7" s="34">
        <f t="shared" si="1"/>
        <v>450427</v>
      </c>
      <c r="P7" s="34">
        <f t="shared" si="1"/>
        <v>5584162</v>
      </c>
      <c r="Q7" s="60"/>
      <c r="R7" s="193">
        <f t="shared" ref="R7:R22" si="2">SUM(E7:P7)</f>
        <v>35364168</v>
      </c>
    </row>
    <row r="8" spans="1:18">
      <c r="A8" s="85">
        <v>2</v>
      </c>
      <c r="B8" s="194" t="s">
        <v>141</v>
      </c>
      <c r="C8" s="195">
        <v>100096</v>
      </c>
      <c r="D8" s="34">
        <f t="shared" ref="D8:D22" si="3">SUM(E8:P8)</f>
        <v>14053042</v>
      </c>
      <c r="E8" s="196">
        <f>'Input Tab'!C19</f>
        <v>726733</v>
      </c>
      <c r="F8" s="196">
        <f>'Input Tab'!D19</f>
        <v>1216938</v>
      </c>
      <c r="G8" s="196">
        <f>'Input Tab'!E19</f>
        <v>1216938</v>
      </c>
      <c r="H8" s="196">
        <f>'Input Tab'!F19</f>
        <v>1216938</v>
      </c>
      <c r="I8" s="196">
        <f>'Input Tab'!G19</f>
        <v>1216938</v>
      </c>
      <c r="J8" s="196">
        <f>'Input Tab'!H19</f>
        <v>1216938</v>
      </c>
      <c r="K8" s="196">
        <f>'Input Tab'!I19</f>
        <v>1216938</v>
      </c>
      <c r="L8" s="196">
        <f>'Input Tab'!J19</f>
        <v>1216938</v>
      </c>
      <c r="M8" s="196">
        <f>'Input Tab'!K19</f>
        <v>1216938</v>
      </c>
      <c r="N8" s="196">
        <f>'Input Tab'!L19</f>
        <v>1216938</v>
      </c>
      <c r="O8" s="196">
        <f>'Input Tab'!M19</f>
        <v>1216938</v>
      </c>
      <c r="P8" s="196">
        <f>'Input Tab'!N19</f>
        <v>1156929</v>
      </c>
      <c r="Q8" s="60"/>
      <c r="R8" s="193">
        <f t="shared" si="2"/>
        <v>14053042</v>
      </c>
    </row>
    <row r="9" spans="1:18">
      <c r="A9" s="85">
        <v>3</v>
      </c>
      <c r="B9" s="194" t="s">
        <v>142</v>
      </c>
      <c r="C9" s="195">
        <v>107240</v>
      </c>
      <c r="D9" s="34">
        <f t="shared" si="3"/>
        <v>1092047</v>
      </c>
      <c r="E9" s="196">
        <f>'Input Tab'!C20</f>
        <v>67917</v>
      </c>
      <c r="F9" s="196">
        <f>'Input Tab'!D20</f>
        <v>81241</v>
      </c>
      <c r="G9" s="196">
        <f>'Input Tab'!E20</f>
        <v>93498</v>
      </c>
      <c r="H9" s="196">
        <f>'Input Tab'!F20</f>
        <v>152574</v>
      </c>
      <c r="I9" s="196">
        <f>'Input Tab'!G20</f>
        <v>162897</v>
      </c>
      <c r="J9" s="196">
        <f>'Input Tab'!H20</f>
        <v>158630</v>
      </c>
      <c r="K9" s="196">
        <f>'Input Tab'!I20</f>
        <v>58962</v>
      </c>
      <c r="L9" s="196">
        <f>'Input Tab'!J20</f>
        <v>55518</v>
      </c>
      <c r="M9" s="196">
        <f>'Input Tab'!K20</f>
        <v>50510</v>
      </c>
      <c r="N9" s="196">
        <f>'Input Tab'!L20</f>
        <v>66662</v>
      </c>
      <c r="O9" s="196">
        <f>'Input Tab'!M20</f>
        <v>73564</v>
      </c>
      <c r="P9" s="196">
        <f>'Input Tab'!N20</f>
        <v>70074</v>
      </c>
      <c r="Q9" s="60"/>
      <c r="R9" s="193">
        <f>SUM(E9:P9)</f>
        <v>1092047</v>
      </c>
    </row>
    <row r="10" spans="1:18">
      <c r="A10" s="85">
        <v>4</v>
      </c>
      <c r="B10" s="11" t="s">
        <v>145</v>
      </c>
      <c r="C10" s="44">
        <v>100131</v>
      </c>
      <c r="D10" s="34">
        <f t="shared" si="3"/>
        <v>1797555</v>
      </c>
      <c r="E10" s="196">
        <f>'Input Tab'!C21</f>
        <v>153740</v>
      </c>
      <c r="F10" s="196">
        <f>'Input Tab'!D21</f>
        <v>153740</v>
      </c>
      <c r="G10" s="196">
        <f>'Input Tab'!E21</f>
        <v>153740</v>
      </c>
      <c r="H10" s="196">
        <f>'Input Tab'!F21</f>
        <v>153740</v>
      </c>
      <c r="I10" s="196">
        <f>'Input Tab'!G21</f>
        <v>153740</v>
      </c>
      <c r="J10" s="196">
        <f>'Input Tab'!H21</f>
        <v>153740</v>
      </c>
      <c r="K10" s="196">
        <f>'Input Tab'!I21</f>
        <v>153740</v>
      </c>
      <c r="L10" s="196">
        <f>'Input Tab'!J21</f>
        <v>153740</v>
      </c>
      <c r="M10" s="196">
        <f>'Input Tab'!K21</f>
        <v>165218</v>
      </c>
      <c r="N10" s="196">
        <f>'Input Tab'!L21</f>
        <v>165218</v>
      </c>
      <c r="O10" s="196">
        <f>'Input Tab'!M21</f>
        <v>165218</v>
      </c>
      <c r="P10" s="196">
        <f>'Input Tab'!N21</f>
        <v>71981</v>
      </c>
      <c r="Q10" s="60"/>
      <c r="R10" s="193">
        <f t="shared" si="2"/>
        <v>1797555</v>
      </c>
    </row>
    <row r="11" spans="1:18" ht="13.5" customHeight="1">
      <c r="A11" s="85">
        <v>5</v>
      </c>
      <c r="B11" s="11" t="s">
        <v>143</v>
      </c>
      <c r="C11" s="44">
        <v>100085</v>
      </c>
      <c r="D11" s="34">
        <f t="shared" si="3"/>
        <v>7594108</v>
      </c>
      <c r="E11" s="197">
        <f>'Input Tab'!C22</f>
        <v>618454</v>
      </c>
      <c r="F11" s="197">
        <f>'Input Tab'!D22</f>
        <v>618454</v>
      </c>
      <c r="G11" s="197">
        <f>'Input Tab'!E22</f>
        <v>618454</v>
      </c>
      <c r="H11" s="197">
        <f>'Input Tab'!F22</f>
        <v>791114</v>
      </c>
      <c r="I11" s="197">
        <f>'Input Tab'!G22</f>
        <v>618454</v>
      </c>
      <c r="J11" s="197">
        <f>'Input Tab'!H22</f>
        <v>618454</v>
      </c>
      <c r="K11" s="197">
        <f>'Input Tab'!I22</f>
        <v>618454</v>
      </c>
      <c r="L11" s="197">
        <f>'Input Tab'!J22</f>
        <v>618454</v>
      </c>
      <c r="M11" s="197">
        <f>'Input Tab'!K22</f>
        <v>618454</v>
      </c>
      <c r="N11" s="197">
        <f>'Input Tab'!L22</f>
        <v>618454</v>
      </c>
      <c r="O11" s="197">
        <f>'Input Tab'!M22</f>
        <v>618454</v>
      </c>
      <c r="P11" s="197">
        <f>'Input Tab'!N22</f>
        <v>618454</v>
      </c>
      <c r="Q11" s="60"/>
      <c r="R11" s="193">
        <f t="shared" si="2"/>
        <v>7594108</v>
      </c>
    </row>
    <row r="12" spans="1:18" ht="14.25">
      <c r="A12" s="85">
        <f>A11+1</f>
        <v>6</v>
      </c>
      <c r="B12" s="11" t="s">
        <v>144</v>
      </c>
      <c r="C12" s="99" t="s">
        <v>122</v>
      </c>
      <c r="D12" s="34">
        <f t="shared" si="3"/>
        <v>16181508</v>
      </c>
      <c r="E12" s="197">
        <f>'Input Tab'!C23</f>
        <v>3744667</v>
      </c>
      <c r="F12" s="197">
        <f>'Input Tab'!D23</f>
        <v>3383687</v>
      </c>
      <c r="G12" s="197">
        <f>'Input Tab'!E23</f>
        <v>1848737</v>
      </c>
      <c r="H12" s="197">
        <f>'Input Tab'!F23</f>
        <v>1790510</v>
      </c>
      <c r="I12" s="197">
        <f>'Input Tab'!G23</f>
        <v>0</v>
      </c>
      <c r="J12" s="197">
        <f>'Input Tab'!H23</f>
        <v>0</v>
      </c>
      <c r="K12" s="197">
        <f>'Input Tab'!I23</f>
        <v>0</v>
      </c>
      <c r="L12" s="197">
        <f>'Input Tab'!J23</f>
        <v>0</v>
      </c>
      <c r="M12" s="196">
        <f>'Input Tab'!K23</f>
        <v>0</v>
      </c>
      <c r="N12" s="196">
        <f>'Input Tab'!L23</f>
        <v>0</v>
      </c>
      <c r="O12" s="197">
        <f>'Input Tab'!M23</f>
        <v>2662712</v>
      </c>
      <c r="P12" s="197">
        <f>'Input Tab'!N23</f>
        <v>2751195</v>
      </c>
      <c r="Q12" s="60"/>
      <c r="R12" s="193">
        <f t="shared" si="2"/>
        <v>16181508</v>
      </c>
    </row>
    <row r="13" spans="1:18">
      <c r="A13" s="85">
        <f t="shared" ref="A13:A23" si="4">A12+1</f>
        <v>7</v>
      </c>
      <c r="B13" s="13" t="s">
        <v>138</v>
      </c>
      <c r="C13" s="99">
        <v>100137</v>
      </c>
      <c r="D13" s="34">
        <f t="shared" si="3"/>
        <v>9178</v>
      </c>
      <c r="E13" s="197">
        <f>'Input Tab'!C24</f>
        <v>1068</v>
      </c>
      <c r="F13" s="197">
        <f>'Input Tab'!D24</f>
        <v>885</v>
      </c>
      <c r="G13" s="197">
        <f>'Input Tab'!E24</f>
        <v>1088</v>
      </c>
      <c r="H13" s="197">
        <f>'Input Tab'!F24</f>
        <v>717</v>
      </c>
      <c r="I13" s="197">
        <f>'Input Tab'!G24</f>
        <v>691</v>
      </c>
      <c r="J13" s="197">
        <f>'Input Tab'!H24</f>
        <v>444</v>
      </c>
      <c r="K13" s="197">
        <f>'Input Tab'!I24</f>
        <v>537</v>
      </c>
      <c r="L13" s="197">
        <f>'Input Tab'!J24</f>
        <v>656</v>
      </c>
      <c r="M13" s="197">
        <f>'Input Tab'!K24</f>
        <v>648</v>
      </c>
      <c r="N13" s="197">
        <f>'Input Tab'!L24</f>
        <v>679</v>
      </c>
      <c r="O13" s="197">
        <f>'Input Tab'!M24</f>
        <v>784</v>
      </c>
      <c r="P13" s="197">
        <f>'Input Tab'!N24</f>
        <v>981</v>
      </c>
      <c r="Q13" s="60"/>
      <c r="R13" s="193">
        <f t="shared" si="2"/>
        <v>9178</v>
      </c>
    </row>
    <row r="14" spans="1:18">
      <c r="A14" s="85">
        <f t="shared" si="4"/>
        <v>8</v>
      </c>
      <c r="B14" s="13" t="s">
        <v>14</v>
      </c>
      <c r="C14" s="44" t="s">
        <v>185</v>
      </c>
      <c r="D14" s="34">
        <f t="shared" si="3"/>
        <v>1377173</v>
      </c>
      <c r="E14" s="197">
        <f>'Input Tab'!C25</f>
        <v>196327</v>
      </c>
      <c r="F14" s="197">
        <f>'Input Tab'!D25</f>
        <v>176449</v>
      </c>
      <c r="G14" s="197">
        <f>'Input Tab'!E25</f>
        <v>137700</v>
      </c>
      <c r="H14" s="197">
        <f>'Input Tab'!F25</f>
        <v>145245</v>
      </c>
      <c r="I14" s="197">
        <f>'Input Tab'!G25</f>
        <v>118256</v>
      </c>
      <c r="J14" s="197">
        <f>'Input Tab'!H25</f>
        <v>119818</v>
      </c>
      <c r="K14" s="197">
        <f>'Input Tab'!I25</f>
        <v>109807</v>
      </c>
      <c r="L14" s="197">
        <f>'Input Tab'!J25</f>
        <v>71032</v>
      </c>
      <c r="M14" s="197">
        <f>'Input Tab'!K25</f>
        <v>47084</v>
      </c>
      <c r="N14" s="197">
        <f>'Input Tab'!L25</f>
        <v>48927</v>
      </c>
      <c r="O14" s="197">
        <f>'Input Tab'!M25</f>
        <v>102929</v>
      </c>
      <c r="P14" s="197">
        <f>'Input Tab'!N25</f>
        <v>103599</v>
      </c>
      <c r="Q14" s="60"/>
      <c r="R14" s="193">
        <f t="shared" si="2"/>
        <v>1377173</v>
      </c>
    </row>
    <row r="15" spans="1:18">
      <c r="A15" s="85">
        <f t="shared" si="4"/>
        <v>9</v>
      </c>
      <c r="B15" s="11" t="s">
        <v>42</v>
      </c>
      <c r="C15" s="44">
        <v>185895</v>
      </c>
      <c r="D15" s="34">
        <f t="shared" si="3"/>
        <v>1683831</v>
      </c>
      <c r="E15" s="197">
        <f>'Input Tab'!C34</f>
        <v>167411</v>
      </c>
      <c r="F15" s="197">
        <f>'Input Tab'!D34</f>
        <v>151142</v>
      </c>
      <c r="G15" s="197">
        <f>'Input Tab'!E34</f>
        <v>134752</v>
      </c>
      <c r="H15" s="197">
        <f>'Input Tab'!F34</f>
        <v>9639</v>
      </c>
      <c r="I15" s="197">
        <f>'Input Tab'!G34</f>
        <v>139720</v>
      </c>
      <c r="J15" s="197">
        <f>'Input Tab'!H34</f>
        <v>156195</v>
      </c>
      <c r="K15" s="197">
        <f>'Input Tab'!I34</f>
        <v>206662</v>
      </c>
      <c r="L15" s="197">
        <f>'Input Tab'!J34</f>
        <v>124688</v>
      </c>
      <c r="M15" s="197">
        <f>'Input Tab'!K34</f>
        <v>38427</v>
      </c>
      <c r="N15" s="197">
        <f>'Input Tab'!L34</f>
        <v>196021</v>
      </c>
      <c r="O15" s="197">
        <f>'Input Tab'!M34</f>
        <v>186144</v>
      </c>
      <c r="P15" s="197">
        <f>'Input Tab'!N34</f>
        <v>173030</v>
      </c>
      <c r="Q15" s="60"/>
      <c r="R15" s="193">
        <f t="shared" si="2"/>
        <v>1683831</v>
      </c>
    </row>
    <row r="16" spans="1:18" ht="12.75" customHeight="1">
      <c r="A16" s="85">
        <f t="shared" si="4"/>
        <v>10</v>
      </c>
      <c r="B16" s="13" t="s">
        <v>120</v>
      </c>
      <c r="C16" s="44">
        <v>186298</v>
      </c>
      <c r="D16" s="34">
        <f t="shared" si="3"/>
        <v>2895230</v>
      </c>
      <c r="E16" s="197">
        <f>'Input Tab'!C35</f>
        <v>509116</v>
      </c>
      <c r="F16" s="197">
        <f>'Input Tab'!D35</f>
        <v>428290</v>
      </c>
      <c r="G16" s="197">
        <f>'Input Tab'!E35</f>
        <v>551749</v>
      </c>
      <c r="H16" s="197">
        <f>'Input Tab'!F35</f>
        <v>336086</v>
      </c>
      <c r="I16" s="197">
        <f>'Input Tab'!G35</f>
        <v>237801</v>
      </c>
      <c r="J16" s="197">
        <f>'Input Tab'!H35</f>
        <v>242505</v>
      </c>
      <c r="K16" s="197">
        <f>'Input Tab'!I35</f>
        <v>18009</v>
      </c>
      <c r="L16" s="197">
        <f>'Input Tab'!J35</f>
        <v>61</v>
      </c>
      <c r="M16" s="197">
        <f>'Input Tab'!K35</f>
        <v>7399</v>
      </c>
      <c r="N16" s="197">
        <f>'Input Tab'!L35</f>
        <v>98205</v>
      </c>
      <c r="O16" s="197">
        <f>'Input Tab'!M35</f>
        <v>181859</v>
      </c>
      <c r="P16" s="197">
        <f>'Input Tab'!N35</f>
        <v>284150</v>
      </c>
      <c r="Q16" s="60"/>
      <c r="R16" s="193">
        <f t="shared" si="2"/>
        <v>2895230</v>
      </c>
    </row>
    <row r="17" spans="1:20">
      <c r="A17" s="85">
        <f>A16+1</f>
        <v>11</v>
      </c>
      <c r="B17" s="11" t="s">
        <v>151</v>
      </c>
      <c r="C17" s="44">
        <v>223063</v>
      </c>
      <c r="D17" s="34">
        <f t="shared" si="3"/>
        <v>5596513</v>
      </c>
      <c r="E17" s="197">
        <f>'Input Tab'!C36</f>
        <v>503270</v>
      </c>
      <c r="F17" s="197">
        <f>'Input Tab'!D36</f>
        <v>466388</v>
      </c>
      <c r="G17" s="197">
        <f>'Input Tab'!E36</f>
        <v>406268</v>
      </c>
      <c r="H17" s="197">
        <f>'Input Tab'!F36</f>
        <v>349209</v>
      </c>
      <c r="I17" s="197">
        <f>'Input Tab'!G36</f>
        <v>332411</v>
      </c>
      <c r="J17" s="197">
        <f>'Input Tab'!H36</f>
        <v>457880</v>
      </c>
      <c r="K17" s="197">
        <f>'Input Tab'!I36</f>
        <v>561311</v>
      </c>
      <c r="L17" s="197">
        <f>'Input Tab'!J36</f>
        <v>434208</v>
      </c>
      <c r="M17" s="197">
        <f>'Input Tab'!K36</f>
        <v>588005</v>
      </c>
      <c r="N17" s="197">
        <f>'Input Tab'!L36</f>
        <v>590209</v>
      </c>
      <c r="O17" s="197">
        <f>'Input Tab'!M36</f>
        <v>384101</v>
      </c>
      <c r="P17" s="197">
        <f>'Input Tab'!N36</f>
        <v>523253</v>
      </c>
      <c r="Q17" s="60"/>
      <c r="R17" s="193">
        <f t="shared" si="2"/>
        <v>5596513</v>
      </c>
    </row>
    <row r="18" spans="1:20">
      <c r="A18" s="85">
        <f>A17+1</f>
        <v>12</v>
      </c>
      <c r="B18" s="130" t="s">
        <v>224</v>
      </c>
      <c r="C18" s="44">
        <v>102475</v>
      </c>
      <c r="D18" s="34">
        <f t="shared" si="3"/>
        <v>12515</v>
      </c>
      <c r="E18" s="196">
        <f>'Input Tab'!C37</f>
        <v>0</v>
      </c>
      <c r="F18" s="196">
        <f>'Input Tab'!D37</f>
        <v>0</v>
      </c>
      <c r="G18" s="196">
        <f>'Input Tab'!E37</f>
        <v>2771</v>
      </c>
      <c r="H18" s="196">
        <f>'Input Tab'!F37</f>
        <v>1252</v>
      </c>
      <c r="I18" s="196">
        <f>'Input Tab'!G37</f>
        <v>1246</v>
      </c>
      <c r="J18" s="196">
        <f>'Input Tab'!H37</f>
        <v>1021</v>
      </c>
      <c r="K18" s="196">
        <f>'Input Tab'!I37</f>
        <v>1028</v>
      </c>
      <c r="L18" s="196">
        <f>'Input Tab'!J37</f>
        <v>1025</v>
      </c>
      <c r="M18" s="196">
        <f>'Input Tab'!K37</f>
        <v>1109</v>
      </c>
      <c r="N18" s="196">
        <f>'Input Tab'!L37</f>
        <v>951</v>
      </c>
      <c r="O18" s="196">
        <f>'Input Tab'!M37</f>
        <v>995</v>
      </c>
      <c r="P18" s="196">
        <f>'Input Tab'!N37</f>
        <v>1117</v>
      </c>
      <c r="Q18" s="60"/>
      <c r="R18" s="193">
        <f t="shared" si="2"/>
        <v>12515</v>
      </c>
    </row>
    <row r="19" spans="1:20">
      <c r="A19" s="85">
        <f>A18+1</f>
        <v>13</v>
      </c>
      <c r="B19" s="11" t="s">
        <v>139</v>
      </c>
      <c r="C19" s="44" t="s">
        <v>140</v>
      </c>
      <c r="D19" s="34">
        <f t="shared" si="3"/>
        <v>27615866</v>
      </c>
      <c r="E19" s="196">
        <f>'Input Tab'!C38</f>
        <v>2326853</v>
      </c>
      <c r="F19" s="196">
        <f>'Input Tab'!D38</f>
        <v>2182871</v>
      </c>
      <c r="G19" s="196">
        <f>'Input Tab'!E38</f>
        <v>2357771</v>
      </c>
      <c r="H19" s="196">
        <f>'Input Tab'!F38</f>
        <v>2235770</v>
      </c>
      <c r="I19" s="196">
        <f>'Input Tab'!G38</f>
        <v>2098059</v>
      </c>
      <c r="J19" s="196">
        <f>'Input Tab'!H38</f>
        <v>2056390</v>
      </c>
      <c r="K19" s="196">
        <f>'Input Tab'!I38</f>
        <v>2377596</v>
      </c>
      <c r="L19" s="196">
        <f>'Input Tab'!J38</f>
        <v>2416248</v>
      </c>
      <c r="M19" s="196">
        <f>'Input Tab'!K38</f>
        <v>2425360</v>
      </c>
      <c r="N19" s="196">
        <f>'Input Tab'!L38</f>
        <v>2310595</v>
      </c>
      <c r="O19" s="196">
        <f>'Input Tab'!M38</f>
        <v>2384531</v>
      </c>
      <c r="P19" s="196">
        <f>'Input Tab'!N38</f>
        <v>2443822</v>
      </c>
      <c r="Q19" s="60"/>
      <c r="R19" s="193">
        <f t="shared" si="2"/>
        <v>27615866</v>
      </c>
    </row>
    <row r="20" spans="1:20">
      <c r="A20" s="85">
        <f>A19+1</f>
        <v>14</v>
      </c>
      <c r="B20" s="11" t="s">
        <v>150</v>
      </c>
      <c r="C20" s="44">
        <v>181462</v>
      </c>
      <c r="D20" s="34">
        <f t="shared" si="3"/>
        <v>19795858</v>
      </c>
      <c r="E20" s="196">
        <f>'Input Tab'!C39</f>
        <v>2365264</v>
      </c>
      <c r="F20" s="196">
        <f>'Input Tab'!D39</f>
        <v>2240478</v>
      </c>
      <c r="G20" s="196">
        <f>'Input Tab'!E39</f>
        <v>2072807</v>
      </c>
      <c r="H20" s="196">
        <f>'Input Tab'!F39</f>
        <v>2009810</v>
      </c>
      <c r="I20" s="196">
        <f>'Input Tab'!G39</f>
        <v>1146211</v>
      </c>
      <c r="J20" s="196">
        <f>'Input Tab'!H39</f>
        <v>1530959</v>
      </c>
      <c r="K20" s="196">
        <f>'Input Tab'!I39</f>
        <v>1018827</v>
      </c>
      <c r="L20" s="196">
        <f>'Input Tab'!J39</f>
        <v>1297090</v>
      </c>
      <c r="M20" s="196">
        <f>'Input Tab'!K39</f>
        <v>1187102</v>
      </c>
      <c r="N20" s="196">
        <f>'Input Tab'!L39</f>
        <v>1148264</v>
      </c>
      <c r="O20" s="196">
        <f>'Input Tab'!M39</f>
        <v>1820818</v>
      </c>
      <c r="P20" s="196">
        <f>'Input Tab'!N39</f>
        <v>1958228</v>
      </c>
      <c r="Q20" s="60"/>
      <c r="R20" s="193">
        <f t="shared" si="2"/>
        <v>19795858</v>
      </c>
    </row>
    <row r="21" spans="1:20">
      <c r="A21" s="85">
        <f>A20+1</f>
        <v>15</v>
      </c>
      <c r="B21" s="13" t="s">
        <v>29</v>
      </c>
      <c r="C21" s="99"/>
      <c r="D21" s="34">
        <f t="shared" si="3"/>
        <v>2362181</v>
      </c>
      <c r="E21" s="36">
        <f>E35</f>
        <v>213305</v>
      </c>
      <c r="F21" s="36">
        <f>F35</f>
        <v>248240</v>
      </c>
      <c r="G21" s="36">
        <f t="shared" ref="G21:P21" si="5">G35</f>
        <v>197702</v>
      </c>
      <c r="H21" s="36">
        <f t="shared" si="5"/>
        <v>182889</v>
      </c>
      <c r="I21" s="36">
        <f t="shared" si="5"/>
        <v>168311</v>
      </c>
      <c r="J21" s="36">
        <f t="shared" si="5"/>
        <v>169612</v>
      </c>
      <c r="K21" s="36">
        <f t="shared" si="5"/>
        <v>210888</v>
      </c>
      <c r="L21" s="36">
        <f t="shared" si="5"/>
        <v>216324</v>
      </c>
      <c r="M21" s="36">
        <f>M35</f>
        <v>162315</v>
      </c>
      <c r="N21" s="36">
        <f>N35</f>
        <v>177643</v>
      </c>
      <c r="O21" s="36">
        <f t="shared" si="5"/>
        <v>193694</v>
      </c>
      <c r="P21" s="36">
        <f t="shared" si="5"/>
        <v>221258</v>
      </c>
      <c r="Q21" s="36"/>
      <c r="R21" s="193">
        <f t="shared" si="2"/>
        <v>2362181</v>
      </c>
    </row>
    <row r="22" spans="1:20">
      <c r="A22" s="85">
        <f t="shared" si="4"/>
        <v>16</v>
      </c>
      <c r="B22" s="130" t="s">
        <v>15</v>
      </c>
      <c r="C22" s="198"/>
      <c r="D22" s="34">
        <f t="shared" si="3"/>
        <v>-260487</v>
      </c>
      <c r="E22" s="37">
        <f>E33</f>
        <v>17127</v>
      </c>
      <c r="F22" s="37">
        <f>F33</f>
        <v>-25491</v>
      </c>
      <c r="G22" s="37">
        <f t="shared" ref="G22:P22" si="6">G33</f>
        <v>6656</v>
      </c>
      <c r="H22" s="37">
        <f t="shared" si="6"/>
        <v>-6171</v>
      </c>
      <c r="I22" s="37">
        <f t="shared" si="6"/>
        <v>-4214</v>
      </c>
      <c r="J22" s="37">
        <f t="shared" si="6"/>
        <v>8352</v>
      </c>
      <c r="K22" s="37">
        <f t="shared" si="6"/>
        <v>7510</v>
      </c>
      <c r="L22" s="37">
        <f t="shared" si="6"/>
        <v>25950</v>
      </c>
      <c r="M22" s="37">
        <f t="shared" si="6"/>
        <v>-40713</v>
      </c>
      <c r="N22" s="37">
        <f>N33</f>
        <v>-232912</v>
      </c>
      <c r="O22" s="37">
        <f t="shared" si="6"/>
        <v>59155</v>
      </c>
      <c r="P22" s="37">
        <f t="shared" si="6"/>
        <v>-75736</v>
      </c>
      <c r="Q22" s="37"/>
      <c r="R22" s="193">
        <f t="shared" si="2"/>
        <v>-260487</v>
      </c>
    </row>
    <row r="23" spans="1:20" s="42" customFormat="1" ht="13.5" thickBot="1">
      <c r="A23" s="199">
        <f t="shared" si="4"/>
        <v>17</v>
      </c>
      <c r="B23" s="70" t="s">
        <v>110</v>
      </c>
      <c r="C23" s="70"/>
      <c r="D23" s="50">
        <f>SUM(E23:P23)</f>
        <v>137170286</v>
      </c>
      <c r="E23" s="200">
        <f>E37</f>
        <v>16833261</v>
      </c>
      <c r="F23" s="200">
        <f t="shared" ref="F23:P23" si="7">F37</f>
        <v>15418244</v>
      </c>
      <c r="G23" s="200">
        <f>G37</f>
        <v>12301548</v>
      </c>
      <c r="H23" s="200">
        <f t="shared" si="7"/>
        <v>11248597</v>
      </c>
      <c r="I23" s="200">
        <f t="shared" si="7"/>
        <v>7857289</v>
      </c>
      <c r="J23" s="200">
        <f t="shared" si="7"/>
        <v>8387960</v>
      </c>
      <c r="K23" s="200">
        <f t="shared" si="7"/>
        <v>6606233</v>
      </c>
      <c r="L23" s="200">
        <f t="shared" si="7"/>
        <v>15747984</v>
      </c>
      <c r="M23" s="200">
        <f>M37</f>
        <v>9527787</v>
      </c>
      <c r="N23" s="200">
        <f>N37</f>
        <v>6852563</v>
      </c>
      <c r="O23" s="200">
        <f t="shared" si="7"/>
        <v>10502323</v>
      </c>
      <c r="P23" s="200">
        <f t="shared" si="7"/>
        <v>15886497</v>
      </c>
      <c r="Q23" s="38"/>
      <c r="R23" s="201">
        <f>SUM(R7:R21)</f>
        <v>137430773</v>
      </c>
    </row>
    <row r="24" spans="1:20" ht="13.5" thickTop="1">
      <c r="A24" s="85"/>
      <c r="E24" s="49" t="s">
        <v>25</v>
      </c>
      <c r="F24" s="202" t="s">
        <v>25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20">
      <c r="A25" s="85"/>
      <c r="B25" s="11" t="s">
        <v>111</v>
      </c>
      <c r="C25" s="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T25" s="203"/>
    </row>
    <row r="26" spans="1:20" outlineLevel="1">
      <c r="A26" s="85"/>
      <c r="B26" s="66" t="s">
        <v>13</v>
      </c>
      <c r="C26" s="66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20" outlineLevel="1">
      <c r="A27" s="85"/>
      <c r="B27" s="13">
        <v>555000</v>
      </c>
      <c r="D27" s="202">
        <f>SUM(E27:P27)</f>
        <v>146156804</v>
      </c>
      <c r="E27" s="28">
        <f>_xll.Get_Balance(E$83,"PTD","USD","Total","A","","001","555000","ED","AN","DL")</f>
        <v>15846149</v>
      </c>
      <c r="F27" s="28">
        <f>_xll.Get_Balance(F$83,"PTD","USD","Total","A","","001","555000","ED","AN","DL")</f>
        <v>14328579</v>
      </c>
      <c r="G27" s="28">
        <f>_xll.Get_Balance(G$83,"PTD","USD","Total","A","","001","555000","ED","AN","DL")</f>
        <v>11657321</v>
      </c>
      <c r="H27" s="28">
        <f>_xll.Get_Balance(H$83,"PTD","USD","Total","A","","001","555000","ED","AN","DL")</f>
        <v>10660127</v>
      </c>
      <c r="I27" s="28">
        <f>_xll.Get_Balance(I$83,"PTD","USD","Total","A","","001","555000","ED","AN","DL")</f>
        <v>6734179</v>
      </c>
      <c r="J27" s="28">
        <f>_xll.Get_Balance(J$83,"PTD","USD","Total","A","","001","555000","ED","AN","DL")</f>
        <v>7640445</v>
      </c>
      <c r="K27" s="28">
        <f>_xll.Get_Balance(K$83,"PTD","USD","Total","A","","001","555000","ED","AN","DL")</f>
        <v>10641659</v>
      </c>
      <c r="L27" s="28">
        <f>_xll.Get_Balance(L$83,"PTD","USD","Total","A","","001","555000","ED","AN","DL")</f>
        <v>18089475</v>
      </c>
      <c r="M27" s="28">
        <f>_xll.Get_Balance(M$83,"PTD","USD","Total","A","","001","555000","ED","AN","DL")</f>
        <v>8495547</v>
      </c>
      <c r="N27" s="28">
        <f>_xll.Get_Balance(N$83,"PTD","USD","Total","A","","001","555000","ED","AN","DL")</f>
        <v>12522935</v>
      </c>
      <c r="O27" s="28">
        <f>_xll.Get_Balance(O$83,"PTD","USD","Total","A","","001","555000","ED","AN","DL")</f>
        <v>12666461</v>
      </c>
      <c r="P27" s="28">
        <f>_xll.Get_Balance(P$83,"PTD","USD","Total","A","","001","555000","ED","AN","DL")</f>
        <v>16873927</v>
      </c>
      <c r="Q27" s="60"/>
      <c r="R27" s="193">
        <f t="shared" ref="R27:R36" si="8">SUM(E27:P27)</f>
        <v>146156804</v>
      </c>
    </row>
    <row r="28" spans="1:20" outlineLevel="1">
      <c r="A28" s="85"/>
      <c r="B28" s="13">
        <v>555030</v>
      </c>
      <c r="D28" s="202">
        <f>SUM(E28:P28)</f>
        <v>0</v>
      </c>
      <c r="E28" s="28">
        <f>_xll.Get_Balance(E$83,"PTD","USD","Total","A","","001","555030","ED","AN","DL")</f>
        <v>0</v>
      </c>
      <c r="F28" s="28">
        <f>_xll.Get_Balance(F$83,"PTD","USD","Total","A","","001","555030","ED","AN","DL")</f>
        <v>0</v>
      </c>
      <c r="G28" s="28">
        <f>_xll.Get_Balance(G$83,"PTD","USD","Total","A","","001","555030","ED","AN","DL")</f>
        <v>0</v>
      </c>
      <c r="H28" s="28">
        <f>_xll.Get_Balance(H$83,"PTD","USD","Total","A","","001","555030","ED","AN","DL")</f>
        <v>0</v>
      </c>
      <c r="I28" s="28">
        <f>_xll.Get_Balance(I$83,"PTD","USD","Total","A","","001","555030","ED","AN","DL")</f>
        <v>0</v>
      </c>
      <c r="J28" s="28">
        <f>_xll.Get_Balance(J$83,"PTD","USD","Total","A","","001","555030","ED","AN","DL")</f>
        <v>0</v>
      </c>
      <c r="K28" s="28">
        <f>_xll.Get_Balance(K$83,"PTD","USD","Total","A","","001","555030","ED","AN","DL")</f>
        <v>0</v>
      </c>
      <c r="L28" s="28">
        <f>_xll.Get_Balance(L$83,"PTD","USD","Total","A","","001","555030","ED","AN","DL")</f>
        <v>0</v>
      </c>
      <c r="M28" s="28">
        <f>_xll.Get_Balance(M$83,"PTD","USD","Total","A","","001","555030","ED","AN","DL")</f>
        <v>0</v>
      </c>
      <c r="N28" s="28">
        <f>_xll.Get_Balance(N$83,"PTD","USD","Total","A","","001","555030","ED","AN","DL")</f>
        <v>0</v>
      </c>
      <c r="O28" s="28">
        <f>_xll.Get_Balance(O$83,"PTD","USD","Total","A","","001","555030","ED","AN","DL")</f>
        <v>0</v>
      </c>
      <c r="P28" s="28">
        <f>_xll.Get_Balance(P$83,"PTD","USD","Total","A","","001","555030","ED","AN","DL")</f>
        <v>0</v>
      </c>
      <c r="Q28" s="60"/>
      <c r="R28" s="193"/>
    </row>
    <row r="29" spans="1:20" outlineLevel="1">
      <c r="A29" s="85"/>
      <c r="B29" s="13">
        <v>555100</v>
      </c>
      <c r="C29" s="13" t="s">
        <v>123</v>
      </c>
      <c r="D29" s="202">
        <f t="shared" ref="D29:D36" si="9">SUM(E29:P29)</f>
        <v>-16474537</v>
      </c>
      <c r="E29" s="28">
        <f>_xll.Get_Balance(E$83,"PTD","USD","Total","A","","001","555100","ED","AN","DL")</f>
        <v>269952</v>
      </c>
      <c r="F29" s="28">
        <f>_xll.Get_Balance(F$83,"PTD","USD","Total","A","","001","555100","ED","AN","DL")</f>
        <v>412596</v>
      </c>
      <c r="G29" s="28">
        <f>_xll.Get_Balance(G$83,"PTD","USD","Total","A","","001","555100","ED","AN","DL")</f>
        <v>-12728</v>
      </c>
      <c r="H29" s="28">
        <f>_xll.Get_Balance(H$83,"PTD","USD","Total","A","","001","555100","ED","AN","DL")</f>
        <v>137952</v>
      </c>
      <c r="I29" s="28">
        <f>_xll.Get_Balance(I$83,"PTD","USD","Total","A","","001","555100","ED","AN","DL")</f>
        <v>885113</v>
      </c>
      <c r="J29" s="28">
        <f>_xll.Get_Balance(J$83,"PTD","USD","Total","A","","001","555100","ED","AN","DL")</f>
        <v>416570</v>
      </c>
      <c r="K29" s="28">
        <f>_xll.Get_Balance(K$83,"PTD","USD","Total","A","","001","555100","ED","AN","DL")</f>
        <v>-5111900</v>
      </c>
      <c r="L29" s="28">
        <f>_xll.Get_Balance(L$83,"PTD","USD","Total","A","","001","555100","ED","AN","DL")</f>
        <v>-3610131</v>
      </c>
      <c r="M29" s="28">
        <f>_xll.Get_Balance(M$83,"PTD","USD","Total","A","","001","555100","ED","AN","DL")</f>
        <v>846658</v>
      </c>
      <c r="N29" s="28">
        <f>_xll.Get_Balance(N$83,"PTD","USD","Total","A","","001","555100","ED","AN","DL")</f>
        <v>-5673672</v>
      </c>
      <c r="O29" s="28">
        <f>_xll.Get_Balance(O$83,"PTD","USD","Total","A","","001","555100","ED","AN","DL")</f>
        <v>-2816737</v>
      </c>
      <c r="P29" s="28">
        <f>_xll.Get_Balance(P$83,"PTD","USD","Total","A","","001","555100","ED","AN","DL")</f>
        <v>-2218210</v>
      </c>
      <c r="Q29" s="60"/>
      <c r="R29" s="193">
        <f t="shared" si="8"/>
        <v>-16474537</v>
      </c>
    </row>
    <row r="30" spans="1:20" outlineLevel="1">
      <c r="A30" s="85"/>
      <c r="B30" s="11">
        <v>555312</v>
      </c>
      <c r="C30" s="11" t="s">
        <v>74</v>
      </c>
      <c r="D30" s="202">
        <f t="shared" si="9"/>
        <v>0</v>
      </c>
      <c r="E30" s="28">
        <f>_xll.Get_Balance(E$83,"PTD","USD","Total","A","","001","555312","ED","AN","DL")</f>
        <v>0</v>
      </c>
      <c r="F30" s="28">
        <f>_xll.Get_Balance(F$83,"PTD","USD","Total","A","","001","555312","ED","AN","DL")</f>
        <v>0</v>
      </c>
      <c r="G30" s="28">
        <f>_xll.Get_Balance(G$83,"PTD","USD","Total","A","","001","555312","ED","AN","DL")</f>
        <v>0</v>
      </c>
      <c r="H30" s="28">
        <f>_xll.Get_Balance(H$83,"PTD","USD","Total","A","","001","555312","ED","AN","DL")</f>
        <v>0</v>
      </c>
      <c r="I30" s="28">
        <f>_xll.Get_Balance(I$83,"PTD","USD","Total","A","","001","555312","ED","AN","DL")</f>
        <v>0</v>
      </c>
      <c r="J30" s="28">
        <f>_xll.Get_Balance(J$83,"PTD","USD","Total","A","","001","555312","ED","AN","DL")</f>
        <v>0</v>
      </c>
      <c r="K30" s="28">
        <f>_xll.Get_Balance(K$83,"PTD","USD","Total","A","","001","555312","ED","AN","DL")</f>
        <v>0</v>
      </c>
      <c r="L30" s="28">
        <f>_xll.Get_Balance(L$83,"PTD","USD","Total","A","","001","555312","ED","AN","DL")</f>
        <v>0</v>
      </c>
      <c r="M30" s="28">
        <f>_xll.Get_Balance(M$83,"PTD","USD","Total","A","","001","555312","ED","AN","DL")</f>
        <v>0</v>
      </c>
      <c r="N30" s="28">
        <f>_xll.Get_Balance(N$83,"PTD","USD","Total","A","","001","555312","ED","AN","DL")</f>
        <v>0</v>
      </c>
      <c r="O30" s="28">
        <f>_xll.Get_Balance(O$83,"PTD","USD","Total","A","","001","555312","ED","AN","DL")</f>
        <v>0</v>
      </c>
      <c r="P30" s="28">
        <f>_xll.Get_Balance(P$83,"PTD","USD","Total","A","","001","555312","ED","AN","DL")</f>
        <v>0</v>
      </c>
      <c r="Q30" s="60"/>
      <c r="R30" s="193">
        <f>SUM(E30:P30)</f>
        <v>0</v>
      </c>
    </row>
    <row r="31" spans="1:20" outlineLevel="1">
      <c r="A31" s="85"/>
      <c r="B31" s="13">
        <v>555313</v>
      </c>
      <c r="C31" s="13" t="s">
        <v>74</v>
      </c>
      <c r="D31" s="202">
        <f t="shared" si="9"/>
        <v>0</v>
      </c>
      <c r="E31" s="28">
        <f>_xll.Get_Balance(E$83,"PTD","USD","Total","A","","001","555313","ED","AN","DL")</f>
        <v>0</v>
      </c>
      <c r="F31" s="28">
        <f>_xll.Get_Balance(F$83,"PTD","USD","Total","A","","001","555313","ED","AN","DL")</f>
        <v>0</v>
      </c>
      <c r="G31" s="28">
        <f>_xll.Get_Balance(G$83,"PTD","USD","Total","A","","001","555313","ED","AN","DL")</f>
        <v>0</v>
      </c>
      <c r="H31" s="28">
        <f>_xll.Get_Balance(H$83,"PTD","USD","Total","A","","001","555313","ED","AN","DL")</f>
        <v>0</v>
      </c>
      <c r="I31" s="28">
        <f>_xll.Get_Balance(I$83,"PTD","USD","Total","A","","001","555313","ED","AN","DL")</f>
        <v>0</v>
      </c>
      <c r="J31" s="28">
        <f>_xll.Get_Balance(J$83,"PTD","USD","Total","A","","001","555313","ED","AN","DL")</f>
        <v>0</v>
      </c>
      <c r="K31" s="28">
        <f>_xll.Get_Balance(K$83,"PTD","USD","Total","A","","001","555313","ED","AN","DL")</f>
        <v>0</v>
      </c>
      <c r="L31" s="28">
        <f>_xll.Get_Balance(L$83,"PTD","USD","Total","A","","001","555313","ED","AN","DL")</f>
        <v>0</v>
      </c>
      <c r="M31" s="28">
        <f>_xll.Get_Balance(M$83,"PTD","USD","Total","A","","001","555313","ED","AN","DL")</f>
        <v>0</v>
      </c>
      <c r="N31" s="28">
        <f>_xll.Get_Balance(N$83,"PTD","USD","Total","A","","001","555313","ED","AN","DL")</f>
        <v>0</v>
      </c>
      <c r="O31" s="28">
        <f>_xll.Get_Balance(O$83,"PTD","USD","Total","A","","001","555313","ED","AN","DL")</f>
        <v>0</v>
      </c>
      <c r="P31" s="28">
        <f>_xll.Get_Balance(P$83,"PTD","USD","Total","A","","001","555313","ED","AN","DL")</f>
        <v>0</v>
      </c>
      <c r="Q31" s="60"/>
      <c r="R31" s="193">
        <f>SUM(E31:P31)</f>
        <v>0</v>
      </c>
    </row>
    <row r="32" spans="1:20" outlineLevel="1">
      <c r="A32" s="85"/>
      <c r="B32" s="13">
        <v>555380</v>
      </c>
      <c r="C32" s="13" t="s">
        <v>124</v>
      </c>
      <c r="D32" s="202">
        <f t="shared" si="9"/>
        <v>0</v>
      </c>
      <c r="E32" s="28">
        <f>_xll.Get_Balance(E$83,"PTD","USD","Total","A","","001","555380","ED","AN","DL")</f>
        <v>0</v>
      </c>
      <c r="F32" s="28">
        <f>_xll.Get_Balance(F$83,"PTD","USD","Total","A","","001","555380","ED","AN","DL")</f>
        <v>0</v>
      </c>
      <c r="G32" s="28">
        <f>_xll.Get_Balance(G$83,"PTD","USD","Total","A","","001","555380","ED","AN","DL")</f>
        <v>0</v>
      </c>
      <c r="H32" s="28">
        <f>_xll.Get_Balance(H$83,"PTD","USD","Total","A","","001","555380","ED","AN","DL")</f>
        <v>0</v>
      </c>
      <c r="I32" s="28">
        <f>_xll.Get_Balance(I$83,"PTD","USD","Total","A","","001","555380","ED","AN","DL")</f>
        <v>0</v>
      </c>
      <c r="J32" s="28">
        <f>_xll.Get_Balance(J$83,"PTD","USD","Total","A","","001","555380","ED","AN","DL")</f>
        <v>0</v>
      </c>
      <c r="K32" s="28">
        <f>_xll.Get_Balance(K$83,"PTD","USD","Total","A","","001","555380","ED","AN","DL")</f>
        <v>0</v>
      </c>
      <c r="L32" s="28">
        <f>_xll.Get_Balance(L$83,"PTD","USD","Total","A","","001","555380","ED","AN","DL")</f>
        <v>0</v>
      </c>
      <c r="M32" s="28">
        <f>_xll.Get_Balance(M$83,"PTD","USD","Total","A","","001","555380","ED","AN","DL")</f>
        <v>0</v>
      </c>
      <c r="N32" s="28">
        <f>_xll.Get_Balance(N$83,"PTD","USD","Total","A","","001","555380","ED","AN","DL")</f>
        <v>0</v>
      </c>
      <c r="O32" s="28">
        <f>_xll.Get_Balance(O$83,"PTD","USD","Total","A","","001","555380","ED","AN","DL")</f>
        <v>0</v>
      </c>
      <c r="P32" s="28">
        <f>_xll.Get_Balance(P$83,"PTD","USD","Total","A","","001","555380","ED","AN","DL")</f>
        <v>0</v>
      </c>
      <c r="Q32" s="60"/>
      <c r="R32" s="193">
        <f>SUM(E32:P32)</f>
        <v>0</v>
      </c>
    </row>
    <row r="33" spans="1:18" outlineLevel="1">
      <c r="A33" s="85"/>
      <c r="B33" s="13">
        <v>555550</v>
      </c>
      <c r="C33" s="13" t="s">
        <v>125</v>
      </c>
      <c r="D33" s="202">
        <f t="shared" si="9"/>
        <v>-260487</v>
      </c>
      <c r="E33" s="28">
        <f>_xll.Get_Balance(E$83,"PTD","USD","Total","A","","001","555550","ED","AN","DL")</f>
        <v>17127</v>
      </c>
      <c r="F33" s="28">
        <f>_xll.Get_Balance(F$83,"PTD","USD","Total","A","","001","555550","ED","AN","DL")</f>
        <v>-25491</v>
      </c>
      <c r="G33" s="28">
        <f>_xll.Get_Balance(G$83,"PTD","USD","Total","A","","001","555550","ED","AN","DL")</f>
        <v>6656</v>
      </c>
      <c r="H33" s="28">
        <f>_xll.Get_Balance(H$83,"PTD","USD","Total","A","","001","555550","ED","AN","DL")</f>
        <v>-6171</v>
      </c>
      <c r="I33" s="28">
        <f>_xll.Get_Balance(I$83,"PTD","USD","Total","A","","001","555550","ED","AN","DL")</f>
        <v>-4214</v>
      </c>
      <c r="J33" s="28">
        <f>_xll.Get_Balance(J$83,"PTD","USD","Total","A","","001","555550","ED","AN","DL")</f>
        <v>8352</v>
      </c>
      <c r="K33" s="28">
        <f>_xll.Get_Balance(K$83,"PTD","USD","Total","A","","001","555550","ED","AN","DL")</f>
        <v>7510</v>
      </c>
      <c r="L33" s="28">
        <f>_xll.Get_Balance(L$83,"PTD","USD","Total","A","","001","555550","ED","AN","DL")</f>
        <v>25950</v>
      </c>
      <c r="M33" s="28">
        <f>_xll.Get_Balance(M$83,"PTD","USD","Total","A","","001","555550","ED","AN","DL")</f>
        <v>-40713</v>
      </c>
      <c r="N33" s="28">
        <f>_xll.Get_Balance(N$83,"PTD","USD","Total","A","","001","555550","ED","AN","DL")</f>
        <v>-232912</v>
      </c>
      <c r="O33" s="28">
        <f>_xll.Get_Balance(O$83,"PTD","USD","Total","A","","001","555550","ED","AN","DL")</f>
        <v>59155</v>
      </c>
      <c r="P33" s="28">
        <f>_xll.Get_Balance(P$83,"PTD","USD","Total","A","","001","555550","ED","AN","DL")</f>
        <v>-75736</v>
      </c>
      <c r="Q33" s="60"/>
      <c r="R33" s="193">
        <f>SUM(E33:P33)</f>
        <v>-260487</v>
      </c>
    </row>
    <row r="34" spans="1:18" outlineLevel="1">
      <c r="A34" s="85"/>
      <c r="B34" s="13">
        <v>555700</v>
      </c>
      <c r="C34" s="13" t="s">
        <v>126</v>
      </c>
      <c r="D34" s="202">
        <f t="shared" si="9"/>
        <v>4457226</v>
      </c>
      <c r="E34" s="28">
        <f>_xll.Get_Balance(E$83,"PTD","USD","Total","A","","001","555700","ED","AN","DL")</f>
        <v>185905</v>
      </c>
      <c r="F34" s="28">
        <f>_xll.Get_Balance(F$83,"PTD","USD","Total","A","","001","555700","ED","AN","DL")</f>
        <v>182496</v>
      </c>
      <c r="G34" s="28">
        <f>_xll.Get_Balance(G$83,"PTD","USD","Total","A","","001","555700","ED","AN","DL")</f>
        <v>304081</v>
      </c>
      <c r="H34" s="28">
        <f>_xll.Get_Balance(H$83,"PTD","USD","Total","A","","001","555700","ED","AN","DL")</f>
        <v>129962</v>
      </c>
      <c r="I34" s="28">
        <f>_xll.Get_Balance(I$83,"PTD","USD","Total","A","","001","555700","ED","AN","DL")</f>
        <v>73900</v>
      </c>
      <c r="J34" s="28">
        <f>_xll.Get_Balance(J$83,"PTD","USD","Total","A","","001","555700","ED","AN","DL")</f>
        <v>152981</v>
      </c>
      <c r="K34" s="28">
        <f>_xll.Get_Balance(K$83,"PTD","USD","Total","A","","001","555700","ED","AN","DL")</f>
        <v>858076</v>
      </c>
      <c r="L34" s="28">
        <f>_xll.Get_Balance(L$83,"PTD","USD","Total","A","","001","555700","ED","AN","DL")</f>
        <v>1026366</v>
      </c>
      <c r="M34" s="28">
        <f>_xll.Get_Balance(M$83,"PTD","USD","Total","A","","001","555700","ED","AN","DL")</f>
        <v>63980</v>
      </c>
      <c r="N34" s="28">
        <f>_xll.Get_Balance(N$83,"PTD","USD","Total","A","","001","555700","ED","AN","DL")</f>
        <v>58569</v>
      </c>
      <c r="O34" s="28">
        <f>_xll.Get_Balance(O$83,"PTD","USD","Total","A","","001","555700","ED","AN","DL")</f>
        <v>368225</v>
      </c>
      <c r="P34" s="28">
        <f>_xll.Get_Balance(P$83,"PTD","USD","Total","A","","001","555700","ED","AN","DL")</f>
        <v>1052685</v>
      </c>
      <c r="Q34" s="60"/>
      <c r="R34" s="193">
        <f t="shared" si="8"/>
        <v>4457226</v>
      </c>
    </row>
    <row r="35" spans="1:18" outlineLevel="1">
      <c r="A35" s="85"/>
      <c r="B35" s="13">
        <v>555710</v>
      </c>
      <c r="C35" s="13" t="s">
        <v>127</v>
      </c>
      <c r="D35" s="202">
        <f t="shared" si="9"/>
        <v>2362181</v>
      </c>
      <c r="E35" s="28">
        <f>_xll.Get_Balance(E$83,"PTD","USD","Total","A","","001","555710","ED","AN","DL")</f>
        <v>213305</v>
      </c>
      <c r="F35" s="28">
        <f>_xll.Get_Balance(F$83,"PTD","USD","Total","A","","001","555710","ED","AN","DL")</f>
        <v>248240</v>
      </c>
      <c r="G35" s="28">
        <f>_xll.Get_Balance(G$83,"PTD","USD","Total","A","","001","555710","ED","AN","DL")</f>
        <v>197702</v>
      </c>
      <c r="H35" s="28">
        <f>_xll.Get_Balance(H$83,"PTD","USD","Total","A","","001","555710","ED","AN","DL")</f>
        <v>182889</v>
      </c>
      <c r="I35" s="28">
        <f>_xll.Get_Balance(I$83,"PTD","USD","Total","A","","001","555710","ED","AN","DL")</f>
        <v>168311</v>
      </c>
      <c r="J35" s="28">
        <f>_xll.Get_Balance(J$83,"PTD","USD","Total","A","","001","555710","ED","AN","DL")</f>
        <v>169612</v>
      </c>
      <c r="K35" s="28">
        <f>_xll.Get_Balance(K$83,"PTD","USD","Total","A","","001","555710","ED","AN","DL")</f>
        <v>210888</v>
      </c>
      <c r="L35" s="28">
        <f>_xll.Get_Balance(L$83,"PTD","USD","Total","A","","001","555710","ED","AN","DL")</f>
        <v>216324</v>
      </c>
      <c r="M35" s="28">
        <f>_xll.Get_Balance(M$83,"PTD","USD","Total","A","","001","555710","ED","AN","DL")</f>
        <v>162315</v>
      </c>
      <c r="N35" s="28">
        <f>_xll.Get_Balance(N$83,"PTD","USD","Total","A","","001","555710","ED","AN","DL")</f>
        <v>177643</v>
      </c>
      <c r="O35" s="28">
        <f>_xll.Get_Balance(O$83,"PTD","USD","Total","A","","001","555710","ED","AN","DL")</f>
        <v>193694</v>
      </c>
      <c r="P35" s="28">
        <f>_xll.Get_Balance(P$83,"PTD","USD","Total","A","","001","555710","ED","AN","DL")</f>
        <v>221258</v>
      </c>
      <c r="Q35" s="60"/>
      <c r="R35" s="193">
        <f t="shared" si="8"/>
        <v>2362181</v>
      </c>
    </row>
    <row r="36" spans="1:18" outlineLevel="1">
      <c r="A36" s="85"/>
      <c r="B36" s="67" t="s">
        <v>50</v>
      </c>
      <c r="C36" s="44" t="s">
        <v>176</v>
      </c>
      <c r="D36" s="204">
        <f t="shared" si="9"/>
        <v>929099</v>
      </c>
      <c r="E36" s="205">
        <f>'Input Tab'!C41</f>
        <v>300823.05</v>
      </c>
      <c r="F36" s="205">
        <f>'Input Tab'!D41</f>
        <v>271824.2</v>
      </c>
      <c r="G36" s="205">
        <f>'Input Tab'!E41</f>
        <v>148515.9</v>
      </c>
      <c r="H36" s="205">
        <f>'Input Tab'!F41</f>
        <v>143838.34</v>
      </c>
      <c r="I36" s="205">
        <f>'Input Tab'!G41</f>
        <v>0</v>
      </c>
      <c r="J36" s="205">
        <f>'Input Tab'!H41</f>
        <v>0</v>
      </c>
      <c r="K36" s="205">
        <f>'Input Tab'!I41</f>
        <v>0</v>
      </c>
      <c r="L36" s="205">
        <f>'Input Tab'!J41</f>
        <v>0</v>
      </c>
      <c r="M36" s="205">
        <f>'Input Tab'!K41</f>
        <v>0</v>
      </c>
      <c r="N36" s="205">
        <f>'Input Tab'!L41</f>
        <v>0</v>
      </c>
      <c r="O36" s="205">
        <f>'Input Tab'!M41</f>
        <v>31525.200000000001</v>
      </c>
      <c r="P36" s="205">
        <f>'Input Tab'!N41</f>
        <v>32572.799999999999</v>
      </c>
      <c r="Q36" s="138"/>
      <c r="R36" s="193">
        <f t="shared" si="8"/>
        <v>929099</v>
      </c>
    </row>
    <row r="37" spans="1:18" s="42" customFormat="1" outlineLevel="1">
      <c r="A37" s="206"/>
      <c r="B37" s="68"/>
      <c r="C37" s="68"/>
      <c r="D37" s="51">
        <f>SUM(E37:P37)</f>
        <v>137170286</v>
      </c>
      <c r="E37" s="51">
        <f>SUM(E27:E36)</f>
        <v>16833261</v>
      </c>
      <c r="F37" s="51">
        <f t="shared" ref="F37:P37" si="10">SUM(F27:F36)</f>
        <v>15418244</v>
      </c>
      <c r="G37" s="51">
        <f>SUM(G27:G36)</f>
        <v>12301548</v>
      </c>
      <c r="H37" s="51">
        <f t="shared" si="10"/>
        <v>11248597</v>
      </c>
      <c r="I37" s="51">
        <f t="shared" si="10"/>
        <v>7857289</v>
      </c>
      <c r="J37" s="51">
        <f t="shared" si="10"/>
        <v>8387960</v>
      </c>
      <c r="K37" s="51">
        <f t="shared" si="10"/>
        <v>6606233</v>
      </c>
      <c r="L37" s="51">
        <f t="shared" si="10"/>
        <v>15747984</v>
      </c>
      <c r="M37" s="51">
        <f>SUM(M27:M36)</f>
        <v>9527787</v>
      </c>
      <c r="N37" s="51">
        <f>SUM(N27:N36)</f>
        <v>6852563</v>
      </c>
      <c r="O37" s="51">
        <f t="shared" si="10"/>
        <v>10502323</v>
      </c>
      <c r="P37" s="51">
        <f t="shared" si="10"/>
        <v>15886497</v>
      </c>
      <c r="Q37" s="58"/>
      <c r="R37" s="51">
        <f>SUM(R27:R36)</f>
        <v>137170286</v>
      </c>
    </row>
    <row r="38" spans="1:18">
      <c r="A38" s="85"/>
      <c r="B38" s="68"/>
      <c r="C38" s="68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8" ht="19.5" customHeight="1">
      <c r="A39" s="85"/>
      <c r="B39" s="69" t="s">
        <v>22</v>
      </c>
      <c r="C39" s="69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8" ht="12.95" customHeight="1">
      <c r="A40" s="85">
        <f>A23+1</f>
        <v>18</v>
      </c>
      <c r="B40" s="13" t="s">
        <v>23</v>
      </c>
      <c r="C40" s="99"/>
      <c r="D40" s="202">
        <f t="shared" ref="D40:D45" si="11">SUM(E40:P40)</f>
        <v>-78485816</v>
      </c>
      <c r="E40" s="37">
        <f t="shared" ref="E40:P40" si="12">E45-SUM(E41:E44)</f>
        <v>-11050528</v>
      </c>
      <c r="F40" s="37">
        <f t="shared" si="12"/>
        <v>-7466737</v>
      </c>
      <c r="G40" s="37">
        <f t="shared" si="12"/>
        <v>-9182024</v>
      </c>
      <c r="H40" s="37">
        <f t="shared" si="12"/>
        <v>-11923918</v>
      </c>
      <c r="I40" s="37">
        <f t="shared" si="12"/>
        <v>-5578440</v>
      </c>
      <c r="J40" s="37">
        <f t="shared" si="12"/>
        <v>-6436712</v>
      </c>
      <c r="K40" s="37">
        <f t="shared" si="12"/>
        <v>-1152037</v>
      </c>
      <c r="L40" s="37">
        <f t="shared" si="12"/>
        <v>-8024373</v>
      </c>
      <c r="M40" s="37">
        <f t="shared" si="12"/>
        <v>-4057183</v>
      </c>
      <c r="N40" s="37">
        <f t="shared" si="12"/>
        <v>193004</v>
      </c>
      <c r="O40" s="37">
        <f t="shared" si="12"/>
        <v>-7918703</v>
      </c>
      <c r="P40" s="37">
        <f t="shared" si="12"/>
        <v>-5888165</v>
      </c>
      <c r="Q40" s="207"/>
      <c r="R40" s="202">
        <f>SUM(E40:P40)</f>
        <v>-78485816</v>
      </c>
    </row>
    <row r="41" spans="1:18">
      <c r="A41" s="85">
        <f>A40+1</f>
        <v>19</v>
      </c>
      <c r="B41" s="13" t="s">
        <v>28</v>
      </c>
      <c r="C41" s="99" t="s">
        <v>128</v>
      </c>
      <c r="D41" s="202">
        <f t="shared" si="11"/>
        <v>1502104</v>
      </c>
      <c r="E41" s="197">
        <f>'Input Tab'!C44</f>
        <v>96850</v>
      </c>
      <c r="F41" s="197">
        <f>'Input Tab'!D44</f>
        <v>54051</v>
      </c>
      <c r="G41" s="197">
        <f>'Input Tab'!E44</f>
        <v>67735</v>
      </c>
      <c r="H41" s="197">
        <f>'Input Tab'!F44</f>
        <v>46838</v>
      </c>
      <c r="I41" s="197">
        <f>'Input Tab'!G44</f>
        <v>23444</v>
      </c>
      <c r="J41" s="197">
        <f>'Input Tab'!H44</f>
        <v>38086</v>
      </c>
      <c r="K41" s="197">
        <f>'Input Tab'!I44</f>
        <v>256173</v>
      </c>
      <c r="L41" s="197">
        <f>'Input Tab'!J44</f>
        <v>268722</v>
      </c>
      <c r="M41" s="197">
        <f>'Input Tab'!K44</f>
        <v>122395</v>
      </c>
      <c r="N41" s="197">
        <f>'Input Tab'!L44</f>
        <v>152031</v>
      </c>
      <c r="O41" s="197">
        <f>'Input Tab'!M44</f>
        <v>185445</v>
      </c>
      <c r="P41" s="197">
        <f>'Input Tab'!N44</f>
        <v>190334</v>
      </c>
      <c r="Q41" s="207"/>
      <c r="R41" s="202">
        <f>SUM(E41:P41)</f>
        <v>1502104</v>
      </c>
    </row>
    <row r="42" spans="1:18">
      <c r="A42" s="85">
        <f>A41+1</f>
        <v>20</v>
      </c>
      <c r="B42" s="11" t="s">
        <v>205</v>
      </c>
      <c r="C42" s="44" t="s">
        <v>175</v>
      </c>
      <c r="D42" s="202">
        <f t="shared" si="11"/>
        <v>159382</v>
      </c>
      <c r="E42" s="197">
        <f>'Input Tab'!C45</f>
        <v>12978</v>
      </c>
      <c r="F42" s="197">
        <f>'Input Tab'!D45</f>
        <v>11594</v>
      </c>
      <c r="G42" s="197">
        <f>'Input Tab'!E45</f>
        <v>12269</v>
      </c>
      <c r="H42" s="197">
        <f>'Input Tab'!F45</f>
        <v>23957</v>
      </c>
      <c r="I42" s="197">
        <f>'Input Tab'!G45</f>
        <v>12240</v>
      </c>
      <c r="J42" s="197">
        <f>'Input Tab'!H45</f>
        <v>11887</v>
      </c>
      <c r="K42" s="197">
        <f>'Input Tab'!I45</f>
        <v>12458</v>
      </c>
      <c r="L42" s="197">
        <f>'Input Tab'!J45</f>
        <v>12397</v>
      </c>
      <c r="M42" s="197">
        <f>'Input Tab'!K45</f>
        <v>11830</v>
      </c>
      <c r="N42" s="197">
        <f>'Input Tab'!L45</f>
        <v>12482</v>
      </c>
      <c r="O42" s="197">
        <f>'Input Tab'!M45</f>
        <v>12405</v>
      </c>
      <c r="P42" s="197">
        <f>'Input Tab'!N45</f>
        <v>12885</v>
      </c>
      <c r="Q42" s="207"/>
      <c r="R42" s="202">
        <f>SUM(E42:P42)</f>
        <v>159382</v>
      </c>
    </row>
    <row r="43" spans="1:18">
      <c r="A43" s="85">
        <f>A42+1</f>
        <v>21</v>
      </c>
      <c r="B43" s="13" t="s">
        <v>32</v>
      </c>
      <c r="C43" s="208" t="s">
        <v>174</v>
      </c>
      <c r="D43" s="202">
        <f t="shared" si="11"/>
        <v>681080</v>
      </c>
      <c r="E43" s="197">
        <f>'Input Tab'!C46</f>
        <v>61859</v>
      </c>
      <c r="F43" s="197">
        <f>'Input Tab'!D46</f>
        <v>59141</v>
      </c>
      <c r="G43" s="197">
        <f>'Input Tab'!E46</f>
        <v>65628</v>
      </c>
      <c r="H43" s="197">
        <f>'Input Tab'!F46</f>
        <v>58213</v>
      </c>
      <c r="I43" s="197">
        <f>'Input Tab'!G46</f>
        <v>48440</v>
      </c>
      <c r="J43" s="197">
        <f>'Input Tab'!H46</f>
        <v>49177</v>
      </c>
      <c r="K43" s="197">
        <f>'Input Tab'!I46</f>
        <v>56197</v>
      </c>
      <c r="L43" s="197">
        <f>'Input Tab'!J46</f>
        <v>50370</v>
      </c>
      <c r="M43" s="197">
        <f>'Input Tab'!K46</f>
        <v>50107</v>
      </c>
      <c r="N43" s="197">
        <f>'Input Tab'!L46</f>
        <v>59684</v>
      </c>
      <c r="O43" s="197">
        <f>'Input Tab'!M46</f>
        <v>59857</v>
      </c>
      <c r="P43" s="197">
        <f>'Input Tab'!N46</f>
        <v>62407</v>
      </c>
      <c r="Q43" s="207"/>
      <c r="R43" s="202">
        <f>SUM(E43:P43)</f>
        <v>681080</v>
      </c>
    </row>
    <row r="44" spans="1:18">
      <c r="A44" s="85">
        <f>A43+1</f>
        <v>22</v>
      </c>
      <c r="B44" s="13" t="s">
        <v>30</v>
      </c>
      <c r="C44" s="99"/>
      <c r="D44" s="202">
        <f t="shared" si="11"/>
        <v>-15610685</v>
      </c>
      <c r="E44" s="35">
        <f>E54</f>
        <v>-3148683</v>
      </c>
      <c r="F44" s="35">
        <f>F54</f>
        <v>-2334720</v>
      </c>
      <c r="G44" s="35">
        <f t="shared" ref="G44:P44" si="13">G54</f>
        <v>-2161705</v>
      </c>
      <c r="H44" s="35">
        <f t="shared" si="13"/>
        <v>554578</v>
      </c>
      <c r="I44" s="35">
        <f t="shared" si="13"/>
        <v>-1211637</v>
      </c>
      <c r="J44" s="35">
        <f>J54</f>
        <v>-1350958</v>
      </c>
      <c r="K44" s="35">
        <f>K54</f>
        <v>-1175743</v>
      </c>
      <c r="L44" s="35">
        <f t="shared" si="13"/>
        <v>-1019134</v>
      </c>
      <c r="M44" s="35">
        <f t="shared" si="13"/>
        <v>-874375</v>
      </c>
      <c r="N44" s="35">
        <f t="shared" si="13"/>
        <v>-830108</v>
      </c>
      <c r="O44" s="35">
        <f t="shared" si="13"/>
        <v>-1135045</v>
      </c>
      <c r="P44" s="35">
        <f t="shared" si="13"/>
        <v>-923155</v>
      </c>
      <c r="Q44" s="207"/>
      <c r="R44" s="202">
        <f>SUM(E44:P44)</f>
        <v>-15610685</v>
      </c>
    </row>
    <row r="45" spans="1:18" s="42" customFormat="1" ht="24.75" customHeight="1" thickBot="1">
      <c r="A45" s="199">
        <f>A44+1</f>
        <v>23</v>
      </c>
      <c r="B45" s="70" t="s">
        <v>109</v>
      </c>
      <c r="C45" s="70"/>
      <c r="D45" s="50">
        <f t="shared" si="11"/>
        <v>-91753935</v>
      </c>
      <c r="E45" s="200">
        <f>E55</f>
        <v>-14027524</v>
      </c>
      <c r="F45" s="200">
        <f>F55</f>
        <v>-9676671</v>
      </c>
      <c r="G45" s="200">
        <f t="shared" ref="G45:P45" si="14">G55</f>
        <v>-11198097</v>
      </c>
      <c r="H45" s="200">
        <f>H55</f>
        <v>-11240332</v>
      </c>
      <c r="I45" s="200">
        <f>I55</f>
        <v>-6705953</v>
      </c>
      <c r="J45" s="200">
        <f t="shared" si="14"/>
        <v>-7688520</v>
      </c>
      <c r="K45" s="200">
        <f t="shared" si="14"/>
        <v>-2002952</v>
      </c>
      <c r="L45" s="200">
        <f t="shared" si="14"/>
        <v>-8712018</v>
      </c>
      <c r="M45" s="200">
        <f>M55</f>
        <v>-4747226</v>
      </c>
      <c r="N45" s="200">
        <f t="shared" si="14"/>
        <v>-412907</v>
      </c>
      <c r="O45" s="200">
        <f t="shared" si="14"/>
        <v>-8796041</v>
      </c>
      <c r="P45" s="200">
        <f t="shared" si="14"/>
        <v>-6545694</v>
      </c>
      <c r="Q45" s="209"/>
      <c r="R45" s="201">
        <f>SUM(R40:R44)</f>
        <v>-91753935</v>
      </c>
    </row>
    <row r="46" spans="1:18" ht="13.5" thickTop="1">
      <c r="A46" s="8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210"/>
    </row>
    <row r="47" spans="1:18" outlineLevel="2">
      <c r="A47" s="85"/>
      <c r="E47" s="202"/>
      <c r="F47" s="20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210"/>
    </row>
    <row r="48" spans="1:18" outlineLevel="2">
      <c r="A48" s="85"/>
      <c r="B48" s="71" t="s">
        <v>22</v>
      </c>
      <c r="C48" s="71"/>
      <c r="E48" s="202"/>
      <c r="F48" s="20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210"/>
    </row>
    <row r="49" spans="1:18" outlineLevel="2">
      <c r="A49" s="85"/>
      <c r="B49" s="13">
        <v>447000</v>
      </c>
      <c r="D49" s="202">
        <f t="shared" ref="D49:D55" si="15">SUM(E49:P49)</f>
        <v>-67644126</v>
      </c>
      <c r="E49" s="28">
        <f>_xll.Get_Balance(E$83,"PTD","USD","Total","A","","001","447000","ED","AN","DL")</f>
        <v>-7609680</v>
      </c>
      <c r="F49" s="28">
        <f>_xll.Get_Balance(F$83,"PTD","USD","Total","A","","001","447000","ED","AN","DL")</f>
        <v>-5047431</v>
      </c>
      <c r="G49" s="28">
        <f>_xll.Get_Balance(G$83,"PTD","USD","Total","A","","001","447000","ED","AN","DL")</f>
        <v>-6544317</v>
      </c>
      <c r="H49" s="28">
        <f>_xll.Get_Balance(H$83,"PTD","USD","Total","A","","001","447000","ED","AN","DL")</f>
        <v>-9297915</v>
      </c>
      <c r="I49" s="28">
        <f>_xll.Get_Balance(I$83,"PTD","USD","Total","A","","001","447000","ED","AN","DL")</f>
        <v>-2000078</v>
      </c>
      <c r="J49" s="28">
        <f>_xll.Get_Balance(J$83,"PTD","USD","Total","A","","001","447000","ED","AN","DL")</f>
        <v>-3078046</v>
      </c>
      <c r="K49" s="28">
        <f>_xll.Get_Balance(K$83,"PTD","USD","Total","A","","001","447000","ED","AN","DL")</f>
        <v>-7435346</v>
      </c>
      <c r="L49" s="28">
        <f>_xll.Get_Balance(L$83,"PTD","USD","Total","A","","001","447000","ED","AN","DL")</f>
        <v>-9019288</v>
      </c>
      <c r="M49" s="28">
        <f>_xll.Get_Balance(M$83,"PTD","USD","Total","A","","001","447000","ED","AN","DL")</f>
        <v>-2016175</v>
      </c>
      <c r="N49" s="28">
        <f>_xll.Get_Balance(N$83,"PTD","USD","Total","A","","001","447000","ED","AN","DL")</f>
        <v>-1820697</v>
      </c>
      <c r="O49" s="28">
        <f>_xll.Get_Balance(O$83,"PTD","USD","Total","A","","001","447000","ED","AN","DL")</f>
        <v>-9148516</v>
      </c>
      <c r="P49" s="28">
        <f>_xll.Get_Balance(P$83,"PTD","USD","Total","A","","001","447000","ED","AN","DL")+21534.51</f>
        <v>-4626637</v>
      </c>
      <c r="Q49" s="211"/>
      <c r="R49" s="193">
        <f t="shared" ref="R49:R54" si="16">SUM(E49:P49)</f>
        <v>-67644126</v>
      </c>
    </row>
    <row r="50" spans="1:18" outlineLevel="2">
      <c r="A50" s="85"/>
      <c r="B50" s="13">
        <v>447100</v>
      </c>
      <c r="D50" s="202">
        <f t="shared" si="15"/>
        <v>21236730</v>
      </c>
      <c r="E50" s="28">
        <f>_xll.Get_Balance(E$83,"PTD","USD","Total","A","","001","447100","ED","AN","DL")</f>
        <v>-1305898</v>
      </c>
      <c r="F50" s="28">
        <f>_xll.Get_Balance(F$83,"PTD","USD","Total","A","","001","447100","ED","AN","DL")</f>
        <v>-673570</v>
      </c>
      <c r="G50" s="28">
        <f>_xll.Get_Balance(G$83,"PTD","USD","Total","A","","001","447100","ED","AN","DL")</f>
        <v>-511606</v>
      </c>
      <c r="H50" s="28">
        <f>_xll.Get_Balance(H$83,"PTD","USD","Total","A","","001","447100","ED","AN","DL")</f>
        <v>-976572</v>
      </c>
      <c r="I50" s="28">
        <f>_xll.Get_Balance(I$83,"PTD","USD","Total","A","","001","447100","ED","AN","DL")</f>
        <v>-2428489</v>
      </c>
      <c r="J50" s="28">
        <f>_xll.Get_Balance(J$83,"PTD","USD","Total","A","","001","447100","ED","AN","DL")</f>
        <v>-1826072</v>
      </c>
      <c r="K50" s="28">
        <f>_xll.Get_Balance(K$83,"PTD","USD","Total","A","","001","447100","ED","AN","DL")</f>
        <v>10813550</v>
      </c>
      <c r="L50" s="28">
        <f>_xll.Get_Balance(L$83,"PTD","USD","Total","A","","001","447100","ED","AN","DL")</f>
        <v>5716003</v>
      </c>
      <c r="M50" s="28">
        <f>_xll.Get_Balance(M$83,"PTD","USD","Total","A","","001","447100","ED","AN","DL")</f>
        <v>-98830</v>
      </c>
      <c r="N50" s="28">
        <f>_xll.Get_Balance(N$83,"PTD","USD","Total","A","","001","447100","ED","AN","DL")</f>
        <v>4724616</v>
      </c>
      <c r="O50" s="28">
        <f>_xll.Get_Balance(O$83,"PTD","USD","Total","A","","001","447100","ED","AN","DL")</f>
        <v>4784672</v>
      </c>
      <c r="P50" s="28">
        <f>_xll.Get_Balance(P$83,"PTD","USD","Total","A","","001","447100","ED","AN","DL")</f>
        <v>3018926</v>
      </c>
      <c r="Q50" s="211"/>
      <c r="R50" s="193">
        <f t="shared" si="16"/>
        <v>21236730</v>
      </c>
    </row>
    <row r="51" spans="1:18" outlineLevel="2">
      <c r="A51" s="85"/>
      <c r="B51" s="13">
        <v>447150</v>
      </c>
      <c r="D51" s="202">
        <f t="shared" si="15"/>
        <v>-22508161</v>
      </c>
      <c r="E51" s="28">
        <f>_xll.Get_Balance(E$83,"PTD","USD","Total","A","","001","447150","ED","AN","DL")</f>
        <v>-1555198</v>
      </c>
      <c r="F51" s="28">
        <f>_xll.Get_Balance(F$83,"PTD","USD","Total","A","","001","447150","ED","AN","DL")</f>
        <v>-1161880</v>
      </c>
      <c r="G51" s="28">
        <f>_xll.Get_Balance(G$83,"PTD","USD","Total","A","","001","447150","ED","AN","DL")</f>
        <v>-1419235</v>
      </c>
      <c r="H51" s="28">
        <f>_xll.Get_Balance(H$83,"PTD","USD","Total","A","","001","447150","ED","AN","DL")</f>
        <v>-1164177</v>
      </c>
      <c r="I51" s="28">
        <f>_xll.Get_Balance(I$83,"PTD","USD","Total","A","","001","447150","ED","AN","DL")</f>
        <v>-810888</v>
      </c>
      <c r="J51" s="28">
        <f>_xll.Get_Balance(J$83,"PTD","USD","Total","A","","001","447150","ED","AN","DL")</f>
        <v>-1049973</v>
      </c>
      <c r="K51" s="28">
        <f>_xll.Get_Balance(K$83,"PTD","USD","Total","A","","001","447150","ED","AN","DL")</f>
        <v>-3046570</v>
      </c>
      <c r="L51" s="28">
        <f>_xll.Get_Balance(L$83,"PTD","USD","Total","A","","001","447150","ED","AN","DL")</f>
        <v>-3103594</v>
      </c>
      <c r="M51" s="28">
        <f>_xll.Get_Balance(M$83,"PTD","USD","Total","A","","001","447150","ED","AN","DL")</f>
        <v>-1524851</v>
      </c>
      <c r="N51" s="28">
        <f>_xll.Get_Balance(N$83,"PTD","USD","Total","A","","001","447150","ED","AN","DL")</f>
        <v>-2241375</v>
      </c>
      <c r="O51" s="28">
        <f>_xll.Get_Balance(O$83,"PTD","USD","Total","A","","001","447150","ED","AN","DL")</f>
        <v>-2710170</v>
      </c>
      <c r="P51" s="28">
        <f>_xll.Get_Balance(P$83,"PTD","USD","Total","A","","001","447150","ED","AN","DL")</f>
        <v>-2720250</v>
      </c>
      <c r="Q51" s="211"/>
      <c r="R51" s="193">
        <f t="shared" si="16"/>
        <v>-22508161</v>
      </c>
    </row>
    <row r="52" spans="1:18" outlineLevel="2">
      <c r="A52" s="85"/>
      <c r="B52" s="13">
        <v>447700</v>
      </c>
      <c r="D52" s="202">
        <f t="shared" si="15"/>
        <v>-4865512</v>
      </c>
      <c r="E52" s="28">
        <f>_xll.Get_Balance(E$83,"PTD","USD","Total","A","","001","447700","ED","AN","DL")</f>
        <v>-194760</v>
      </c>
      <c r="F52" s="28">
        <f>_xll.Get_Balance(F$83,"PTD","USD","Total","A","","001","447700","ED","AN","DL")</f>
        <v>-210830</v>
      </c>
      <c r="G52" s="28">
        <f>_xll.Get_Balance(G$83,"PTD","USD","Total","A","","001","447700","ED","AN","DL")</f>
        <v>-363532</v>
      </c>
      <c r="H52" s="28">
        <f>_xll.Get_Balance(H$83,"PTD","USD","Total","A","","001","447700","ED","AN","DL")</f>
        <v>-173357</v>
      </c>
      <c r="I52" s="28">
        <f>_xll.Get_Balance(I$83,"PTD","USD","Total","A","","001","447700","ED","AN","DL")</f>
        <v>-86550</v>
      </c>
      <c r="J52" s="28">
        <f>_xll.Get_Balance(J$83,"PTD","USD","Total","A","","001","447700","ED","AN","DL")</f>
        <v>-213859</v>
      </c>
      <c r="K52" s="28">
        <f>_xll.Get_Balance(K$83,"PTD","USD","Total","A","","001","447700","ED","AN","DL")</f>
        <v>-947955</v>
      </c>
      <c r="L52" s="28">
        <f>_xll.Get_Balance(L$83,"PTD","USD","Total","A","","001","447700","ED","AN","DL")</f>
        <v>-1069681</v>
      </c>
      <c r="M52" s="28">
        <f>_xll.Get_Balance(M$83,"PTD","USD","Total","A","","001","447700","ED","AN","DL")</f>
        <v>-70680</v>
      </c>
      <c r="N52" s="28">
        <f>_xll.Get_Balance(N$83,"PTD","USD","Total","A","","001","447700","ED","AN","DL")</f>
        <v>-67700</v>
      </c>
      <c r="O52" s="28">
        <f>_xll.Get_Balance(O$83,"PTD","USD","Total","A","","001","447700","ED","AN","DL")</f>
        <v>-393288</v>
      </c>
      <c r="P52" s="28">
        <f>_xll.Get_Balance(P$83,"PTD","USD","Total","A","","001","447700","ED","AN","DL")</f>
        <v>-1073320</v>
      </c>
      <c r="Q52" s="211"/>
      <c r="R52" s="193">
        <f t="shared" si="16"/>
        <v>-4865512</v>
      </c>
    </row>
    <row r="53" spans="1:18" outlineLevel="2">
      <c r="A53" s="85"/>
      <c r="B53" s="13">
        <v>447710</v>
      </c>
      <c r="D53" s="202">
        <f t="shared" si="15"/>
        <v>-2362181</v>
      </c>
      <c r="E53" s="28">
        <f>_xll.Get_Balance(E$83,"PTD","USD","Total","A","","001","447710","ED","AN","DL")</f>
        <v>-213305</v>
      </c>
      <c r="F53" s="28">
        <f>_xll.Get_Balance(F$83,"PTD","USD","Total","A","","001","447710","ED","AN","DL")</f>
        <v>-248240</v>
      </c>
      <c r="G53" s="28">
        <f>_xll.Get_Balance(G$83,"PTD","USD","Total","A","","001","447710","ED","AN","DL")</f>
        <v>-197702</v>
      </c>
      <c r="H53" s="28">
        <f>_xll.Get_Balance(H$83,"PTD","USD","Total","A","","001","447710","ED","AN","DL")</f>
        <v>-182889</v>
      </c>
      <c r="I53" s="28">
        <f>_xll.Get_Balance(I$83,"PTD","USD","Total","A","","001","447710","ED","AN","DL")</f>
        <v>-168311</v>
      </c>
      <c r="J53" s="28">
        <f>_xll.Get_Balance(J$83,"PTD","USD","Total","A","","001","447710","ED","AN","DL")</f>
        <v>-169612</v>
      </c>
      <c r="K53" s="28">
        <f>_xll.Get_Balance(K$83,"PTD","USD","Total","A","","001","447710","ED","AN","DL")</f>
        <v>-210888</v>
      </c>
      <c r="L53" s="28">
        <f>_xll.Get_Balance(L$83,"PTD","USD","Total","A","","001","447710","ED","AN","DL")</f>
        <v>-216324</v>
      </c>
      <c r="M53" s="28">
        <f>_xll.Get_Balance(M$83,"PTD","USD","Total","A","","001","447710","ED","AN","DL")</f>
        <v>-162315</v>
      </c>
      <c r="N53" s="28">
        <f>_xll.Get_Balance(N$83,"PTD","USD","Total","A","","001","447710","ED","AN","DL")</f>
        <v>-177643</v>
      </c>
      <c r="O53" s="28">
        <f>_xll.Get_Balance(O$83,"PTD","USD","Total","A","","001","447710","ED","AN","DL")</f>
        <v>-193694</v>
      </c>
      <c r="P53" s="28">
        <f>_xll.Get_Balance(P$83,"PTD","USD","Total","A","","001","447710","ED","AN","DL")</f>
        <v>-221258</v>
      </c>
      <c r="Q53" s="211"/>
      <c r="R53" s="193">
        <f t="shared" si="16"/>
        <v>-2362181</v>
      </c>
    </row>
    <row r="54" spans="1:18" outlineLevel="2">
      <c r="A54" s="85"/>
      <c r="B54" s="13">
        <v>447720</v>
      </c>
      <c r="C54" s="11" t="s">
        <v>186</v>
      </c>
      <c r="D54" s="204">
        <f t="shared" si="15"/>
        <v>-15610685</v>
      </c>
      <c r="E54" s="40">
        <f>_xll.Get_Balance(E$83,"PTD","USD","Total","A","","001","447720","ED","AN","DL")</f>
        <v>-3148683</v>
      </c>
      <c r="F54" s="40">
        <f>_xll.Get_Balance(F$83,"PTD","USD","Total","A","","001","447720","ED","AN","DL")</f>
        <v>-2334720</v>
      </c>
      <c r="G54" s="40">
        <f>_xll.Get_Balance(G$83,"PTD","USD","Total","A","","001","447720","ED","AN","DL")</f>
        <v>-2161705</v>
      </c>
      <c r="H54" s="40">
        <f>_xll.Get_Balance(H$83,"PTD","USD","Total","A","","001","447720","ED","AN","DL")</f>
        <v>554578</v>
      </c>
      <c r="I54" s="40">
        <f>_xll.Get_Balance(I$83,"PTD","USD","Total","A","","001","447720","ED","AN","DL")</f>
        <v>-1211637</v>
      </c>
      <c r="J54" s="40">
        <f>_xll.Get_Balance(J$83,"PTD","USD","Total","A","","001","447720","ED","AN","DL")</f>
        <v>-1350958</v>
      </c>
      <c r="K54" s="40">
        <f>_xll.Get_Balance(K$83,"PTD","USD","Total","A","","001","447720","ED","AN","DL")</f>
        <v>-1175743</v>
      </c>
      <c r="L54" s="40">
        <f>_xll.Get_Balance(L$83,"PTD","USD","Total","A","","001","447720","ED","AN","DL")</f>
        <v>-1019134</v>
      </c>
      <c r="M54" s="40">
        <f>_xll.Get_Balance(M$83,"PTD","USD","Total","A","","001","447720","ED","AN","DL")</f>
        <v>-874375</v>
      </c>
      <c r="N54" s="40">
        <f>_xll.Get_Balance(N$83,"PTD","USD","Total","A","","001","447720","ED","AN","DL")</f>
        <v>-830108</v>
      </c>
      <c r="O54" s="40">
        <f>_xll.Get_Balance(O$83,"PTD","USD","Total","A","","001","447720","ED","AN","DL")</f>
        <v>-1135045</v>
      </c>
      <c r="P54" s="40">
        <f>_xll.Get_Balance(P$83,"PTD","USD","Total","A","","001","447720","ED","AN","DL")</f>
        <v>-923155</v>
      </c>
      <c r="Q54" s="211"/>
      <c r="R54" s="212">
        <f t="shared" si="16"/>
        <v>-15610685</v>
      </c>
    </row>
    <row r="55" spans="1:18" s="42" customFormat="1" outlineLevel="2">
      <c r="A55" s="206"/>
      <c r="D55" s="51">
        <f t="shared" si="15"/>
        <v>-91753935</v>
      </c>
      <c r="E55" s="41">
        <f t="shared" ref="E55:P55" si="17">SUM(E49:E54)</f>
        <v>-14027524</v>
      </c>
      <c r="F55" s="41">
        <f t="shared" si="17"/>
        <v>-9676671</v>
      </c>
      <c r="G55" s="41">
        <f t="shared" si="17"/>
        <v>-11198097</v>
      </c>
      <c r="H55" s="41">
        <f t="shared" si="17"/>
        <v>-11240332</v>
      </c>
      <c r="I55" s="41">
        <f t="shared" si="17"/>
        <v>-6705953</v>
      </c>
      <c r="J55" s="41">
        <f t="shared" si="17"/>
        <v>-7688520</v>
      </c>
      <c r="K55" s="41">
        <f t="shared" si="17"/>
        <v>-2002952</v>
      </c>
      <c r="L55" s="41">
        <f t="shared" si="17"/>
        <v>-8712018</v>
      </c>
      <c r="M55" s="41">
        <f>SUM(M49:M54)</f>
        <v>-4747226</v>
      </c>
      <c r="N55" s="41">
        <f t="shared" si="17"/>
        <v>-412907</v>
      </c>
      <c r="O55" s="41">
        <f t="shared" si="17"/>
        <v>-8796041</v>
      </c>
      <c r="P55" s="41">
        <f t="shared" si="17"/>
        <v>-6545694</v>
      </c>
      <c r="Q55" s="213"/>
      <c r="R55" s="51">
        <f>SUM(R49:R54)</f>
        <v>-91753935</v>
      </c>
    </row>
    <row r="56" spans="1:18" outlineLevel="2">
      <c r="A56" s="85"/>
      <c r="E56" s="202"/>
      <c r="F56" s="20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211"/>
      <c r="R56" s="202"/>
    </row>
    <row r="57" spans="1:18">
      <c r="A57" s="85"/>
      <c r="B57" s="69" t="s">
        <v>16</v>
      </c>
      <c r="C57" s="69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11"/>
      <c r="R57" s="202"/>
    </row>
    <row r="58" spans="1:18">
      <c r="A58" s="85">
        <f>A45+1</f>
        <v>24</v>
      </c>
      <c r="B58" s="11" t="s">
        <v>119</v>
      </c>
      <c r="C58" s="11"/>
      <c r="D58" s="202">
        <f>SUM(E58:P58)</f>
        <v>6751391</v>
      </c>
      <c r="E58" s="28">
        <f>_xll.Get_Balance(E$83,"PTD","USD","Total","A","","001","501110","ED","AN","DL")</f>
        <v>626601</v>
      </c>
      <c r="F58" s="28">
        <f>_xll.Get_Balance(F$83,"PTD","USD","Total","A","","001","501110","ED","AN","DL")</f>
        <v>554862</v>
      </c>
      <c r="G58" s="28">
        <f>_xll.Get_Balance(G$83,"PTD","USD","Total","A","","001","501110","ED","AN","DL")</f>
        <v>679297</v>
      </c>
      <c r="H58" s="28">
        <f>_xll.Get_Balance(H$83,"PTD","USD","Total","A","","001","501110","ED","AN","DL")</f>
        <v>585374</v>
      </c>
      <c r="I58" s="28">
        <f>_xll.Get_Balance(I$83,"PTD","USD","Total","A","","001","501110","ED","AN","DL")</f>
        <v>9446</v>
      </c>
      <c r="J58" s="28">
        <f>_xll.Get_Balance(J$83,"PTD","USD","Total","A","","001","501110","ED","AN","DL")</f>
        <v>196175</v>
      </c>
      <c r="K58" s="28">
        <f>_xll.Get_Balance(K$83,"PTD","USD","Total","A","","001","501110","ED","AN","DL")</f>
        <v>666074</v>
      </c>
      <c r="L58" s="28">
        <f>_xll.Get_Balance(L$83,"PTD","USD","Total","A","","001","501110","ED","AN","DL")</f>
        <v>714243</v>
      </c>
      <c r="M58" s="28">
        <f>_xll.Get_Balance(M$83,"PTD","USD","Total","A","","001","501110","ED","AN","DL")</f>
        <v>706827</v>
      </c>
      <c r="N58" s="28">
        <f>_xll.Get_Balance(N$83,"PTD","USD","Total","A","","001","501110","ED","AN","DL")</f>
        <v>656511</v>
      </c>
      <c r="O58" s="28">
        <f>_xll.Get_Balance(O$83,"PTD","USD","Total","A","","001","501110","ED","AN","DL")</f>
        <v>683248</v>
      </c>
      <c r="P58" s="28">
        <f>_xll.Get_Balance(P$83,"PTD","USD","Total","A","","001","501110","ED","AN","DL")</f>
        <v>672733</v>
      </c>
      <c r="Q58" s="214"/>
      <c r="R58" s="52">
        <f>SUM(E58:P58)</f>
        <v>6751391</v>
      </c>
    </row>
    <row r="59" spans="1:18">
      <c r="A59" s="85">
        <f>+A58+1</f>
        <v>25</v>
      </c>
      <c r="B59" s="11" t="s">
        <v>118</v>
      </c>
      <c r="C59" s="11"/>
      <c r="D59" s="202">
        <f>SUM(E59:P59)</f>
        <v>8056</v>
      </c>
      <c r="E59" s="28">
        <f>_xll.Get_Balance(E$83,"PTD","USD","Total","A","","001","501120","ED","AN","DL")</f>
        <v>93</v>
      </c>
      <c r="F59" s="28">
        <f>_xll.Get_Balance(F$83,"PTD","USD","Total","A","","001","501120","ED","AN","DL")</f>
        <v>929</v>
      </c>
      <c r="G59" s="28">
        <f>_xll.Get_Balance(G$83,"PTD","USD","Total","A","","001","501120","ED","AN","DL")</f>
        <v>-859</v>
      </c>
      <c r="H59" s="28">
        <f>_xll.Get_Balance(H$83,"PTD","USD","Total","A","","001","501120","ED","AN","DL")</f>
        <v>-249</v>
      </c>
      <c r="I59" s="28">
        <f>_xll.Get_Balance(I$83,"PTD","USD","Total","A","","001","501120","ED","AN","DL")</f>
        <v>-93</v>
      </c>
      <c r="J59" s="28">
        <f>_xll.Get_Balance(J$83,"PTD","USD","Total","A","","001","501120","ED","AN","DL")</f>
        <v>5088</v>
      </c>
      <c r="K59" s="28">
        <f>_xll.Get_Balance(K$83,"PTD","USD","Total","A","","001","501120","ED","AN","DL")</f>
        <v>1199</v>
      </c>
      <c r="L59" s="28">
        <f>_xll.Get_Balance(L$83,"PTD","USD","Total","A","","001","501120","ED","AN","DL")</f>
        <v>50</v>
      </c>
      <c r="M59" s="28">
        <f>_xll.Get_Balance(M$83,"PTD","USD","Total","A","","001","501120","ED","AN","DL")</f>
        <v>-52</v>
      </c>
      <c r="N59" s="28">
        <f>_xll.Get_Balance(N$83,"PTD","USD","Total","A","","001","501120","ED","AN","DL")</f>
        <v>487</v>
      </c>
      <c r="O59" s="28">
        <f>_xll.Get_Balance(O$83,"PTD","USD","Total","A","","001","501120","ED","AN","DL")</f>
        <v>1888</v>
      </c>
      <c r="P59" s="28">
        <f>_xll.Get_Balance(P$83,"PTD","USD","Total","A","","001","501120","ED","AN","DL")</f>
        <v>-425</v>
      </c>
      <c r="Q59" s="214"/>
      <c r="R59" s="52">
        <f>SUM(E59:P59)</f>
        <v>8056</v>
      </c>
    </row>
    <row r="60" spans="1:18">
      <c r="A60" s="85">
        <f>+A59+1</f>
        <v>26</v>
      </c>
      <c r="B60" s="14" t="s">
        <v>49</v>
      </c>
      <c r="C60" s="14"/>
      <c r="D60" s="202">
        <f>SUM(E60:P60)</f>
        <v>19080206</v>
      </c>
      <c r="E60" s="28">
        <f>_xll.Get_Balance(E$83,"PTD","USD","Total","A","","001","501140","ED","AN","DL")</f>
        <v>2183195</v>
      </c>
      <c r="F60" s="28">
        <f>_xll.Get_Balance(F$83,"PTD","USD","Total","A","","001","501140","ED","AN","DL")</f>
        <v>895901</v>
      </c>
      <c r="G60" s="28">
        <f>_xll.Get_Balance(G$83,"PTD","USD","Total","A","","001","501140","ED","AN","DL")</f>
        <v>2130831</v>
      </c>
      <c r="H60" s="28">
        <f>_xll.Get_Balance(H$83,"PTD","USD","Total","A","","001","501140","ED","AN","DL")</f>
        <v>1522366</v>
      </c>
      <c r="I60" s="28">
        <f>_xll.Get_Balance(I$83,"PTD","USD","Total","A","","001","501140","ED","AN","DL")</f>
        <v>574651</v>
      </c>
      <c r="J60" s="28">
        <f>_xll.Get_Balance(J$83,"PTD","USD","Total","A","","001","501140","ED","AN","DL")</f>
        <v>1456675</v>
      </c>
      <c r="K60" s="28">
        <f>_xll.Get_Balance(K$83,"PTD","USD","Total","A","","001","501140","ED","AN","DL")</f>
        <v>847317</v>
      </c>
      <c r="L60" s="28">
        <f>_xll.Get_Balance(L$83,"PTD","USD","Total","A","","001","501140","ED","AN","DL")</f>
        <v>1275042</v>
      </c>
      <c r="M60" s="28">
        <f>_xll.Get_Balance(M$83,"PTD","USD","Total","A","","001","501140","ED","AN","DL")</f>
        <v>1879646</v>
      </c>
      <c r="N60" s="28">
        <f>_xll.Get_Balance(N$83,"PTD","USD","Total","A","","001","501140","ED","AN","DL")</f>
        <v>2362829</v>
      </c>
      <c r="O60" s="28">
        <f>_xll.Get_Balance(O$83,"PTD","USD","Total","A","","001","501140","ED","AN","DL")</f>
        <v>2219931</v>
      </c>
      <c r="P60" s="28">
        <f>_xll.Get_Balance(P$83,"PTD","USD","Total","A","","001","501140","ED","AN","DL")</f>
        <v>1731822</v>
      </c>
      <c r="Q60" s="214"/>
      <c r="R60" s="215">
        <f>SUM(E60:P60)</f>
        <v>19080206</v>
      </c>
    </row>
    <row r="61" spans="1:18">
      <c r="A61" s="85">
        <f>+A60+1</f>
        <v>27</v>
      </c>
      <c r="B61" s="14" t="s">
        <v>48</v>
      </c>
      <c r="C61" s="14"/>
      <c r="D61" s="202">
        <f>SUM(E61:P61)</f>
        <v>251206</v>
      </c>
      <c r="E61" s="28">
        <f>_xll.Get_Balance(E$83,"PTD","USD","Total","A","","001","501160","ED","AN","DL")</f>
        <v>0</v>
      </c>
      <c r="F61" s="28">
        <f>_xll.Get_Balance(F$83,"PTD","USD","Total","A","","001","501160","ED","AN","DL")</f>
        <v>0</v>
      </c>
      <c r="G61" s="28">
        <f>_xll.Get_Balance(G$83,"PTD","USD","Total","A","","001","501160","ED","AN","DL")</f>
        <v>0</v>
      </c>
      <c r="H61" s="28">
        <f>_xll.Get_Balance(H$83,"PTD","USD","Total","A","","001","501160","ED","AN","DL")</f>
        <v>8942</v>
      </c>
      <c r="I61" s="28">
        <f>_xll.Get_Balance(I$83,"PTD","USD","Total","A","","001","501160","ED","AN","DL")</f>
        <v>9180</v>
      </c>
      <c r="J61" s="28">
        <f>_xll.Get_Balance(J$83,"PTD","USD","Total","A","","001","501160","ED","AN","DL")</f>
        <v>48750</v>
      </c>
      <c r="K61" s="28">
        <f>_xll.Get_Balance(K$83,"PTD","USD","Total","A","","001","501160","ED","AN","DL")</f>
        <v>6518</v>
      </c>
      <c r="L61" s="28">
        <f>_xll.Get_Balance(L$83,"PTD","USD","Total","A","","001","501160","ED","AN","DL")</f>
        <v>104521</v>
      </c>
      <c r="M61" s="28">
        <f>_xll.Get_Balance(M$83,"PTD","USD","Total","A","","001","501160","ED","AN","DL")</f>
        <v>70983</v>
      </c>
      <c r="N61" s="28">
        <f>_xll.Get_Balance(N$83,"PTD","USD","Total","A","","001","501160","ED","AN","DL")</f>
        <v>0</v>
      </c>
      <c r="O61" s="28">
        <f>_xll.Get_Balance(O$83,"PTD","USD","Total","A","","001","501160","ED","AN","DL")</f>
        <v>2312</v>
      </c>
      <c r="P61" s="28">
        <f>_xll.Get_Balance(P$83,"PTD","USD","Total","A","","001","501160","ED","AN","DL")</f>
        <v>0</v>
      </c>
      <c r="Q61" s="214"/>
      <c r="R61" s="215">
        <f>SUM(E61:P61)</f>
        <v>251206</v>
      </c>
    </row>
    <row r="62" spans="1:18" s="42" customFormat="1" ht="27.75" customHeight="1" thickBot="1">
      <c r="A62" s="199">
        <f>+A61+1</f>
        <v>28</v>
      </c>
      <c r="B62" s="70" t="s">
        <v>108</v>
      </c>
      <c r="C62" s="70"/>
      <c r="D62" s="50">
        <f>SUM(E62:P62)</f>
        <v>26090859</v>
      </c>
      <c r="E62" s="31">
        <f>SUM(E58:E61)</f>
        <v>2809889</v>
      </c>
      <c r="F62" s="31">
        <f t="shared" ref="F62:P62" si="18">SUM(F58:F61)</f>
        <v>1451692</v>
      </c>
      <c r="G62" s="31">
        <f t="shared" si="18"/>
        <v>2809269</v>
      </c>
      <c r="H62" s="31">
        <f t="shared" si="18"/>
        <v>2116433</v>
      </c>
      <c r="I62" s="31">
        <f t="shared" si="18"/>
        <v>593184</v>
      </c>
      <c r="J62" s="31">
        <f t="shared" si="18"/>
        <v>1706688</v>
      </c>
      <c r="K62" s="31">
        <f t="shared" si="18"/>
        <v>1521108</v>
      </c>
      <c r="L62" s="31">
        <f t="shared" si="18"/>
        <v>2093856</v>
      </c>
      <c r="M62" s="31">
        <f t="shared" si="18"/>
        <v>2657404</v>
      </c>
      <c r="N62" s="31">
        <f t="shared" si="18"/>
        <v>3019827</v>
      </c>
      <c r="O62" s="31">
        <f t="shared" si="18"/>
        <v>2907379</v>
      </c>
      <c r="P62" s="31">
        <f t="shared" si="18"/>
        <v>2404130</v>
      </c>
      <c r="Q62" s="216"/>
      <c r="R62" s="201">
        <f>SUM(E62:P62)</f>
        <v>26090859</v>
      </c>
    </row>
    <row r="63" spans="1:18" ht="8.25" customHeight="1" thickTop="1">
      <c r="A63" s="8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210"/>
    </row>
    <row r="64" spans="1:18" ht="18.75" customHeight="1">
      <c r="A64" s="85"/>
      <c r="B64" s="69" t="s">
        <v>24</v>
      </c>
      <c r="C64" s="69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210"/>
    </row>
    <row r="65" spans="1:18">
      <c r="A65" s="85">
        <f>A62+1</f>
        <v>29</v>
      </c>
      <c r="B65" s="13" t="s">
        <v>17</v>
      </c>
      <c r="C65" s="11" t="s">
        <v>147</v>
      </c>
      <c r="D65" s="171">
        <f>SUM(E65:P65)</f>
        <v>559442</v>
      </c>
      <c r="E65" s="217">
        <f>'Input Tab'!C49</f>
        <v>53359</v>
      </c>
      <c r="F65" s="217">
        <f>'Input Tab'!D49</f>
        <v>48502</v>
      </c>
      <c r="G65" s="217">
        <f>'Input Tab'!E49</f>
        <v>58811</v>
      </c>
      <c r="H65" s="217">
        <f>'Input Tab'!F49</f>
        <v>52478</v>
      </c>
      <c r="I65" s="217">
        <f>'Input Tab'!G49</f>
        <v>0</v>
      </c>
      <c r="J65" s="217">
        <f>'Input Tab'!H49</f>
        <v>16710</v>
      </c>
      <c r="K65" s="217">
        <f>'Input Tab'!I49</f>
        <v>56362</v>
      </c>
      <c r="L65" s="217">
        <f>'Input Tab'!J49</f>
        <v>58199</v>
      </c>
      <c r="M65" s="217">
        <f>'Input Tab'!K49</f>
        <v>57315</v>
      </c>
      <c r="N65" s="217">
        <f>'Input Tab'!L49</f>
        <v>53085</v>
      </c>
      <c r="O65" s="217">
        <f>'Input Tab'!M49</f>
        <v>54631</v>
      </c>
      <c r="P65" s="217">
        <f>'Input Tab'!N49</f>
        <v>49990</v>
      </c>
      <c r="Q65" s="210"/>
      <c r="R65" s="12">
        <f>SUM(E65:P65)</f>
        <v>559442</v>
      </c>
    </row>
    <row r="66" spans="1:18">
      <c r="A66" s="85">
        <f>A65+1</f>
        <v>30</v>
      </c>
      <c r="B66" s="13" t="s">
        <v>26</v>
      </c>
      <c r="C66" s="11" t="s">
        <v>146</v>
      </c>
      <c r="D66" s="171">
        <f>SUM(E66:P66)</f>
        <v>887609</v>
      </c>
      <c r="E66" s="217">
        <f>'Input Tab'!C50</f>
        <v>99606</v>
      </c>
      <c r="F66" s="217">
        <f>'Input Tab'!D50</f>
        <v>73063</v>
      </c>
      <c r="G66" s="217">
        <f>'Input Tab'!E50</f>
        <v>96702</v>
      </c>
      <c r="H66" s="217">
        <f>'Input Tab'!F50</f>
        <v>72391</v>
      </c>
      <c r="I66" s="217">
        <f>'Input Tab'!G50</f>
        <v>52614</v>
      </c>
      <c r="J66" s="217">
        <f>'Input Tab'!H50</f>
        <v>61022</v>
      </c>
      <c r="K66" s="217">
        <f>'Input Tab'!I50</f>
        <v>23288</v>
      </c>
      <c r="L66" s="217">
        <f>'Input Tab'!J50</f>
        <v>49111</v>
      </c>
      <c r="M66" s="217">
        <f>'Input Tab'!K50</f>
        <v>82493</v>
      </c>
      <c r="N66" s="217">
        <f>'Input Tab'!L50</f>
        <v>96213</v>
      </c>
      <c r="O66" s="217">
        <f>'Input Tab'!M50</f>
        <v>97539</v>
      </c>
      <c r="P66" s="217">
        <f>'Input Tab'!N50</f>
        <v>83567</v>
      </c>
      <c r="Q66" s="210"/>
      <c r="R66" s="12">
        <f>SUM(E66:P66)</f>
        <v>887609</v>
      </c>
    </row>
    <row r="67" spans="1:18" ht="9" customHeight="1">
      <c r="A67" s="8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210"/>
    </row>
    <row r="68" spans="1:18" ht="21" customHeight="1">
      <c r="A68" s="85"/>
      <c r="B68" s="69" t="s">
        <v>27</v>
      </c>
      <c r="C68" s="69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210"/>
    </row>
    <row r="69" spans="1:18">
      <c r="A69" s="85">
        <f>A66+1</f>
        <v>31</v>
      </c>
      <c r="B69" s="13" t="s">
        <v>17</v>
      </c>
      <c r="D69" s="218" t="s">
        <v>18</v>
      </c>
      <c r="E69" s="219">
        <f>IF(E65=0," ",E58/E65)</f>
        <v>11.74</v>
      </c>
      <c r="F69" s="219">
        <f>IF(F65=0," ",F58/F65)</f>
        <v>11.44</v>
      </c>
      <c r="G69" s="219">
        <f>IF(G65=0," ",G58/G65)</f>
        <v>11.55</v>
      </c>
      <c r="H69" s="219">
        <f t="shared" ref="H69:P69" si="19">IF(H65=0," ",H58/H65)</f>
        <v>11.15</v>
      </c>
      <c r="I69" s="219" t="str">
        <f>IF(I65=0," ",I58/I65)</f>
        <v xml:space="preserve"> </v>
      </c>
      <c r="J69" s="219">
        <f t="shared" si="19"/>
        <v>11.74</v>
      </c>
      <c r="K69" s="219">
        <f>IF(K65=0," ",K58/K65)</f>
        <v>11.82</v>
      </c>
      <c r="L69" s="219">
        <f t="shared" si="19"/>
        <v>12.27</v>
      </c>
      <c r="M69" s="219">
        <f t="shared" si="19"/>
        <v>12.33</v>
      </c>
      <c r="N69" s="219">
        <f t="shared" si="19"/>
        <v>12.37</v>
      </c>
      <c r="O69" s="219">
        <f t="shared" si="19"/>
        <v>12.51</v>
      </c>
      <c r="P69" s="219">
        <f t="shared" si="19"/>
        <v>13.46</v>
      </c>
      <c r="Q69" s="220"/>
      <c r="R69" s="221">
        <f>R58/R65</f>
        <v>12.07</v>
      </c>
    </row>
    <row r="70" spans="1:18">
      <c r="A70" s="85">
        <f>A69+1</f>
        <v>32</v>
      </c>
      <c r="B70" s="13" t="s">
        <v>20</v>
      </c>
      <c r="D70" s="85" t="s">
        <v>19</v>
      </c>
      <c r="E70" s="219">
        <f>IF(E66=0," ",E60/E66)</f>
        <v>21.92</v>
      </c>
      <c r="F70" s="219">
        <f>IF(F66=0," ",F60/F66)</f>
        <v>12.26</v>
      </c>
      <c r="G70" s="219">
        <f t="shared" ref="G70:P70" si="20">IF(G66=0," ",G60/G66)</f>
        <v>22.04</v>
      </c>
      <c r="H70" s="219">
        <f t="shared" si="20"/>
        <v>21.03</v>
      </c>
      <c r="I70" s="219">
        <f>IF(I66=0," ",I60/I66)</f>
        <v>10.92</v>
      </c>
      <c r="J70" s="219">
        <f t="shared" si="20"/>
        <v>23.87</v>
      </c>
      <c r="K70" s="219">
        <f t="shared" si="20"/>
        <v>36.380000000000003</v>
      </c>
      <c r="L70" s="219">
        <f t="shared" si="20"/>
        <v>25.96</v>
      </c>
      <c r="M70" s="219">
        <f t="shared" si="20"/>
        <v>22.79</v>
      </c>
      <c r="N70" s="219">
        <f t="shared" si="20"/>
        <v>24.56</v>
      </c>
      <c r="O70" s="219">
        <f t="shared" si="20"/>
        <v>22.76</v>
      </c>
      <c r="P70" s="219">
        <f t="shared" si="20"/>
        <v>20.72</v>
      </c>
      <c r="Q70" s="220"/>
      <c r="R70" s="221">
        <f>R60/R66</f>
        <v>21.5</v>
      </c>
    </row>
    <row r="71" spans="1:18">
      <c r="A71" s="8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210"/>
    </row>
    <row r="72" spans="1:18">
      <c r="A72" s="85"/>
      <c r="B72" s="69" t="s">
        <v>21</v>
      </c>
      <c r="C72" s="69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210"/>
    </row>
    <row r="73" spans="1:18">
      <c r="A73" s="85">
        <f>A70+1</f>
        <v>33</v>
      </c>
      <c r="B73" s="13" t="s">
        <v>67</v>
      </c>
      <c r="D73" s="202">
        <f t="shared" ref="D73:D79" si="21">SUM(E73:P73)</f>
        <v>43505</v>
      </c>
      <c r="E73" s="28">
        <f>_xll.Get_Balance(E$83,"PTD","USD","Total","A","","001","547213","ED","AN","DL")</f>
        <v>2244</v>
      </c>
      <c r="F73" s="28">
        <f>_xll.Get_Balance(F$83,"PTD","USD","Total","A","","001","547213","ED","AN","DL")</f>
        <v>11535</v>
      </c>
      <c r="G73" s="28">
        <f>_xll.Get_Balance(G$83,"PTD","USD","Total","A","","001","547213","ED","AN","DL")</f>
        <v>1931</v>
      </c>
      <c r="H73" s="28">
        <f>_xll.Get_Balance(H$83,"PTD","USD","Total","A","","001","547213","ED","AN","DL")</f>
        <v>1504</v>
      </c>
      <c r="I73" s="28">
        <f>_xll.Get_Balance(I$83,"PTD","USD","Total","A","","001","547213","ED","AN","DL")</f>
        <v>1164</v>
      </c>
      <c r="J73" s="28">
        <f>_xll.Get_Balance(J$83,"PTD","USD","Total","A","","001","547213","ED","AN","DL")</f>
        <v>8398</v>
      </c>
      <c r="K73" s="28">
        <f>_xll.Get_Balance(K$83,"PTD","USD","Total","A","","001","547213","ED","AN","DL")</f>
        <v>1300</v>
      </c>
      <c r="L73" s="28">
        <f>_xll.Get_Balance(L$83,"PTD","USD","Total","A","","001","547213","ED","AN","DL")</f>
        <v>1328</v>
      </c>
      <c r="M73" s="28">
        <f>_xll.Get_Balance(M$83,"PTD","USD","Total","A","","001","547213","ED","AN","DL")</f>
        <v>1181</v>
      </c>
      <c r="N73" s="28">
        <f>_xll.Get_Balance(N$83,"PTD","USD","Total","A","","001","547213","ED","AN","DL")</f>
        <v>2148</v>
      </c>
      <c r="O73" s="28">
        <f>_xll.Get_Balance(O$83,"PTD","USD","Total","A","","001","547213","ED","AN","DL")</f>
        <v>11274</v>
      </c>
      <c r="P73" s="28">
        <f>_xll.Get_Balance(P$83,"PTD","USD","Total","A","","001","547213","ED","AN","DL")</f>
        <v>-502</v>
      </c>
      <c r="Q73" s="222"/>
      <c r="R73" s="223">
        <f t="shared" ref="R73:R78" si="22">SUM(E73:P73)</f>
        <v>43505</v>
      </c>
    </row>
    <row r="74" spans="1:18">
      <c r="A74" s="85">
        <f t="shared" ref="A74:A79" si="23">A73+1</f>
        <v>34</v>
      </c>
      <c r="B74" s="13" t="s">
        <v>60</v>
      </c>
      <c r="D74" s="202">
        <f t="shared" si="21"/>
        <v>1117748</v>
      </c>
      <c r="E74" s="28">
        <f>_xll.Get_Balance(E$83,"PTD","USD","Total","A","","001","547216","ED","AN","DL")</f>
        <v>9587</v>
      </c>
      <c r="F74" s="28">
        <f>_xll.Get_Balance(F$83,"PTD","USD","Total","A","","001","547216","ED","AN","DL")</f>
        <v>32574</v>
      </c>
      <c r="G74" s="28">
        <f>_xll.Get_Balance(G$83,"PTD","USD","Total","A","","001","547216","ED","AN","DL")</f>
        <v>14367</v>
      </c>
      <c r="H74" s="28">
        <f>_xll.Get_Balance(H$83,"PTD","USD","Total","A","","001","547216","ED","AN","DL")</f>
        <v>16430</v>
      </c>
      <c r="I74" s="28">
        <f>_xll.Get_Balance(I$83,"PTD","USD","Total","A","","001","547216","ED","AN","DL")</f>
        <v>49935</v>
      </c>
      <c r="J74" s="28">
        <f>_xll.Get_Balance(J$83,"PTD","USD","Total","A","","001","547216","ED","AN","DL")</f>
        <v>27262</v>
      </c>
      <c r="K74" s="28">
        <f>_xll.Get_Balance(K$83,"PTD","USD","Total","A","","001","547216","ED","AN","DL")</f>
        <v>161056</v>
      </c>
      <c r="L74" s="28">
        <f>_xll.Get_Balance(L$83,"PTD","USD","Total","A","","001","547216","ED","AN","DL")</f>
        <v>186465</v>
      </c>
      <c r="M74" s="28">
        <f>_xll.Get_Balance(M$83,"PTD","USD","Total","A","","001","547216","ED","AN","DL")</f>
        <v>142461</v>
      </c>
      <c r="N74" s="28">
        <f>_xll.Get_Balance(N$83,"PTD","USD","Total","A","","001","547216","ED","AN","DL")</f>
        <v>266208</v>
      </c>
      <c r="O74" s="28">
        <f>_xll.Get_Balance(O$83,"PTD","USD","Total","A","","001","547216","ED","AN","DL")</f>
        <v>140345</v>
      </c>
      <c r="P74" s="28">
        <f>_xll.Get_Balance(P$83,"PTD","USD","Total","A","","001","547216","ED","AN","DL")</f>
        <v>71058</v>
      </c>
      <c r="Q74" s="222"/>
      <c r="R74" s="223">
        <f t="shared" si="22"/>
        <v>1117748</v>
      </c>
    </row>
    <row r="75" spans="1:18">
      <c r="A75" s="85">
        <f t="shared" si="23"/>
        <v>35</v>
      </c>
      <c r="B75" s="13" t="s">
        <v>59</v>
      </c>
      <c r="D75" s="202">
        <f t="shared" si="21"/>
        <v>236548</v>
      </c>
      <c r="E75" s="28">
        <f>_xll.Get_Balance(E83,"PTD","USD","Total","A","","001","547211","ED","AN","DL")</f>
        <v>5</v>
      </c>
      <c r="F75" s="28">
        <f>_xll.Get_Balance(F83,"PTD","USD","Total","A","","001","547211","ED","AN","DL")</f>
        <v>4249</v>
      </c>
      <c r="G75" s="28">
        <f>_xll.Get_Balance(G83,"PTD","USD","Total","A","","001","547211","ED","AN","DL")</f>
        <v>1968</v>
      </c>
      <c r="H75" s="28">
        <f>_xll.Get_Balance(H83,"PTD","USD","Total","A","","001","547211","ED","AN","DL")</f>
        <v>5147</v>
      </c>
      <c r="I75" s="28">
        <f>_xll.Get_Balance(I83,"PTD","USD","Total","A","","001","547211","ED","AN","DL")</f>
        <v>1935</v>
      </c>
      <c r="J75" s="28">
        <f>_xll.Get_Balance(J83,"PTD","USD","Total","A","","001","547211","ED","AN","DL")</f>
        <v>2105</v>
      </c>
      <c r="K75" s="28">
        <f>_xll.Get_Balance(K83,"PTD","USD","Total","A","","001","547211","ED","AN","DL")</f>
        <v>48328</v>
      </c>
      <c r="L75" s="28">
        <f>_xll.Get_Balance(L83,"PTD","USD","Total","A","","001","547211","ED","AN","DL")</f>
        <v>61499</v>
      </c>
      <c r="M75" s="28">
        <f>_xll.Get_Balance(M83,"PTD","USD","Total","A","","001","547211","ED","AN","DL")</f>
        <v>34991</v>
      </c>
      <c r="N75" s="28">
        <f>_xll.Get_Balance(N83,"PTD","USD","Total","A","","001","547211","ED","AN","DL")</f>
        <v>14934</v>
      </c>
      <c r="O75" s="28">
        <f>_xll.Get_Balance(O83,"PTD","USD","Total","A","","001","547211","ED","AN","DL")</f>
        <v>45682</v>
      </c>
      <c r="P75" s="28">
        <f>_xll.Get_Balance(P83,"PTD","USD","Total","A","","001","547211","ED","AN","DL")</f>
        <v>15705</v>
      </c>
      <c r="Q75" s="222"/>
      <c r="R75" s="223">
        <f t="shared" si="22"/>
        <v>236548</v>
      </c>
    </row>
    <row r="76" spans="1:18">
      <c r="A76" s="85">
        <f t="shared" si="23"/>
        <v>36</v>
      </c>
      <c r="B76" s="13" t="s">
        <v>61</v>
      </c>
      <c r="D76" s="202">
        <f t="shared" si="21"/>
        <v>28233985</v>
      </c>
      <c r="E76" s="28">
        <f>_xll.Get_Balance(E$83,"PTD","USD","Total","A","","001","547610","ED","AN","DL")</f>
        <v>3721117</v>
      </c>
      <c r="F76" s="28">
        <f>_xll.Get_Balance(F$83,"PTD","USD","Total","A","","001","547610","ED","AN","DL")</f>
        <v>2449832</v>
      </c>
      <c r="G76" s="28">
        <f>_xll.Get_Balance(G$83,"PTD","USD","Total","A","","001","547610","ED","AN","DL")</f>
        <v>3201306</v>
      </c>
      <c r="H76" s="28">
        <f>_xll.Get_Balance(H$83,"PTD","USD","Total","A","","001","547610","ED","AN","DL")</f>
        <v>2230502</v>
      </c>
      <c r="I76" s="28">
        <f>_xll.Get_Balance(I$83,"PTD","USD","Total","A","","001","547610","ED","AN","DL")</f>
        <v>619692</v>
      </c>
      <c r="J76" s="28">
        <f>_xll.Get_Balance(J$83,"PTD","USD","Total","A","","001","547610","ED","AN","DL")</f>
        <v>1250902</v>
      </c>
      <c r="K76" s="28">
        <f>_xll.Get_Balance(K$83,"PTD","USD","Total","A","","001","547610","ED","AN","DL")</f>
        <v>3342340</v>
      </c>
      <c r="L76" s="28">
        <f>_xll.Get_Balance(L$83,"PTD","USD","Total","A","","001","547610","ED","AN","DL")</f>
        <v>3561575</v>
      </c>
      <c r="M76" s="28">
        <f>_xll.Get_Balance(M$83,"PTD","USD","Total","A","","001","547610","ED","AN","DL")</f>
        <v>2427012</v>
      </c>
      <c r="N76" s="28">
        <f>_xll.Get_Balance(N$83,"PTD","USD","Total","A","","001","547610","ED","AN","DL")</f>
        <v>610298</v>
      </c>
      <c r="O76" s="28">
        <f>_xll.Get_Balance(O$83,"PTD","USD","Total","A","","001","547610","ED","AN","DL")</f>
        <v>3646789</v>
      </c>
      <c r="P76" s="28">
        <f>_xll.Get_Balance(P$83,"PTD","USD","Total","A","","001","547610","ED","AN","DL")</f>
        <v>1172620</v>
      </c>
      <c r="Q76" s="222"/>
      <c r="R76" s="223">
        <f t="shared" si="22"/>
        <v>28233985</v>
      </c>
    </row>
    <row r="77" spans="1:18">
      <c r="A77" s="85">
        <f>A76+1</f>
        <v>37</v>
      </c>
      <c r="B77" s="11" t="s">
        <v>72</v>
      </c>
      <c r="C77" s="11"/>
      <c r="D77" s="202">
        <f t="shared" si="21"/>
        <v>29652121</v>
      </c>
      <c r="E77" s="28">
        <f>_xll.Get_Balance(E$83,"PTD","USD","Total","A","","001","547312","ED","AN","DL")</f>
        <v>3228167</v>
      </c>
      <c r="F77" s="28">
        <f>_xll.Get_Balance(F$83,"PTD","USD","Total","A","","001","547312","ED","AN","DL")</f>
        <v>2007130</v>
      </c>
      <c r="G77" s="28">
        <f>_xll.Get_Balance(G$83,"PTD","USD","Total","A","","001","547312","ED","AN","DL")</f>
        <v>3075485</v>
      </c>
      <c r="H77" s="28">
        <f>_xll.Get_Balance(H$83,"PTD","USD","Total","A","","001","547312","ED","AN","DL")</f>
        <v>1912297</v>
      </c>
      <c r="I77" s="28">
        <f>_xll.Get_Balance(I$83,"PTD","USD","Total","A","","001","547312","ED","AN","DL")</f>
        <v>1066080</v>
      </c>
      <c r="J77" s="28">
        <f>_xll.Get_Balance(J$83,"PTD","USD","Total","A","","001","547312","ED","AN","DL")</f>
        <v>925950</v>
      </c>
      <c r="K77" s="28">
        <f>_xll.Get_Balance(K$83,"PTD","USD","Total","A","","001","547312","ED","AN","DL")</f>
        <v>3017772</v>
      </c>
      <c r="L77" s="28">
        <f>_xll.Get_Balance(L$83,"PTD","USD","Total","A","","001","547312","ED","AN","DL")</f>
        <v>2993539</v>
      </c>
      <c r="M77" s="28">
        <f>_xll.Get_Balance(M$83,"PTD","USD","Total","A","","001","547312","ED","AN","DL")</f>
        <v>2764033</v>
      </c>
      <c r="N77" s="28">
        <f>_xll.Get_Balance(N$83,"PTD","USD","Total","A","","001","547312","ED","AN","DL")</f>
        <v>2606766</v>
      </c>
      <c r="O77" s="28">
        <f>_xll.Get_Balance(O$83,"PTD","USD","Total","A","","001","547312","ED","AN","DL")</f>
        <v>3017151</v>
      </c>
      <c r="P77" s="28">
        <f>_xll.Get_Balance(P$83,"PTD","USD","Total","A","","001","547312","ED","AN","DL")</f>
        <v>3037751</v>
      </c>
      <c r="Q77" s="222"/>
      <c r="R77" s="223">
        <f>SUM(E77:P77)</f>
        <v>29652121</v>
      </c>
    </row>
    <row r="78" spans="1:18">
      <c r="A78" s="85">
        <f>A77+1</f>
        <v>38</v>
      </c>
      <c r="B78" s="72" t="s">
        <v>62</v>
      </c>
      <c r="C78" s="72"/>
      <c r="D78" s="202">
        <f t="shared" si="21"/>
        <v>3953846</v>
      </c>
      <c r="E78" s="40">
        <f>_xll.Get_Balance(E$83,"PTD","USD","Total","A","","001","547310","ED","AN","DL")</f>
        <v>3176</v>
      </c>
      <c r="F78" s="40">
        <f>_xll.Get_Balance(F$83,"PTD","USD","Total","A","","001","547310","ED","AN","DL")</f>
        <v>59358</v>
      </c>
      <c r="G78" s="40">
        <f>_xll.Get_Balance(G$83,"PTD","USD","Total","A","","001","547310","ED","AN","DL")</f>
        <v>18349</v>
      </c>
      <c r="H78" s="40">
        <f>_xll.Get_Balance(H$83,"PTD","USD","Total","A","","001","547310","ED","AN","DL")</f>
        <v>65122</v>
      </c>
      <c r="I78" s="40">
        <f>_xll.Get_Balance(I$83,"PTD","USD","Total","A","","001","547310","ED","AN","DL")</f>
        <v>138016</v>
      </c>
      <c r="J78" s="40">
        <f>_xll.Get_Balance(J$83,"PTD","USD","Total","A","","001","547310","ED","AN","DL")</f>
        <v>20335</v>
      </c>
      <c r="K78" s="40">
        <f>_xll.Get_Balance(K$83,"PTD","USD","Total","A","","001","547310","ED","AN","DL")</f>
        <v>806059</v>
      </c>
      <c r="L78" s="40">
        <f>_xll.Get_Balance(L$83,"PTD","USD","Total","A","","001","547310","ED","AN","DL")</f>
        <v>904957</v>
      </c>
      <c r="M78" s="40">
        <f>_xll.Get_Balance(M$83,"PTD","USD","Total","A","","001","547310","ED","AN","DL")</f>
        <v>467318</v>
      </c>
      <c r="N78" s="40">
        <f>_xll.Get_Balance(N$83,"PTD","USD","Total","A","","001","547310","ED","AN","DL")</f>
        <v>1006715</v>
      </c>
      <c r="O78" s="40">
        <f>_xll.Get_Balance(O$83,"PTD","USD","Total","A","","001","547310","ED","AN","DL")</f>
        <v>425327</v>
      </c>
      <c r="P78" s="40">
        <f>_xll.Get_Balance(P$83,"PTD","USD","Total","A","","001","547310","ED","AN","DL")</f>
        <v>39114</v>
      </c>
      <c r="Q78" s="222"/>
      <c r="R78" s="224">
        <f t="shared" si="22"/>
        <v>3953846</v>
      </c>
    </row>
    <row r="79" spans="1:18" s="42" customFormat="1" ht="21.75" customHeight="1">
      <c r="A79" s="199">
        <f t="shared" si="23"/>
        <v>39</v>
      </c>
      <c r="B79" s="70" t="s">
        <v>107</v>
      </c>
      <c r="C79" s="70"/>
      <c r="D79" s="50">
        <f t="shared" si="21"/>
        <v>63237753</v>
      </c>
      <c r="E79" s="31">
        <f t="shared" ref="E79:P79" si="24">SUM(E73:E78)</f>
        <v>6964296</v>
      </c>
      <c r="F79" s="31">
        <f t="shared" si="24"/>
        <v>4564678</v>
      </c>
      <c r="G79" s="31">
        <f t="shared" si="24"/>
        <v>6313406</v>
      </c>
      <c r="H79" s="31">
        <f t="shared" si="24"/>
        <v>4231002</v>
      </c>
      <c r="I79" s="31">
        <f t="shared" si="24"/>
        <v>1876822</v>
      </c>
      <c r="J79" s="31">
        <f t="shared" si="24"/>
        <v>2234952</v>
      </c>
      <c r="K79" s="31">
        <f t="shared" si="24"/>
        <v>7376855</v>
      </c>
      <c r="L79" s="31">
        <f t="shared" si="24"/>
        <v>7709363</v>
      </c>
      <c r="M79" s="31">
        <f t="shared" si="24"/>
        <v>5836996</v>
      </c>
      <c r="N79" s="31">
        <f t="shared" si="24"/>
        <v>4507069</v>
      </c>
      <c r="O79" s="31">
        <f t="shared" si="24"/>
        <v>7286568</v>
      </c>
      <c r="P79" s="31">
        <f t="shared" si="24"/>
        <v>4335746</v>
      </c>
      <c r="Q79" s="225"/>
      <c r="R79" s="226">
        <f>SUM(R73:R78)</f>
        <v>63237753</v>
      </c>
    </row>
    <row r="80" spans="1:18" ht="15.75" customHeight="1">
      <c r="A80" s="8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222"/>
      <c r="R80" s="227"/>
    </row>
    <row r="81" spans="1:18" ht="21" customHeight="1">
      <c r="A81" s="199">
        <f>A79+1</f>
        <v>40</v>
      </c>
      <c r="B81" s="73" t="s">
        <v>33</v>
      </c>
      <c r="C81" s="73"/>
      <c r="D81" s="228">
        <f>SUM(E81:P81)</f>
        <v>134744963</v>
      </c>
      <c r="E81" s="31">
        <f t="shared" ref="E81:P81" si="25">E23+E45+E62+E79</f>
        <v>12579922</v>
      </c>
      <c r="F81" s="31">
        <f t="shared" si="25"/>
        <v>11757943</v>
      </c>
      <c r="G81" s="31">
        <f t="shared" si="25"/>
        <v>10226126</v>
      </c>
      <c r="H81" s="31">
        <f t="shared" si="25"/>
        <v>6355700</v>
      </c>
      <c r="I81" s="31">
        <f t="shared" si="25"/>
        <v>3621342</v>
      </c>
      <c r="J81" s="31">
        <f t="shared" si="25"/>
        <v>4641080</v>
      </c>
      <c r="K81" s="31">
        <f t="shared" si="25"/>
        <v>13501244</v>
      </c>
      <c r="L81" s="31">
        <f t="shared" si="25"/>
        <v>16839185</v>
      </c>
      <c r="M81" s="31">
        <f t="shared" si="25"/>
        <v>13274961</v>
      </c>
      <c r="N81" s="31">
        <f t="shared" si="25"/>
        <v>13966552</v>
      </c>
      <c r="O81" s="31">
        <f t="shared" si="25"/>
        <v>11900229</v>
      </c>
      <c r="P81" s="31">
        <f t="shared" si="25"/>
        <v>16080679</v>
      </c>
      <c r="Q81" s="229"/>
      <c r="R81" s="230">
        <f>R23-R45+R62+R79</f>
        <v>318513320</v>
      </c>
    </row>
    <row r="82" spans="1:18" ht="12" customHeight="1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210"/>
    </row>
    <row r="83" spans="1:18" outlineLevel="1">
      <c r="B83" s="74" t="s">
        <v>25</v>
      </c>
      <c r="C83" s="74"/>
      <c r="E83" s="231">
        <v>201801</v>
      </c>
      <c r="F83" s="231">
        <v>201802</v>
      </c>
      <c r="G83" s="231">
        <v>201803</v>
      </c>
      <c r="H83" s="231">
        <v>201804</v>
      </c>
      <c r="I83" s="231">
        <v>201805</v>
      </c>
      <c r="J83" s="231">
        <v>201806</v>
      </c>
      <c r="K83" s="231">
        <v>201807</v>
      </c>
      <c r="L83" s="231">
        <v>201808</v>
      </c>
      <c r="M83" s="231">
        <v>201809</v>
      </c>
      <c r="N83" s="231">
        <v>201810</v>
      </c>
      <c r="O83" s="231">
        <v>201811</v>
      </c>
      <c r="P83" s="231">
        <v>201812</v>
      </c>
      <c r="Q83" s="210"/>
    </row>
    <row r="84" spans="1:18">
      <c r="B84" s="75" t="s">
        <v>114</v>
      </c>
      <c r="C84" s="75"/>
      <c r="D84" s="232"/>
      <c r="E84" s="207"/>
      <c r="F84" s="36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10"/>
    </row>
    <row r="85" spans="1:18">
      <c r="A85" s="85">
        <f>A81+1</f>
        <v>41</v>
      </c>
      <c r="B85" s="74" t="s">
        <v>45</v>
      </c>
      <c r="C85" s="74"/>
      <c r="D85" s="60">
        <f t="shared" ref="D85:D92" si="26">SUM(E85:P85)</f>
        <v>-12673000</v>
      </c>
      <c r="E85" s="28">
        <f>_xll.Get_Balance(E$83,"PTD","USD","Total","A","","001","456100","ED","AN","DL")</f>
        <v>-903780</v>
      </c>
      <c r="F85" s="28">
        <f>_xll.Get_Balance(F$83,"PTD","USD","Total","A","","001","456100","ED","AN","DL")</f>
        <v>-922637</v>
      </c>
      <c r="G85" s="28">
        <f>_xll.Get_Balance(G$83,"PTD","USD","Total","A","","001","456100","ED","AN","DL")</f>
        <v>-658705</v>
      </c>
      <c r="H85" s="28">
        <f>_xll.Get_Balance(H$83,"PTD","USD","Total","A","","001","456100","ED","AN","DL")</f>
        <v>-659155</v>
      </c>
      <c r="I85" s="28">
        <f>_xll.Get_Balance(I$83,"PTD","USD","Total","A","","001","456100","ED","AN","DL")</f>
        <v>-1040681</v>
      </c>
      <c r="J85" s="28">
        <f>_xll.Get_Balance(J$83,"PTD","USD","Total","A","","001","456100","ED","AN","DL")</f>
        <v>-1187805</v>
      </c>
      <c r="K85" s="28">
        <f>_xll.Get_Balance(K$83,"PTD","USD","Total","A","","001","456100","ED","AN","DL")</f>
        <v>-1447941</v>
      </c>
      <c r="L85" s="28">
        <f>_xll.Get_Balance(L$83,"PTD","USD","Total","A","","001","456100","ED","AN","DL")</f>
        <v>-1294522</v>
      </c>
      <c r="M85" s="28">
        <f>_xll.Get_Balance(M$83,"PTD","USD","Total","A","","001","456100","ED","AN","DL")</f>
        <v>-809430</v>
      </c>
      <c r="N85" s="28">
        <f>_xll.Get_Balance(N$83,"PTD","USD","Total","A","","001","456100","ED","AN","DL")</f>
        <v>-830529</v>
      </c>
      <c r="O85" s="28">
        <f>_xll.Get_Balance(O$83,"PTD","USD","Total","A","","001","456100","ED","AN","DL")</f>
        <v>-1378626</v>
      </c>
      <c r="P85" s="28">
        <f>_xll.Get_Balance(P$83,"PTD","USD","Total","A","","001","456100","ED","AN","DL")</f>
        <v>-1539189</v>
      </c>
      <c r="Q85" s="222"/>
      <c r="R85" s="223">
        <f t="shared" ref="R85:R92" si="27">SUM(E85:P85)</f>
        <v>-12673000</v>
      </c>
    </row>
    <row r="86" spans="1:18">
      <c r="A86" s="85">
        <v>45</v>
      </c>
      <c r="B86" s="74" t="s">
        <v>152</v>
      </c>
      <c r="C86" s="74"/>
      <c r="D86" s="60">
        <f t="shared" si="26"/>
        <v>-924000</v>
      </c>
      <c r="E86" s="63">
        <f>_xll.Get_Balance(E$83,"PTD","USD","Total","A","","001","456120","ED","AN","DL")</f>
        <v>-77000</v>
      </c>
      <c r="F86" s="63">
        <f>_xll.Get_Balance(F$83,"PTD","USD","Total","A","","001","456120","ED","AN","DL")</f>
        <v>-77000</v>
      </c>
      <c r="G86" s="63">
        <f>_xll.Get_Balance(G$83,"PTD","USD","Total","A","","001","456120","ED","AN","DL")</f>
        <v>-77000</v>
      </c>
      <c r="H86" s="63">
        <f>_xll.Get_Balance(H$83,"PTD","USD","Total","A","","001","456120","ED","AN","DL")</f>
        <v>-77000</v>
      </c>
      <c r="I86" s="63">
        <f>_xll.Get_Balance(I$83,"PTD","USD","Total","A","","001","456120","ED","AN","DL")</f>
        <v>-77000</v>
      </c>
      <c r="J86" s="63">
        <f>_xll.Get_Balance(J$83,"PTD","USD","Total","A","","001","456120","ED","AN","DL")</f>
        <v>-77000</v>
      </c>
      <c r="K86" s="63">
        <f>_xll.Get_Balance(K$83,"PTD","USD","Total","A","","001","456120","ED","AN","DL")</f>
        <v>-77000</v>
      </c>
      <c r="L86" s="63">
        <f>_xll.Get_Balance(L$83,"PTD","USD","Total","A","","001","456120","ED","AN","DL")</f>
        <v>-77000</v>
      </c>
      <c r="M86" s="63">
        <f>_xll.Get_Balance(M$83,"PTD","USD","Total","A","","001","456120","ED","AN","DL")</f>
        <v>-77000</v>
      </c>
      <c r="N86" s="63">
        <f>_xll.Get_Balance(N$83,"PTD","USD","Total","A","","001","456120","ED","AN","DL")</f>
        <v>-77000</v>
      </c>
      <c r="O86" s="63">
        <f>_xll.Get_Balance(O$83,"PTD","USD","Total","A","","001","456120","ED","AN","DL")</f>
        <v>-77000</v>
      </c>
      <c r="P86" s="63">
        <f>_xll.Get_Balance(P$83,"PTD","USD","Total","A","","001","456120","ED","AN","DL")</f>
        <v>-77000</v>
      </c>
      <c r="Q86" s="222"/>
      <c r="R86" s="223">
        <f t="shared" si="27"/>
        <v>-924000</v>
      </c>
    </row>
    <row r="87" spans="1:18">
      <c r="A87" s="85">
        <f>A86+1</f>
        <v>46</v>
      </c>
      <c r="B87" s="74" t="s">
        <v>190</v>
      </c>
      <c r="C87" s="74"/>
      <c r="D87" s="60">
        <f t="shared" si="26"/>
        <v>-313915</v>
      </c>
      <c r="E87" s="28">
        <f>_xll.Get_Balance(E$83,"PTD","USD","Total","A","","001","456020","ED","AN","DL")</f>
        <v>0</v>
      </c>
      <c r="F87" s="28">
        <f>_xll.Get_Balance(F$83,"PTD","USD","Total","A","","001","456020","ED","AN","DL")</f>
        <v>-31909</v>
      </c>
      <c r="G87" s="28">
        <f>_xll.Get_Balance(G$83,"PTD","USD","Total","A","","001","456020","ED","AN","DL")</f>
        <v>6</v>
      </c>
      <c r="H87" s="28">
        <f>_xll.Get_Balance(H$83,"PTD","USD","Total","A","","001","456020","ED","AN","DL")</f>
        <v>-13076</v>
      </c>
      <c r="I87" s="28">
        <f>_xll.Get_Balance(I$83,"PTD","USD","Total","A","","001","456020","ED","AN","DL")</f>
        <v>-119992</v>
      </c>
      <c r="J87" s="28">
        <f>_xll.Get_Balance(J$83,"PTD","USD","Total","A","","001","456020","ED","AN","DL")</f>
        <v>-16868</v>
      </c>
      <c r="K87" s="28">
        <f>_xll.Get_Balance(K$83,"PTD","USD","Total","A","","001","456020","ED","AN","DL")</f>
        <v>-939</v>
      </c>
      <c r="L87" s="28">
        <f>_xll.Get_Balance(L$83,"PTD","USD","Total","A","","001","456020","ED","AN","DL")</f>
        <v>-371</v>
      </c>
      <c r="M87" s="28">
        <f>_xll.Get_Balance(M$83,"PTD","USD","Total","A","","001","456020","ED","AN","DL")</f>
        <v>-12320</v>
      </c>
      <c r="N87" s="28">
        <f>_xll.Get_Balance(N$83,"PTD","USD","Total","A","","001","456020","ED","AN","DL")</f>
        <v>-71692</v>
      </c>
      <c r="O87" s="28">
        <f>_xll.Get_Balance(O$83,"PTD","USD","Total","A","","001","456020","ED","AN","DL")</f>
        <v>-2477</v>
      </c>
      <c r="P87" s="28">
        <f>_xll.Get_Balance(P$83,"PTD","USD","Total","A","","001","456020","ED","AN","DL")</f>
        <v>-44277</v>
      </c>
      <c r="Q87" s="28"/>
      <c r="R87" s="223">
        <f t="shared" si="27"/>
        <v>-313915</v>
      </c>
    </row>
    <row r="88" spans="1:18">
      <c r="A88" s="85">
        <f>+A87+1</f>
        <v>47</v>
      </c>
      <c r="B88" s="74" t="s">
        <v>189</v>
      </c>
      <c r="C88" s="74"/>
      <c r="D88" s="60">
        <f t="shared" si="26"/>
        <v>-2362855</v>
      </c>
      <c r="E88" s="28">
        <f>_xll.Get_Balance(E$83,"PTD","USD","Total","A","","001","456130","ED","AN","DL")</f>
        <v>-213305</v>
      </c>
      <c r="F88" s="28">
        <f>_xll.Get_Balance(F$83,"PTD","USD","Total","A","","001","456130","ED","AN","DL")</f>
        <v>-248240</v>
      </c>
      <c r="G88" s="28">
        <f>_xll.Get_Balance(G$83,"PTD","USD","Total","A","","001","456130","ED","AN","DL")</f>
        <v>-197702</v>
      </c>
      <c r="H88" s="28">
        <f>_xll.Get_Balance(H$83,"PTD","USD","Total","A","","001","456130","ED","AN","DL")</f>
        <v>-182889</v>
      </c>
      <c r="I88" s="28">
        <f>_xll.Get_Balance(I$83,"PTD","USD","Total","A","","001","456130","ED","AN","DL")</f>
        <v>-168311</v>
      </c>
      <c r="J88" s="28">
        <f>_xll.Get_Balance(J$83,"PTD","USD","Total","A","","001","456130","ED","AN","DL")</f>
        <v>-169612</v>
      </c>
      <c r="K88" s="28">
        <f>_xll.Get_Balance(K$83,"PTD","USD","Total","A","","001","456130","ED","AN","DL")</f>
        <v>-210888</v>
      </c>
      <c r="L88" s="28">
        <f>_xll.Get_Balance(L$83,"PTD","USD","Total","A","","001","456130","ED","AN","DL")</f>
        <v>-216324</v>
      </c>
      <c r="M88" s="28">
        <f>_xll.Get_Balance(M$83,"PTD","USD","Total","A","","001","456130","ED","AN","DL")</f>
        <v>-162989</v>
      </c>
      <c r="N88" s="28">
        <f>_xll.Get_Balance(N$83,"PTD","USD","Total","A","","001","456130","ED","AN","DL")</f>
        <v>-177643</v>
      </c>
      <c r="O88" s="28">
        <f>_xll.Get_Balance(O$83,"PTD","USD","Total","A","","001","456130","ED","AN","DL")</f>
        <v>-193694</v>
      </c>
      <c r="P88" s="28">
        <f>_xll.Get_Balance(P$83,"PTD","USD","Total","A","","001","456130","ED","AN","DL")</f>
        <v>-221258</v>
      </c>
      <c r="Q88" s="222"/>
      <c r="R88" s="223">
        <f t="shared" si="27"/>
        <v>-2362855</v>
      </c>
    </row>
    <row r="89" spans="1:18">
      <c r="A89" s="85">
        <f>+A88+1</f>
        <v>48</v>
      </c>
      <c r="B89" s="11" t="s">
        <v>154</v>
      </c>
      <c r="C89" s="11"/>
      <c r="D89" s="52">
        <f>SUM(E89:P89)</f>
        <v>-60240</v>
      </c>
      <c r="E89" s="53">
        <f>_xll.Get_Balance(E$83,"PTD","USD","Total","A","","001","456017","ED","AN","DL")</f>
        <v>-5020</v>
      </c>
      <c r="F89" s="53">
        <f>_xll.Get_Balance(F$83,"PTD","USD","Total","A","","001","456017","ED","AN","DL")</f>
        <v>-5020</v>
      </c>
      <c r="G89" s="53">
        <f>_xll.Get_Balance(G$83,"PTD","USD","Total","A","","001","456017","ED","AN","DL")</f>
        <v>-5020</v>
      </c>
      <c r="H89" s="53">
        <f>_xll.Get_Balance(H$83,"PTD","USD","Total","A","","001","456017","ED","AN","DL")</f>
        <v>-5020</v>
      </c>
      <c r="I89" s="53">
        <f>_xll.Get_Balance(I$83,"PTD","USD","Total","A","","001","456017","ED","AN","DL")</f>
        <v>-5020</v>
      </c>
      <c r="J89" s="53">
        <f>_xll.Get_Balance(J$83,"PTD","USD","Total","A","","001","456017","ED","AN","DL")</f>
        <v>-5020</v>
      </c>
      <c r="K89" s="53">
        <f>_xll.Get_Balance(K$83,"PTD","USD","Total","A","","001","456017","ED","AN","DL")</f>
        <v>-5020</v>
      </c>
      <c r="L89" s="53">
        <f>_xll.Get_Balance(L$83,"PTD","USD","Total","A","","001","456017","ED","AN","DL")</f>
        <v>-5020</v>
      </c>
      <c r="M89" s="53">
        <f>_xll.Get_Balance(M$83,"PTD","USD","Total","A","","001","456017","ED","AN","DL")</f>
        <v>-5020</v>
      </c>
      <c r="N89" s="53">
        <f>_xll.Get_Balance(N$83,"PTD","USD","Total","A","","001","456017","ED","AN","DL")</f>
        <v>-5020</v>
      </c>
      <c r="O89" s="53">
        <f>_xll.Get_Balance(O$83,"PTD","USD","Total","A","","001","456017","ED","AN","DL")</f>
        <v>-5020</v>
      </c>
      <c r="P89" s="53">
        <f>_xll.Get_Balance(P$83,"PTD","USD","Total","A","","001","456017","ED","AN","DL")</f>
        <v>-5020</v>
      </c>
      <c r="Q89" s="222"/>
      <c r="R89" s="223">
        <f t="shared" si="27"/>
        <v>-60240</v>
      </c>
    </row>
    <row r="90" spans="1:18">
      <c r="A90" s="85">
        <f>+A89+1</f>
        <v>49</v>
      </c>
      <c r="B90" s="95" t="s">
        <v>206</v>
      </c>
      <c r="C90" s="74"/>
      <c r="D90" s="60">
        <f t="shared" si="26"/>
        <v>-105726</v>
      </c>
      <c r="E90" s="28">
        <f>_xll.Get_Balance(E$83,"PTD","USD","Total","A","","001","456700","ED","WA","DL")</f>
        <v>-8781</v>
      </c>
      <c r="F90" s="28">
        <f>_xll.Get_Balance(F$83,"PTD","USD","Total","A","","001","456700","ED","WA","DL")</f>
        <v>-8781</v>
      </c>
      <c r="G90" s="28">
        <f>_xll.Get_Balance(G$83,"PTD","USD","Total","A","","001","456700","ED","WA","DL")</f>
        <v>-8781</v>
      </c>
      <c r="H90" s="28">
        <f>_xll.Get_Balance(H$83,"PTD","USD","Total","A","","001","456700","ED","WA","DL")</f>
        <v>-8781</v>
      </c>
      <c r="I90" s="28">
        <f>_xll.Get_Balance(I$83,"PTD","USD","Total","A","","001","456700","ED","WA","DL")</f>
        <v>-8781</v>
      </c>
      <c r="J90" s="28">
        <f>_xll.Get_Balance(J$83,"PTD","USD","Total","A","","001","456700","ED","WA","DL")</f>
        <v>-8781</v>
      </c>
      <c r="K90" s="28">
        <f>_xll.Get_Balance(K$83,"PTD","USD","Total","A","","001","456700","ED","WA","DL")</f>
        <v>-8781</v>
      </c>
      <c r="L90" s="28">
        <f>_xll.Get_Balance(L$83,"PTD","USD","Total","A","","001","456700","ED","WA","DL")</f>
        <v>-8781</v>
      </c>
      <c r="M90" s="28">
        <f>_xll.Get_Balance(M$83,"PTD","USD","Total","A","","001","456700","ED","WA","DL")</f>
        <v>-8781</v>
      </c>
      <c r="N90" s="28">
        <f>_xll.Get_Balance(N$83,"PTD","USD","Total","A","","001","456700","ED","WA","DL")</f>
        <v>-8781</v>
      </c>
      <c r="O90" s="28">
        <f>_xll.Get_Balance(O$83,"PTD","USD","Total","A","","001","456700","ED","WA","DL")</f>
        <v>-8781</v>
      </c>
      <c r="P90" s="28">
        <f>_xll.Get_Balance(P$83,"PTD","USD","Total","A","","001","456700","ED","WA","DL")</f>
        <v>-9135</v>
      </c>
      <c r="Q90" s="234"/>
      <c r="R90" s="223">
        <f t="shared" si="27"/>
        <v>-105726</v>
      </c>
    </row>
    <row r="91" spans="1:18">
      <c r="A91" s="85">
        <f>+A90+1</f>
        <v>50</v>
      </c>
      <c r="B91" s="76" t="s">
        <v>155</v>
      </c>
      <c r="C91" s="76" t="s">
        <v>129</v>
      </c>
      <c r="D91" s="60">
        <f t="shared" si="26"/>
        <v>-1747966</v>
      </c>
      <c r="E91" s="40">
        <f>_xll.Get_Balance(E$83,"PTD","USD","Total","A","","001","456705","ED","AN","DL")</f>
        <v>-138578</v>
      </c>
      <c r="F91" s="40">
        <f>_xll.Get_Balance(F$83,"PTD","USD","Total","A","","001","456705","ED","AN","DL")</f>
        <v>-138578</v>
      </c>
      <c r="G91" s="40">
        <f>_xll.Get_Balance(G$83,"PTD","USD","Total","A","","001","456705","ED","AN","DL")</f>
        <v>-138578</v>
      </c>
      <c r="H91" s="40">
        <f>_xll.Get_Balance(H$83,"PTD","USD","Total","A","","001","456705","ED","AN","DL")</f>
        <v>-138578</v>
      </c>
      <c r="I91" s="40">
        <f>_xll.Get_Balance(I$83,"PTD","USD","Total","A","","001","456705","ED","AN","DL")</f>
        <v>-138578</v>
      </c>
      <c r="J91" s="40">
        <f>_xll.Get_Balance(J$83,"PTD","USD","Total","A","","001","456705","ED","AN","DL")</f>
        <v>-215238</v>
      </c>
      <c r="K91" s="40">
        <f>_xll.Get_Balance(K$83,"PTD","USD","Total","A","","001","456705","ED","AN","DL")</f>
        <v>-139973</v>
      </c>
      <c r="L91" s="40">
        <f>_xll.Get_Balance(L$83,"PTD","USD","Total","A","","001","456705","ED","AN","DL")</f>
        <v>-139973</v>
      </c>
      <c r="M91" s="40">
        <f>_xll.Get_Balance(M$83,"PTD","USD","Total","A","","001","456705","ED","AN","DL")</f>
        <v>-139973</v>
      </c>
      <c r="N91" s="40">
        <f>_xll.Get_Balance(N$83,"PTD","USD","Total","A","","001","456705","ED","AN","DL")</f>
        <v>-139973</v>
      </c>
      <c r="O91" s="40">
        <f>_xll.Get_Balance(O$83,"PTD","USD","Total","A","","001","456705","ED","AN","DL")</f>
        <v>-139973</v>
      </c>
      <c r="P91" s="40">
        <f>_xll.Get_Balance(P$83,"PTD","USD","Total","A","","001","456705","ED","AN","DL")</f>
        <v>-139973</v>
      </c>
      <c r="Q91" s="222"/>
      <c r="R91" s="224">
        <f t="shared" si="27"/>
        <v>-1747966</v>
      </c>
    </row>
    <row r="92" spans="1:18" s="42" customFormat="1" ht="20.25" customHeight="1">
      <c r="A92" s="199">
        <f>A91+1</f>
        <v>51</v>
      </c>
      <c r="B92" s="77" t="s">
        <v>113</v>
      </c>
      <c r="C92" s="77"/>
      <c r="D92" s="50">
        <f t="shared" si="26"/>
        <v>-18187702</v>
      </c>
      <c r="E92" s="50">
        <f>SUM(E85:E91)</f>
        <v>-1346464</v>
      </c>
      <c r="F92" s="50">
        <f t="shared" ref="F92:P92" si="28">SUM(F85:F91)</f>
        <v>-1432165</v>
      </c>
      <c r="G92" s="50">
        <f t="shared" si="28"/>
        <v>-1085780</v>
      </c>
      <c r="H92" s="50">
        <f t="shared" si="28"/>
        <v>-1084499</v>
      </c>
      <c r="I92" s="50">
        <f t="shared" si="28"/>
        <v>-1558363</v>
      </c>
      <c r="J92" s="50">
        <f t="shared" si="28"/>
        <v>-1680324</v>
      </c>
      <c r="K92" s="50">
        <f t="shared" si="28"/>
        <v>-1890542</v>
      </c>
      <c r="L92" s="50">
        <f t="shared" si="28"/>
        <v>-1741991</v>
      </c>
      <c r="M92" s="50">
        <f t="shared" si="28"/>
        <v>-1215513</v>
      </c>
      <c r="N92" s="50">
        <f t="shared" si="28"/>
        <v>-1310638</v>
      </c>
      <c r="O92" s="50">
        <f t="shared" si="28"/>
        <v>-1805571</v>
      </c>
      <c r="P92" s="50">
        <f t="shared" si="28"/>
        <v>-2035852</v>
      </c>
      <c r="Q92" s="225"/>
      <c r="R92" s="226">
        <f t="shared" si="27"/>
        <v>-18187702</v>
      </c>
    </row>
    <row r="93" spans="1:18">
      <c r="A93" s="85"/>
      <c r="D93" s="14"/>
      <c r="E93" s="60"/>
      <c r="F93" s="202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222"/>
      <c r="R93" s="223"/>
    </row>
    <row r="94" spans="1:18">
      <c r="A94" s="85"/>
      <c r="B94" s="69" t="s">
        <v>115</v>
      </c>
      <c r="C94" s="69"/>
      <c r="D94" s="14"/>
      <c r="E94" s="60"/>
      <c r="F94" s="202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222"/>
      <c r="R94" s="223"/>
    </row>
    <row r="95" spans="1:18">
      <c r="A95" s="85">
        <f>A92+1</f>
        <v>52</v>
      </c>
      <c r="B95" s="11" t="s">
        <v>46</v>
      </c>
      <c r="C95" s="11"/>
      <c r="D95" s="60">
        <f>SUM(E95:P95)</f>
        <v>17475055</v>
      </c>
      <c r="E95" s="28">
        <f>_xll.Get_Balance(E$83,"PTD","USD","Total","A","","001","565000","ED","AN","DL")</f>
        <v>1532604</v>
      </c>
      <c r="F95" s="48">
        <f>_xll.Get_Balance(F$83,"PTD","USD","Total","A","","001","565000","ED","AN","DL")</f>
        <v>1475846</v>
      </c>
      <c r="G95" s="48">
        <f>_xll.Get_Balance(G$83,"PTD","USD","Total","A","","001","565000","ED","AN","DL")</f>
        <v>1512323</v>
      </c>
      <c r="H95" s="48">
        <f>_xll.Get_Balance(H$83,"PTD","USD","Total","A","","001","565000","ED","AN","DL")</f>
        <v>1450713</v>
      </c>
      <c r="I95" s="48">
        <f>_xll.Get_Balance(I$83,"PTD","USD","Total","A","","001","565000","ED","AN","DL")</f>
        <v>1423950</v>
      </c>
      <c r="J95" s="48">
        <f>_xll.Get_Balance(J$83,"PTD","USD","Total","A","","001","565000","ED","AN","DL")</f>
        <v>1403945</v>
      </c>
      <c r="K95" s="48">
        <f>_xll.Get_Balance(K$83,"PTD","USD","Total","A","","001","565000","ED","AN","DL")</f>
        <v>1426836</v>
      </c>
      <c r="L95" s="48">
        <f>_xll.Get_Balance(L$83,"PTD","USD","Total","A","","001","565000","ED","AN","DL")</f>
        <v>1466731</v>
      </c>
      <c r="M95" s="48">
        <f>_xll.Get_Balance(M$83,"PTD","USD","Total","A","","001","565000","ED","AN","DL")</f>
        <v>1502930</v>
      </c>
      <c r="N95" s="48">
        <f>_xll.Get_Balance(N$83,"PTD","USD","Total","A","","001","565000","ED","AN","DL")</f>
        <v>1415387</v>
      </c>
      <c r="O95" s="48">
        <f>_xll.Get_Balance(O$83,"PTD","USD","Total","A","","001","565000","ED","AN","DL")</f>
        <v>1448964</v>
      </c>
      <c r="P95" s="48">
        <f>_xll.Get_Balance(P$83,"PTD","USD","Total","A","","001","565000","ED","AN","DL")</f>
        <v>1414826</v>
      </c>
      <c r="Q95" s="222"/>
      <c r="R95" s="223">
        <f>SUM(E95:P95)</f>
        <v>17475055</v>
      </c>
    </row>
    <row r="96" spans="1:18">
      <c r="A96" s="85">
        <f>A95+1</f>
        <v>53</v>
      </c>
      <c r="B96" s="11" t="s">
        <v>73</v>
      </c>
      <c r="C96" s="11" t="s">
        <v>74</v>
      </c>
      <c r="D96" s="60">
        <f>SUM(E96:P96)</f>
        <v>0</v>
      </c>
      <c r="E96" s="48">
        <f>_xll.Get_Balance(E$83,"PTD","USD","Total","A","","001","565312","ED","AN","DL")</f>
        <v>0</v>
      </c>
      <c r="F96" s="48">
        <f>_xll.Get_Balance(F$83,"PTD","USD","Total","A","","001","565312","ED","AN","DL")</f>
        <v>0</v>
      </c>
      <c r="G96" s="48">
        <f>_xll.Get_Balance(G$83,"PTD","USD","Total","A","","001","565312","ED","AN","DL")</f>
        <v>0</v>
      </c>
      <c r="H96" s="48">
        <f>_xll.Get_Balance(H$83,"PTD","USD","Total","A","","001","565312","ED","AN","DL")</f>
        <v>0</v>
      </c>
      <c r="I96" s="48">
        <f>_xll.Get_Balance(I$83,"PTD","USD","Total","A","","001","565312","ED","AN","DL")</f>
        <v>0</v>
      </c>
      <c r="J96" s="48">
        <f>_xll.Get_Balance(J$83,"PTD","USD","Total","A","","001","565312","ED","AN","DL")</f>
        <v>0</v>
      </c>
      <c r="K96" s="48">
        <f>_xll.Get_Balance(K$83,"PTD","USD","Total","A","","001","565312","ED","AN","DL")</f>
        <v>0</v>
      </c>
      <c r="L96" s="48">
        <f>_xll.Get_Balance(L$83,"PTD","USD","Total","A","","001","565312","ED","AN","DL")</f>
        <v>0</v>
      </c>
      <c r="M96" s="48">
        <f>_xll.Get_Balance(M$83,"PTD","USD","Total","A","","001","565312","ED","AN","DL")</f>
        <v>0</v>
      </c>
      <c r="N96" s="48">
        <f>_xll.Get_Balance(N$83,"PTD","USD","Total","A","","001","565312","ED","AN","DL")</f>
        <v>0</v>
      </c>
      <c r="O96" s="48">
        <f>_xll.Get_Balance(O$83,"PTD","USD","Total","A","","001","565312","ED","AN","DL")</f>
        <v>0</v>
      </c>
      <c r="P96" s="48">
        <f>_xll.Get_Balance(P$83,"PTD","USD","Total","A","","001","565312","ED","AN","DL")</f>
        <v>0</v>
      </c>
      <c r="Q96" s="222"/>
      <c r="R96" s="223">
        <f>SUM(E96:P96)</f>
        <v>0</v>
      </c>
    </row>
    <row r="97" spans="1:18">
      <c r="A97" s="86">
        <f>A96+1</f>
        <v>54</v>
      </c>
      <c r="B97" s="78" t="s">
        <v>47</v>
      </c>
      <c r="C97" s="78"/>
      <c r="D97" s="60">
        <f>SUM(E97:P97)</f>
        <v>54432</v>
      </c>
      <c r="E97" s="40">
        <f>_xll.Get_Balance(E$83,"PTD","USD","Total","A","","001","565710","ED","AN","DL")</f>
        <v>4536</v>
      </c>
      <c r="F97" s="40">
        <f>_xll.Get_Balance(F$83,"PTD","USD","Total","A","","001","565710","ED","AN","DL")</f>
        <v>4536</v>
      </c>
      <c r="G97" s="40">
        <f>_xll.Get_Balance(G$83,"PTD","USD","Total","A","","001","565710","ED","AN","DL")</f>
        <v>4536</v>
      </c>
      <c r="H97" s="40">
        <f>_xll.Get_Balance(H$83,"PTD","USD","Total","A","","001","565710","ED","AN","DL")</f>
        <v>4536</v>
      </c>
      <c r="I97" s="40">
        <f>_xll.Get_Balance(I$83,"PTD","USD","Total","A","","001","565710","ED","AN","DL")</f>
        <v>4536</v>
      </c>
      <c r="J97" s="40">
        <f>_xll.Get_Balance(J$83,"PTD","USD","Total","A","","001","565710","ED","AN","DL")</f>
        <v>4536</v>
      </c>
      <c r="K97" s="40">
        <f>_xll.Get_Balance(K$83,"PTD","USD","Total","A","","001","565710","ED","AN","DL")</f>
        <v>4536</v>
      </c>
      <c r="L97" s="40">
        <f>_xll.Get_Balance(L$83,"PTD","USD","Total","A","","001","565710","ED","AN","DL")</f>
        <v>4536</v>
      </c>
      <c r="M97" s="40">
        <f>_xll.Get_Balance(M$83,"PTD","USD","Total","A","","001","565710","ED","AN","DL")</f>
        <v>4536</v>
      </c>
      <c r="N97" s="40">
        <f>_xll.Get_Balance(N$83,"PTD","USD","Total","A","","001","565710","ED","AN","DL")</f>
        <v>4536</v>
      </c>
      <c r="O97" s="40">
        <f>_xll.Get_Balance(O$83,"PTD","USD","Total","A","","001","565710","ED","AN","DL")</f>
        <v>4536</v>
      </c>
      <c r="P97" s="40">
        <f>_xll.Get_Balance(P$83,"PTD","USD","Total","A","","001","565710","ED","AN","DL")</f>
        <v>4536</v>
      </c>
      <c r="Q97" s="222"/>
      <c r="R97" s="224">
        <f>SUM(E97:P97)</f>
        <v>54432</v>
      </c>
    </row>
    <row r="98" spans="1:18" s="42" customFormat="1" ht="20.25" customHeight="1">
      <c r="A98" s="199">
        <f>A97+1</f>
        <v>55</v>
      </c>
      <c r="B98" s="77" t="s">
        <v>112</v>
      </c>
      <c r="C98" s="77"/>
      <c r="D98" s="50">
        <f>SUM(E98:P98)</f>
        <v>17529487</v>
      </c>
      <c r="E98" s="31">
        <f t="shared" ref="E98:P98" si="29">SUM(E95:E97)</f>
        <v>1537140</v>
      </c>
      <c r="F98" s="31">
        <f t="shared" si="29"/>
        <v>1480382</v>
      </c>
      <c r="G98" s="31">
        <f t="shared" si="29"/>
        <v>1516859</v>
      </c>
      <c r="H98" s="31">
        <f t="shared" si="29"/>
        <v>1455249</v>
      </c>
      <c r="I98" s="31">
        <f t="shared" si="29"/>
        <v>1428486</v>
      </c>
      <c r="J98" s="31">
        <f t="shared" si="29"/>
        <v>1408481</v>
      </c>
      <c r="K98" s="31">
        <f t="shared" si="29"/>
        <v>1431372</v>
      </c>
      <c r="L98" s="31">
        <f t="shared" si="29"/>
        <v>1471267</v>
      </c>
      <c r="M98" s="31">
        <f t="shared" si="29"/>
        <v>1507466</v>
      </c>
      <c r="N98" s="31">
        <f t="shared" si="29"/>
        <v>1419923</v>
      </c>
      <c r="O98" s="31">
        <f t="shared" si="29"/>
        <v>1453500</v>
      </c>
      <c r="P98" s="31">
        <f t="shared" si="29"/>
        <v>1419362</v>
      </c>
      <c r="Q98" s="225"/>
      <c r="R98" s="226">
        <f>SUM(E98:P98)</f>
        <v>17529487</v>
      </c>
    </row>
    <row r="99" spans="1:18">
      <c r="A99" s="85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222"/>
      <c r="R99" s="223"/>
    </row>
    <row r="100" spans="1:18">
      <c r="A100" s="85"/>
      <c r="B100" s="69" t="s">
        <v>181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222"/>
      <c r="R100" s="223"/>
    </row>
    <row r="101" spans="1:18">
      <c r="A101" s="85">
        <f>A98+1</f>
        <v>56</v>
      </c>
      <c r="B101" s="11" t="s">
        <v>184</v>
      </c>
      <c r="D101" s="202">
        <f>SUM(E101:P101)</f>
        <v>468626</v>
      </c>
      <c r="E101" s="36">
        <f>_xll.Get_Balance(E$83,"PTD","USD","Total","A","","001","557170","ED","AN","DL")</f>
        <v>47346</v>
      </c>
      <c r="F101" s="36">
        <f>_xll.Get_Balance(F$83,"PTD","USD","Total","A","","001","557170","ED","AN","DL")</f>
        <v>29412</v>
      </c>
      <c r="G101" s="36">
        <f>_xll.Get_Balance(G$83,"PTD","USD","Total","A","","001","557170","ED","AN","DL")</f>
        <v>45913</v>
      </c>
      <c r="H101" s="36">
        <f>_xll.Get_Balance(H$83,"PTD","USD","Total","A","","001","557170","ED","AN","DL")</f>
        <v>44067</v>
      </c>
      <c r="I101" s="36">
        <f>_xll.Get_Balance(I$83,"PTD","USD","Total","A","","001","557170","ED","AN","DL")</f>
        <v>46595</v>
      </c>
      <c r="J101" s="36">
        <f>_xll.Get_Balance(J$83,"PTD","USD","Total","A","","001","557170","ED","AN","DL")</f>
        <v>39558</v>
      </c>
      <c r="K101" s="36">
        <f>_xll.Get_Balance(K$83,"PTD","USD","Total","A","","001","557170","ED","AN","DL")</f>
        <v>33991</v>
      </c>
      <c r="L101" s="36">
        <f>_xll.Get_Balance(L$83,"PTD","USD","Total","A","","001","557170","ED","AN","DL")</f>
        <v>45069</v>
      </c>
      <c r="M101" s="36">
        <f>_xll.Get_Balance(M$83,"PTD","USD","Total","A","","001","557170","ED","AN","DL")</f>
        <v>39699</v>
      </c>
      <c r="N101" s="36">
        <f>_xll.Get_Balance(N$83,"PTD","USD","Total","A","","001","557170","ED","AN","DL")</f>
        <v>33612</v>
      </c>
      <c r="O101" s="36">
        <f>_xll.Get_Balance(O$83,"PTD","USD","Total","A","","001","557170","ED","AN","DL")</f>
        <v>29241</v>
      </c>
      <c r="P101" s="36">
        <f>_xll.Get_Balance(P$83,"PTD","USD","Total","A","","001","557170","ED","AN","DL")</f>
        <v>34123</v>
      </c>
      <c r="Q101" s="222"/>
      <c r="R101" s="223"/>
    </row>
    <row r="102" spans="1:18">
      <c r="A102" s="85">
        <f>A101+1</f>
        <v>57</v>
      </c>
      <c r="B102" s="84" t="s">
        <v>183</v>
      </c>
      <c r="D102" s="202">
        <f>SUM(E102:P102)</f>
        <v>0</v>
      </c>
      <c r="E102" s="36">
        <f>_xll.Get_Balance(E$83,"PTD","USD","Total","A","","001","557172","ED","AN","DL")</f>
        <v>0</v>
      </c>
      <c r="F102" s="36">
        <f>_xll.Get_Balance(F$83,"PTD","USD","Total","A","","001","557172","ED","AN","DL")</f>
        <v>0</v>
      </c>
      <c r="G102" s="36">
        <f>_xll.Get_Balance(G$83,"PTD","USD","Total","A","","001","557172","ED","AN","DL")</f>
        <v>0</v>
      </c>
      <c r="H102" s="36">
        <f>_xll.Get_Balance(H$83,"PTD","USD","Total","A","","001","557172","ED","AN","DL")</f>
        <v>0</v>
      </c>
      <c r="I102" s="36">
        <f>_xll.Get_Balance(I$83,"PTD","USD","Total","A","","001","557172","ED","AN","DL")</f>
        <v>0</v>
      </c>
      <c r="J102" s="36">
        <f>_xll.Get_Balance(J$83,"PTD","USD","Total","A","","001","557172","ED","AN","DL")</f>
        <v>0</v>
      </c>
      <c r="K102" s="36">
        <f>_xll.Get_Balance(K$83,"PTD","USD","Total","A","","001","557172","ED","AN","DL")</f>
        <v>0</v>
      </c>
      <c r="L102" s="36">
        <f>_xll.Get_Balance(L$83,"PTD","USD","Total","A","","001","557172","ED","AN","DL")</f>
        <v>0</v>
      </c>
      <c r="M102" s="36">
        <f>_xll.Get_Balance(M$83,"PTD","USD","Total","A","","001","557172","ED","AN","DL")</f>
        <v>0</v>
      </c>
      <c r="N102" s="36">
        <f>_xll.Get_Balance(N$83,"PTD","USD","Total","A","","001","557172","ED","AN","DL")</f>
        <v>0</v>
      </c>
      <c r="O102" s="36">
        <f>_xll.Get_Balance(O$83,"PTD","USD","Total","A","","001","557172","ED","AN","DL")</f>
        <v>0</v>
      </c>
      <c r="P102" s="36">
        <f>_xll.Get_Balance(P$83,"PTD","USD","Total","A","","001","557172","ED","AN","DL")</f>
        <v>0</v>
      </c>
      <c r="Q102" s="222"/>
      <c r="R102" s="223"/>
    </row>
    <row r="103" spans="1:18">
      <c r="A103" s="85">
        <f>A102+1</f>
        <v>58</v>
      </c>
      <c r="B103" s="84" t="s">
        <v>211</v>
      </c>
      <c r="C103" s="13" t="s">
        <v>212</v>
      </c>
      <c r="D103" s="202">
        <f>SUM(E103:P103)</f>
        <v>120370</v>
      </c>
      <c r="E103" s="36">
        <f>_xll.Get_Balance(E$83,"PTD","USD","Total","A","","001","557165","ED","AN","DL")</f>
        <v>13283</v>
      </c>
      <c r="F103" s="36">
        <f>_xll.Get_Balance(F$83,"PTD","USD","Total","A","","001","557165","ED","AN","DL")</f>
        <v>5453</v>
      </c>
      <c r="G103" s="36">
        <f>_xll.Get_Balance(G$83,"PTD","USD","Total","A","","001","557165","ED","AN","DL")</f>
        <v>6923</v>
      </c>
      <c r="H103" s="36">
        <f>_xll.Get_Balance(H$83,"PTD","USD","Total","A","","001","557165","ED","AN","DL")</f>
        <v>8212</v>
      </c>
      <c r="I103" s="36">
        <f>_xll.Get_Balance(I$83,"PTD","USD","Total","A","","001","557165","ED","AN","DL")</f>
        <v>6507</v>
      </c>
      <c r="J103" s="36">
        <f>_xll.Get_Balance(J$83,"PTD","USD","Total","A","","001","557165","ED","AN","DL")</f>
        <v>10866</v>
      </c>
      <c r="K103" s="36">
        <f>_xll.Get_Balance(K$83,"PTD","USD","Total","A","","001","557165","ED","AN","DL")</f>
        <v>4109</v>
      </c>
      <c r="L103" s="36">
        <f>_xll.Get_Balance(L$83,"PTD","USD","Total","A","","001","557165","ED","AN","DL")</f>
        <v>5832</v>
      </c>
      <c r="M103" s="36">
        <f>_xll.Get_Balance(M$83,"PTD","USD","Total","A","","001","557165","ED","AN","DL")</f>
        <v>23300</v>
      </c>
      <c r="N103" s="36">
        <f>_xll.Get_Balance(N$83,"PTD","USD","Total","A","","001","557165","ED","AN","DL")</f>
        <v>2610</v>
      </c>
      <c r="O103" s="36">
        <f>_xll.Get_Balance(O$83,"PTD","USD","Total","A","","001","557165","ED","AN","DL")</f>
        <v>7929</v>
      </c>
      <c r="P103" s="36">
        <f>_xll.Get_Balance(P$83,"PTD","USD","Total","A","","001","557165","ED","AN","DL")</f>
        <v>25346</v>
      </c>
      <c r="Q103" s="222"/>
      <c r="R103" s="223"/>
    </row>
    <row r="104" spans="1:18">
      <c r="A104" s="85">
        <f>A103+1</f>
        <v>59</v>
      </c>
      <c r="B104" s="84" t="s">
        <v>215</v>
      </c>
      <c r="C104" s="13" t="s">
        <v>216</v>
      </c>
      <c r="D104" s="202">
        <f>SUM(E104:P104)</f>
        <v>47074</v>
      </c>
      <c r="E104" s="36">
        <f>_xll.Get_Balance(E$83,"PTD","USD","Total","A","","001","557018","ED","AN","DL")</f>
        <v>3619</v>
      </c>
      <c r="F104" s="36">
        <f>_xll.Get_Balance(F$83,"PTD","USD","Total","A","","001","557018","ED","AN","DL")</f>
        <v>3280</v>
      </c>
      <c r="G104" s="36">
        <f>_xll.Get_Balance(G$83,"PTD","USD","Total","A","","001","557018","ED","AN","DL")</f>
        <v>3615</v>
      </c>
      <c r="H104" s="36">
        <f>_xll.Get_Balance(H$83,"PTD","USD","Total","A","","001","557018","ED","AN","DL")</f>
        <v>3497</v>
      </c>
      <c r="I104" s="36">
        <f>_xll.Get_Balance(I$83,"PTD","USD","Total","A","","001","557018","ED","AN","DL")</f>
        <v>3798</v>
      </c>
      <c r="J104" s="36">
        <f>_xll.Get_Balance(J$83,"PTD","USD","Total","A","","001","557018","ED","AN","DL")</f>
        <v>4287</v>
      </c>
      <c r="K104" s="36">
        <f>_xll.Get_Balance(K$83,"PTD","USD","Total","A","","001","557018","ED","AN","DL")</f>
        <v>4417</v>
      </c>
      <c r="L104" s="36">
        <f>_xll.Get_Balance(L$83,"PTD","USD","Total","A","","001","557018","ED","AN","DL")</f>
        <v>3737</v>
      </c>
      <c r="M104" s="36">
        <f>_xll.Get_Balance(M$83,"PTD","USD","Total","A","","001","557018","ED","AN","DL")</f>
        <v>4391</v>
      </c>
      <c r="N104" s="36">
        <f>_xll.Get_Balance(N$83,"PTD","USD","Total","A","","001","557018","ED","AN","DL")</f>
        <v>4129</v>
      </c>
      <c r="O104" s="36">
        <f>_xll.Get_Balance(O$83,"PTD","USD","Total","A","","001","557018","ED","AN","DL")</f>
        <v>4157</v>
      </c>
      <c r="P104" s="36">
        <f>_xll.Get_Balance(P$83,"PTD","USD","Total","A","","001","557018","ED","AN","DL")</f>
        <v>4147</v>
      </c>
      <c r="Q104" s="222"/>
      <c r="R104" s="223"/>
    </row>
    <row r="105" spans="1:18" s="42" customFormat="1" ht="20.25" customHeight="1">
      <c r="A105" s="85">
        <f>A104+1</f>
        <v>60</v>
      </c>
      <c r="B105" s="77" t="s">
        <v>182</v>
      </c>
      <c r="C105" s="77"/>
      <c r="D105" s="50">
        <f>D101+D102+D103+D104</f>
        <v>636070</v>
      </c>
      <c r="E105" s="50">
        <f>E101+E102+E103+E104</f>
        <v>64248</v>
      </c>
      <c r="F105" s="50">
        <f t="shared" ref="F105:P105" si="30">F101+F102+F103+F104</f>
        <v>38145</v>
      </c>
      <c r="G105" s="50">
        <f t="shared" si="30"/>
        <v>56451</v>
      </c>
      <c r="H105" s="50">
        <f t="shared" si="30"/>
        <v>55776</v>
      </c>
      <c r="I105" s="50">
        <f t="shared" si="30"/>
        <v>56900</v>
      </c>
      <c r="J105" s="50">
        <f t="shared" si="30"/>
        <v>54711</v>
      </c>
      <c r="K105" s="50">
        <f t="shared" si="30"/>
        <v>42517</v>
      </c>
      <c r="L105" s="50">
        <f t="shared" si="30"/>
        <v>54638</v>
      </c>
      <c r="M105" s="50">
        <f t="shared" si="30"/>
        <v>67390</v>
      </c>
      <c r="N105" s="50">
        <f t="shared" si="30"/>
        <v>40351</v>
      </c>
      <c r="O105" s="50">
        <f t="shared" si="30"/>
        <v>41327</v>
      </c>
      <c r="P105" s="50">
        <f t="shared" si="30"/>
        <v>63616</v>
      </c>
      <c r="Q105" s="225"/>
      <c r="R105" s="226"/>
    </row>
    <row r="106" spans="1:18" ht="9" customHeight="1">
      <c r="A106" s="85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222"/>
      <c r="R106" s="223"/>
    </row>
    <row r="107" spans="1:18">
      <c r="A107" s="85"/>
      <c r="B107" s="20" t="s">
        <v>68</v>
      </c>
      <c r="C107" s="20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222"/>
      <c r="R107" s="223"/>
    </row>
    <row r="108" spans="1:18">
      <c r="A108" s="85">
        <f>A105+1</f>
        <v>61</v>
      </c>
      <c r="B108" s="13" t="s">
        <v>91</v>
      </c>
      <c r="D108" s="202">
        <f>SUM(E108:P108)</f>
        <v>13118040</v>
      </c>
      <c r="E108" s="34">
        <f>_xll.Get_Balance(E$83,"PTD","USD","Total","A","","001","557010","ED","AN","DL")</f>
        <v>1083619</v>
      </c>
      <c r="F108" s="34">
        <f>_xll.Get_Balance(F$83,"PTD","USD","Total","A","","001","557010","ED","AN","DL")</f>
        <v>1645941</v>
      </c>
      <c r="G108" s="34">
        <f>_xll.Get_Balance(G$83,"PTD","USD","Total","A","","001","557010","ED","AN","DL")</f>
        <v>1377218</v>
      </c>
      <c r="H108" s="34">
        <f>_xll.Get_Balance(H$83,"PTD","USD","Total","A","","001","557010","ED","AN","DL")</f>
        <v>1492640</v>
      </c>
      <c r="I108" s="34">
        <f>_xll.Get_Balance(I$83,"PTD","USD","Total","A","","001","557010","ED","AN","DL")</f>
        <v>2912803</v>
      </c>
      <c r="J108" s="34">
        <f>_xll.Get_Balance(J$83,"PTD","USD","Total","A","","001","557010","ED","AN","DL")</f>
        <v>2761505</v>
      </c>
      <c r="K108" s="34">
        <f>_xll.Get_Balance(K$83,"PTD","USD","Total","A","","001","557010","ED","AN","DL")</f>
        <v>1833937</v>
      </c>
      <c r="L108" s="34">
        <f>_xll.Get_Balance(L$83,"PTD","USD","Total","A","","001","557010","ED","AN","DL")</f>
        <v>973692</v>
      </c>
      <c r="M108" s="34">
        <f>_xll.Get_Balance(M$83,"PTD","USD","Total","A","","001","557010","ED","AN","DL")</f>
        <v>1907615</v>
      </c>
      <c r="N108" s="34">
        <f>_xll.Get_Balance(N$83,"PTD","USD","Total","A","","001","557010","ED","AN","DL")</f>
        <v>1755516</v>
      </c>
      <c r="O108" s="34">
        <f>_xll.Get_Balance(O$83,"PTD","USD","Total","A","","001","557010","ED","AN","DL")</f>
        <v>-446810</v>
      </c>
      <c r="P108" s="34">
        <f>_xll.Get_Balance(P$83,"PTD","USD","Total","A","","001","557010","ED","AN","DL")</f>
        <v>-4179636</v>
      </c>
      <c r="Q108" s="222"/>
      <c r="R108" s="223">
        <f t="shared" ref="R108:R118" si="31">SUM(E108:P108)</f>
        <v>13118040</v>
      </c>
    </row>
    <row r="109" spans="1:18">
      <c r="A109" s="85">
        <f>A108+1</f>
        <v>62</v>
      </c>
      <c r="B109" s="13" t="s">
        <v>63</v>
      </c>
      <c r="D109" s="202">
        <f t="shared" ref="D109:D118" si="32">SUM(E109:P109)</f>
        <v>68733</v>
      </c>
      <c r="E109" s="34">
        <f>_xll.Get_Balance(E$83,"PTD","USD","Total","A","","001","557150","ED","AN","DL")</f>
        <v>-2490169</v>
      </c>
      <c r="F109" s="34">
        <f>_xll.Get_Balance(F$83,"PTD","USD","Total","A","","001","557150","ED","AN","DL")</f>
        <v>-336824</v>
      </c>
      <c r="G109" s="34">
        <f>_xll.Get_Balance(G$83,"PTD","USD","Total","A","","001","557150","ED","AN","DL")</f>
        <v>363762</v>
      </c>
      <c r="H109" s="34">
        <f>_xll.Get_Balance(H$83,"PTD","USD","Total","A","","001","557150","ED","AN","DL")</f>
        <v>852918</v>
      </c>
      <c r="I109" s="34">
        <f>_xll.Get_Balance(I$83,"PTD","USD","Total","A","","001","557150","ED","AN","DL")</f>
        <v>675072</v>
      </c>
      <c r="J109" s="34">
        <f>_xll.Get_Balance(J$83,"PTD","USD","Total","A","","001","557150","ED","AN","DL")</f>
        <v>1435046</v>
      </c>
      <c r="K109" s="34">
        <f>_xll.Get_Balance(K$83,"PTD","USD","Total","A","","001","557150","ED","AN","DL")</f>
        <v>-2218714</v>
      </c>
      <c r="L109" s="34">
        <f>_xll.Get_Balance(L$83,"PTD","USD","Total","A","","001","557150","ED","AN","DL")</f>
        <v>-914639</v>
      </c>
      <c r="M109" s="34">
        <f>_xll.Get_Balance(M$83,"PTD","USD","Total","A","","001","557150","ED","AN","DL")</f>
        <v>86436</v>
      </c>
      <c r="N109" s="34">
        <f>_xll.Get_Balance(N$83,"PTD","USD","Total","A","","001","557150","ED","AN","DL")</f>
        <v>509676</v>
      </c>
      <c r="O109" s="34">
        <f>_xll.Get_Balance(O$83,"PTD","USD","Total","A","","001","557150","ED","AN","DL")</f>
        <v>-2689163</v>
      </c>
      <c r="P109" s="34">
        <f>_xll.Get_Balance(P$83,"PTD","USD","Total","A","","001","557150","ED","AN","DL")</f>
        <v>4795332</v>
      </c>
      <c r="Q109" s="222"/>
      <c r="R109" s="223">
        <f t="shared" si="31"/>
        <v>68733</v>
      </c>
    </row>
    <row r="110" spans="1:18">
      <c r="A110" s="85">
        <f t="shared" ref="A110:A118" si="33">A109+1</f>
        <v>63</v>
      </c>
      <c r="B110" s="13" t="s">
        <v>64</v>
      </c>
      <c r="D110" s="202">
        <f t="shared" si="32"/>
        <v>7860830</v>
      </c>
      <c r="E110" s="34">
        <f>_xll.Get_Balance(E$83,"PTD","USD","Total","A","","001","557700","ED","AN","DL")</f>
        <v>414178</v>
      </c>
      <c r="F110" s="34">
        <f>_xll.Get_Balance(F$83,"PTD","USD","Total","A","","001","557700","ED","AN","DL")</f>
        <v>204400</v>
      </c>
      <c r="G110" s="34">
        <f>_xll.Get_Balance(G$83,"PTD","USD","Total","A","","001","557700","ED","AN","DL")</f>
        <v>49615</v>
      </c>
      <c r="H110" s="34">
        <f>_xll.Get_Balance(H$83,"PTD","USD","Total","A","","001","557700","ED","AN","DL")</f>
        <v>233130</v>
      </c>
      <c r="I110" s="34">
        <f>_xll.Get_Balance(I$83,"PTD","USD","Total","A","","001","557700","ED","AN","DL")</f>
        <v>0</v>
      </c>
      <c r="J110" s="34">
        <f>_xll.Get_Balance(J$83,"PTD","USD","Total","A","","001","557700","ED","AN","DL")</f>
        <v>487824</v>
      </c>
      <c r="K110" s="34">
        <f>_xll.Get_Balance(K$83,"PTD","USD","Total","A","","001","557700","ED","AN","DL")</f>
        <v>357663</v>
      </c>
      <c r="L110" s="34">
        <f>_xll.Get_Balance(L$83,"PTD","USD","Total","A","","001","557700","ED","AN","DL")</f>
        <v>1564964</v>
      </c>
      <c r="M110" s="34">
        <f>_xll.Get_Balance(M$83,"PTD","USD","Total","A","","001","557700","ED","AN","DL")</f>
        <v>817656</v>
      </c>
      <c r="N110" s="34">
        <f>_xll.Get_Balance(N$83,"PTD","USD","Total","A","","001","557700","ED","AN","DL")</f>
        <v>1806503</v>
      </c>
      <c r="O110" s="34">
        <f>_xll.Get_Balance(O$83,"PTD","USD","Total","A","","001","557700","ED","AN","DL")</f>
        <v>316755</v>
      </c>
      <c r="P110" s="34">
        <f>_xll.Get_Balance(P$83,"PTD","USD","Total","A","","001","557700","ED","AN","DL")</f>
        <v>1608142</v>
      </c>
      <c r="Q110" s="222"/>
      <c r="R110" s="223">
        <f t="shared" si="31"/>
        <v>7860830</v>
      </c>
    </row>
    <row r="111" spans="1:18">
      <c r="A111" s="85">
        <f t="shared" si="33"/>
        <v>64</v>
      </c>
      <c r="B111" s="11" t="s">
        <v>100</v>
      </c>
      <c r="C111" s="11"/>
      <c r="D111" s="202">
        <f t="shared" si="32"/>
        <v>-7860830</v>
      </c>
      <c r="E111" s="34">
        <f>_xll.Get_Balance(E$83,"PTD","USD","Total","A","","001","557711","ED","AN","DL")</f>
        <v>-414178</v>
      </c>
      <c r="F111" s="34">
        <f>_xll.Get_Balance(F$83,"PTD","USD","Total","A","","001","557711","ED","AN","DL")</f>
        <v>-204400</v>
      </c>
      <c r="G111" s="34">
        <f>_xll.Get_Balance(G$83,"PTD","USD","Total","A","","001","557711","ED","AN","DL")</f>
        <v>-49615</v>
      </c>
      <c r="H111" s="34">
        <f>_xll.Get_Balance(H$83,"PTD","USD","Total","A","","001","557711","ED","AN","DL")</f>
        <v>-233130</v>
      </c>
      <c r="I111" s="34">
        <f>_xll.Get_Balance(I$83,"PTD","USD","Total","A","","001","557711","ED","AN","DL")</f>
        <v>0</v>
      </c>
      <c r="J111" s="34">
        <f>_xll.Get_Balance(J$83,"PTD","USD","Total","A","","001","557711","ED","AN","DL")</f>
        <v>-487824</v>
      </c>
      <c r="K111" s="34">
        <f>_xll.Get_Balance(K$83,"PTD","USD","Total","A","","001","557711","ED","AN","DL")</f>
        <v>-357663</v>
      </c>
      <c r="L111" s="34">
        <f>_xll.Get_Balance(L$83,"PTD","USD","Total","A","","001","557711","ED","AN","DL")</f>
        <v>-1564964</v>
      </c>
      <c r="M111" s="34">
        <f>_xll.Get_Balance(M$83,"PTD","USD","Total","A","","001","557711","ED","AN","DL")</f>
        <v>-817656</v>
      </c>
      <c r="N111" s="34">
        <f>_xll.Get_Balance(N$83,"PTD","USD","Total","A","","001","557711","ED","AN","DL")</f>
        <v>-1806503</v>
      </c>
      <c r="O111" s="34">
        <f>_xll.Get_Balance(O$83,"PTD","USD","Total","A","","001","557711","ED","AN","DL")</f>
        <v>-316755</v>
      </c>
      <c r="P111" s="34">
        <f>_xll.Get_Balance(P$83,"PTD","USD","Total","A","","001","557711","ED","AN","DL")</f>
        <v>-1608142</v>
      </c>
      <c r="Q111" s="222"/>
      <c r="R111" s="223">
        <f>SUM(E111:P111)</f>
        <v>-7860830</v>
      </c>
    </row>
    <row r="112" spans="1:18">
      <c r="A112" s="85">
        <f t="shared" si="33"/>
        <v>65</v>
      </c>
      <c r="B112" s="13" t="s">
        <v>95</v>
      </c>
      <c r="D112" s="202">
        <f t="shared" si="32"/>
        <v>44726121</v>
      </c>
      <c r="E112" s="34">
        <f>_xll.Get_Balance(E$83,"PTD","USD","Total","A","","001","557730","ED","AN","DL")</f>
        <v>5812837</v>
      </c>
      <c r="F112" s="34">
        <f>_xll.Get_Balance(F$83,"PTD","USD","Total","A","","001","557730","ED","AN","DL")</f>
        <v>2658645</v>
      </c>
      <c r="G112" s="34">
        <f>_xll.Get_Balance(G$83,"PTD","USD","Total","A","","001","557730","ED","AN","DL")</f>
        <v>1842941</v>
      </c>
      <c r="H112" s="34">
        <f>_xll.Get_Balance(H$83,"PTD","USD","Total","A","","001","557730","ED","AN","DL")</f>
        <v>2305884</v>
      </c>
      <c r="I112" s="34">
        <f>_xll.Get_Balance(I$83,"PTD","USD","Total","A","","001","557730","ED","AN","DL")</f>
        <v>2957007</v>
      </c>
      <c r="J112" s="34">
        <f>_xll.Get_Balance(J$83,"PTD","USD","Total","A","","001","557730","ED","AN","DL")</f>
        <v>2015344</v>
      </c>
      <c r="K112" s="34">
        <f>_xll.Get_Balance(K$83,"PTD","USD","Total","A","","001","557730","ED","AN","DL")</f>
        <v>4667489</v>
      </c>
      <c r="L112" s="34">
        <f>_xll.Get_Balance(L$83,"PTD","USD","Total","A","","001","557730","ED","AN","DL")</f>
        <v>5198705</v>
      </c>
      <c r="M112" s="34">
        <f>_xll.Get_Balance(M$83,"PTD","USD","Total","A","","001","557730","ED","AN","DL")</f>
        <v>2580244</v>
      </c>
      <c r="N112" s="34">
        <f>_xll.Get_Balance(N$83,"PTD","USD","Total","A","","001","557730","ED","AN","DL")</f>
        <v>5426961</v>
      </c>
      <c r="O112" s="34">
        <f>_xll.Get_Balance(O$83,"PTD","USD","Total","A","","001","557730","ED","AN","DL")</f>
        <v>6005468</v>
      </c>
      <c r="P112" s="34">
        <f>_xll.Get_Balance(P$83,"PTD","USD","Total","A","","001","557730","ED","AN","DL")</f>
        <v>3254596</v>
      </c>
      <c r="Q112" s="222"/>
      <c r="R112" s="223">
        <f t="shared" si="31"/>
        <v>44726121</v>
      </c>
    </row>
    <row r="113" spans="1:19">
      <c r="A113" s="85">
        <f t="shared" si="33"/>
        <v>66</v>
      </c>
      <c r="B113" s="11" t="s">
        <v>98</v>
      </c>
      <c r="C113" s="11"/>
      <c r="D113" s="202">
        <f t="shared" si="32"/>
        <v>-5327943</v>
      </c>
      <c r="E113" s="34">
        <f>_xll.Get_Balance(E$83,"PTD","USD","Total","A","","001","456010","ED","AN","DL")</f>
        <v>-168836</v>
      </c>
      <c r="F113" s="34">
        <f>_xll.Get_Balance(F$83,"PTD","USD","Total","A","","001","456010","ED","AN","DL")</f>
        <v>-1280368</v>
      </c>
      <c r="G113" s="34">
        <f>_xll.Get_Balance(G$83,"PTD","USD","Total","A","","001","456010","ED","AN","DL")</f>
        <v>-712744</v>
      </c>
      <c r="H113" s="34">
        <f>_xll.Get_Balance(H$83,"PTD","USD","Total","A","","001","456010","ED","AN","DL")</f>
        <v>-1424435</v>
      </c>
      <c r="I113" s="34">
        <f>_xll.Get_Balance(I$83,"PTD","USD","Total","A","","001","456010","ED","AN","DL")</f>
        <v>-1952688</v>
      </c>
      <c r="J113" s="34">
        <f>_xll.Get_Balance(J$83,"PTD","USD","Total","A","","001","456010","ED","AN","DL")</f>
        <v>-1566138</v>
      </c>
      <c r="K113" s="34">
        <f>_xll.Get_Balance(K$83,"PTD","USD","Total","A","","001","456010","ED","AN","DL")</f>
        <v>-1059625</v>
      </c>
      <c r="L113" s="34">
        <f>_xll.Get_Balance(L$83,"PTD","USD","Total","A","","001","456010","ED","AN","DL")</f>
        <v>-315640</v>
      </c>
      <c r="M113" s="34">
        <f>_xll.Get_Balance(M$83,"PTD","USD","Total","A","","001","456010","ED","AN","DL")</f>
        <v>-834788</v>
      </c>
      <c r="N113" s="34">
        <f>_xll.Get_Balance(N$83,"PTD","USD","Total","A","","001","456010","ED","AN","DL")</f>
        <v>-1154925</v>
      </c>
      <c r="O113" s="34">
        <f>_xll.Get_Balance(O$83,"PTD","USD","Total","A","","001","456010","ED","AN","DL")</f>
        <v>973890</v>
      </c>
      <c r="P113" s="34">
        <f>_xll.Get_Balance(P$83,"PTD","USD","Total","A","","001","456010","ED","AN","DL")</f>
        <v>4168354</v>
      </c>
      <c r="Q113" s="222"/>
      <c r="R113" s="223">
        <f t="shared" si="31"/>
        <v>-5327943</v>
      </c>
    </row>
    <row r="114" spans="1:19">
      <c r="A114" s="85">
        <f t="shared" si="33"/>
        <v>67</v>
      </c>
      <c r="B114" s="13" t="s">
        <v>65</v>
      </c>
      <c r="D114" s="202">
        <f t="shared" si="32"/>
        <v>-33445351</v>
      </c>
      <c r="E114" s="34">
        <f>_xll.Get_Balance(E$83,"PTD","USD","Total","A","","001","456015","ED","AN","DL")</f>
        <v>-364889</v>
      </c>
      <c r="F114" s="34">
        <f>_xll.Get_Balance(F$83,"PTD","USD","Total","A","","001","456015","ED","AN","DL")</f>
        <v>-2477540</v>
      </c>
      <c r="G114" s="34">
        <f>_xll.Get_Balance(G$83,"PTD","USD","Total","A","","001","456015","ED","AN","DL")</f>
        <v>-2469784</v>
      </c>
      <c r="H114" s="34">
        <f>_xll.Get_Balance(H$83,"PTD","USD","Total","A","","001","456015","ED","AN","DL")</f>
        <v>-3601157</v>
      </c>
      <c r="I114" s="34">
        <f>_xll.Get_Balance(I$83,"PTD","USD","Total","A","","001","456015","ED","AN","DL")</f>
        <v>-5475344</v>
      </c>
      <c r="J114" s="34">
        <f>_xll.Get_Balance(J$83,"PTD","USD","Total","A","","001","456015","ED","AN","DL")</f>
        <v>-5390232</v>
      </c>
      <c r="K114" s="34">
        <f>_xll.Get_Balance(K$83,"PTD","USD","Total","A","","001","456015","ED","AN","DL")</f>
        <v>-1141788</v>
      </c>
      <c r="L114" s="34">
        <f>_xll.Get_Balance(L$83,"PTD","USD","Total","A","","001","456015","ED","AN","DL")</f>
        <v>-1251787</v>
      </c>
      <c r="M114" s="34">
        <f>_xll.Get_Balance(M$83,"PTD","USD","Total","A","","001","456015","ED","AN","DL")</f>
        <v>-1233448</v>
      </c>
      <c r="N114" s="34">
        <f>_xll.Get_Balance(N$83,"PTD","USD","Total","A","","001","456015","ED","AN","DL")</f>
        <v>-6461511</v>
      </c>
      <c r="O114" s="34">
        <f>_xll.Get_Balance(O$83,"PTD","USD","Total","A","","001","456015","ED","AN","DL")</f>
        <v>-979330</v>
      </c>
      <c r="P114" s="34">
        <f>_xll.Get_Balance(P$83,"PTD","USD","Total","A","","001","456015","ED","AN","DL")</f>
        <v>-2598541</v>
      </c>
      <c r="Q114" s="222"/>
      <c r="R114" s="223">
        <f t="shared" si="31"/>
        <v>-33445351</v>
      </c>
    </row>
    <row r="115" spans="1:19">
      <c r="A115" s="85">
        <f t="shared" si="33"/>
        <v>68</v>
      </c>
      <c r="B115" s="13" t="s">
        <v>225</v>
      </c>
      <c r="D115" s="202">
        <f t="shared" si="32"/>
        <v>-755453</v>
      </c>
      <c r="E115" s="34">
        <f>_xll.Get_Balance(E$83,"PTD","USD","Total","A","","001","456018","ED","AN","DL")</f>
        <v>0</v>
      </c>
      <c r="F115" s="34">
        <f>_xll.Get_Balance(F$83,"PTD","USD","Total","A","","001","456018","ED","AN","DL")</f>
        <v>0</v>
      </c>
      <c r="G115" s="34">
        <f>_xll.Get_Balance(G$83,"PTD","USD","Total","A","","001","456018","ED","AN","DL")</f>
        <v>-182104</v>
      </c>
      <c r="H115" s="34">
        <f>_xll.Get_Balance(H$83,"PTD","USD","Total","A","","001","456018","ED","AN","DL")</f>
        <v>-49440</v>
      </c>
      <c r="I115" s="34">
        <f>_xll.Get_Balance(I$83,"PTD","USD","Total","A","","001","456018","ED","AN","DL")</f>
        <v>-58523</v>
      </c>
      <c r="J115" s="34">
        <f>_xll.Get_Balance(J$83,"PTD","USD","Total","A","","001","456018","ED","AN","DL")</f>
        <v>-68065</v>
      </c>
      <c r="K115" s="34">
        <f>_xll.Get_Balance(K$83,"PTD","USD","Total","A","","001","456018","ED","AN","DL")</f>
        <v>-67171</v>
      </c>
      <c r="L115" s="34">
        <f>_xll.Get_Balance(L$83,"PTD","USD","Total","A","","001","456018","ED","AN","DL")</f>
        <v>-62167</v>
      </c>
      <c r="M115" s="34">
        <f>_xll.Get_Balance(M$83,"PTD","USD","Total","A","","001","456018","ED","AN","DL")</f>
        <v>-78295</v>
      </c>
      <c r="N115" s="34">
        <f>_xll.Get_Balance(N$83,"PTD","USD","Total","A","","001","456018","ED","AN","DL")</f>
        <v>-74042</v>
      </c>
      <c r="O115" s="34">
        <f>_xll.Get_Balance(O$83,"PTD","USD","Total","A","","001","456018","ED","AN","DL")</f>
        <v>-71613</v>
      </c>
      <c r="P115" s="34">
        <f>_xll.Get_Balance(P$83,"PTD","USD","Total","A","","001","456018","ED","AN","DL")</f>
        <v>-44033</v>
      </c>
      <c r="Q115" s="222"/>
      <c r="R115" s="223"/>
    </row>
    <row r="116" spans="1:19">
      <c r="A116" s="85">
        <f t="shared" si="33"/>
        <v>69</v>
      </c>
      <c r="B116" s="13" t="s">
        <v>96</v>
      </c>
      <c r="D116" s="202">
        <f t="shared" si="32"/>
        <v>-30550888</v>
      </c>
      <c r="E116" s="34">
        <f>_xll.Get_Balance(E$83,"PTD","USD","Total","A","","001","456730","ED","AN","DL")</f>
        <v>-4514484</v>
      </c>
      <c r="F116" s="34">
        <f>_xll.Get_Balance(F$83,"PTD","USD","Total","A","","001","456730","ED","AN","DL")</f>
        <v>-1324718</v>
      </c>
      <c r="G116" s="34">
        <f>_xll.Get_Balance(G$83,"PTD","USD","Total","A","","001","456730","ED","AN","DL")</f>
        <v>-1017222</v>
      </c>
      <c r="H116" s="34">
        <f>_xll.Get_Balance(H$83,"PTD","USD","Total","A","","001","456730","ED","AN","DL")</f>
        <v>-816042</v>
      </c>
      <c r="I116" s="34">
        <f>_xll.Get_Balance(I$83,"PTD","USD","Total","A","","001","456730","ED","AN","DL")</f>
        <v>-523918</v>
      </c>
      <c r="J116" s="34">
        <f>_xll.Get_Balance(J$83,"PTD","USD","Total","A","","001","456730","ED","AN","DL")</f>
        <v>-664057</v>
      </c>
      <c r="K116" s="34">
        <f>_xll.Get_Balance(K$83,"PTD","USD","Total","A","","001","456730","ED","AN","DL")</f>
        <v>-3408554</v>
      </c>
      <c r="L116" s="34">
        <f>_xll.Get_Balance(L$83,"PTD","USD","Total","A","","001","456730","ED","AN","DL")</f>
        <v>-4540587</v>
      </c>
      <c r="M116" s="34">
        <f>_xll.Get_Balance(M$83,"PTD","USD","Total","A","","001","456730","ED","AN","DL")</f>
        <v>-3692298</v>
      </c>
      <c r="N116" s="34">
        <f>_xll.Get_Balance(N$83,"PTD","USD","Total","A","","001","456730","ED","AN","DL")</f>
        <v>-1562158</v>
      </c>
      <c r="O116" s="34">
        <f>_xll.Get_Balance(O$83,"PTD","USD","Total","A","","001","456730","ED","AN","DL")</f>
        <v>-2959363</v>
      </c>
      <c r="P116" s="34">
        <f>_xll.Get_Balance(P$83,"PTD","USD","Total","A","","001","456730","ED","AN","DL")</f>
        <v>-5527487</v>
      </c>
      <c r="Q116" s="222"/>
      <c r="R116" s="223">
        <f t="shared" si="31"/>
        <v>-30550888</v>
      </c>
    </row>
    <row r="117" spans="1:19">
      <c r="A117" s="85">
        <f t="shared" si="33"/>
        <v>70</v>
      </c>
      <c r="B117" s="11" t="s">
        <v>99</v>
      </c>
      <c r="C117" s="11"/>
      <c r="D117" s="202">
        <f t="shared" si="32"/>
        <v>5765182</v>
      </c>
      <c r="E117" s="30">
        <f>_xll.Get_Balance(E$83,"PTD","USD","Total","A","","001","456711","ED","AN","DL")</f>
        <v>187589</v>
      </c>
      <c r="F117" s="30">
        <f>_xll.Get_Balance(F$83,"PTD","USD","Total","A","","001","456711","ED","AN","DL")</f>
        <v>238295</v>
      </c>
      <c r="G117" s="30">
        <f>_xll.Get_Balance(G$83,"PTD","USD","Total","A","","001","456711","ED","AN","DL")</f>
        <v>27125</v>
      </c>
      <c r="H117" s="30">
        <f>_xll.Get_Balance(H$83,"PTD","USD","Total","A","","001","456711","ED","AN","DL")</f>
        <v>371923</v>
      </c>
      <c r="I117" s="30">
        <f>_xll.Get_Balance(I$83,"PTD","USD","Total","A","","001","456711","ED","AN","DL")</f>
        <v>107454</v>
      </c>
      <c r="J117" s="30">
        <f>_xll.Get_Balance(J$83,"PTD","USD","Total","A","","001","456711","ED","AN","DL")</f>
        <v>225014</v>
      </c>
      <c r="K117" s="30">
        <f>_xll.Get_Balance(K$83,"PTD","USD","Total","A","","001","456711","ED","AN","DL")</f>
        <v>356500</v>
      </c>
      <c r="L117" s="30">
        <f>_xll.Get_Balance(L$83,"PTD","USD","Total","A","","001","456711","ED","AN","DL")</f>
        <v>1156300</v>
      </c>
      <c r="M117" s="30">
        <f>_xll.Get_Balance(M$83,"PTD","USD","Total","A","","001","456711","ED","AN","DL")</f>
        <v>709500</v>
      </c>
      <c r="N117" s="30">
        <f>_xll.Get_Balance(N$83,"PTD","USD","Total","A","","001","456711","ED","AN","DL")</f>
        <v>1432550</v>
      </c>
      <c r="O117" s="30">
        <f>_xll.Get_Balance(O$83,"PTD","USD","Total","A","","001","456711","ED","AN","DL")</f>
        <v>16750</v>
      </c>
      <c r="P117" s="30">
        <f>_xll.Get_Balance(P$83,"PTD","USD","Total","A","","001","456711","ED","AN","DL")</f>
        <v>936182</v>
      </c>
      <c r="Q117" s="222"/>
      <c r="R117" s="227">
        <f>SUM(E117:P117)</f>
        <v>5765182</v>
      </c>
    </row>
    <row r="118" spans="1:19">
      <c r="A118" s="85">
        <f t="shared" si="33"/>
        <v>71</v>
      </c>
      <c r="B118" s="72" t="s">
        <v>66</v>
      </c>
      <c r="C118" s="72"/>
      <c r="D118" s="202">
        <f t="shared" si="32"/>
        <v>-5765182</v>
      </c>
      <c r="E118" s="47">
        <f>_xll.Get_Balance(E$83,"PTD","USD","Total","A","","001","456720","ED","AN","DL")</f>
        <v>-187589</v>
      </c>
      <c r="F118" s="47">
        <f>_xll.Get_Balance(F$83,"PTD","USD","Total","A","","001","456720","ED","AN","DL")</f>
        <v>-238295</v>
      </c>
      <c r="G118" s="47">
        <f>_xll.Get_Balance(G$83,"PTD","USD","Total","A","","001","456720","ED","AN","DL")</f>
        <v>-27125</v>
      </c>
      <c r="H118" s="47">
        <f>_xll.Get_Balance(H$83,"PTD","USD","Total","A","","001","456720","ED","AN","DL")</f>
        <v>-371923</v>
      </c>
      <c r="I118" s="47">
        <f>_xll.Get_Balance(I$83,"PTD","USD","Total","A","","001","456720","ED","AN","DL")</f>
        <v>-107454</v>
      </c>
      <c r="J118" s="47">
        <f>_xll.Get_Balance(J$83,"PTD","USD","Total","A","","001","456720","ED","AN","DL")</f>
        <v>-225014</v>
      </c>
      <c r="K118" s="47">
        <f>_xll.Get_Balance(K$83,"PTD","USD","Total","A","","001","456720","ED","AN","DL")</f>
        <v>-356500</v>
      </c>
      <c r="L118" s="47">
        <f>_xll.Get_Balance(L$83,"PTD","USD","Total","A","","001","456720","ED","AN","DL")</f>
        <v>-1156300</v>
      </c>
      <c r="M118" s="47">
        <f>_xll.Get_Balance(M$83,"PTD","USD","Total","A","","001","456720","ED","AN","DL")</f>
        <v>-709500</v>
      </c>
      <c r="N118" s="47">
        <f>_xll.Get_Balance(N$83,"PTD","USD","Total","A","","001","456720","ED","AN","DL")</f>
        <v>-1432550</v>
      </c>
      <c r="O118" s="47">
        <f>_xll.Get_Balance(O$83,"PTD","USD","Total","A","","001","456720","ED","AN","DL")</f>
        <v>-16750</v>
      </c>
      <c r="P118" s="47">
        <f>_xll.Get_Balance(P$83,"PTD","USD","Total","A","","001","456720","ED","AN","DL")</f>
        <v>-936182</v>
      </c>
      <c r="Q118" s="222"/>
      <c r="R118" s="224">
        <f t="shared" si="31"/>
        <v>-5765182</v>
      </c>
    </row>
    <row r="119" spans="1:19" ht="22.5" customHeight="1">
      <c r="A119" s="235">
        <f>+A118+1</f>
        <v>72</v>
      </c>
      <c r="B119" s="77" t="s">
        <v>130</v>
      </c>
      <c r="C119" s="77"/>
      <c r="D119" s="50">
        <f>SUM(E119:P119)</f>
        <v>-12166741</v>
      </c>
      <c r="E119" s="32">
        <f>SUM(E108:E118)</f>
        <v>-641922</v>
      </c>
      <c r="F119" s="32">
        <f t="shared" ref="F119:P119" si="34">SUM(F108:F118)</f>
        <v>-1114864</v>
      </c>
      <c r="G119" s="32">
        <f t="shared" si="34"/>
        <v>-797933</v>
      </c>
      <c r="H119" s="32">
        <f t="shared" si="34"/>
        <v>-1239632</v>
      </c>
      <c r="I119" s="32">
        <f t="shared" si="34"/>
        <v>-1465591</v>
      </c>
      <c r="J119" s="32">
        <f t="shared" si="34"/>
        <v>-1476597</v>
      </c>
      <c r="K119" s="32">
        <f t="shared" si="34"/>
        <v>-1394426</v>
      </c>
      <c r="L119" s="32">
        <f t="shared" si="34"/>
        <v>-912423</v>
      </c>
      <c r="M119" s="32">
        <f t="shared" si="34"/>
        <v>-1264534</v>
      </c>
      <c r="N119" s="32">
        <f t="shared" si="34"/>
        <v>-1560483</v>
      </c>
      <c r="O119" s="32">
        <f t="shared" si="34"/>
        <v>-166921</v>
      </c>
      <c r="P119" s="32">
        <f t="shared" si="34"/>
        <v>-131415</v>
      </c>
      <c r="Q119" s="222"/>
      <c r="R119" s="236">
        <f>SUM(R108:R118)</f>
        <v>-11411288</v>
      </c>
    </row>
    <row r="120" spans="1:19" ht="9" customHeight="1">
      <c r="A120" s="85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222"/>
      <c r="R120" s="223"/>
    </row>
    <row r="121" spans="1:19" ht="9" customHeight="1">
      <c r="A121" s="8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222"/>
      <c r="R121" s="223"/>
    </row>
    <row r="122" spans="1:19">
      <c r="A122" s="85">
        <f>A119+1</f>
        <v>73</v>
      </c>
      <c r="B122" s="79" t="s">
        <v>148</v>
      </c>
      <c r="C122" s="79"/>
      <c r="D122" s="114">
        <f>SUM(E122:P122)</f>
        <v>533</v>
      </c>
      <c r="E122" s="57">
        <f>_xll.Get_Balance(E$83,"PTD","USD","Total","A","","001","557160","ED","AN","DL")</f>
        <v>0</v>
      </c>
      <c r="F122" s="57">
        <f>_xll.Get_Balance(F$83,"PTD","USD","Total","A","","001","557160","ED","AN","DL")</f>
        <v>0</v>
      </c>
      <c r="G122" s="57">
        <f>_xll.Get_Balance(G$83,"PTD","USD","Total","A","","001","557160","ED","AN","DL")</f>
        <v>176</v>
      </c>
      <c r="H122" s="57">
        <f>_xll.Get_Balance(H$83,"PTD","USD","Total","A","","001","557160","ED","AN","DL")</f>
        <v>0</v>
      </c>
      <c r="I122" s="57">
        <f>_xll.Get_Balance(I$83,"PTD","USD","Total","A","","001","557160","ED","AN","DL")</f>
        <v>0</v>
      </c>
      <c r="J122" s="57">
        <f>_xll.Get_Balance(J$83,"PTD","USD","Total","A","","001","557160","ED","AN","DL")</f>
        <v>0</v>
      </c>
      <c r="K122" s="57">
        <f>_xll.Get_Balance(K$83,"PTD","USD","Total","A","","001","557160","ED","AN","DL")</f>
        <v>0</v>
      </c>
      <c r="L122" s="57">
        <f>_xll.Get_Balance(L$83,"PTD","USD","Total","A","","001","557160","ED","AN","DL")</f>
        <v>0</v>
      </c>
      <c r="M122" s="57">
        <f>_xll.Get_Balance(M$83,"PTD","USD","Total","A","","001","557160","ED","AN","DL")</f>
        <v>0</v>
      </c>
      <c r="N122" s="57">
        <f>_xll.Get_Balance(N$83,"PTD","USD","Total","A","","001","557160","ED","AN","DL")</f>
        <v>0</v>
      </c>
      <c r="O122" s="57">
        <f>_xll.Get_Balance(O$83,"PTD","USD","Total","A","","001","557160","ED","AN","DL")</f>
        <v>0</v>
      </c>
      <c r="P122" s="57">
        <f>_xll.Get_Balance(P$83,"PTD","USD","Total","A","","001","557160","ED","AN","DL")</f>
        <v>357</v>
      </c>
      <c r="Q122" s="222"/>
      <c r="R122" s="227">
        <f>SUM(E122:P122)</f>
        <v>533</v>
      </c>
    </row>
    <row r="123" spans="1:19" ht="18.75" customHeight="1">
      <c r="A123" s="235">
        <f>A122+1</f>
        <v>74</v>
      </c>
      <c r="B123" s="77" t="s">
        <v>153</v>
      </c>
      <c r="C123" s="77"/>
      <c r="D123" s="64">
        <f>SUM(E123:P123)</f>
        <v>533</v>
      </c>
      <c r="E123" s="31">
        <f>IF(E23=0," ",E122)</f>
        <v>0</v>
      </c>
      <c r="F123" s="31">
        <f t="shared" ref="F123:P123" si="35">IF(F23=0," ",F122)</f>
        <v>0</v>
      </c>
      <c r="G123" s="31">
        <f t="shared" si="35"/>
        <v>176</v>
      </c>
      <c r="H123" s="31">
        <f t="shared" si="35"/>
        <v>0</v>
      </c>
      <c r="I123" s="31">
        <f t="shared" si="35"/>
        <v>0</v>
      </c>
      <c r="J123" s="31">
        <f t="shared" si="35"/>
        <v>0</v>
      </c>
      <c r="K123" s="31">
        <f t="shared" si="35"/>
        <v>0</v>
      </c>
      <c r="L123" s="31">
        <f t="shared" si="35"/>
        <v>0</v>
      </c>
      <c r="M123" s="31">
        <f t="shared" si="35"/>
        <v>0</v>
      </c>
      <c r="N123" s="31">
        <f t="shared" si="35"/>
        <v>0</v>
      </c>
      <c r="O123" s="31">
        <f t="shared" si="35"/>
        <v>0</v>
      </c>
      <c r="P123" s="31">
        <f t="shared" si="35"/>
        <v>357</v>
      </c>
      <c r="Q123" s="222"/>
      <c r="R123" s="223">
        <f>SUM(E123:P123)</f>
        <v>533</v>
      </c>
    </row>
    <row r="124" spans="1:19" ht="9" customHeight="1">
      <c r="A124" s="85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222"/>
      <c r="R124" s="223"/>
    </row>
    <row r="125" spans="1:19" ht="9" customHeight="1">
      <c r="A125" s="85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222"/>
      <c r="R125" s="223"/>
    </row>
    <row r="126" spans="1:19">
      <c r="A126" s="85">
        <f>A123+1</f>
        <v>75</v>
      </c>
      <c r="B126" s="74" t="s">
        <v>94</v>
      </c>
      <c r="C126" s="74"/>
      <c r="D126" s="57">
        <f>SUM(E126:P126)</f>
        <v>0</v>
      </c>
      <c r="E126" s="237">
        <v>0</v>
      </c>
      <c r="F126" s="237">
        <v>0</v>
      </c>
      <c r="G126" s="237">
        <v>0</v>
      </c>
      <c r="H126" s="237">
        <v>0</v>
      </c>
      <c r="I126" s="237">
        <v>0</v>
      </c>
      <c r="J126" s="237">
        <v>0</v>
      </c>
      <c r="K126" s="237">
        <v>0</v>
      </c>
      <c r="L126" s="237">
        <v>0</v>
      </c>
      <c r="M126" s="237">
        <v>0</v>
      </c>
      <c r="N126" s="237">
        <v>0</v>
      </c>
      <c r="O126" s="237">
        <v>0</v>
      </c>
      <c r="P126" s="237">
        <v>0</v>
      </c>
      <c r="Q126" s="222"/>
      <c r="R126" s="223">
        <f>SUM(E126:P126)</f>
        <v>0</v>
      </c>
      <c r="S126" s="55" t="s">
        <v>25</v>
      </c>
    </row>
    <row r="127" spans="1:19">
      <c r="A127" s="86">
        <f>A126+1</f>
        <v>76</v>
      </c>
      <c r="B127" s="80" t="s">
        <v>105</v>
      </c>
      <c r="C127" s="80"/>
      <c r="D127" s="64">
        <f>SUM(E127:P127)</f>
        <v>708</v>
      </c>
      <c r="E127" s="40">
        <f>_xll.Get_Balance(E$83,"PTD","USD","Total","A","","001","557395","ED","AN","DL")</f>
        <v>10</v>
      </c>
      <c r="F127" s="40">
        <f>_xll.Get_Balance(F$83,"PTD","USD","Total","A","","001","557395","ED","AN","DL")</f>
        <v>15</v>
      </c>
      <c r="G127" s="40">
        <f>_xll.Get_Balance(G$83,"PTD","USD","Total","A","","001","557395","ED","AN","DL")</f>
        <v>34</v>
      </c>
      <c r="H127" s="40">
        <f>_xll.Get_Balance(H$83,"PTD","USD","Total","A","","001","557395","ED","AN","DL")</f>
        <v>30</v>
      </c>
      <c r="I127" s="40">
        <f>_xll.Get_Balance(I$83,"PTD","USD","Total","A","","001","557395","ED","AN","DL")</f>
        <v>30</v>
      </c>
      <c r="J127" s="40">
        <f>_xll.Get_Balance(J$83,"PTD","USD","Total","A","","001","557395","ED","AN","DL")</f>
        <v>36</v>
      </c>
      <c r="K127" s="40">
        <f>_xll.Get_Balance(K$83,"PTD","USD","Total","A","","001","557395","ED","AN","DL")</f>
        <v>196</v>
      </c>
      <c r="L127" s="40">
        <f>_xll.Get_Balance(L$83,"PTD","USD","Total","A","","001","557395","ED","AN","DL")</f>
        <v>160</v>
      </c>
      <c r="M127" s="40">
        <f>_xll.Get_Balance(M$83,"PTD","USD","Total","A","","001","557395","ED","AN","DL")</f>
        <v>61</v>
      </c>
      <c r="N127" s="40">
        <f>_xll.Get_Balance(N$83,"PTD","USD","Total","A","","001","557395","ED","AN","DL")</f>
        <v>69</v>
      </c>
      <c r="O127" s="40">
        <f>_xll.Get_Balance(O$83,"PTD","USD","Total","A","","001","557395","ED","AN","DL")</f>
        <v>41</v>
      </c>
      <c r="P127" s="40">
        <f>_xll.Get_Balance(P$83,"PTD","USD","Total","A","","001","557395","ED","AN","DL")</f>
        <v>26</v>
      </c>
      <c r="Q127" s="222"/>
      <c r="R127" s="224">
        <f>SUM(E127:P127)</f>
        <v>708</v>
      </c>
    </row>
    <row r="128" spans="1:19" ht="17.25" customHeight="1">
      <c r="A128" s="85">
        <f>A127+1</f>
        <v>77</v>
      </c>
      <c r="B128" s="81" t="s">
        <v>106</v>
      </c>
      <c r="C128" s="81"/>
      <c r="D128" s="41">
        <f>SUM(E128:P128)</f>
        <v>708</v>
      </c>
      <c r="E128" s="41">
        <f>E127-E126</f>
        <v>10</v>
      </c>
      <c r="F128" s="41">
        <f t="shared" ref="F128:P128" si="36">F127-F126</f>
        <v>15</v>
      </c>
      <c r="G128" s="41">
        <f t="shared" si="36"/>
        <v>34</v>
      </c>
      <c r="H128" s="41">
        <f t="shared" si="36"/>
        <v>30</v>
      </c>
      <c r="I128" s="41">
        <f t="shared" si="36"/>
        <v>30</v>
      </c>
      <c r="J128" s="41">
        <f t="shared" si="36"/>
        <v>36</v>
      </c>
      <c r="K128" s="41">
        <f t="shared" si="36"/>
        <v>196</v>
      </c>
      <c r="L128" s="41">
        <f t="shared" si="36"/>
        <v>160</v>
      </c>
      <c r="M128" s="41">
        <f t="shared" si="36"/>
        <v>61</v>
      </c>
      <c r="N128" s="41">
        <f t="shared" si="36"/>
        <v>69</v>
      </c>
      <c r="O128" s="41">
        <f t="shared" si="36"/>
        <v>41</v>
      </c>
      <c r="P128" s="41">
        <f t="shared" si="36"/>
        <v>26</v>
      </c>
      <c r="Q128" s="222"/>
      <c r="R128" s="223">
        <f>SUM(E128:P128)</f>
        <v>708</v>
      </c>
    </row>
    <row r="129" spans="1:19" ht="17.25" customHeight="1">
      <c r="A129" s="85"/>
      <c r="B129" s="81"/>
      <c r="C129" s="8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222"/>
      <c r="R129" s="223"/>
    </row>
    <row r="130" spans="1:19">
      <c r="A130" s="85">
        <f>A128+1</f>
        <v>78</v>
      </c>
      <c r="B130" s="74" t="s">
        <v>178</v>
      </c>
      <c r="C130" s="74"/>
      <c r="D130" s="57">
        <f>SUM(E130:P130)</f>
        <v>0</v>
      </c>
      <c r="E130" s="48">
        <f>_xll.Get_Balance(E$83,"PTD","USD","Total","A","","001","557160","ED","WA","DL")</f>
        <v>0</v>
      </c>
      <c r="F130" s="48">
        <f>_xll.Get_Balance(F$83,"PTD","USD","Total","A","","001","557160","ED","WA","DL")</f>
        <v>0</v>
      </c>
      <c r="G130" s="48">
        <f>_xll.Get_Balance(G$83,"PTD","USD","Total","A","","001","557160","ED","WA","DL")*0</f>
        <v>0</v>
      </c>
      <c r="H130" s="48">
        <f>_xll.Get_Balance(H$83,"PTD","USD","Total","A","","001","557160","ED","WA","DL")</f>
        <v>0</v>
      </c>
      <c r="I130" s="48">
        <f>_xll.Get_Balance(I$83,"PTD","USD","Total","A","","001","557160","ED","WA","DL")</f>
        <v>0</v>
      </c>
      <c r="J130" s="48">
        <f>_xll.Get_Balance(J$83,"PTD","USD","Total","A","","001","557160","ED","WA","DL")*0</f>
        <v>0</v>
      </c>
      <c r="K130" s="48">
        <f>_xll.Get_Balance(K$83,"PTD","USD","Total","A","","001","557160","ED","WA","DL")</f>
        <v>0</v>
      </c>
      <c r="L130" s="48">
        <f>_xll.Get_Balance(L$83,"PTD","USD","Total","A","","001","557160","ED","WA","DL")</f>
        <v>0</v>
      </c>
      <c r="M130" s="48">
        <f>_xll.Get_Balance(M$83,"PTD","USD","Total","A","","001","557160","ED","WA","DL")</f>
        <v>0</v>
      </c>
      <c r="N130" s="48">
        <f>_xll.Get_Balance(N$83,"PTD","USD","Total","A","","001","557160","ED","WA","DL")</f>
        <v>0</v>
      </c>
      <c r="O130" s="48">
        <f>_xll.Get_Balance(O$83,"PTD","USD","Total","A","","001","557160","ED","WA","DL")</f>
        <v>0</v>
      </c>
      <c r="P130" s="48">
        <f>_xll.Get_Balance(P$83,"PTD","USD","Total","A","","001","557160","ED","WA","DL")</f>
        <v>0</v>
      </c>
      <c r="Q130" s="222"/>
      <c r="R130" s="223">
        <f>SUM(E130:P130)</f>
        <v>0</v>
      </c>
      <c r="S130" s="55" t="s">
        <v>25</v>
      </c>
    </row>
    <row r="131" spans="1:19">
      <c r="A131" s="85">
        <f>A130+1</f>
        <v>79</v>
      </c>
      <c r="B131" s="74" t="s">
        <v>179</v>
      </c>
      <c r="C131" s="74"/>
      <c r="D131" s="57">
        <f>SUM(E131:P131)</f>
        <v>0</v>
      </c>
      <c r="E131" s="48">
        <f>_xll.Get_Balance(E$83,"PTD","USD","Total","A","","001","557170","ED","WA","DL")</f>
        <v>0</v>
      </c>
      <c r="F131" s="48">
        <f>_xll.Get_Balance(F$83,"PTD","USD","Total","A","","001","557170","ED","WA","DL")</f>
        <v>0</v>
      </c>
      <c r="G131" s="48">
        <f>_xll.Get_Balance(G$83,"PTD","USD","Total","A","","001","557170","ED","WA","DL")</f>
        <v>0</v>
      </c>
      <c r="H131" s="48">
        <f>_xll.Get_Balance(H$83,"PTD","USD","Total","A","","001","557170","ED","WA","DL")</f>
        <v>0</v>
      </c>
      <c r="I131" s="48">
        <f>_xll.Get_Balance(I$83,"PTD","USD","Total","A","","001","557170","ED","WA","DL")</f>
        <v>0</v>
      </c>
      <c r="J131" s="48">
        <f>_xll.Get_Balance(J$83,"PTD","USD","Total","A","","001","557170","ED","WA","DL")</f>
        <v>0</v>
      </c>
      <c r="K131" s="48">
        <f>_xll.Get_Balance(K$83,"PTD","USD","Total","A","","001","557170","ED","WA","DL")</f>
        <v>0</v>
      </c>
      <c r="L131" s="48">
        <f>_xll.Get_Balance(L$83,"PTD","USD","Total","A","","001","557170","ED","WA","DL")</f>
        <v>0</v>
      </c>
      <c r="M131" s="48">
        <f>_xll.Get_Balance(M$83,"PTD","USD","Total","A","","001","557170","ED","WA","DL")</f>
        <v>0</v>
      </c>
      <c r="N131" s="48">
        <f>_xll.Get_Balance(N$83,"PTD","USD","Total","A","","001","557170","ED","WA","DL")</f>
        <v>0</v>
      </c>
      <c r="O131" s="48">
        <f>_xll.Get_Balance(O$83,"PTD","USD","Total","A","","001","557170","ED","WA","DL")</f>
        <v>0</v>
      </c>
      <c r="P131" s="48">
        <f>_xll.Get_Balance(P$83,"PTD","USD","Total","A","","001","557170","ED","WA","DL")</f>
        <v>0</v>
      </c>
      <c r="Q131" s="222"/>
      <c r="R131" s="223"/>
      <c r="S131" s="55"/>
    </row>
    <row r="132" spans="1:19">
      <c r="A132" s="86">
        <f>A131+1</f>
        <v>80</v>
      </c>
      <c r="B132" s="76" t="s">
        <v>180</v>
      </c>
      <c r="C132" s="80"/>
      <c r="D132" s="64">
        <f>SUM(E132:P132)</f>
        <v>0</v>
      </c>
      <c r="E132" s="40">
        <f>_xll.Get_Balance(E$83,"PTD","USD","Total","A","","001","557171","ED","WA","DL")</f>
        <v>0</v>
      </c>
      <c r="F132" s="40">
        <f>_xll.Get_Balance(F$83,"PTD","USD","Total","A","","001","557171","ED","WA","DL")</f>
        <v>0</v>
      </c>
      <c r="G132" s="40">
        <f>_xll.Get_Balance(G$83,"PTD","USD","Total","A","","001","557171","ED","WA","DL")</f>
        <v>0</v>
      </c>
      <c r="H132" s="40">
        <f>_xll.Get_Balance(H$83,"PTD","USD","Total","A","","001","557171","ED","WA","DL")</f>
        <v>0</v>
      </c>
      <c r="I132" s="40">
        <f>_xll.Get_Balance(I$83,"PTD","USD","Total","A","","001","557171","ED","WA","DL")</f>
        <v>0</v>
      </c>
      <c r="J132" s="40">
        <f>_xll.Get_Balance(J$83,"PTD","USD","Total","A","","001","557171","ED","WA","DL")</f>
        <v>0</v>
      </c>
      <c r="K132" s="40">
        <f>_xll.Get_Balance(K$83,"PTD","USD","Total","A","","001","557171","ED","WA","DL")</f>
        <v>0</v>
      </c>
      <c r="L132" s="40">
        <f>_xll.Get_Balance(L$83,"PTD","USD","Total","A","","001","557171","ED","WA","DL")</f>
        <v>0</v>
      </c>
      <c r="M132" s="40">
        <f>_xll.Get_Balance(M$83,"PTD","USD","Total","A","","001","557171","ED","WA","DL")</f>
        <v>0</v>
      </c>
      <c r="N132" s="40">
        <f>_xll.Get_Balance(N$83,"PTD","USD","Total","A","","001","557171","ED","WA","DL")</f>
        <v>0</v>
      </c>
      <c r="O132" s="40">
        <f>_xll.Get_Balance(O$83,"PTD","USD","Total","A","","001","557171","ED","WA","DL")</f>
        <v>0</v>
      </c>
      <c r="P132" s="40">
        <f>_xll.Get_Balance(P$83,"PTD","USD","Total","A","","001","557171","ED","WA","DL")</f>
        <v>0</v>
      </c>
      <c r="Q132" s="222"/>
      <c r="R132" s="224">
        <f>SUM(E132:P132)</f>
        <v>0</v>
      </c>
    </row>
    <row r="133" spans="1:19" ht="17.25" customHeight="1">
      <c r="A133" s="85">
        <f>A132+1</f>
        <v>81</v>
      </c>
      <c r="B133" s="81" t="s">
        <v>177</v>
      </c>
      <c r="C133" s="81"/>
      <c r="D133" s="41">
        <f>E133+F133+G133+H133+I133+J133+K133</f>
        <v>0</v>
      </c>
      <c r="E133" s="41">
        <f>E130+E131+E132</f>
        <v>0</v>
      </c>
      <c r="F133" s="41">
        <f t="shared" ref="F133:P133" si="37">F130+F131+F132</f>
        <v>0</v>
      </c>
      <c r="G133" s="41">
        <f t="shared" si="37"/>
        <v>0</v>
      </c>
      <c r="H133" s="41">
        <f t="shared" si="37"/>
        <v>0</v>
      </c>
      <c r="I133" s="41">
        <f t="shared" si="37"/>
        <v>0</v>
      </c>
      <c r="J133" s="41">
        <f t="shared" si="37"/>
        <v>0</v>
      </c>
      <c r="K133" s="41">
        <f t="shared" si="37"/>
        <v>0</v>
      </c>
      <c r="L133" s="41">
        <f t="shared" si="37"/>
        <v>0</v>
      </c>
      <c r="M133" s="41">
        <f t="shared" si="37"/>
        <v>0</v>
      </c>
      <c r="N133" s="41">
        <f t="shared" si="37"/>
        <v>0</v>
      </c>
      <c r="O133" s="41">
        <f t="shared" si="37"/>
        <v>0</v>
      </c>
      <c r="P133" s="41">
        <f t="shared" si="37"/>
        <v>0</v>
      </c>
      <c r="Q133" s="41">
        <f>Q130+Q131+Q132</f>
        <v>0</v>
      </c>
      <c r="R133" s="41">
        <f>R130+R131+R132</f>
        <v>0</v>
      </c>
    </row>
    <row r="134" spans="1:19" ht="7.5" customHeight="1">
      <c r="A134" s="85"/>
      <c r="B134" s="82"/>
      <c r="C134" s="82"/>
      <c r="D134" s="238"/>
      <c r="E134" s="5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222"/>
      <c r="R134" s="223"/>
    </row>
    <row r="135" spans="1:19" ht="23.25" customHeight="1">
      <c r="A135" s="199">
        <f>A133+1</f>
        <v>82</v>
      </c>
      <c r="B135" s="70" t="s">
        <v>75</v>
      </c>
      <c r="C135" s="70"/>
      <c r="D135" s="50">
        <f>SUM(E135:P135)</f>
        <v>-12165500</v>
      </c>
      <c r="E135" s="31">
        <f t="shared" ref="E135:P135" si="38">IF(E23=0," ",E119+E123+E128)</f>
        <v>-641912</v>
      </c>
      <c r="F135" s="31">
        <f t="shared" si="38"/>
        <v>-1114849</v>
      </c>
      <c r="G135" s="31">
        <f t="shared" si="38"/>
        <v>-797723</v>
      </c>
      <c r="H135" s="31">
        <f t="shared" si="38"/>
        <v>-1239602</v>
      </c>
      <c r="I135" s="31">
        <f t="shared" si="38"/>
        <v>-1465561</v>
      </c>
      <c r="J135" s="31">
        <f t="shared" si="38"/>
        <v>-1476561</v>
      </c>
      <c r="K135" s="31">
        <f t="shared" si="38"/>
        <v>-1394230</v>
      </c>
      <c r="L135" s="31">
        <f t="shared" si="38"/>
        <v>-912263</v>
      </c>
      <c r="M135" s="31">
        <f t="shared" si="38"/>
        <v>-1264473</v>
      </c>
      <c r="N135" s="31">
        <f t="shared" si="38"/>
        <v>-1560414</v>
      </c>
      <c r="O135" s="31">
        <f t="shared" si="38"/>
        <v>-166880</v>
      </c>
      <c r="P135" s="31">
        <f t="shared" si="38"/>
        <v>-131032</v>
      </c>
      <c r="Q135" s="222"/>
      <c r="R135" s="223">
        <f>SUM(F135:Q135)</f>
        <v>-11523588</v>
      </c>
    </row>
    <row r="136" spans="1:19" ht="9.75" customHeight="1">
      <c r="B136" s="11"/>
      <c r="C136" s="11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222"/>
      <c r="R136" s="223"/>
    </row>
    <row r="137" spans="1:19" s="42" customFormat="1" ht="25.5" customHeight="1" thickBot="1">
      <c r="A137" s="239">
        <f>A135+1</f>
        <v>83</v>
      </c>
      <c r="B137" s="83" t="s">
        <v>10</v>
      </c>
      <c r="C137" s="83"/>
      <c r="D137" s="240">
        <f>SUM(E137:P137)</f>
        <v>122557318</v>
      </c>
      <c r="E137" s="54">
        <f t="shared" ref="E137:P137" si="39">IF(E23=0," ",E81+E92+E98+E105+E135+E133)</f>
        <v>12192934</v>
      </c>
      <c r="F137" s="54">
        <f t="shared" si="39"/>
        <v>10729456</v>
      </c>
      <c r="G137" s="54">
        <f t="shared" si="39"/>
        <v>9915933</v>
      </c>
      <c r="H137" s="54">
        <f t="shared" si="39"/>
        <v>5542624</v>
      </c>
      <c r="I137" s="54">
        <f t="shared" si="39"/>
        <v>2082804</v>
      </c>
      <c r="J137" s="54">
        <f t="shared" si="39"/>
        <v>2947387</v>
      </c>
      <c r="K137" s="54">
        <f t="shared" si="39"/>
        <v>11690361</v>
      </c>
      <c r="L137" s="54">
        <f t="shared" si="39"/>
        <v>15710836</v>
      </c>
      <c r="M137" s="54">
        <f t="shared" si="39"/>
        <v>12369831</v>
      </c>
      <c r="N137" s="54">
        <f t="shared" si="39"/>
        <v>12555774</v>
      </c>
      <c r="O137" s="54">
        <f t="shared" si="39"/>
        <v>11422605</v>
      </c>
      <c r="P137" s="54">
        <f t="shared" si="39"/>
        <v>15396773</v>
      </c>
      <c r="Q137" s="225"/>
      <c r="R137" s="241"/>
    </row>
    <row r="138" spans="1:19" ht="13.5" thickTop="1"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10"/>
    </row>
    <row r="139" spans="1:19">
      <c r="Q139" s="210"/>
    </row>
    <row r="140" spans="1:19">
      <c r="E140" s="203"/>
      <c r="F140" s="203"/>
      <c r="G140" s="203"/>
      <c r="H140" s="203"/>
      <c r="I140" s="203"/>
      <c r="J140" s="16"/>
      <c r="K140" s="203"/>
      <c r="L140" s="203"/>
      <c r="M140" s="203"/>
      <c r="N140" s="203"/>
      <c r="O140" s="203"/>
      <c r="P140" s="203"/>
      <c r="Q140" s="210"/>
    </row>
    <row r="141" spans="1:19">
      <c r="E141" s="203"/>
      <c r="F141" s="203"/>
      <c r="G141" s="203"/>
      <c r="H141" s="203"/>
      <c r="I141" s="203"/>
      <c r="J141" s="16"/>
      <c r="K141" s="203"/>
      <c r="L141" s="203"/>
      <c r="M141" s="203"/>
      <c r="N141" s="203"/>
      <c r="O141" s="203"/>
      <c r="P141" s="203"/>
      <c r="Q141" s="210"/>
    </row>
    <row r="142" spans="1:19">
      <c r="E142" s="203"/>
      <c r="F142" s="203"/>
      <c r="G142" s="203"/>
      <c r="H142" s="203"/>
      <c r="I142" s="203"/>
      <c r="J142" s="16"/>
      <c r="K142" s="203"/>
      <c r="L142" s="203"/>
      <c r="M142" s="203"/>
      <c r="N142" s="203"/>
      <c r="O142" s="203"/>
      <c r="P142" s="203"/>
      <c r="Q142" s="210"/>
    </row>
    <row r="143" spans="1:19">
      <c r="E143" s="203"/>
      <c r="F143" s="203"/>
      <c r="G143" s="203"/>
      <c r="H143" s="203"/>
      <c r="I143" s="203"/>
      <c r="J143" s="16"/>
      <c r="K143" s="203"/>
      <c r="L143" s="203"/>
      <c r="M143" s="203"/>
      <c r="N143" s="203"/>
      <c r="O143" s="203"/>
      <c r="P143" s="203"/>
      <c r="Q143" s="210"/>
    </row>
    <row r="144" spans="1:19">
      <c r="E144" s="203"/>
      <c r="F144" s="203"/>
      <c r="G144" s="203"/>
      <c r="H144" s="203"/>
      <c r="I144" s="203"/>
      <c r="J144" s="16"/>
      <c r="K144" s="203"/>
      <c r="L144" s="203"/>
      <c r="M144" s="203"/>
      <c r="N144" s="203"/>
      <c r="O144" s="203"/>
      <c r="P144" s="203"/>
      <c r="Q144" s="210"/>
    </row>
    <row r="145" spans="5:17">
      <c r="E145" s="203"/>
      <c r="F145" s="203"/>
      <c r="G145" s="203"/>
      <c r="H145" s="203"/>
      <c r="I145" s="203"/>
      <c r="J145" s="16"/>
      <c r="K145" s="203"/>
      <c r="L145" s="203"/>
      <c r="M145" s="203"/>
      <c r="N145" s="203"/>
      <c r="O145" s="203"/>
      <c r="P145" s="203"/>
      <c r="Q145" s="210"/>
    </row>
    <row r="146" spans="5:17">
      <c r="E146" s="203"/>
      <c r="F146" s="203"/>
      <c r="G146" s="203"/>
      <c r="H146" s="203"/>
      <c r="I146" s="203"/>
      <c r="J146" s="16"/>
      <c r="K146" s="203"/>
      <c r="L146" s="203"/>
      <c r="M146" s="203"/>
      <c r="N146" s="203"/>
      <c r="O146" s="203"/>
      <c r="P146" s="203"/>
      <c r="Q146" s="210"/>
    </row>
    <row r="147" spans="5:17">
      <c r="E147" s="203"/>
      <c r="F147" s="203"/>
      <c r="G147" s="203"/>
      <c r="H147" s="203"/>
      <c r="I147" s="203"/>
      <c r="J147" s="16"/>
      <c r="K147" s="203"/>
      <c r="L147" s="203"/>
      <c r="M147" s="203"/>
      <c r="N147" s="203"/>
      <c r="O147" s="203"/>
      <c r="P147" s="203"/>
      <c r="Q147" s="210"/>
    </row>
    <row r="148" spans="5:17">
      <c r="E148" s="203"/>
      <c r="F148" s="203"/>
      <c r="G148" s="203"/>
      <c r="H148" s="203"/>
      <c r="I148" s="203"/>
      <c r="J148" s="16"/>
      <c r="K148" s="203"/>
      <c r="L148" s="203"/>
      <c r="M148" s="203"/>
      <c r="N148" s="203"/>
      <c r="O148" s="203"/>
      <c r="P148" s="203"/>
      <c r="Q148" s="210"/>
    </row>
    <row r="149" spans="5:17">
      <c r="E149" s="203"/>
      <c r="F149" s="203"/>
      <c r="G149" s="203"/>
      <c r="H149" s="203"/>
      <c r="I149" s="203"/>
      <c r="J149" s="16"/>
      <c r="K149" s="203"/>
      <c r="L149" s="203"/>
      <c r="M149" s="203"/>
      <c r="N149" s="203"/>
      <c r="O149" s="203"/>
      <c r="P149" s="203"/>
      <c r="Q149" s="210"/>
    </row>
    <row r="150" spans="5:17"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10"/>
    </row>
    <row r="151" spans="5:17"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10"/>
    </row>
    <row r="152" spans="5:17"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10"/>
    </row>
    <row r="153" spans="5:17"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10"/>
    </row>
    <row r="154" spans="5:17"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10"/>
    </row>
    <row r="155" spans="5:17"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10"/>
    </row>
    <row r="156" spans="5:17"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10"/>
    </row>
    <row r="157" spans="5:17"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10"/>
    </row>
    <row r="158" spans="5:17"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10"/>
    </row>
    <row r="159" spans="5:17"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10"/>
    </row>
    <row r="160" spans="5:17"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10"/>
    </row>
    <row r="161" spans="5:17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10"/>
    </row>
    <row r="162" spans="5:17"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10"/>
    </row>
    <row r="163" spans="5:17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10"/>
    </row>
    <row r="164" spans="5:17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10"/>
    </row>
    <row r="165" spans="5:17"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10"/>
    </row>
    <row r="166" spans="5:17"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10"/>
    </row>
    <row r="167" spans="5:17"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10"/>
    </row>
    <row r="168" spans="5:17"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10"/>
    </row>
    <row r="169" spans="5:17"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10"/>
    </row>
    <row r="170" spans="5:17"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10"/>
    </row>
    <row r="171" spans="5:17"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10"/>
    </row>
    <row r="172" spans="5:17"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10"/>
    </row>
    <row r="173" spans="5:17"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10"/>
    </row>
    <row r="174" spans="5:17"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10"/>
    </row>
    <row r="175" spans="5:17"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10"/>
    </row>
    <row r="176" spans="5:17"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10"/>
    </row>
    <row r="177" spans="5:17"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10"/>
    </row>
    <row r="178" spans="5:17"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10"/>
    </row>
    <row r="179" spans="5:17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10"/>
    </row>
    <row r="180" spans="5:17"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10"/>
    </row>
    <row r="181" spans="5:17"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10"/>
    </row>
    <row r="182" spans="5:17"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10"/>
    </row>
    <row r="183" spans="5:17"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10"/>
    </row>
    <row r="184" spans="5:17"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10"/>
    </row>
    <row r="185" spans="5:17"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10"/>
    </row>
    <row r="186" spans="5:17"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10"/>
    </row>
    <row r="187" spans="5:17"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10"/>
    </row>
    <row r="188" spans="5:17"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10"/>
    </row>
    <row r="189" spans="5:17"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10"/>
    </row>
    <row r="190" spans="5:17"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10"/>
    </row>
    <row r="191" spans="5:17"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10"/>
    </row>
    <row r="192" spans="5:17"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10"/>
    </row>
    <row r="193" spans="5:17"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10"/>
    </row>
    <row r="194" spans="5:17"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10"/>
    </row>
    <row r="195" spans="5:17"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10"/>
    </row>
    <row r="196" spans="5:17"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10"/>
    </row>
    <row r="197" spans="5:17"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10"/>
    </row>
    <row r="198" spans="5:17"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10"/>
    </row>
    <row r="199" spans="5:17"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10"/>
    </row>
    <row r="200" spans="5:17"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10"/>
    </row>
    <row r="201" spans="5:17"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10"/>
    </row>
    <row r="202" spans="5:17"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10"/>
    </row>
    <row r="203" spans="5:17"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10"/>
    </row>
    <row r="204" spans="5:17"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10"/>
    </row>
    <row r="205" spans="5:17"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10"/>
    </row>
    <row r="206" spans="5:17"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10"/>
    </row>
    <row r="207" spans="5:17"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10"/>
    </row>
    <row r="208" spans="5:17"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10"/>
    </row>
    <row r="209" spans="5:17"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10"/>
    </row>
    <row r="210" spans="5:17"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10"/>
    </row>
    <row r="211" spans="5:17"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10"/>
    </row>
    <row r="212" spans="5:17"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10"/>
    </row>
    <row r="213" spans="5:17"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10"/>
    </row>
    <row r="214" spans="5:17"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10"/>
    </row>
    <row r="215" spans="5:17"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10"/>
    </row>
    <row r="216" spans="5:17"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10"/>
    </row>
    <row r="217" spans="5:17"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10"/>
    </row>
    <row r="218" spans="5:17"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10"/>
    </row>
    <row r="219" spans="5:17"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10"/>
    </row>
    <row r="220" spans="5:17"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10"/>
    </row>
    <row r="221" spans="5:17"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10"/>
    </row>
    <row r="222" spans="5:17"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10"/>
    </row>
    <row r="223" spans="5:17"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10"/>
    </row>
    <row r="224" spans="5:17"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10"/>
    </row>
    <row r="225" spans="5:17"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10"/>
    </row>
    <row r="226" spans="5:17"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10"/>
    </row>
    <row r="227" spans="5:17"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10"/>
    </row>
    <row r="228" spans="5:17"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10"/>
    </row>
    <row r="229" spans="5:17"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10"/>
    </row>
    <row r="230" spans="5:17"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10"/>
    </row>
    <row r="231" spans="5:17"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10"/>
    </row>
    <row r="232" spans="5:17"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10"/>
    </row>
    <row r="233" spans="5:17"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10"/>
    </row>
    <row r="234" spans="5:17"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10"/>
    </row>
    <row r="235" spans="5:17"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10"/>
    </row>
    <row r="236" spans="5:17"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10"/>
    </row>
    <row r="237" spans="5:17"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10"/>
    </row>
    <row r="238" spans="5:17"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10"/>
    </row>
    <row r="239" spans="5:17"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10"/>
    </row>
    <row r="240" spans="5:17"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10"/>
    </row>
    <row r="241" spans="6:17"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10"/>
    </row>
    <row r="242" spans="6:17"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10"/>
    </row>
    <row r="243" spans="6:17"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10"/>
    </row>
    <row r="244" spans="6:17"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10"/>
    </row>
    <row r="245" spans="6:17"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10"/>
    </row>
    <row r="246" spans="6:17"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10"/>
    </row>
    <row r="247" spans="6:17"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10"/>
    </row>
    <row r="248" spans="6:17"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10"/>
    </row>
    <row r="249" spans="6:17"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10"/>
    </row>
    <row r="250" spans="6:17"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10"/>
    </row>
    <row r="251" spans="6:17"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10"/>
    </row>
    <row r="252" spans="6:17"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10"/>
    </row>
    <row r="253" spans="6:17"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10"/>
    </row>
    <row r="254" spans="6:17"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10"/>
    </row>
    <row r="255" spans="6:17"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10"/>
    </row>
    <row r="256" spans="6:17"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10"/>
    </row>
    <row r="257" spans="6:17"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10"/>
    </row>
    <row r="258" spans="6:17"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10"/>
    </row>
    <row r="259" spans="6:17"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10"/>
    </row>
    <row r="260" spans="6:17"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10"/>
    </row>
    <row r="261" spans="6:17"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10"/>
    </row>
    <row r="262" spans="6:17"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10"/>
    </row>
    <row r="263" spans="6:17"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10"/>
    </row>
    <row r="264" spans="6:17"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10"/>
    </row>
    <row r="265" spans="6:17"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10"/>
    </row>
    <row r="266" spans="6:17"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10"/>
    </row>
    <row r="267" spans="6:17"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10"/>
    </row>
    <row r="268" spans="6:17"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10"/>
    </row>
    <row r="269" spans="6:17"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10"/>
    </row>
    <row r="270" spans="6:17"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10"/>
    </row>
    <row r="271" spans="6:17"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10"/>
    </row>
    <row r="272" spans="6:17"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10"/>
    </row>
    <row r="273" spans="6:17"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10"/>
    </row>
    <row r="274" spans="6:17"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10"/>
    </row>
    <row r="275" spans="6:17"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10"/>
    </row>
    <row r="276" spans="6:17"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10"/>
    </row>
    <row r="277" spans="6:17"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10"/>
    </row>
    <row r="278" spans="6:17"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10"/>
    </row>
    <row r="279" spans="6:17"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10"/>
    </row>
    <row r="280" spans="6:17"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10"/>
    </row>
    <row r="281" spans="6:17"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10"/>
    </row>
    <row r="282" spans="6:17"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10"/>
    </row>
    <row r="283" spans="6:17"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10"/>
    </row>
    <row r="284" spans="6:17"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10"/>
    </row>
    <row r="285" spans="6:17"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10"/>
    </row>
    <row r="286" spans="6:17"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10"/>
    </row>
    <row r="287" spans="6:17"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10"/>
    </row>
    <row r="288" spans="6:17"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10"/>
    </row>
    <row r="289" spans="6:17"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10"/>
    </row>
    <row r="290" spans="6:17"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10"/>
    </row>
    <row r="291" spans="6:17"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10"/>
    </row>
    <row r="292" spans="6:17"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10"/>
    </row>
    <row r="293" spans="6:17"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10"/>
    </row>
    <row r="294" spans="6:17"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10"/>
    </row>
    <row r="295" spans="6:17"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10"/>
    </row>
    <row r="296" spans="6:17"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10"/>
    </row>
    <row r="297" spans="6:17"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10"/>
    </row>
    <row r="298" spans="6:17"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10"/>
    </row>
    <row r="299" spans="6:17"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10"/>
    </row>
    <row r="300" spans="6:17"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10"/>
    </row>
    <row r="301" spans="6:17"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10"/>
    </row>
    <row r="302" spans="6:17"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10"/>
    </row>
    <row r="303" spans="6:17"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10"/>
    </row>
    <row r="304" spans="6:17"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10"/>
    </row>
    <row r="305" spans="6:17"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10"/>
    </row>
    <row r="306" spans="6:17"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10"/>
    </row>
    <row r="307" spans="6:17"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10"/>
    </row>
    <row r="308" spans="6:17"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10"/>
    </row>
    <row r="309" spans="6:17"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10"/>
    </row>
    <row r="310" spans="6:17"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10"/>
    </row>
    <row r="311" spans="6:17"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10"/>
    </row>
    <row r="312" spans="6:17"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10"/>
    </row>
    <row r="313" spans="6:17"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10"/>
    </row>
    <row r="314" spans="6:17"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10"/>
    </row>
    <row r="315" spans="6:17"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10"/>
    </row>
    <row r="316" spans="6:17"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10"/>
    </row>
    <row r="317" spans="6:17"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10"/>
    </row>
    <row r="318" spans="6:17"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10"/>
    </row>
    <row r="319" spans="6:17"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10"/>
    </row>
    <row r="320" spans="6:17"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10"/>
    </row>
    <row r="321" spans="6:17"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10"/>
    </row>
    <row r="322" spans="6:17"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10"/>
    </row>
    <row r="323" spans="6:17"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10"/>
    </row>
    <row r="324" spans="6:17"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10"/>
    </row>
    <row r="325" spans="6:17"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10"/>
    </row>
    <row r="326" spans="6:17"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10"/>
    </row>
    <row r="327" spans="6:17"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10"/>
    </row>
    <row r="328" spans="6:17"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10"/>
    </row>
    <row r="329" spans="6:17"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10"/>
    </row>
    <row r="330" spans="6:17"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10"/>
    </row>
    <row r="331" spans="6:17"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10"/>
    </row>
    <row r="332" spans="6:17"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10"/>
    </row>
    <row r="333" spans="6:17"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10"/>
    </row>
    <row r="334" spans="6:17"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10"/>
    </row>
    <row r="335" spans="6:17"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10"/>
    </row>
    <row r="336" spans="6:17"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10"/>
    </row>
    <row r="337" spans="6:17"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10"/>
    </row>
    <row r="338" spans="6:17"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10"/>
    </row>
    <row r="339" spans="6:17"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10"/>
    </row>
    <row r="340" spans="6:17"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10"/>
    </row>
    <row r="341" spans="6:17"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10"/>
    </row>
    <row r="342" spans="6:17"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10"/>
    </row>
    <row r="343" spans="6:17"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10"/>
    </row>
    <row r="344" spans="6:17"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10"/>
    </row>
    <row r="345" spans="6:17"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10"/>
    </row>
    <row r="346" spans="6:17"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10"/>
    </row>
    <row r="347" spans="6:17"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10"/>
    </row>
    <row r="348" spans="6:17"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10"/>
    </row>
    <row r="349" spans="6:17"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10"/>
    </row>
    <row r="350" spans="6:17"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10"/>
    </row>
    <row r="351" spans="6:17"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10"/>
    </row>
    <row r="352" spans="6:17"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10"/>
    </row>
    <row r="353" spans="6:17"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10"/>
    </row>
    <row r="354" spans="6:17"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10"/>
    </row>
    <row r="355" spans="6:17"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10"/>
    </row>
    <row r="356" spans="6:17"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10"/>
    </row>
    <row r="357" spans="6:17"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10"/>
    </row>
    <row r="358" spans="6:17"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10"/>
    </row>
    <row r="359" spans="6:17"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10"/>
    </row>
    <row r="360" spans="6:17"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10"/>
    </row>
    <row r="361" spans="6:17"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10"/>
    </row>
    <row r="362" spans="6:17"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10"/>
    </row>
    <row r="363" spans="6:17"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10"/>
    </row>
    <row r="364" spans="6:17"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10"/>
    </row>
    <row r="365" spans="6:17"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10"/>
    </row>
    <row r="366" spans="6:17"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10"/>
    </row>
    <row r="367" spans="6:17"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10"/>
    </row>
    <row r="368" spans="6:17"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10"/>
    </row>
    <row r="369" spans="6:17"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10"/>
    </row>
    <row r="370" spans="6:17"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10"/>
    </row>
    <row r="371" spans="6:17"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10"/>
    </row>
    <row r="372" spans="6:17"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10"/>
    </row>
    <row r="373" spans="6:17"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10"/>
    </row>
    <row r="374" spans="6:17"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10"/>
    </row>
    <row r="375" spans="6:17"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10"/>
    </row>
    <row r="376" spans="6:17"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10"/>
    </row>
    <row r="377" spans="6:17"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10"/>
    </row>
    <row r="378" spans="6:17"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10"/>
    </row>
    <row r="379" spans="6:17"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10"/>
    </row>
    <row r="380" spans="6:17"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10"/>
    </row>
    <row r="381" spans="6:17"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10"/>
    </row>
    <row r="382" spans="6:17"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10"/>
    </row>
    <row r="383" spans="6:17"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10"/>
    </row>
    <row r="384" spans="6:17"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10"/>
    </row>
    <row r="385" spans="6:17"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10"/>
    </row>
    <row r="386" spans="6:17"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10"/>
    </row>
    <row r="387" spans="6:17"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10"/>
    </row>
    <row r="388" spans="6:17"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10"/>
    </row>
    <row r="389" spans="6:17"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10"/>
    </row>
    <row r="390" spans="6:17"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10"/>
    </row>
    <row r="391" spans="6:17"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10"/>
    </row>
    <row r="392" spans="6:17"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10"/>
    </row>
    <row r="393" spans="6:17"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10"/>
    </row>
    <row r="394" spans="6:17"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10"/>
    </row>
    <row r="395" spans="6:17"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10"/>
    </row>
    <row r="396" spans="6:17"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10"/>
    </row>
    <row r="397" spans="6:17"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10"/>
    </row>
    <row r="398" spans="6:17"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10"/>
    </row>
    <row r="399" spans="6:17"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10"/>
    </row>
    <row r="400" spans="6:17"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10"/>
    </row>
    <row r="401" spans="6:17"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10"/>
    </row>
    <row r="402" spans="6:17"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10"/>
    </row>
    <row r="403" spans="6:17"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10"/>
    </row>
    <row r="404" spans="6:17"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10"/>
    </row>
    <row r="405" spans="6:17"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10"/>
    </row>
    <row r="406" spans="6:17"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10"/>
    </row>
    <row r="407" spans="6:17"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10"/>
    </row>
    <row r="408" spans="6:17"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10"/>
    </row>
    <row r="409" spans="6:17"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10"/>
    </row>
    <row r="410" spans="6:17"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10"/>
    </row>
    <row r="411" spans="6:17"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10"/>
    </row>
    <row r="412" spans="6:17"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10"/>
    </row>
    <row r="413" spans="6:17"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10"/>
    </row>
    <row r="414" spans="6:17"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10"/>
    </row>
    <row r="415" spans="6:17"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10"/>
    </row>
    <row r="416" spans="6:17"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10"/>
    </row>
    <row r="417" spans="6:17"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10"/>
    </row>
    <row r="418" spans="6:17"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10"/>
    </row>
    <row r="419" spans="6:17"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10"/>
    </row>
    <row r="420" spans="6:17"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10"/>
    </row>
    <row r="421" spans="6:17"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10"/>
    </row>
    <row r="422" spans="6:17"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10"/>
    </row>
    <row r="423" spans="6:17"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10"/>
    </row>
    <row r="424" spans="6:17"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10"/>
    </row>
    <row r="425" spans="6:17"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10"/>
    </row>
    <row r="426" spans="6:17"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10"/>
    </row>
    <row r="427" spans="6:17"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10"/>
    </row>
    <row r="428" spans="6:17"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10"/>
    </row>
    <row r="429" spans="6:17"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10"/>
    </row>
    <row r="430" spans="6:17"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10"/>
    </row>
    <row r="431" spans="6:17"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10"/>
    </row>
    <row r="432" spans="6:17"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10"/>
    </row>
    <row r="433" spans="6:17"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10"/>
    </row>
    <row r="434" spans="6:17"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10"/>
    </row>
    <row r="435" spans="6:17"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10"/>
    </row>
    <row r="436" spans="6:17"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10"/>
    </row>
    <row r="437" spans="6:17"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10"/>
    </row>
    <row r="438" spans="6:17"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10"/>
    </row>
    <row r="439" spans="6:17"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10"/>
    </row>
    <row r="440" spans="6:17"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10"/>
    </row>
    <row r="441" spans="6:17"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10"/>
    </row>
    <row r="442" spans="6:17"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10"/>
    </row>
    <row r="443" spans="6:17"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10"/>
    </row>
    <row r="444" spans="6:17"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10"/>
    </row>
    <row r="445" spans="6:17"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10"/>
    </row>
    <row r="446" spans="6:17"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10"/>
    </row>
    <row r="447" spans="6:17"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10"/>
    </row>
    <row r="448" spans="6:17"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10"/>
    </row>
    <row r="449" spans="6:17"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10"/>
    </row>
    <row r="450" spans="6:17"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10"/>
    </row>
    <row r="451" spans="6:17"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10"/>
    </row>
    <row r="452" spans="6:17"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10"/>
    </row>
    <row r="453" spans="6:17"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10"/>
    </row>
    <row r="454" spans="6:17"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10"/>
    </row>
    <row r="455" spans="6:17"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10"/>
    </row>
    <row r="456" spans="6:17"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10"/>
    </row>
    <row r="457" spans="6:17"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10"/>
    </row>
    <row r="458" spans="6:17"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10"/>
    </row>
    <row r="459" spans="6:17"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10"/>
    </row>
    <row r="460" spans="6:17"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10"/>
    </row>
    <row r="461" spans="6:17"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10"/>
    </row>
    <row r="462" spans="6:17"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10"/>
    </row>
    <row r="463" spans="6:17"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10"/>
    </row>
    <row r="464" spans="6:17"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10"/>
    </row>
    <row r="465" spans="6:17"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10"/>
    </row>
    <row r="466" spans="6:17"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10"/>
    </row>
    <row r="467" spans="6:17"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10"/>
    </row>
    <row r="468" spans="6:17"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10"/>
    </row>
    <row r="469" spans="6:17"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10"/>
    </row>
    <row r="470" spans="6:17"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10"/>
    </row>
    <row r="471" spans="6:17"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10"/>
    </row>
    <row r="472" spans="6:17"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10"/>
    </row>
    <row r="473" spans="6:17"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10"/>
    </row>
    <row r="474" spans="6:17"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10"/>
    </row>
    <row r="475" spans="6:17"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10"/>
    </row>
    <row r="476" spans="6:17"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10"/>
    </row>
    <row r="477" spans="6:17"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10"/>
    </row>
    <row r="478" spans="6:17"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10"/>
    </row>
    <row r="479" spans="6:17"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10"/>
    </row>
    <row r="480" spans="6:17"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10"/>
    </row>
    <row r="481" spans="6:17"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10"/>
    </row>
    <row r="482" spans="6:17"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10"/>
    </row>
    <row r="483" spans="6:17"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10"/>
    </row>
    <row r="484" spans="6:17"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10"/>
    </row>
    <row r="485" spans="6:17"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10"/>
    </row>
    <row r="486" spans="6:17"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10"/>
    </row>
    <row r="487" spans="6:17"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10"/>
    </row>
    <row r="488" spans="6:17"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10"/>
    </row>
    <row r="489" spans="6:17"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10"/>
    </row>
    <row r="490" spans="6:17"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10"/>
    </row>
    <row r="491" spans="6:17"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10"/>
    </row>
    <row r="492" spans="6:17"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10"/>
    </row>
    <row r="493" spans="6:17"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10"/>
    </row>
    <row r="494" spans="6:17"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10"/>
    </row>
    <row r="495" spans="6:17"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10"/>
    </row>
    <row r="496" spans="6:17"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1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54" customWidth="1"/>
    <col min="2" max="2" width="15.7109375" style="154" bestFit="1" customWidth="1"/>
    <col min="3" max="3" width="15.85546875" style="154" bestFit="1" customWidth="1"/>
    <col min="4" max="4" width="15.140625" style="154" bestFit="1" customWidth="1"/>
    <col min="5" max="5" width="16.42578125" style="154" bestFit="1" customWidth="1"/>
    <col min="6" max="6" width="16.5703125" style="154" bestFit="1" customWidth="1"/>
    <col min="7" max="7" width="15" style="154" bestFit="1" customWidth="1"/>
    <col min="8" max="8" width="15.140625" style="154" bestFit="1" customWidth="1"/>
    <col min="9" max="9" width="16.42578125" style="154" bestFit="1" customWidth="1"/>
    <col min="10" max="10" width="15" style="154" bestFit="1" customWidth="1"/>
    <col min="11" max="11" width="15.140625" style="154" bestFit="1" customWidth="1"/>
    <col min="12" max="12" width="15.5703125" style="154" customWidth="1"/>
    <col min="13" max="13" width="15" style="154" bestFit="1" customWidth="1"/>
    <col min="14" max="14" width="17" style="154" bestFit="1" customWidth="1"/>
    <col min="15" max="15" width="7.7109375" style="154"/>
    <col min="16" max="16" width="23" style="154" bestFit="1" customWidth="1"/>
    <col min="17" max="17" width="10.85546875" style="154" bestFit="1" customWidth="1"/>
    <col min="18" max="16384" width="7.7109375" style="154"/>
  </cols>
  <sheetData>
    <row r="1" spans="1:17" ht="15.75">
      <c r="A1" s="262" t="s">
        <v>103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7" ht="20.25">
      <c r="A2" s="263" t="s">
        <v>165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7" ht="23.25">
      <c r="A3" s="264" t="s">
        <v>217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7" ht="15.7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7" spans="1:17" ht="27" customHeight="1">
      <c r="A7" s="155" t="s">
        <v>166</v>
      </c>
      <c r="B7" s="156">
        <v>43131</v>
      </c>
      <c r="C7" s="156">
        <f>EOMONTH(B7,1)</f>
        <v>43159</v>
      </c>
      <c r="D7" s="156">
        <f t="shared" ref="D7:M7" si="0">EOMONTH(C7,1)</f>
        <v>43190</v>
      </c>
      <c r="E7" s="156">
        <f t="shared" si="0"/>
        <v>43220</v>
      </c>
      <c r="F7" s="156">
        <f t="shared" si="0"/>
        <v>43251</v>
      </c>
      <c r="G7" s="156">
        <f t="shared" si="0"/>
        <v>43281</v>
      </c>
      <c r="H7" s="156">
        <f t="shared" si="0"/>
        <v>43312</v>
      </c>
      <c r="I7" s="156">
        <f t="shared" si="0"/>
        <v>43343</v>
      </c>
      <c r="J7" s="156">
        <f t="shared" si="0"/>
        <v>43373</v>
      </c>
      <c r="K7" s="156">
        <f t="shared" si="0"/>
        <v>43404</v>
      </c>
      <c r="L7" s="156">
        <f t="shared" si="0"/>
        <v>43434</v>
      </c>
      <c r="M7" s="156">
        <f t="shared" si="0"/>
        <v>43465</v>
      </c>
      <c r="N7" s="157" t="s">
        <v>159</v>
      </c>
    </row>
    <row r="8" spans="1:17" ht="24.95" customHeight="1">
      <c r="A8" s="158" t="s">
        <v>158</v>
      </c>
      <c r="B8" s="159">
        <f>'Input Tab'!C53</f>
        <v>574460</v>
      </c>
      <c r="C8" s="159">
        <f>'Input Tab'!D53</f>
        <v>485123</v>
      </c>
      <c r="D8" s="159">
        <f>'Input Tab'!E53</f>
        <v>466253</v>
      </c>
      <c r="E8" s="159">
        <f>'Input Tab'!F53</f>
        <v>456157</v>
      </c>
      <c r="F8" s="159">
        <f>'Input Tab'!G53</f>
        <v>380976</v>
      </c>
      <c r="G8" s="159">
        <f>'Input Tab'!H53</f>
        <v>422918</v>
      </c>
      <c r="H8" s="159">
        <f>'Input Tab'!I53</f>
        <v>442082</v>
      </c>
      <c r="I8" s="159">
        <f>'Input Tab'!J53</f>
        <v>510132</v>
      </c>
      <c r="J8" s="159">
        <f>'Input Tab'!K53</f>
        <v>452187</v>
      </c>
      <c r="K8" s="159">
        <f>'Input Tab'!L53</f>
        <v>409389</v>
      </c>
      <c r="L8" s="159">
        <f>'Input Tab'!M53</f>
        <v>440915</v>
      </c>
      <c r="M8" s="159">
        <f>'Input Tab'!N53</f>
        <v>516411</v>
      </c>
      <c r="N8" s="61">
        <f t="shared" ref="N8:N13" si="1">SUM(B8:M8)</f>
        <v>5557003</v>
      </c>
      <c r="P8" s="160"/>
    </row>
    <row r="9" spans="1:17" ht="24.95" customHeight="1">
      <c r="A9" s="161" t="s">
        <v>160</v>
      </c>
      <c r="B9" s="159">
        <f>-261455979/1000</f>
        <v>-261456</v>
      </c>
      <c r="C9" s="162">
        <f>IF(C8=0,0,-B10)</f>
        <v>-232280</v>
      </c>
      <c r="D9" s="162">
        <f t="shared" ref="D9:M9" si="2">IF(D8=0,0,-C10)</f>
        <v>-228151</v>
      </c>
      <c r="E9" s="162">
        <f t="shared" si="2"/>
        <v>-250554</v>
      </c>
      <c r="F9" s="162">
        <f t="shared" si="2"/>
        <v>-228167</v>
      </c>
      <c r="G9" s="162">
        <f t="shared" si="2"/>
        <v>-264393</v>
      </c>
      <c r="H9" s="162">
        <f t="shared" si="2"/>
        <v>-261603</v>
      </c>
      <c r="I9" s="162">
        <f t="shared" si="2"/>
        <v>-303871</v>
      </c>
      <c r="J9" s="162">
        <f t="shared" si="2"/>
        <v>-290570</v>
      </c>
      <c r="K9" s="162">
        <f t="shared" si="2"/>
        <v>-237419</v>
      </c>
      <c r="L9" s="162">
        <f t="shared" si="2"/>
        <v>-267643</v>
      </c>
      <c r="M9" s="162">
        <f t="shared" si="2"/>
        <v>-304479</v>
      </c>
      <c r="N9" s="61">
        <f t="shared" si="1"/>
        <v>-3130586</v>
      </c>
    </row>
    <row r="10" spans="1:17" ht="24.95" customHeight="1">
      <c r="A10" s="161" t="s">
        <v>161</v>
      </c>
      <c r="B10" s="159">
        <f>'Input Tab'!C54</f>
        <v>232280</v>
      </c>
      <c r="C10" s="159">
        <f>'Input Tab'!D54</f>
        <v>228151</v>
      </c>
      <c r="D10" s="159">
        <f>'Input Tab'!E54</f>
        <v>250554</v>
      </c>
      <c r="E10" s="159">
        <f>'Input Tab'!F54</f>
        <v>228167</v>
      </c>
      <c r="F10" s="159">
        <f>'Input Tab'!G54</f>
        <v>264393</v>
      </c>
      <c r="G10" s="159">
        <f>'Input Tab'!H54</f>
        <v>261603</v>
      </c>
      <c r="H10" s="159">
        <f>'Input Tab'!I54</f>
        <v>303871</v>
      </c>
      <c r="I10" s="159">
        <f>'Input Tab'!J54</f>
        <v>290570</v>
      </c>
      <c r="J10" s="159">
        <f>'Input Tab'!K54</f>
        <v>237419</v>
      </c>
      <c r="K10" s="159">
        <f>'Input Tab'!L54</f>
        <v>267643</v>
      </c>
      <c r="L10" s="159">
        <f>'Input Tab'!M54</f>
        <v>304479</v>
      </c>
      <c r="M10" s="159">
        <f>'Input Tab'!N54</f>
        <v>312515</v>
      </c>
      <c r="N10" s="61">
        <f t="shared" si="1"/>
        <v>3181645</v>
      </c>
      <c r="P10" s="163"/>
      <c r="Q10" s="163"/>
    </row>
    <row r="11" spans="1:17" ht="30.75" customHeight="1">
      <c r="A11" s="164" t="s">
        <v>167</v>
      </c>
      <c r="B11" s="165">
        <f t="shared" ref="B11:L11" si="3">SUM(B8:B10)</f>
        <v>545284</v>
      </c>
      <c r="C11" s="165">
        <f t="shared" si="3"/>
        <v>480994</v>
      </c>
      <c r="D11" s="165">
        <f t="shared" si="3"/>
        <v>488656</v>
      </c>
      <c r="E11" s="165">
        <f t="shared" si="3"/>
        <v>433770</v>
      </c>
      <c r="F11" s="165">
        <f t="shared" si="3"/>
        <v>417202</v>
      </c>
      <c r="G11" s="165">
        <f t="shared" si="3"/>
        <v>420128</v>
      </c>
      <c r="H11" s="165">
        <f t="shared" si="3"/>
        <v>484350</v>
      </c>
      <c r="I11" s="165">
        <f t="shared" si="3"/>
        <v>496831</v>
      </c>
      <c r="J11" s="165">
        <f t="shared" si="3"/>
        <v>399036</v>
      </c>
      <c r="K11" s="165">
        <f t="shared" si="3"/>
        <v>439613</v>
      </c>
      <c r="L11" s="165">
        <f t="shared" si="3"/>
        <v>477751</v>
      </c>
      <c r="M11" s="165">
        <f>SUM(M8:M10)</f>
        <v>524447</v>
      </c>
      <c r="N11" s="166">
        <f t="shared" si="1"/>
        <v>5608062</v>
      </c>
      <c r="P11" s="167"/>
      <c r="Q11" s="160"/>
    </row>
    <row r="12" spans="1:17" ht="32.25" customHeight="1">
      <c r="A12" s="168" t="s">
        <v>168</v>
      </c>
      <c r="B12" s="169">
        <f>'Input Tab'!C55</f>
        <v>555937</v>
      </c>
      <c r="C12" s="169">
        <f>'Input Tab'!D55</f>
        <v>498647</v>
      </c>
      <c r="D12" s="169">
        <f>'Input Tab'!E55</f>
        <v>492113</v>
      </c>
      <c r="E12" s="169">
        <f>'Input Tab'!F55</f>
        <v>431145</v>
      </c>
      <c r="F12" s="169">
        <f>'Input Tab'!G55</f>
        <v>432473</v>
      </c>
      <c r="G12" s="169">
        <f>'Input Tab'!H55</f>
        <v>424693</v>
      </c>
      <c r="H12" s="169">
        <f>'Input Tab'!I55</f>
        <v>490670</v>
      </c>
      <c r="I12" s="169">
        <f>'Input Tab'!J55</f>
        <v>464617</v>
      </c>
      <c r="J12" s="169">
        <f>'Input Tab'!K55</f>
        <v>435934</v>
      </c>
      <c r="K12" s="169">
        <f>'Input Tab'!L55</f>
        <v>436959</v>
      </c>
      <c r="L12" s="169">
        <f>'Input Tab'!M55</f>
        <v>468856</v>
      </c>
      <c r="M12" s="169">
        <f>'Input Tab'!N55</f>
        <v>553150</v>
      </c>
      <c r="N12" s="170">
        <f>SUM(B12:M12)</f>
        <v>5685194</v>
      </c>
      <c r="P12" s="171" t="s">
        <v>173</v>
      </c>
    </row>
    <row r="13" spans="1:17" ht="38.25" customHeight="1">
      <c r="A13" s="172" t="s">
        <v>162</v>
      </c>
      <c r="B13" s="62">
        <f>B11-B12</f>
        <v>-10653</v>
      </c>
      <c r="C13" s="62">
        <f>IF(C8=0," ",C11-C12)</f>
        <v>-17653</v>
      </c>
      <c r="D13" s="62">
        <f t="shared" ref="D13:M13" si="4">IF(D8=0," ",D11-D12)</f>
        <v>-3457</v>
      </c>
      <c r="E13" s="62">
        <f t="shared" si="4"/>
        <v>2625</v>
      </c>
      <c r="F13" s="62">
        <f t="shared" si="4"/>
        <v>-15271</v>
      </c>
      <c r="G13" s="62">
        <f t="shared" si="4"/>
        <v>-4565</v>
      </c>
      <c r="H13" s="62">
        <f t="shared" si="4"/>
        <v>-6320</v>
      </c>
      <c r="I13" s="62">
        <f t="shared" si="4"/>
        <v>32214</v>
      </c>
      <c r="J13" s="62">
        <f t="shared" si="4"/>
        <v>-36898</v>
      </c>
      <c r="K13" s="62">
        <f t="shared" si="4"/>
        <v>2654</v>
      </c>
      <c r="L13" s="62">
        <f t="shared" si="4"/>
        <v>8895</v>
      </c>
      <c r="M13" s="62">
        <f t="shared" si="4"/>
        <v>-28703</v>
      </c>
      <c r="N13" s="173">
        <f t="shared" si="1"/>
        <v>-77132</v>
      </c>
    </row>
    <row r="14" spans="1:17" ht="42.75" customHeight="1">
      <c r="A14" s="172" t="s">
        <v>169</v>
      </c>
      <c r="B14" s="174">
        <f>'Input Tab'!C56</f>
        <v>15.66</v>
      </c>
      <c r="C14" s="174">
        <f>'Input Tab'!D56</f>
        <v>15.66</v>
      </c>
      <c r="D14" s="174">
        <f>'Input Tab'!E56</f>
        <v>15.66</v>
      </c>
      <c r="E14" s="174">
        <f>'Input Tab'!F56</f>
        <v>15.66</v>
      </c>
      <c r="F14" s="174">
        <f>'Input Tab'!G56</f>
        <v>18.11</v>
      </c>
      <c r="G14" s="174">
        <f>'Input Tab'!H56</f>
        <v>18.11</v>
      </c>
      <c r="H14" s="174">
        <f>'Input Tab'!I56</f>
        <v>18.11</v>
      </c>
      <c r="I14" s="174">
        <f>'Input Tab'!J56</f>
        <v>18.11</v>
      </c>
      <c r="J14" s="174">
        <f>'Input Tab'!K56</f>
        <v>18.11</v>
      </c>
      <c r="K14" s="174">
        <f>'Input Tab'!L56</f>
        <v>18.11</v>
      </c>
      <c r="L14" s="174">
        <f>'Input Tab'!M56</f>
        <v>18.11</v>
      </c>
      <c r="M14" s="174">
        <f>'Input Tab'!N56</f>
        <v>18.11</v>
      </c>
      <c r="N14" s="61"/>
    </row>
    <row r="15" spans="1:17" ht="30.75" customHeight="1" thickBot="1">
      <c r="A15" s="175" t="s">
        <v>170</v>
      </c>
      <c r="B15" s="176">
        <f>B13*B14</f>
        <v>-166826</v>
      </c>
      <c r="C15" s="176">
        <f>IF(C8=0,0,C13*C14)</f>
        <v>-276446</v>
      </c>
      <c r="D15" s="176">
        <f t="shared" ref="D15:M15" si="5">IF(D8=0,0,D13*D14)</f>
        <v>-54137</v>
      </c>
      <c r="E15" s="176">
        <f t="shared" si="5"/>
        <v>41108</v>
      </c>
      <c r="F15" s="176">
        <f t="shared" si="5"/>
        <v>-276558</v>
      </c>
      <c r="G15" s="176">
        <f t="shared" si="5"/>
        <v>-82672</v>
      </c>
      <c r="H15" s="176">
        <f t="shared" si="5"/>
        <v>-114455</v>
      </c>
      <c r="I15" s="176">
        <f t="shared" si="5"/>
        <v>583396</v>
      </c>
      <c r="J15" s="176">
        <f t="shared" si="5"/>
        <v>-668223</v>
      </c>
      <c r="K15" s="176">
        <f t="shared" si="5"/>
        <v>48064</v>
      </c>
      <c r="L15" s="176">
        <f t="shared" si="5"/>
        <v>161088</v>
      </c>
      <c r="M15" s="176">
        <f t="shared" si="5"/>
        <v>-519811</v>
      </c>
      <c r="N15" s="176">
        <f>SUM(B15:M15)</f>
        <v>-1325472</v>
      </c>
    </row>
    <row r="16" spans="1:17" ht="20.100000000000001" customHeight="1" thickTop="1">
      <c r="G16" s="177"/>
      <c r="N16" s="160"/>
    </row>
    <row r="17" spans="1:16" ht="20.100000000000001" customHeight="1">
      <c r="A17" s="178"/>
      <c r="N17" s="160"/>
    </row>
    <row r="18" spans="1:16" ht="36.75" customHeight="1">
      <c r="A18" s="179" t="s">
        <v>171</v>
      </c>
      <c r="B18" s="180">
        <f>B7</f>
        <v>43131</v>
      </c>
      <c r="C18" s="180">
        <f t="shared" ref="C18:N18" si="6">C7</f>
        <v>43159</v>
      </c>
      <c r="D18" s="180">
        <f t="shared" si="6"/>
        <v>43190</v>
      </c>
      <c r="E18" s="180">
        <f t="shared" si="6"/>
        <v>43220</v>
      </c>
      <c r="F18" s="180">
        <f t="shared" si="6"/>
        <v>43251</v>
      </c>
      <c r="G18" s="180">
        <f t="shared" si="6"/>
        <v>43281</v>
      </c>
      <c r="H18" s="180">
        <f t="shared" si="6"/>
        <v>43312</v>
      </c>
      <c r="I18" s="180">
        <f t="shared" si="6"/>
        <v>43343</v>
      </c>
      <c r="J18" s="180">
        <f t="shared" si="6"/>
        <v>43373</v>
      </c>
      <c r="K18" s="180">
        <f t="shared" si="6"/>
        <v>43404</v>
      </c>
      <c r="L18" s="180">
        <f t="shared" si="6"/>
        <v>43434</v>
      </c>
      <c r="M18" s="180">
        <f t="shared" si="6"/>
        <v>43465</v>
      </c>
      <c r="N18" s="156" t="str">
        <f t="shared" si="6"/>
        <v>YTD</v>
      </c>
    </row>
    <row r="19" spans="1:16" ht="29.25" customHeight="1">
      <c r="A19" s="181" t="s">
        <v>2</v>
      </c>
      <c r="B19" s="182">
        <f>IF(B8=0," ",B15*-1)</f>
        <v>166826</v>
      </c>
      <c r="C19" s="182">
        <f>IF(C8=0," ",C15*-1)</f>
        <v>276446</v>
      </c>
      <c r="D19" s="182">
        <f t="shared" ref="D19:M19" si="7">IF(D8=0," ",D15*-1)</f>
        <v>54137</v>
      </c>
      <c r="E19" s="182">
        <f t="shared" si="7"/>
        <v>-41108</v>
      </c>
      <c r="F19" s="182">
        <f t="shared" si="7"/>
        <v>276558</v>
      </c>
      <c r="G19" s="182">
        <f t="shared" si="7"/>
        <v>82672</v>
      </c>
      <c r="H19" s="182">
        <f t="shared" si="7"/>
        <v>114455</v>
      </c>
      <c r="I19" s="182">
        <f t="shared" si="7"/>
        <v>-583396</v>
      </c>
      <c r="J19" s="182">
        <f t="shared" si="7"/>
        <v>668223</v>
      </c>
      <c r="K19" s="182">
        <f t="shared" si="7"/>
        <v>-48064</v>
      </c>
      <c r="L19" s="182">
        <f t="shared" si="7"/>
        <v>-161088</v>
      </c>
      <c r="M19" s="182">
        <f t="shared" si="7"/>
        <v>519811</v>
      </c>
      <c r="N19" s="182">
        <f>N15*-1</f>
        <v>1325472</v>
      </c>
    </row>
    <row r="20" spans="1:16" ht="15.75">
      <c r="A20" s="183"/>
      <c r="B20" s="184" t="str">
        <f>IF(B19&lt;0,"Rebate","Surcharge")</f>
        <v>Surcharge</v>
      </c>
      <c r="C20" s="184" t="str">
        <f t="shared" ref="C20:N20" si="8">IF(C19&lt;0,"Rebate","Surcharge")</f>
        <v>Surcharge</v>
      </c>
      <c r="D20" s="184" t="str">
        <f t="shared" si="8"/>
        <v>Surcharge</v>
      </c>
      <c r="E20" s="184" t="str">
        <f t="shared" si="8"/>
        <v>Rebate</v>
      </c>
      <c r="F20" s="184" t="str">
        <f t="shared" si="8"/>
        <v>Surcharge</v>
      </c>
      <c r="G20" s="184" t="str">
        <f t="shared" si="8"/>
        <v>Surcharge</v>
      </c>
      <c r="H20" s="184" t="str">
        <f t="shared" si="8"/>
        <v>Surcharge</v>
      </c>
      <c r="I20" s="184" t="str">
        <f t="shared" si="8"/>
        <v>Rebate</v>
      </c>
      <c r="J20" s="184" t="str">
        <f t="shared" si="8"/>
        <v>Surcharge</v>
      </c>
      <c r="K20" s="184" t="str">
        <f t="shared" si="8"/>
        <v>Rebate</v>
      </c>
      <c r="L20" s="184" t="str">
        <f t="shared" si="8"/>
        <v>Rebate</v>
      </c>
      <c r="M20" s="184" t="str">
        <f t="shared" si="8"/>
        <v>Surcharge</v>
      </c>
      <c r="N20" s="184" t="str">
        <f t="shared" si="8"/>
        <v>Surcharge</v>
      </c>
    </row>
    <row r="21" spans="1:16" ht="27" customHeight="1">
      <c r="A21" s="185" t="s">
        <v>164</v>
      </c>
      <c r="B21" s="186">
        <f>'Input Tab'!C58</f>
        <v>-37943.33</v>
      </c>
      <c r="C21" s="186">
        <f>'Input Tab'!D58</f>
        <v>339003.31</v>
      </c>
      <c r="D21" s="186">
        <f>'Input Tab'!E58</f>
        <v>187670.73</v>
      </c>
      <c r="E21" s="186">
        <f>'Input Tab'!F58</f>
        <v>-84609.600000000006</v>
      </c>
      <c r="F21" s="186">
        <f>'Input Tab'!G58</f>
        <v>107839.18</v>
      </c>
      <c r="G21" s="186">
        <f>'Input Tab'!H58</f>
        <v>-120586.87</v>
      </c>
      <c r="H21" s="186">
        <f>'Input Tab'!I58</f>
        <v>-749950.95</v>
      </c>
      <c r="I21" s="186">
        <f>'Input Tab'!J58</f>
        <v>-189109.75</v>
      </c>
      <c r="J21" s="186">
        <f>'Input Tab'!K58</f>
        <v>-118698.29</v>
      </c>
      <c r="K21" s="186">
        <f>'Input Tab'!L58</f>
        <v>-79221.710000000006</v>
      </c>
      <c r="L21" s="186">
        <f>'Input Tab'!M58</f>
        <v>-448598.03</v>
      </c>
      <c r="M21" s="186">
        <f>'Input Tab'!N58</f>
        <v>-402928.44</v>
      </c>
      <c r="N21" s="186">
        <f>SUM(B21:M21)</f>
        <v>-1597133.75</v>
      </c>
      <c r="P21" s="13" t="s">
        <v>214</v>
      </c>
    </row>
    <row r="22" spans="1:16">
      <c r="A22" s="177"/>
      <c r="B22" s="187" t="str">
        <f>IF(B21&lt;0,"Rebate","Surcharge")</f>
        <v>Rebate</v>
      </c>
      <c r="C22" s="187" t="str">
        <f t="shared" ref="C22:N22" si="9">IF(C21&lt;0,"Rebate","Surcharge")</f>
        <v>Surcharge</v>
      </c>
      <c r="D22" s="187" t="str">
        <f t="shared" si="9"/>
        <v>Surcharge</v>
      </c>
      <c r="E22" s="187" t="str">
        <f t="shared" si="9"/>
        <v>Rebate</v>
      </c>
      <c r="F22" s="187" t="str">
        <f t="shared" si="9"/>
        <v>Surcharge</v>
      </c>
      <c r="G22" s="187" t="str">
        <f t="shared" si="9"/>
        <v>Rebate</v>
      </c>
      <c r="H22" s="187" t="str">
        <f t="shared" si="9"/>
        <v>Rebate</v>
      </c>
      <c r="I22" s="187" t="str">
        <f t="shared" si="9"/>
        <v>Rebate</v>
      </c>
      <c r="J22" s="187" t="str">
        <f t="shared" si="9"/>
        <v>Rebate</v>
      </c>
      <c r="K22" s="187" t="str">
        <f t="shared" si="9"/>
        <v>Rebate</v>
      </c>
      <c r="L22" s="187" t="str">
        <f t="shared" si="9"/>
        <v>Rebate</v>
      </c>
      <c r="M22" s="187" t="str">
        <f t="shared" si="9"/>
        <v>Rebate</v>
      </c>
      <c r="N22" s="187" t="str">
        <f t="shared" si="9"/>
        <v>Rebate</v>
      </c>
    </row>
    <row r="25" spans="1:16">
      <c r="G25" s="160"/>
    </row>
    <row r="34" spans="1:1">
      <c r="A34" s="18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4B0930-8340-4C37-B51F-FFE801728951}"/>
</file>

<file path=customXml/itemProps2.xml><?xml version="1.0" encoding="utf-8"?>
<ds:datastoreItem xmlns:ds="http://schemas.openxmlformats.org/officeDocument/2006/customXml" ds:itemID="{20846A8C-5333-4A1B-A561-F44FC84D727D}"/>
</file>

<file path=customXml/itemProps3.xml><?xml version="1.0" encoding="utf-8"?>
<ds:datastoreItem xmlns:ds="http://schemas.openxmlformats.org/officeDocument/2006/customXml" ds:itemID="{F5C3AA1F-38BD-4534-9E39-E1AA6959B5C7}"/>
</file>

<file path=customXml/itemProps4.xml><?xml version="1.0" encoding="utf-8"?>
<ds:datastoreItem xmlns:ds="http://schemas.openxmlformats.org/officeDocument/2006/customXml" ds:itemID="{5D3803D4-0B24-456C-91D8-7B4BA020F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Directions</vt:lpstr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2019-02-19T20:25:25Z</cp:lastPrinted>
  <dcterms:created xsi:type="dcterms:W3CDTF">2002-02-05T19:51:48Z</dcterms:created>
  <dcterms:modified xsi:type="dcterms:W3CDTF">2019-02-27T21:36:59Z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