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162D18B9-6DD6-4FA8-9664-25C99B9169F1}" xr6:coauthVersionLast="47" xr6:coauthVersionMax="47" xr10:uidLastSave="{00000000-0000-0000-0000-000000000000}"/>
  <bookViews>
    <workbookView xWindow="-120" yWindow="-120" windowWidth="20730" windowHeight="11160" xr2:uid="{76B48319-F823-4BF8-A2DD-700531AF934A}"/>
  </bookViews>
  <sheets>
    <sheet name="Sheet1 (2)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'Sheet1 (2)'!$A$1:$J$44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2" l="1"/>
  <c r="H6" i="2"/>
  <c r="G6" i="2"/>
  <c r="E27" i="2"/>
  <c r="E29" i="2" s="1"/>
  <c r="F29" i="2" s="1"/>
  <c r="F27" i="2"/>
  <c r="E30" i="2" l="1"/>
  <c r="G29" i="2"/>
  <c r="H29" i="2" s="1"/>
  <c r="E13" i="2"/>
  <c r="G27" i="2"/>
  <c r="G28" i="2" s="1"/>
  <c r="H27" i="2"/>
  <c r="I27" i="2"/>
  <c r="I28" i="2" l="1"/>
  <c r="H28" i="2"/>
  <c r="H30" i="2" s="1"/>
  <c r="F13" i="2"/>
  <c r="F22" i="2" s="1"/>
  <c r="F24" i="2" s="1"/>
  <c r="F32" i="2" s="1"/>
  <c r="E22" i="2"/>
  <c r="E24" i="2" s="1"/>
  <c r="E32" i="2" s="1"/>
  <c r="E33" i="2" s="1"/>
  <c r="E34" i="2" s="1"/>
  <c r="G30" i="2"/>
  <c r="F28" i="2"/>
  <c r="F30" i="2" s="1"/>
  <c r="E14" i="2"/>
  <c r="E15" i="2" s="1"/>
  <c r="I29" i="2"/>
  <c r="I30" i="2" s="1"/>
  <c r="F33" i="2" l="1"/>
  <c r="F34" i="2" s="1"/>
  <c r="F36" i="2" s="1"/>
  <c r="F14" i="2"/>
  <c r="F15" i="2" s="1"/>
  <c r="G13" i="2"/>
  <c r="G22" i="2" s="1"/>
  <c r="G24" i="2" l="1"/>
  <c r="G32" i="2" s="1"/>
  <c r="G33" i="2" s="1"/>
  <c r="G34" i="2" s="1"/>
  <c r="G14" i="2" l="1"/>
  <c r="G15" i="2" l="1"/>
  <c r="F10" i="2"/>
  <c r="F16" i="2" s="1"/>
  <c r="H14" i="2" l="1"/>
  <c r="H15" i="2" s="1"/>
  <c r="H13" i="2"/>
  <c r="H22" i="2" s="1"/>
  <c r="H24" i="2" l="1"/>
  <c r="H32" i="2" s="1"/>
  <c r="I14" i="2"/>
  <c r="I15" i="2" s="1"/>
  <c r="I13" i="2"/>
  <c r="I22" i="2" s="1"/>
  <c r="I10" i="2"/>
  <c r="H10" i="2"/>
  <c r="H16" i="2" s="1"/>
  <c r="H19" i="2" s="1"/>
  <c r="H20" i="2" s="1"/>
  <c r="G10" i="2"/>
  <c r="G16" i="2" s="1"/>
  <c r="H33" i="2" l="1"/>
  <c r="H34" i="2" s="1"/>
  <c r="H37" i="2" s="1"/>
  <c r="I24" i="2"/>
  <c r="I32" i="2" s="1"/>
  <c r="I16" i="2"/>
  <c r="I19" i="2" s="1"/>
  <c r="I33" i="2" l="1"/>
  <c r="I34" i="2" s="1"/>
  <c r="I38" i="2" s="1"/>
  <c r="J19" i="2"/>
  <c r="I20" i="2"/>
</calcChain>
</file>

<file path=xl/sharedStrings.xml><?xml version="1.0" encoding="utf-8"?>
<sst xmlns="http://schemas.openxmlformats.org/spreadsheetml/2006/main" count="47" uniqueCount="47">
  <si>
    <t xml:space="preserve">WA GRC Plant Group </t>
  </si>
  <si>
    <t xml:space="preserve"> Project # </t>
  </si>
  <si>
    <t xml:space="preserve"> Business Case </t>
  </si>
  <si>
    <t xml:space="preserve"> 2021 TTP </t>
  </si>
  <si>
    <t xml:space="preserve"> 2022 TTP </t>
  </si>
  <si>
    <t xml:space="preserve"> 2023 TTP </t>
  </si>
  <si>
    <t xml:space="preserve"> 2024 TTP </t>
  </si>
  <si>
    <t xml:space="preserve"> Programs </t>
  </si>
  <si>
    <t xml:space="preserve">Electric Transportation </t>
  </si>
  <si>
    <t>Capital Structure</t>
  </si>
  <si>
    <t>Rate of Return Incentive</t>
  </si>
  <si>
    <t>Accumulated Depreciation</t>
  </si>
  <si>
    <t>Net Rate Base</t>
  </si>
  <si>
    <t>Incentive ROR (AMA)</t>
  </si>
  <si>
    <t>Annual Depreciation</t>
  </si>
  <si>
    <t>2024 (incremental)</t>
  </si>
  <si>
    <t xml:space="preserve">Added Incremental 2% (Kicker) incentive on TE Assets: </t>
  </si>
  <si>
    <t>Requested ROE Incentive (Equity Kicker)</t>
  </si>
  <si>
    <t xml:space="preserve">Total </t>
  </si>
  <si>
    <t>Depreciation Rate</t>
  </si>
  <si>
    <t>Gross up for Taxes</t>
  </si>
  <si>
    <t>Total Annual Expense</t>
  </si>
  <si>
    <t>Capital</t>
  </si>
  <si>
    <t>Depreciation Expense</t>
  </si>
  <si>
    <t>2016-2020</t>
  </si>
  <si>
    <t>NOI</t>
  </si>
  <si>
    <t>A/D</t>
  </si>
  <si>
    <t>Net Plant</t>
  </si>
  <si>
    <t>O&amp;M Expense per (per PC-DR-241 (b)</t>
  </si>
  <si>
    <t xml:space="preserve">  Net Additions</t>
  </si>
  <si>
    <t>COD</t>
  </si>
  <si>
    <t>ROR</t>
  </si>
  <si>
    <t>CF</t>
  </si>
  <si>
    <t>NOI Req.</t>
  </si>
  <si>
    <t>Approx. Test Period Rev. Req. (12ME 09.2021)</t>
  </si>
  <si>
    <t>Annual Rev. Req.</t>
  </si>
  <si>
    <t>Incremental Rev. Req. RY2 above RY1 level</t>
  </si>
  <si>
    <t xml:space="preserve">Rev. Req. RY1 </t>
  </si>
  <si>
    <t>(2024 Incremental Cost above 2023)</t>
  </si>
  <si>
    <t xml:space="preserve">(1)      </t>
  </si>
  <si>
    <t>(1) Current annual recovery from customers prior
 to new rates in effect 12/21/2022.</t>
  </si>
  <si>
    <t>Exhibit SC-28</t>
  </si>
  <si>
    <t>Source:</t>
  </si>
  <si>
    <t xml:space="preserve"> PC-DR-241 (a) with capital reductions to 2022-2024 per Coppola Testimony.</t>
  </si>
  <si>
    <t>Avista Corporation</t>
  </si>
  <si>
    <t>Docket Nos. UE-220053</t>
  </si>
  <si>
    <t>EV Adjusted Capital Additions to Sales Revenue Breakeven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</si>
</sst>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Genev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8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10" fontId="0" fillId="0" borderId="0" xfId="0" applyNumberFormat="1"/>
    <xf numFmtId="44" fontId="4" fillId="0" borderId="4" xfId="1" applyFont="1" applyBorder="1" applyAlignment="1">
      <alignment vertical="center"/>
    </xf>
    <xf numFmtId="164" fontId="0" fillId="0" borderId="0" xfId="0" applyNumberFormat="1"/>
    <xf numFmtId="0" fontId="2" fillId="0" borderId="0" xfId="0" applyFont="1"/>
    <xf numFmtId="44" fontId="0" fillId="0" borderId="0" xfId="0" applyNumberFormat="1"/>
    <xf numFmtId="0" fontId="0" fillId="0" borderId="0" xfId="0" applyBorder="1"/>
    <xf numFmtId="164" fontId="0" fillId="0" borderId="5" xfId="0" applyNumberFormat="1" applyBorder="1"/>
    <xf numFmtId="164" fontId="0" fillId="0" borderId="6" xfId="0" applyNumberFormat="1" applyBorder="1"/>
    <xf numFmtId="44" fontId="0" fillId="0" borderId="0" xfId="0" applyNumberFormat="1" applyBorder="1"/>
    <xf numFmtId="164" fontId="1" fillId="0" borderId="0" xfId="1" applyNumberFormat="1" applyFont="1"/>
    <xf numFmtId="164" fontId="2" fillId="0" borderId="0" xfId="1" applyNumberFormat="1" applyFont="1"/>
    <xf numFmtId="0" fontId="6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0" fillId="0" borderId="0" xfId="0" applyAlignment="1">
      <alignment horizontal="right" indent="1"/>
    </xf>
    <xf numFmtId="165" fontId="0" fillId="0" borderId="0" xfId="2" applyNumberFormat="1" applyFont="1"/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165" fontId="0" fillId="0" borderId="6" xfId="2" applyNumberFormat="1" applyFont="1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3" fillId="2" borderId="2" xfId="0" applyFont="1" applyFill="1" applyBorder="1" applyAlignment="1">
      <alignment horizontal="center" vertical="center"/>
    </xf>
    <xf numFmtId="164" fontId="4" fillId="0" borderId="4" xfId="1" applyNumberFormat="1" applyFont="1" applyBorder="1" applyAlignment="1">
      <alignment vertical="center"/>
    </xf>
    <xf numFmtId="0" fontId="0" fillId="0" borderId="0" xfId="0" applyFill="1" applyBorder="1" applyAlignment="1">
      <alignment horizontal="right"/>
    </xf>
    <xf numFmtId="10" fontId="7" fillId="0" borderId="0" xfId="3" applyNumberFormat="1" applyFont="1" applyAlignment="1">
      <alignment horizontal="right"/>
    </xf>
    <xf numFmtId="0" fontId="7" fillId="0" borderId="0" xfId="4" applyFont="1" applyAlignment="1">
      <alignment horizontal="left"/>
    </xf>
    <xf numFmtId="10" fontId="7" fillId="0" borderId="0" xfId="4" applyNumberFormat="1" applyFont="1" applyAlignment="1">
      <alignment horizontal="right"/>
    </xf>
    <xf numFmtId="0" fontId="7" fillId="0" borderId="0" xfId="4" applyFont="1" applyAlignment="1">
      <alignment horizontal="right"/>
    </xf>
    <xf numFmtId="165" fontId="0" fillId="0" borderId="7" xfId="0" applyNumberFormat="1" applyBorder="1"/>
    <xf numFmtId="0" fontId="0" fillId="0" borderId="0" xfId="0" applyFill="1" applyBorder="1"/>
    <xf numFmtId="165" fontId="2" fillId="0" borderId="7" xfId="0" applyNumberFormat="1" applyFont="1" applyBorder="1"/>
    <xf numFmtId="0" fontId="9" fillId="0" borderId="6" xfId="0" applyFont="1" applyBorder="1" applyAlignment="1">
      <alignment horizontal="center"/>
    </xf>
    <xf numFmtId="164" fontId="10" fillId="0" borderId="0" xfId="0" applyNumberFormat="1" applyFont="1"/>
    <xf numFmtId="165" fontId="10" fillId="0" borderId="6" xfId="2" applyNumberFormat="1" applyFont="1" applyBorder="1"/>
    <xf numFmtId="164" fontId="10" fillId="0" borderId="0" xfId="0" applyNumberFormat="1" applyFont="1" applyBorder="1"/>
    <xf numFmtId="0" fontId="10" fillId="0" borderId="0" xfId="0" applyFont="1" applyBorder="1"/>
    <xf numFmtId="164" fontId="10" fillId="0" borderId="6" xfId="0" applyNumberFormat="1" applyFont="1" applyBorder="1"/>
    <xf numFmtId="165" fontId="10" fillId="0" borderId="7" xfId="0" applyNumberFormat="1" applyFont="1" applyBorder="1"/>
    <xf numFmtId="0" fontId="11" fillId="0" borderId="6" xfId="0" applyFont="1" applyBorder="1" applyAlignment="1">
      <alignment horizontal="center"/>
    </xf>
    <xf numFmtId="164" fontId="12" fillId="0" borderId="0" xfId="0" applyNumberFormat="1" applyFont="1"/>
    <xf numFmtId="165" fontId="12" fillId="0" borderId="6" xfId="2" applyNumberFormat="1" applyFont="1" applyBorder="1"/>
    <xf numFmtId="164" fontId="12" fillId="0" borderId="0" xfId="0" applyNumberFormat="1" applyFont="1" applyBorder="1"/>
    <xf numFmtId="0" fontId="12" fillId="0" borderId="0" xfId="0" applyFont="1" applyBorder="1"/>
    <xf numFmtId="165" fontId="12" fillId="0" borderId="0" xfId="0" applyNumberFormat="1" applyFont="1" applyBorder="1"/>
    <xf numFmtId="164" fontId="12" fillId="0" borderId="6" xfId="0" applyNumberFormat="1" applyFont="1" applyBorder="1"/>
    <xf numFmtId="165" fontId="12" fillId="0" borderId="7" xfId="0" applyNumberFormat="1" applyFont="1" applyBorder="1"/>
    <xf numFmtId="164" fontId="0" fillId="0" borderId="0" xfId="1" applyNumberFormat="1" applyFont="1"/>
    <xf numFmtId="165" fontId="0" fillId="0" borderId="7" xfId="0" applyNumberFormat="1" applyFont="1" applyBorder="1"/>
    <xf numFmtId="164" fontId="0" fillId="0" borderId="0" xfId="1" applyNumberFormat="1" applyFont="1" applyBorder="1"/>
    <xf numFmtId="165" fontId="12" fillId="0" borderId="7" xfId="0" applyNumberFormat="1" applyFont="1" applyFill="1" applyBorder="1"/>
    <xf numFmtId="0" fontId="2" fillId="0" borderId="0" xfId="0" quotePrefix="1" applyFont="1" applyAlignment="1">
      <alignment horizontal="right"/>
    </xf>
    <xf numFmtId="0" fontId="0" fillId="0" borderId="0" xfId="0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/>
    <xf numFmtId="164" fontId="1" fillId="3" borderId="9" xfId="1" applyNumberFormat="1" applyFont="1" applyFill="1" applyBorder="1"/>
    <xf numFmtId="164" fontId="0" fillId="3" borderId="0" xfId="1" applyNumberFormat="1" applyFont="1" applyFill="1"/>
    <xf numFmtId="164" fontId="5" fillId="3" borderId="0" xfId="1" quotePrefix="1" applyNumberFormat="1" applyFont="1" applyFill="1" applyAlignment="1">
      <alignment horizontal="right"/>
    </xf>
    <xf numFmtId="164" fontId="2" fillId="3" borderId="8" xfId="1" applyNumberFormat="1" applyFont="1" applyFill="1" applyBorder="1"/>
    <xf numFmtId="164" fontId="2" fillId="3" borderId="0" xfId="1" applyNumberFormat="1" applyFont="1" applyFill="1" applyBorder="1"/>
    <xf numFmtId="0" fontId="2" fillId="0" borderId="0" xfId="0" applyFont="1" applyAlignment="1">
      <alignment horizontal="right"/>
    </xf>
    <xf numFmtId="165" fontId="2" fillId="3" borderId="7" xfId="0" applyNumberFormat="1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164" fontId="15" fillId="0" borderId="18" xfId="0" applyNumberFormat="1" applyFont="1" applyBorder="1"/>
    <xf numFmtId="164" fontId="15" fillId="0" borderId="17" xfId="0" applyNumberFormat="1" applyFont="1" applyBorder="1"/>
    <xf numFmtId="0" fontId="0" fillId="0" borderId="10" xfId="0" applyFont="1" applyFill="1" applyBorder="1" applyAlignment="1">
      <alignment horizontal="center" vertical="top" wrapText="1"/>
    </xf>
    <xf numFmtId="0" fontId="0" fillId="0" borderId="11" xfId="0" applyFont="1" applyFill="1" applyBorder="1" applyAlignment="1">
      <alignment horizontal="center" vertical="top" wrapText="1"/>
    </xf>
    <xf numFmtId="0" fontId="0" fillId="0" borderId="12" xfId="0" applyFont="1" applyFill="1" applyBorder="1" applyAlignment="1">
      <alignment horizontal="center" vertical="top" wrapText="1"/>
    </xf>
    <xf numFmtId="0" fontId="0" fillId="0" borderId="13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Comma" xfId="2" builtinId="3"/>
    <cellStyle name="Currency" xfId="1" builtinId="4"/>
    <cellStyle name="Normal" xfId="0" builtinId="0"/>
    <cellStyle name="Normal_WAElec6_97" xfId="4" xr:uid="{74E5E00D-AD06-4607-AB37-87194DFFAE0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4B259-9AF4-42E2-BDD3-59DCDE97487A}">
  <sheetPr>
    <pageSetUpPr fitToPage="1"/>
  </sheetPr>
  <dimension ref="A1:P47"/>
  <sheetViews>
    <sheetView tabSelected="1" zoomScaleNormal="100" zoomScaleSheetLayoutView="100" workbookViewId="0">
      <selection activeCell="D12" sqref="D12"/>
    </sheetView>
  </sheetViews>
  <sheetFormatPr defaultRowHeight="15"/>
  <cols>
    <col min="2" max="2" width="14.5703125" customWidth="1"/>
    <col min="4" max="4" width="21.28515625" bestFit="1" customWidth="1"/>
    <col min="5" max="5" width="21.28515625" customWidth="1"/>
    <col min="6" max="6" width="14" bestFit="1" customWidth="1"/>
    <col min="7" max="9" width="15.7109375" bestFit="1" customWidth="1"/>
    <col min="11" max="11" width="28.140625" customWidth="1"/>
    <col min="13" max="13" width="14.28515625" bestFit="1" customWidth="1"/>
  </cols>
  <sheetData>
    <row r="1" spans="1:13">
      <c r="A1" s="72" t="s">
        <v>44</v>
      </c>
      <c r="J1" s="70" t="s">
        <v>41</v>
      </c>
    </row>
    <row r="2" spans="1:13">
      <c r="A2" t="s">
        <v>45</v>
      </c>
    </row>
    <row r="3" spans="1:13">
      <c r="D3" s="87" t="s">
        <v>46</v>
      </c>
      <c r="E3" s="87"/>
      <c r="F3" s="87"/>
      <c r="G3" s="87"/>
      <c r="H3" s="87"/>
    </row>
    <row r="4" spans="1:13" ht="15.75" thickBot="1">
      <c r="J4" s="13"/>
    </row>
    <row r="5" spans="1:13" ht="32.25" thickBot="1">
      <c r="B5" s="1" t="s">
        <v>0</v>
      </c>
      <c r="C5" s="2" t="s">
        <v>1</v>
      </c>
      <c r="D5" s="3" t="s">
        <v>2</v>
      </c>
      <c r="E5" s="29" t="s">
        <v>24</v>
      </c>
      <c r="F5" s="2" t="s">
        <v>3</v>
      </c>
      <c r="G5" s="2" t="s">
        <v>4</v>
      </c>
      <c r="H5" s="2" t="s">
        <v>5</v>
      </c>
      <c r="I5" s="2" t="s">
        <v>6</v>
      </c>
    </row>
    <row r="6" spans="1:13" ht="16.5" thickBot="1">
      <c r="B6" s="4" t="s">
        <v>7</v>
      </c>
      <c r="C6" s="5">
        <v>1</v>
      </c>
      <c r="D6" s="6" t="s">
        <v>8</v>
      </c>
      <c r="E6" s="30">
        <v>3106789</v>
      </c>
      <c r="F6" s="9">
        <v>613147</v>
      </c>
      <c r="G6" s="9">
        <f>2775000-2200000</f>
        <v>575000</v>
      </c>
      <c r="H6" s="9">
        <f>3900000-3100000</f>
        <v>800000</v>
      </c>
      <c r="I6" s="9">
        <f>4060000-1000000</f>
        <v>3060000</v>
      </c>
      <c r="K6" s="12"/>
      <c r="M6" s="12"/>
    </row>
    <row r="7" spans="1:13">
      <c r="B7" s="7"/>
    </row>
    <row r="8" spans="1:13">
      <c r="B8" t="s">
        <v>9</v>
      </c>
      <c r="F8" s="8">
        <v>0.48499999999999999</v>
      </c>
      <c r="G8" s="8">
        <v>0.48499999999999999</v>
      </c>
      <c r="H8" s="8">
        <v>0.48499999999999999</v>
      </c>
      <c r="I8" s="8">
        <v>0.48499999999999999</v>
      </c>
    </row>
    <row r="9" spans="1:13">
      <c r="B9" t="s">
        <v>17</v>
      </c>
      <c r="F9" s="8">
        <v>0.02</v>
      </c>
      <c r="G9" s="8">
        <v>0.02</v>
      </c>
      <c r="H9" s="8">
        <v>0.02</v>
      </c>
      <c r="I9" s="8">
        <v>0.02</v>
      </c>
    </row>
    <row r="10" spans="1:13">
      <c r="B10" t="s">
        <v>10</v>
      </c>
      <c r="F10" s="8">
        <f>F8*F9</f>
        <v>9.7000000000000003E-3</v>
      </c>
      <c r="G10" s="8">
        <f t="shared" ref="G10:I10" si="0">G8*G9</f>
        <v>9.7000000000000003E-3</v>
      </c>
      <c r="H10" s="8">
        <f t="shared" si="0"/>
        <v>9.7000000000000003E-3</v>
      </c>
      <c r="I10" s="8">
        <f t="shared" si="0"/>
        <v>9.7000000000000003E-3</v>
      </c>
    </row>
    <row r="11" spans="1:13">
      <c r="B11" t="s">
        <v>19</v>
      </c>
      <c r="F11" s="8">
        <v>5.7099999999999998E-2</v>
      </c>
      <c r="G11" s="8">
        <v>5.7099999999999998E-2</v>
      </c>
      <c r="H11" s="8">
        <v>5.7099999999999998E-2</v>
      </c>
      <c r="I11" s="8">
        <v>5.7099999999999998E-2</v>
      </c>
    </row>
    <row r="13" spans="1:13">
      <c r="B13" t="s">
        <v>14</v>
      </c>
      <c r="E13" s="10">
        <f>E6*F11</f>
        <v>177397.6519</v>
      </c>
      <c r="F13" s="10">
        <f>E13+(F11*F6)</f>
        <v>212408.3456</v>
      </c>
      <c r="G13" s="10">
        <f>F13+(G11*G6)</f>
        <v>245240.8456</v>
      </c>
      <c r="H13" s="10">
        <f>G13+(H11*H6)</f>
        <v>290920.8456</v>
      </c>
      <c r="I13" s="10">
        <f>H13+(I11*I6)</f>
        <v>465646.8456</v>
      </c>
    </row>
    <row r="14" spans="1:13">
      <c r="B14" t="s">
        <v>11</v>
      </c>
      <c r="E14" s="15">
        <f>E13*0.5</f>
        <v>88698.825949999999</v>
      </c>
      <c r="F14" s="15">
        <f>F13*0.5</f>
        <v>106204.1728</v>
      </c>
      <c r="G14" s="15">
        <f>(G6*G11*0.5)+F13</f>
        <v>228824.5956</v>
      </c>
      <c r="H14" s="15">
        <f>(H6*H11*0.5)+G13</f>
        <v>268080.8456</v>
      </c>
      <c r="I14" s="15">
        <f>(I6*I11*0.5)+H13</f>
        <v>378283.8456</v>
      </c>
      <c r="K14" s="10"/>
    </row>
    <row r="15" spans="1:13" ht="15.75" thickBot="1">
      <c r="B15" t="s">
        <v>12</v>
      </c>
      <c r="E15" s="14">
        <f>E6-E14</f>
        <v>3018090.17405</v>
      </c>
      <c r="F15" s="14">
        <f>F6-F14</f>
        <v>506942.8272</v>
      </c>
      <c r="G15" s="14">
        <f>F6+(G6)-G14</f>
        <v>959322.4044</v>
      </c>
      <c r="H15" s="14">
        <f>F6+G6+(H6*0.5)-H14</f>
        <v>1320066.1543999999</v>
      </c>
      <c r="I15" s="14">
        <f>F6+G6+H6+(0.5*I6)-I14</f>
        <v>3139863.1543999999</v>
      </c>
      <c r="K15" s="12"/>
    </row>
    <row r="16" spans="1:13" ht="15.75" thickTop="1">
      <c r="B16" s="11" t="s">
        <v>13</v>
      </c>
      <c r="C16" s="11"/>
      <c r="D16" s="11"/>
      <c r="E16" s="11"/>
      <c r="F16" s="17">
        <f>F15*F10</f>
        <v>4917.34542384</v>
      </c>
      <c r="G16" s="17">
        <f>G15*G10</f>
        <v>9305.4273226799996</v>
      </c>
      <c r="H16" s="18">
        <f>H15*H10</f>
        <v>12804.641697679999</v>
      </c>
      <c r="I16" s="18">
        <f>I15*I10</f>
        <v>30456.672597680001</v>
      </c>
    </row>
    <row r="18" spans="2:16">
      <c r="H18" s="19">
        <v>2023</v>
      </c>
      <c r="I18" s="75" t="s">
        <v>15</v>
      </c>
      <c r="J18" s="19" t="s">
        <v>18</v>
      </c>
    </row>
    <row r="19" spans="2:16">
      <c r="E19" s="73"/>
      <c r="F19" s="73"/>
      <c r="G19" s="74" t="s">
        <v>16</v>
      </c>
      <c r="H19" s="77">
        <f>H16</f>
        <v>12804.641697679999</v>
      </c>
      <c r="I19" s="76">
        <f>I16-H16</f>
        <v>17652.030900000002</v>
      </c>
      <c r="J19" s="20">
        <f>SUM(H19:I19)</f>
        <v>30456.672597680001</v>
      </c>
    </row>
    <row r="20" spans="2:16">
      <c r="G20" s="21" t="s">
        <v>20</v>
      </c>
      <c r="H20" s="22">
        <f>H19/0.79</f>
        <v>16208.407212253163</v>
      </c>
      <c r="I20" s="22">
        <f>I19/0.79</f>
        <v>22344.342911392407</v>
      </c>
    </row>
    <row r="21" spans="2:16">
      <c r="D21" s="23"/>
      <c r="E21" s="46">
        <v>2020</v>
      </c>
      <c r="F21" s="39">
        <v>2021</v>
      </c>
      <c r="G21" s="24">
        <v>2022</v>
      </c>
      <c r="H21" s="24">
        <v>2023</v>
      </c>
      <c r="I21" s="24">
        <v>2024</v>
      </c>
    </row>
    <row r="22" spans="2:16">
      <c r="D22" s="26" t="s">
        <v>23</v>
      </c>
      <c r="E22" s="47">
        <f>E13</f>
        <v>177397.6519</v>
      </c>
      <c r="F22" s="40">
        <f>F13</f>
        <v>212408.3456</v>
      </c>
      <c r="G22" s="10">
        <f>G13</f>
        <v>245240.8456</v>
      </c>
      <c r="H22" s="10">
        <f t="shared" ref="H22:I22" si="1">H13</f>
        <v>290920.8456</v>
      </c>
      <c r="I22" s="10">
        <f t="shared" si="1"/>
        <v>465646.8456</v>
      </c>
    </row>
    <row r="23" spans="2:16">
      <c r="D23" s="26" t="s">
        <v>28</v>
      </c>
      <c r="E23" s="48">
        <v>192019</v>
      </c>
      <c r="F23" s="41">
        <v>501563</v>
      </c>
      <c r="G23" s="25">
        <v>501563</v>
      </c>
      <c r="H23" s="25">
        <v>501563</v>
      </c>
      <c r="I23" s="25">
        <v>501563</v>
      </c>
    </row>
    <row r="24" spans="2:16">
      <c r="D24" s="27" t="s">
        <v>21</v>
      </c>
      <c r="E24" s="47">
        <f>SUM(E22:E23)</f>
        <v>369416.6519</v>
      </c>
      <c r="F24" s="40">
        <f>SUM(F22:F23)</f>
        <v>713971.3456</v>
      </c>
      <c r="G24" s="10">
        <f t="shared" ref="G24:I24" si="2">SUM(G22:G23)</f>
        <v>746803.8456</v>
      </c>
      <c r="H24" s="10">
        <f t="shared" si="2"/>
        <v>792483.8456</v>
      </c>
      <c r="I24" s="10">
        <f t="shared" si="2"/>
        <v>967209.8456</v>
      </c>
      <c r="J24" s="13"/>
      <c r="K24" s="13"/>
      <c r="L24" s="13"/>
      <c r="M24" s="13"/>
      <c r="N24" s="13"/>
      <c r="O24" s="13"/>
      <c r="P24" s="13"/>
    </row>
    <row r="25" spans="2:16">
      <c r="D25" s="31"/>
      <c r="E25" s="49"/>
      <c r="F25" s="42"/>
      <c r="G25" s="28"/>
      <c r="H25" s="28"/>
      <c r="I25" s="28"/>
      <c r="J25" s="13"/>
      <c r="K25" s="13"/>
      <c r="L25" s="13"/>
      <c r="M25" s="13"/>
      <c r="N25" s="13"/>
      <c r="O25" s="13"/>
      <c r="P25" s="13"/>
    </row>
    <row r="26" spans="2:16">
      <c r="D26" s="13"/>
      <c r="E26" s="50"/>
      <c r="F26" s="43"/>
      <c r="G26" s="13"/>
      <c r="H26" s="13"/>
      <c r="I26" s="16"/>
      <c r="J26" s="13"/>
      <c r="K26" s="13"/>
      <c r="L26" s="13"/>
      <c r="M26" s="13"/>
      <c r="N26" s="13"/>
      <c r="O26" s="13"/>
      <c r="P26" s="13"/>
    </row>
    <row r="27" spans="2:16">
      <c r="B27" t="s">
        <v>22</v>
      </c>
      <c r="E27" s="48">
        <f>3106789</f>
        <v>3106789</v>
      </c>
      <c r="F27" s="44">
        <f>F6</f>
        <v>613147</v>
      </c>
      <c r="G27" s="15">
        <f t="shared" ref="G27:I27" si="3">G6</f>
        <v>575000</v>
      </c>
      <c r="H27" s="15">
        <f t="shared" si="3"/>
        <v>800000</v>
      </c>
      <c r="I27" s="15">
        <f t="shared" si="3"/>
        <v>3060000</v>
      </c>
      <c r="J27" s="13"/>
      <c r="K27" s="13"/>
      <c r="L27" s="13"/>
      <c r="M27" s="13"/>
      <c r="N27" s="13"/>
      <c r="O27" s="13"/>
      <c r="P27" s="13"/>
    </row>
    <row r="28" spans="2:16">
      <c r="B28" t="s">
        <v>29</v>
      </c>
      <c r="D28" s="13"/>
      <c r="E28" s="50"/>
      <c r="F28" s="42">
        <f>F27+E30</f>
        <v>3542538.3481000001</v>
      </c>
      <c r="G28" s="28">
        <f t="shared" ref="G28:I28" si="4">G27+F27</f>
        <v>1188147</v>
      </c>
      <c r="H28" s="28">
        <f t="shared" si="4"/>
        <v>1375000</v>
      </c>
      <c r="I28" s="28">
        <f t="shared" si="4"/>
        <v>3860000</v>
      </c>
      <c r="J28" s="13"/>
      <c r="K28" s="13"/>
      <c r="L28" s="13"/>
      <c r="M28" s="13"/>
      <c r="N28" s="13"/>
      <c r="O28" s="13"/>
      <c r="P28" s="13"/>
    </row>
    <row r="29" spans="2:16">
      <c r="B29" t="s">
        <v>26</v>
      </c>
      <c r="D29" s="13"/>
      <c r="E29" s="49">
        <f>(F11*E27)*-1</f>
        <v>-177397.6519</v>
      </c>
      <c r="F29" s="42">
        <f>E29-((F6*F11)/2)</f>
        <v>-194902.99875</v>
      </c>
      <c r="G29" s="28">
        <f>F29-((G6*G11)/2)</f>
        <v>-211319.24875</v>
      </c>
      <c r="H29" s="28">
        <f>G29-((H6*H11)/2)</f>
        <v>-234159.24875</v>
      </c>
      <c r="I29" s="28">
        <f>H29-((I6*I11)/2)</f>
        <v>-321522.24875000003</v>
      </c>
      <c r="J29" s="13"/>
      <c r="K29" s="13"/>
      <c r="L29" s="13"/>
      <c r="M29" s="13"/>
      <c r="N29" s="13"/>
      <c r="O29" s="13"/>
      <c r="P29" s="13"/>
    </row>
    <row r="30" spans="2:16">
      <c r="B30" t="s">
        <v>27</v>
      </c>
      <c r="D30" s="13"/>
      <c r="E30" s="51">
        <f>E27+E29</f>
        <v>2929391.3481000001</v>
      </c>
      <c r="F30" s="42">
        <f>F28+F29</f>
        <v>3347635.3493500003</v>
      </c>
      <c r="G30" s="28">
        <f t="shared" ref="G30:I30" si="5">G28+G29</f>
        <v>976827.75124999997</v>
      </c>
      <c r="H30" s="28">
        <f t="shared" si="5"/>
        <v>1140840.75125</v>
      </c>
      <c r="I30" s="28">
        <f t="shared" si="5"/>
        <v>3538477.7512499997</v>
      </c>
      <c r="J30" s="13"/>
      <c r="K30" s="13"/>
      <c r="L30" s="13"/>
      <c r="M30" s="13"/>
      <c r="N30" s="13"/>
      <c r="O30" s="13"/>
      <c r="P30" s="13"/>
    </row>
    <row r="31" spans="2:16">
      <c r="D31" s="13"/>
      <c r="E31" s="50"/>
      <c r="F31" s="4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2:16">
      <c r="D32" s="13" t="s">
        <v>25</v>
      </c>
      <c r="E32" s="52">
        <f>(-E24*0.79)-((E30*$B$40)*-0.21)</f>
        <v>-277444.12591643666</v>
      </c>
      <c r="F32" s="44">
        <f>(-F24*0.79)-((F30*$B$40)*-0.21)</f>
        <v>-547587.08291729423</v>
      </c>
      <c r="G32" s="15">
        <f t="shared" ref="G32:I32" si="6">(-G24*0.79)-((G30*$B$40)*-0.21)</f>
        <v>-585174.90645435755</v>
      </c>
      <c r="H32" s="15">
        <f>(-H24*0.79)-((H30*$B$40)*-0.21)</f>
        <v>-620456.14657235763</v>
      </c>
      <c r="I32" s="15">
        <f t="shared" si="6"/>
        <v>-746707.6983543575</v>
      </c>
      <c r="J32" s="13"/>
      <c r="K32" s="13"/>
      <c r="L32" s="13"/>
      <c r="M32" s="13"/>
      <c r="N32" s="13"/>
      <c r="O32" s="13"/>
      <c r="P32" s="13"/>
    </row>
    <row r="33" spans="1:16">
      <c r="D33" s="13" t="s">
        <v>33</v>
      </c>
      <c r="E33" s="53">
        <f>(E30*$B$41)-E32</f>
        <v>491582.63346254663</v>
      </c>
      <c r="F33" s="45">
        <f t="shared" ref="F33" si="7">(F30*$B$41)-F32</f>
        <v>792299.22695477924</v>
      </c>
      <c r="G33" s="36">
        <f>(G30*$B$41)-G32</f>
        <v>656581.01507073257</v>
      </c>
      <c r="H33" s="36">
        <f>((H30*$B$41)-H32)+H19</f>
        <v>716656.24718641257</v>
      </c>
      <c r="I33" s="36">
        <f>((I30*$B$41)-I32)+I19</f>
        <v>1023022.4528707325</v>
      </c>
      <c r="J33" s="13"/>
      <c r="K33" s="13"/>
      <c r="L33" s="13"/>
      <c r="M33" s="13"/>
      <c r="N33" s="13"/>
      <c r="O33" s="13"/>
      <c r="P33" s="13"/>
    </row>
    <row r="34" spans="1:16">
      <c r="D34" s="13" t="s">
        <v>35</v>
      </c>
      <c r="E34" s="57">
        <f>E33/$B$42</f>
        <v>650849.3824425278</v>
      </c>
      <c r="F34" s="45">
        <f>F33/$B$42</f>
        <v>1048994.4669953412</v>
      </c>
      <c r="G34" s="55">
        <f>G33/$B$42</f>
        <v>869305.21766455518</v>
      </c>
      <c r="H34" s="38">
        <f>H33/$B$42</f>
        <v>948844.08877392451</v>
      </c>
      <c r="I34" s="71">
        <f t="shared" ref="I34" si="8">I33/$B$42</f>
        <v>1354469.1906340213</v>
      </c>
      <c r="J34" s="13"/>
      <c r="K34" s="13"/>
      <c r="L34" s="13"/>
      <c r="M34" s="13"/>
      <c r="N34" s="13"/>
      <c r="O34" s="13"/>
      <c r="P34" s="13"/>
    </row>
    <row r="35" spans="1:16">
      <c r="E35" s="58" t="s">
        <v>39</v>
      </c>
      <c r="G35" s="54"/>
      <c r="H35" s="54"/>
      <c r="I35" s="54"/>
    </row>
    <row r="36" spans="1:16" ht="15.75" thickBot="1">
      <c r="D36" s="63" t="s">
        <v>34</v>
      </c>
      <c r="E36" s="64"/>
      <c r="F36" s="65">
        <f>(E34/12*3)+(F34/12*9)</f>
        <v>949458.19585713791</v>
      </c>
      <c r="G36" s="64"/>
      <c r="H36" s="64"/>
      <c r="I36" s="66"/>
    </row>
    <row r="37" spans="1:16" ht="16.5" thickTop="1" thickBot="1">
      <c r="D37" s="63" t="s">
        <v>37</v>
      </c>
      <c r="E37" s="64"/>
      <c r="F37" s="66"/>
      <c r="G37" s="67"/>
      <c r="H37" s="68">
        <f>H34</f>
        <v>948844.08877392451</v>
      </c>
      <c r="I37" s="64"/>
    </row>
    <row r="38" spans="1:16" ht="15.75" thickTop="1">
      <c r="D38" s="63" t="s">
        <v>36</v>
      </c>
      <c r="E38" s="64"/>
      <c r="F38" s="66"/>
      <c r="G38" s="66"/>
      <c r="H38" s="67"/>
      <c r="I38" s="69">
        <f>I34-H34</f>
        <v>405625.10186009679</v>
      </c>
    </row>
    <row r="39" spans="1:16" ht="15" customHeight="1">
      <c r="D39" s="78" t="s">
        <v>40</v>
      </c>
      <c r="E39" s="79"/>
      <c r="F39" s="79"/>
      <c r="G39" s="80"/>
      <c r="H39" s="84" t="s">
        <v>38</v>
      </c>
      <c r="I39" s="85"/>
      <c r="J39" s="86"/>
      <c r="K39" s="13"/>
    </row>
    <row r="40" spans="1:16" ht="32.25" customHeight="1">
      <c r="B40" s="32">
        <v>2.3400000000000001E-2</v>
      </c>
      <c r="C40" s="33" t="s">
        <v>30</v>
      </c>
      <c r="D40" s="81"/>
      <c r="E40" s="82"/>
      <c r="F40" s="82"/>
      <c r="G40" s="83"/>
      <c r="H40" s="60"/>
      <c r="I40" s="61"/>
      <c r="J40" s="62"/>
      <c r="K40" s="13"/>
    </row>
    <row r="41" spans="1:16">
      <c r="B41" s="34">
        <v>7.3099999999999998E-2</v>
      </c>
      <c r="C41" s="33" t="s">
        <v>31</v>
      </c>
      <c r="D41" s="13"/>
      <c r="E41" s="13"/>
      <c r="F41" s="13"/>
      <c r="G41" s="13"/>
      <c r="H41" s="56"/>
      <c r="I41" s="56"/>
      <c r="J41" s="13"/>
      <c r="K41" s="13"/>
    </row>
    <row r="42" spans="1:16">
      <c r="B42" s="35">
        <v>0.75529400000000002</v>
      </c>
      <c r="C42" s="33" t="s">
        <v>32</v>
      </c>
      <c r="D42" s="37"/>
      <c r="E42" s="13"/>
      <c r="F42" s="13"/>
      <c r="K42" s="13"/>
    </row>
    <row r="44" spans="1:16">
      <c r="A44" t="s">
        <v>42</v>
      </c>
      <c r="B44" t="s">
        <v>43</v>
      </c>
    </row>
    <row r="47" spans="1:16">
      <c r="G47" s="59"/>
    </row>
  </sheetData>
  <mergeCells count="3">
    <mergeCell ref="D39:G40"/>
    <mergeCell ref="H39:J39"/>
    <mergeCell ref="D3:H3"/>
  </mergeCells>
  <pageMargins left="0.7" right="0.7" top="0.5" bottom="0.5" header="0.3" footer="0.3"/>
  <pageSetup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B1DF09D-69AE-4C18-AF95-AD95AC4DD5FB}"/>
</file>

<file path=customXml/itemProps2.xml><?xml version="1.0" encoding="utf-8"?>
<ds:datastoreItem xmlns:ds="http://schemas.openxmlformats.org/officeDocument/2006/customXml" ds:itemID="{CB758682-2725-4FE3-A06C-C7E7F5067B48}"/>
</file>

<file path=customXml/itemProps3.xml><?xml version="1.0" encoding="utf-8"?>
<ds:datastoreItem xmlns:ds="http://schemas.openxmlformats.org/officeDocument/2006/customXml" ds:itemID="{64B1E637-392B-48F4-AFE6-971F1DA1E9F6}"/>
</file>

<file path=customXml/itemProps4.xml><?xml version="1.0" encoding="utf-8"?>
<ds:datastoreItem xmlns:ds="http://schemas.openxmlformats.org/officeDocument/2006/customXml" ds:itemID="{467ACE61-EA0F-405A-8F8D-DF9A68016F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Ehrbar, Pat</dc:creator>
  <cp:lastModifiedBy>Owner</cp:lastModifiedBy>
  <cp:lastPrinted>2022-07-25T20:36:52Z</cp:lastPrinted>
  <dcterms:created xsi:type="dcterms:W3CDTF">2021-12-01T16:20:43Z</dcterms:created>
  <dcterms:modified xsi:type="dcterms:W3CDTF">2022-07-25T20:39:30Z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{C562FA2E-877B-41EC-924A-9600960193DE}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