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bookViews>
    <workbookView xWindow="0" yWindow="0" windowWidth="15330" windowHeight="5955" xr2:uid="{9DE640DD-2F8B-4BD6-94B0-1BD42FFB1CD0}"/>
  </bookViews>
  <sheets>
    <sheet name="Core Cost Incurred" sheetId="14" r:id="rId1"/>
    <sheet name="WA Rates" sheetId="9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_xlnm.Print_Area" localSheetId="0">'Core Cost Incurred'!$B$1:$Z$48</definedName>
    <definedName name="_xlnm.Print_Area" localSheetId="2">DEFERRALS!$A$1:$H$22</definedName>
    <definedName name="_xlnm.Print_Area" localSheetId="1">'WA Rates'!$B$1:$N$52</definedName>
    <definedName name="_xlnm.Print_Titles" localSheetId="0">'Core Cost Incurred'!$B:$F</definedName>
    <definedName name="_xlnm.Print_Titles" localSheetId="1">'WA Rates'!$1:$8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5" l="1"/>
  <c r="D8" i="15"/>
  <c r="D9" i="15" s="1"/>
  <c r="E8" i="15"/>
  <c r="E9" i="15"/>
  <c r="F9" i="15"/>
  <c r="E12" i="15"/>
  <c r="F12" i="15"/>
  <c r="E18" i="15"/>
  <c r="F18" i="15"/>
  <c r="G8" i="15" l="1"/>
  <c r="G9" i="15" s="1"/>
  <c r="G12" i="15" s="1"/>
  <c r="D12" i="15"/>
  <c r="D18" i="15" s="1"/>
  <c r="G18" i="15" s="1"/>
  <c r="V71" i="14" l="1"/>
  <c r="S71" i="14"/>
  <c r="W48" i="14"/>
  <c r="AC43" i="14"/>
  <c r="AB43" i="14"/>
  <c r="Z43" i="14"/>
  <c r="W43" i="14"/>
  <c r="AC42" i="14"/>
  <c r="AC44" i="14" s="1"/>
  <c r="AB42" i="14"/>
  <c r="AB44" i="14" s="1"/>
  <c r="Z42" i="14"/>
  <c r="Z44" i="14" s="1"/>
  <c r="W42" i="14"/>
  <c r="W44" i="14" s="1"/>
  <c r="Q47" i="14" s="1"/>
  <c r="AC38" i="14"/>
  <c r="AC40" i="14" s="1"/>
  <c r="AB38" i="14"/>
  <c r="AB40" i="14" s="1"/>
  <c r="Z38" i="14"/>
  <c r="Z40" i="14" s="1"/>
  <c r="W38" i="14"/>
  <c r="T38" i="14"/>
  <c r="Q38" i="14"/>
  <c r="N37" i="14"/>
  <c r="K37" i="14"/>
  <c r="H37" i="14" s="1"/>
  <c r="N36" i="14"/>
  <c r="K36" i="14"/>
  <c r="H36" i="14"/>
  <c r="N35" i="14"/>
  <c r="K35" i="14"/>
  <c r="H35" i="14"/>
  <c r="N34" i="14"/>
  <c r="H34" i="14" s="1"/>
  <c r="K34" i="14"/>
  <c r="N33" i="14"/>
  <c r="K33" i="14"/>
  <c r="H33" i="14" s="1"/>
  <c r="N32" i="14"/>
  <c r="K32" i="14"/>
  <c r="H32" i="14"/>
  <c r="N31" i="14"/>
  <c r="K31" i="14"/>
  <c r="H31" i="14"/>
  <c r="N30" i="14"/>
  <c r="H30" i="14" s="1"/>
  <c r="K30" i="14"/>
  <c r="N29" i="14"/>
  <c r="K29" i="14"/>
  <c r="H29" i="14" s="1"/>
  <c r="N28" i="14"/>
  <c r="K28" i="14"/>
  <c r="H28" i="14"/>
  <c r="N27" i="14"/>
  <c r="K27" i="14"/>
  <c r="H27" i="14"/>
  <c r="N26" i="14"/>
  <c r="H26" i="14" s="1"/>
  <c r="K26" i="14"/>
  <c r="N25" i="14"/>
  <c r="K25" i="14"/>
  <c r="H25" i="14" s="1"/>
  <c r="N24" i="14"/>
  <c r="K24" i="14"/>
  <c r="K38" i="14" s="1"/>
  <c r="H24" i="14"/>
  <c r="AC22" i="14"/>
  <c r="AB22" i="14"/>
  <c r="W22" i="14"/>
  <c r="W40" i="14" s="1"/>
  <c r="T21" i="14"/>
  <c r="T43" i="14" s="1"/>
  <c r="Q21" i="14"/>
  <c r="K21" i="14" s="1"/>
  <c r="H21" i="14" s="1"/>
  <c r="N21" i="14"/>
  <c r="Z20" i="14"/>
  <c r="Z22" i="14" s="1"/>
  <c r="N20" i="14"/>
  <c r="H20" i="14" s="1"/>
  <c r="K20" i="14"/>
  <c r="N19" i="14"/>
  <c r="K19" i="14"/>
  <c r="H19" i="14" s="1"/>
  <c r="N18" i="14"/>
  <c r="K18" i="14"/>
  <c r="H18" i="14"/>
  <c r="T17" i="14"/>
  <c r="T22" i="14" s="1"/>
  <c r="T40" i="14" s="1"/>
  <c r="Q17" i="14"/>
  <c r="Q22" i="14" s="1"/>
  <c r="N17" i="14"/>
  <c r="N22" i="14" s="1"/>
  <c r="K17" i="14"/>
  <c r="H17" i="14" s="1"/>
  <c r="H22" i="14" s="1"/>
  <c r="AC15" i="14"/>
  <c r="AB15" i="14"/>
  <c r="Z15" i="14"/>
  <c r="Y15" i="14"/>
  <c r="Y40" i="14" s="1"/>
  <c r="W15" i="14"/>
  <c r="V15" i="14"/>
  <c r="V40" i="14" s="1"/>
  <c r="T15" i="14"/>
  <c r="P15" i="14"/>
  <c r="P40" i="14" s="1"/>
  <c r="N14" i="14"/>
  <c r="M14" i="14"/>
  <c r="K14" i="14"/>
  <c r="H14" i="14" s="1"/>
  <c r="J14" i="14"/>
  <c r="G14" i="14"/>
  <c r="N13" i="14"/>
  <c r="M13" i="14"/>
  <c r="K13" i="14"/>
  <c r="J13" i="14"/>
  <c r="G13" i="14" s="1"/>
  <c r="H13" i="14"/>
  <c r="N12" i="14"/>
  <c r="M12" i="14"/>
  <c r="K12" i="14"/>
  <c r="H12" i="14" s="1"/>
  <c r="J12" i="14"/>
  <c r="G12" i="14"/>
  <c r="N11" i="14"/>
  <c r="M11" i="14"/>
  <c r="K11" i="14"/>
  <c r="J11" i="14"/>
  <c r="G11" i="14" s="1"/>
  <c r="H11" i="14"/>
  <c r="T10" i="14"/>
  <c r="T42" i="14" s="1"/>
  <c r="T44" i="14" s="1"/>
  <c r="T46" i="14" s="1"/>
  <c r="S10" i="14"/>
  <c r="S15" i="14" s="1"/>
  <c r="S40" i="14" s="1"/>
  <c r="Q10" i="14"/>
  <c r="P10" i="14"/>
  <c r="N10" i="14"/>
  <c r="M10" i="14"/>
  <c r="K10" i="14"/>
  <c r="H10" i="14" s="1"/>
  <c r="J10" i="14"/>
  <c r="G10" i="14"/>
  <c r="N9" i="14"/>
  <c r="H9" i="14" s="1"/>
  <c r="K9" i="14"/>
  <c r="Q8" i="14"/>
  <c r="N8" i="14"/>
  <c r="M8" i="14"/>
  <c r="M15" i="14" s="1"/>
  <c r="M40" i="14" s="1"/>
  <c r="J8" i="14"/>
  <c r="G8" i="14" s="1"/>
  <c r="G15" i="14" s="1"/>
  <c r="G40" i="14" s="1"/>
  <c r="N7" i="14"/>
  <c r="K7" i="14"/>
  <c r="H7" i="14"/>
  <c r="N6" i="14"/>
  <c r="K6" i="14"/>
  <c r="H6" i="14"/>
  <c r="W3" i="14"/>
  <c r="W1" i="14"/>
  <c r="G59" i="9"/>
  <c r="G58" i="9"/>
  <c r="G57" i="9"/>
  <c r="G56" i="9"/>
  <c r="J46" i="9"/>
  <c r="I46" i="9"/>
  <c r="H46" i="9"/>
  <c r="G46" i="9"/>
  <c r="M46" i="9" s="1"/>
  <c r="M44" i="9"/>
  <c r="K44" i="9"/>
  <c r="N44" i="9" s="1"/>
  <c r="J44" i="9"/>
  <c r="I44" i="9"/>
  <c r="L44" i="9" s="1"/>
  <c r="H44" i="9"/>
  <c r="L43" i="9"/>
  <c r="J43" i="9"/>
  <c r="M43" i="9" s="1"/>
  <c r="I43" i="9"/>
  <c r="H43" i="9"/>
  <c r="K43" i="9" s="1"/>
  <c r="N43" i="9" s="1"/>
  <c r="M42" i="9"/>
  <c r="K42" i="9"/>
  <c r="J42" i="9"/>
  <c r="I42" i="9"/>
  <c r="L42" i="9" s="1"/>
  <c r="H42" i="9"/>
  <c r="L41" i="9"/>
  <c r="J41" i="9"/>
  <c r="M41" i="9" s="1"/>
  <c r="I41" i="9"/>
  <c r="H41" i="9"/>
  <c r="K41" i="9" s="1"/>
  <c r="N41" i="9" s="1"/>
  <c r="M40" i="9"/>
  <c r="K40" i="9"/>
  <c r="J40" i="9"/>
  <c r="I40" i="9"/>
  <c r="L40" i="9" s="1"/>
  <c r="H40" i="9"/>
  <c r="L39" i="9"/>
  <c r="J39" i="9"/>
  <c r="M39" i="9" s="1"/>
  <c r="I39" i="9"/>
  <c r="H39" i="9"/>
  <c r="K39" i="9" s="1"/>
  <c r="M37" i="9"/>
  <c r="K37" i="9"/>
  <c r="N37" i="9" s="1"/>
  <c r="J37" i="9"/>
  <c r="I37" i="9"/>
  <c r="L37" i="9" s="1"/>
  <c r="H37" i="9"/>
  <c r="M36" i="9"/>
  <c r="K36" i="9"/>
  <c r="N36" i="9" s="1"/>
  <c r="O36" i="9" s="1"/>
  <c r="J36" i="9"/>
  <c r="I36" i="9"/>
  <c r="L36" i="9" s="1"/>
  <c r="H36" i="9"/>
  <c r="L35" i="9"/>
  <c r="J35" i="9"/>
  <c r="M35" i="9" s="1"/>
  <c r="H35" i="9"/>
  <c r="K35" i="9" s="1"/>
  <c r="N35" i="9" s="1"/>
  <c r="L33" i="9"/>
  <c r="J33" i="9"/>
  <c r="M33" i="9" s="1"/>
  <c r="I33" i="9"/>
  <c r="H33" i="9"/>
  <c r="K33" i="9" s="1"/>
  <c r="M32" i="9"/>
  <c r="K32" i="9"/>
  <c r="N32" i="9" s="1"/>
  <c r="J32" i="9"/>
  <c r="I32" i="9"/>
  <c r="L32" i="9" s="1"/>
  <c r="H32" i="9"/>
  <c r="L31" i="9"/>
  <c r="J31" i="9"/>
  <c r="M31" i="9" s="1"/>
  <c r="I31" i="9"/>
  <c r="H31" i="9"/>
  <c r="K31" i="9" s="1"/>
  <c r="N31" i="9" s="1"/>
  <c r="M29" i="9"/>
  <c r="K29" i="9"/>
  <c r="J29" i="9"/>
  <c r="I29" i="9"/>
  <c r="L29" i="9" s="1"/>
  <c r="H29" i="9"/>
  <c r="L28" i="9"/>
  <c r="J28" i="9"/>
  <c r="M28" i="9" s="1"/>
  <c r="I28" i="9"/>
  <c r="H28" i="9"/>
  <c r="K28" i="9" s="1"/>
  <c r="N28" i="9" s="1"/>
  <c r="M27" i="9"/>
  <c r="K27" i="9"/>
  <c r="J27" i="9"/>
  <c r="I27" i="9"/>
  <c r="L27" i="9" s="1"/>
  <c r="H27" i="9"/>
  <c r="J25" i="9"/>
  <c r="M25" i="9" s="1"/>
  <c r="H25" i="9"/>
  <c r="K25" i="9" s="1"/>
  <c r="M24" i="9"/>
  <c r="K24" i="9"/>
  <c r="J24" i="9"/>
  <c r="H24" i="9"/>
  <c r="J23" i="9"/>
  <c r="M23" i="9" s="1"/>
  <c r="H23" i="9"/>
  <c r="K23" i="9" s="1"/>
  <c r="M22" i="9"/>
  <c r="K22" i="9"/>
  <c r="N22" i="9" s="1"/>
  <c r="J22" i="9"/>
  <c r="I22" i="9"/>
  <c r="L22" i="9" s="1"/>
  <c r="H22" i="9"/>
  <c r="U21" i="9"/>
  <c r="R21" i="9"/>
  <c r="L21" i="9"/>
  <c r="J21" i="9"/>
  <c r="M21" i="9" s="1"/>
  <c r="I21" i="9"/>
  <c r="H21" i="9"/>
  <c r="K21" i="9" s="1"/>
  <c r="N21" i="9" s="1"/>
  <c r="U20" i="9"/>
  <c r="L20" i="9"/>
  <c r="J20" i="9"/>
  <c r="M20" i="9" s="1"/>
  <c r="H20" i="9"/>
  <c r="K20" i="9" s="1"/>
  <c r="N20" i="9" s="1"/>
  <c r="K18" i="9"/>
  <c r="J18" i="9"/>
  <c r="I18" i="9"/>
  <c r="I25" i="9" s="1"/>
  <c r="H18" i="9"/>
  <c r="U17" i="9"/>
  <c r="R17" i="9"/>
  <c r="K17" i="9"/>
  <c r="N17" i="9" s="1"/>
  <c r="J17" i="9"/>
  <c r="I17" i="9"/>
  <c r="L17" i="9" s="1"/>
  <c r="H17" i="9"/>
  <c r="L16" i="9"/>
  <c r="J16" i="9"/>
  <c r="M16" i="9" s="1"/>
  <c r="I16" i="9"/>
  <c r="H16" i="9"/>
  <c r="K16" i="9" s="1"/>
  <c r="M15" i="9"/>
  <c r="K15" i="9"/>
  <c r="N15" i="9" s="1"/>
  <c r="J15" i="9"/>
  <c r="I15" i="9"/>
  <c r="L15" i="9" s="1"/>
  <c r="H15" i="9"/>
  <c r="K13" i="9"/>
  <c r="N13" i="9" s="1"/>
  <c r="J13" i="9"/>
  <c r="I13" i="9"/>
  <c r="L13" i="9" s="1"/>
  <c r="H13" i="9"/>
  <c r="K12" i="9"/>
  <c r="N12" i="9" s="1"/>
  <c r="J12" i="9"/>
  <c r="I12" i="9"/>
  <c r="L12" i="9" s="1"/>
  <c r="H12" i="9"/>
  <c r="L11" i="9"/>
  <c r="J11" i="9"/>
  <c r="M11" i="9" s="1"/>
  <c r="H11" i="9"/>
  <c r="K11" i="9" s="1"/>
  <c r="N11" i="9" s="1"/>
  <c r="U10" i="9"/>
  <c r="T10" i="9"/>
  <c r="R10" i="9"/>
  <c r="Q10" i="9"/>
  <c r="L10" i="9"/>
  <c r="J10" i="9"/>
  <c r="M10" i="9" s="1"/>
  <c r="I10" i="9"/>
  <c r="H10" i="9"/>
  <c r="K10" i="9" s="1"/>
  <c r="M9" i="9"/>
  <c r="L9" i="9"/>
  <c r="K9" i="9"/>
  <c r="R8" i="9"/>
  <c r="J8" i="9"/>
  <c r="I8" i="9"/>
  <c r="F3" i="9"/>
  <c r="Q61" i="14"/>
  <c r="T59" i="14"/>
  <c r="P61" i="14"/>
  <c r="S59" i="14"/>
  <c r="T61" i="14"/>
  <c r="Q60" i="14"/>
  <c r="Q59" i="14"/>
  <c r="S61" i="14"/>
  <c r="P60" i="14"/>
  <c r="P59" i="14"/>
  <c r="Q62" i="14" l="1"/>
  <c r="T62" i="14"/>
  <c r="Z46" i="14"/>
  <c r="T47" i="14"/>
  <c r="Q40" i="14"/>
  <c r="K43" i="14"/>
  <c r="N42" i="14"/>
  <c r="N15" i="14"/>
  <c r="T48" i="14"/>
  <c r="H38" i="14"/>
  <c r="Q15" i="14"/>
  <c r="K22" i="14"/>
  <c r="K40" i="14" s="1"/>
  <c r="N38" i="14"/>
  <c r="N43" i="14"/>
  <c r="J15" i="14"/>
  <c r="J40" i="14" s="1"/>
  <c r="Q42" i="14"/>
  <c r="Q44" i="14" s="1"/>
  <c r="Q46" i="14" s="1"/>
  <c r="Q48" i="14" s="1"/>
  <c r="Q43" i="14"/>
  <c r="K8" i="14"/>
  <c r="K15" i="14"/>
  <c r="N10" i="9"/>
  <c r="N16" i="9"/>
  <c r="N27" i="9"/>
  <c r="N33" i="9"/>
  <c r="N40" i="9"/>
  <c r="N23" i="9"/>
  <c r="N24" i="9"/>
  <c r="N29" i="9"/>
  <c r="N39" i="9"/>
  <c r="N42" i="9"/>
  <c r="M48" i="9"/>
  <c r="M50" i="9" s="1"/>
  <c r="I23" i="9"/>
  <c r="L23" i="9" s="1"/>
  <c r="I24" i="9"/>
  <c r="L24" i="9" s="1"/>
  <c r="L25" i="9"/>
  <c r="N25" i="9" s="1"/>
  <c r="K46" i="9"/>
  <c r="G48" i="9"/>
  <c r="G50" i="9" s="1"/>
  <c r="G73" i="9" s="1"/>
  <c r="N9" i="9"/>
  <c r="L18" i="9"/>
  <c r="N18" i="9" s="1"/>
  <c r="L46" i="9"/>
  <c r="K42" i="14" l="1"/>
  <c r="K44" i="14" s="1"/>
  <c r="K46" i="14" s="1"/>
  <c r="H8" i="14"/>
  <c r="H15" i="14" s="1"/>
  <c r="H40" i="14" s="1"/>
  <c r="N44" i="14"/>
  <c r="N40" i="14"/>
  <c r="N46" i="9"/>
  <c r="K48" i="9"/>
  <c r="K50" i="9" s="1"/>
  <c r="N48" i="9"/>
  <c r="L48" i="9"/>
  <c r="L50" i="9" s="1"/>
  <c r="N50" i="9" l="1"/>
  <c r="Q4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05A0AF4D-A60E-4BA3-8B30-FE9FA8373F21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0C6D703E-D287-4F04-950B-EC386969A07C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10091AA-53B2-42A9-B07B-D9355E40500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771B54CE-FF0C-4675-8D9C-55CFFABAB3D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9DBCAB0B-A419-4EFB-A92B-47A475E52E8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C8DB7804-1A4E-486A-ACA7-209834ED525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Z46" authorId="3" shapeId="0" xr:uid="{16F39088-4FB9-415E-892A-2AE7FF4573D7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  <author>sarah.volk</author>
  </authors>
  <commentList>
    <comment ref="G9" authorId="0" shapeId="0" xr:uid="{45268549-EF48-410F-9534-17F585888E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I9" authorId="0" shapeId="0" xr:uid="{6AF5870D-C29C-472A-97C6-86A64099BBC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G10" authorId="0" shapeId="0" xr:uid="{89956575-B78A-4568-87E7-95780E52D38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G11" authorId="0" shapeId="0" xr:uid="{1FB6FDC4-88F0-4774-BC30-D5536689BE3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1" authorId="0" shapeId="0" xr:uid="{B3BDCB27-E2D4-486F-B672-1751947C4E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2" authorId="0" shapeId="0" xr:uid="{59525184-C124-4175-AF86-4668194E52F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3" authorId="0" shapeId="0" xr:uid="{CB5477C1-133C-4708-863E-AB252DE04A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5" authorId="0" shapeId="0" xr:uid="{34E35743-DCC6-495D-A0F6-E4481377A1E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6" authorId="0" shapeId="0" xr:uid="{49BA7F72-7776-4069-BEAA-300DB8CBFDE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7" authorId="0" shapeId="0" xr:uid="{A01B23ED-CC74-426D-8002-BB0957A6BA9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71798D9-A274-4807-A377-C58E3509841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20" authorId="0" shapeId="0" xr:uid="{6D3A9DE0-653E-434A-944B-3721FA65F89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20" authorId="0" shapeId="0" xr:uid="{11A3D277-99C9-4736-86CB-D697BAB362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21" authorId="0" shapeId="0" xr:uid="{E1EED525-AEF4-4D86-BA9A-AE26D1B4265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3" authorId="0" shapeId="0" xr:uid="{22828CB0-FA54-47E7-A070-923CA299EA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4" authorId="0" shapeId="0" xr:uid="{9A6D5DAD-716B-4CFE-8FC6-F86F34C707A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FD67D0A8-336D-4805-9CC6-E7393A8A384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7" authorId="0" shapeId="0" xr:uid="{6345E396-5D90-4320-A48E-E4516E987E5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8" authorId="0" shapeId="0" xr:uid="{8A3AD220-7F24-46B1-8738-D8CFCB53129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1" authorId="0" shapeId="0" xr:uid="{9127B326-8DB5-42ED-A278-D4A4A16D166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2" authorId="0" shapeId="0" xr:uid="{9E64F390-7B3B-44E5-987C-66FA097701C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3B939C30-7603-413D-9F58-06FCB594C43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5" authorId="0" shapeId="0" xr:uid="{757FB336-248C-4ED7-AB19-CBA33FA10C1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5" authorId="0" shapeId="0" xr:uid="{E0EBE191-14C9-4D14-837F-0939FA3B7F6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6" authorId="0" shapeId="0" xr:uid="{AC393971-5293-40EC-986C-AB9AA56DFB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07FDE830-CD62-4CA9-84CB-8A568617A21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9" authorId="0" shapeId="0" xr:uid="{E1AB759E-3786-44D4-8EEB-31ED7C0188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40" authorId="0" shapeId="0" xr:uid="{85AC71FE-8D02-4CB0-9A14-1C302F40BDB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19338582-94D5-45AF-BF9E-4FEAA66B52F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2" authorId="0" shapeId="0" xr:uid="{CAC6D612-1E78-4FA2-8F9F-2D5CA93B45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3" authorId="0" shapeId="0" xr:uid="{0B277F46-9780-4D07-91F9-A231EE32FF9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4" authorId="0" shapeId="0" xr:uid="{DE0F1417-DBF6-4C45-8720-79FD202494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8" authorId="1" shapeId="0" xr:uid="{9740DFBE-2E9E-4C91-BB36-444F322EC609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50" authorId="2" shapeId="0" xr:uid="{1B8D8097-245C-401D-8C06-600087D5C9D3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<sst xmlns="http://schemas.openxmlformats.org/spreadsheetml/2006/main" count="468" uniqueCount="207">
  <si>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</si>
  <si>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</si>
  <si>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</si>
  <si>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</si>
  <si>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</si>
  <si>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</si>
  <si>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</si>
  <si>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</si>
  <si>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</si>
  <si>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</si>
  <si>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</si>
  <si>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</si>
  <si>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</si>
  <si>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</si>
  <si>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</si>
  <si>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</si>
  <si>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</si>
  <si>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</si>
  <si>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</si>
  <si>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</si>
  <si>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Regular cycle</t>
  </si>
  <si>
    <t>47WA.6011.28040</t>
  </si>
  <si>
    <t>GC RECOGNIZED RS 15020</t>
  </si>
  <si>
    <t>Firm Res - air con</t>
  </si>
  <si>
    <t>541</t>
  </si>
  <si>
    <t>GC RECOGNIZED RS 15410</t>
  </si>
  <si>
    <t>Firm Residentials</t>
  </si>
  <si>
    <t>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</si>
  <si>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</si>
  <si>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</si>
  <si>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</si>
  <si>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</si>
  <si>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</si>
  <si>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</si>
  <si>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</si>
  <si>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</si>
  <si>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GC RECOGNIZED RS 25040</t>
  </si>
  <si>
    <t>47WA.4009.4810</t>
  </si>
  <si>
    <t>Firm Com - Lg Vol</t>
  </si>
  <si>
    <t>511</t>
  </si>
  <si>
    <t>GC RECOGNIZED RS 25110</t>
  </si>
  <si>
    <t>Firm Com - Compressed NG</t>
  </si>
  <si>
    <t>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</si>
  <si>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</si>
  <si>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</si>
  <si>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</si>
  <si>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</si>
  <si>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</si>
  <si>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</si>
  <si>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</si>
  <si>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</si>
  <si>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</si>
  <si>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</si>
  <si>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</si>
  <si>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</si>
  <si>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</si>
  <si>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</si>
  <si>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47WA.4002.4811</t>
  </si>
  <si>
    <t>Interr Small Commercial</t>
  </si>
  <si>
    <t>4</t>
  </si>
  <si>
    <t>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</si>
  <si>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</si>
  <si>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</si>
  <si>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</si>
  <si>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</si>
  <si>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</si>
  <si>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</si>
  <si>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</si>
  <si>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</si>
  <si>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</si>
  <si>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</si>
  <si>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</si>
  <si>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</si>
  <si>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</si>
  <si>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</si>
  <si>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</si>
  <si>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</si>
  <si>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</si>
  <si>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</si>
  <si>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</si>
  <si>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</si>
  <si>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</si>
  <si>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</si>
  <si>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</si>
  <si>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</si>
  <si>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</si>
  <si>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</si>
  <si>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</si>
  <si>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</si>
  <si>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</si>
  <si>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</si>
  <si>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</si>
  <si>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</si>
  <si>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</si>
  <si>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</si>
  <si>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</si>
  <si>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 xml:space="preserve"> Washington Deferrals</t>
  </si>
  <si>
    <t xml:space="preserve"> 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</si>
  <si>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</si>
  <si>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</si>
  <si>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</si>
  <si>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</si>
  <si>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</si>
  <si>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</si>
  <si>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</si>
  <si>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</si>
  <si>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</si>
  <si>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</si>
  <si>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</si>
  <si>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</si>
  <si>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</si>
  <si>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</si>
  <si>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</si>
  <si>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</si>
  <si>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</si>
  <si>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 xml:space="preserve"> Assignment of Core Gas Cost To</t>
  </si>
  <si>
    <t xml:space="preserve"> Class &amp; Rate Schedule</t>
  </si>
  <si>
    <t xml:space="preserve"> Core Gas Cost</t>
  </si>
  <si>
    <t xml:space="preserve"> Revenue &amp; Cost by Rate Schedule - WA</t>
  </si>
  <si>
    <t>Sep 1 2017</t>
  </si>
  <si>
    <t>CNGWA 502</t>
  </si>
  <si>
    <t>CNGWA 541</t>
  </si>
  <si>
    <t>CNGWA 503</t>
  </si>
  <si>
    <t>CNGWA 504</t>
  </si>
  <si>
    <t>CNGWA 511</t>
  </si>
  <si>
    <t>CNGWA 512</t>
  </si>
  <si>
    <r>
      <t>CNGWA</t>
    </r>
    <r>
      <rPr>
        <b/>
        <sz val="10"/>
        <rFont val="Arial"/>
        <family val="2"/>
      </rPr>
      <t xml:space="preserve"> 04LV</t>
    </r>
  </si>
  <si>
    <t>CNGWA 04LV</t>
  </si>
  <si>
    <t>CNGWA 505</t>
  </si>
  <si>
    <t>CNGWA 05LV</t>
  </si>
  <si>
    <t>CNGWA 570</t>
  </si>
  <si>
    <t>CNGWA 577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</si>
  <si>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</si>
  <si>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</si>
  <si>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</si>
  <si>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</si>
  <si>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</si>
  <si>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</si>
  <si>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</si>
  <si>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</si>
  <si>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</si>
  <si>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</si>
  <si>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</si>
  <si>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</si>
  <si>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</si>
  <si>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</si>
  <si>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</si>
  <si>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</si>
  <si>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</si>
  <si>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</si>
  <si>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</si>
  <si>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</si>
  <si>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</si>
  <si>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</si>
  <si>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</si>
  <si>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</si>
  <si>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</si>
  <si>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</si>
  <si>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</si>
  <si>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</si>
  <si>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</si>
  <si>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</si>
  <si>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</si>
  <si>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</si>
  <si>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</si>
  <si>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</si>
  <si>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</si>
  <si>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</si>
  <si>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</si>
  <si>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</si>
  <si>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</si>
  <si>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</si>
  <si>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</si>
  <si>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</si>
  <si>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</si>
  <si>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</si>
  <si>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</si>
  <si>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</si>
  <si>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</si>
  <si>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</si>
  <si>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</si>
  <si>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</si>
  <si>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</si>
  <si>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</si>
  <si>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</si>
  <si>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</si>
  <si>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</si>
  <si>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</si>
  <si>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</si>
  <si>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</si>
  <si>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</si>
  <si>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</si>
  <si>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</si>
  <si>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</si>
  <si>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</si>
  <si>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</si>
  <si>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8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</si>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</sst>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  <numFmt numFmtId="171" formatCode="_(* #,##0.0000_);_(* \(#,##0.0000\);_(* &quot;-&quot;??_);_(@_)"/>
  </numFmts>
  <fonts count="50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8">
    <xf numFmtId="0" fontId="0" fillId="0" borderId="0" xfId="0"/>
    <xf numFmtId="49" fontId="1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2" fillId="2" borderId="0" xfId="0" applyFont="1" applyFill="1" applyBorder="1"/>
    <xf numFmtId="49" fontId="2" fillId="2" borderId="0" xfId="1" applyNumberFormat="1" applyFont="1" applyFill="1" applyBorder="1"/>
    <xf numFmtId="49" fontId="2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9" fontId="2" fillId="0" borderId="0" xfId="1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13" fillId="0" borderId="0" xfId="1" applyNumberFormat="1" applyFont="1" applyFill="1"/>
    <xf numFmtId="44" fontId="2" fillId="0" borderId="0" xfId="2" applyNumberFormat="1"/>
    <xf numFmtId="44" fontId="2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4" borderId="0" xfId="1" applyNumberFormat="1" applyFont="1" applyFill="1"/>
    <xf numFmtId="44" fontId="2" fillId="0" borderId="0" xfId="2" applyNumberFormat="1" applyFill="1"/>
    <xf numFmtId="44" fontId="2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4" borderId="0" xfId="1" applyNumberFormat="1" applyFont="1" applyFill="1"/>
    <xf numFmtId="165" fontId="2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/>
    <xf numFmtId="164" fontId="1" fillId="0" borderId="0" xfId="1" applyNumberFormat="1" applyFont="1"/>
    <xf numFmtId="44" fontId="8" fillId="0" borderId="0" xfId="2" applyNumberFormat="1" applyFont="1"/>
    <xf numFmtId="164" fontId="1" fillId="4" borderId="0" xfId="1" applyNumberFormat="1" applyFont="1" applyFill="1"/>
    <xf numFmtId="167" fontId="2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2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2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2" fillId="0" borderId="0" xfId="2" applyNumberFormat="1" applyFont="1" applyAlignment="1">
      <alignment horizontal="left"/>
    </xf>
    <xf numFmtId="43" fontId="2" fillId="0" borderId="0" xfId="1" applyFont="1" applyAlignment="1">
      <alignment horizontal="left"/>
    </xf>
    <xf numFmtId="168" fontId="2" fillId="0" borderId="0" xfId="2" applyNumberFormat="1"/>
    <xf numFmtId="44" fontId="18" fillId="0" borderId="0" xfId="2" applyFont="1" applyFill="1"/>
    <xf numFmtId="44" fontId="2" fillId="0" borderId="0" xfId="2" applyFont="1"/>
    <xf numFmtId="44" fontId="2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2" fillId="0" borderId="0" xfId="1"/>
    <xf numFmtId="164" fontId="2" fillId="0" borderId="0" xfId="1" applyNumberFormat="1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5" fontId="2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165" fontId="14" fillId="6" borderId="0" xfId="2" applyNumberFormat="1" applyFont="1" applyFill="1"/>
    <xf numFmtId="165" fontId="14" fillId="7" borderId="0" xfId="2" applyNumberFormat="1" applyFont="1" applyFill="1"/>
    <xf numFmtId="164" fontId="17" fillId="0" borderId="0" xfId="1" applyNumberFormat="1" applyFont="1" applyFill="1"/>
    <xf numFmtId="165" fontId="10" fillId="7" borderId="0" xfId="2" applyNumberFormat="1" applyFont="1" applyFill="1"/>
    <xf numFmtId="164" fontId="20" fillId="4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0" applyNumberFormat="1" applyFont="1"/>
    <xf numFmtId="44" fontId="8" fillId="0" borderId="0" xfId="2" applyFont="1"/>
    <xf numFmtId="0" fontId="3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2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169" fontId="4" fillId="0" borderId="0" xfId="0" applyNumberFormat="1" applyFont="1" applyAlignment="1">
      <alignment horizontal="center" vertical="center" wrapText="1"/>
    </xf>
    <xf numFmtId="164" fontId="3" fillId="0" borderId="0" xfId="1" applyNumberFormat="1" applyFont="1"/>
    <xf numFmtId="44" fontId="8" fillId="11" borderId="0" xfId="0" applyNumberFormat="1" applyFont="1" applyFill="1" applyBorder="1" applyAlignment="1">
      <alignment horizontal="center"/>
    </xf>
    <xf numFmtId="44" fontId="8" fillId="12" borderId="0" xfId="0" applyNumberFormat="1" applyFont="1" applyFill="1" applyBorder="1" applyAlignment="1">
      <alignment horizontal="center"/>
    </xf>
    <xf numFmtId="0" fontId="2" fillId="0" borderId="0" xfId="0" applyFont="1" applyAlignment="1"/>
    <xf numFmtId="49" fontId="3" fillId="0" borderId="0" xfId="1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Fill="1" applyBorder="1" applyAlignment="1"/>
    <xf numFmtId="165" fontId="2" fillId="0" borderId="0" xfId="2" applyNumberFormat="1" applyFont="1" applyFill="1" applyBorder="1" applyAlignment="1">
      <alignment horizontal="center"/>
    </xf>
    <xf numFmtId="39" fontId="6" fillId="0" borderId="0" xfId="0" applyNumberFormat="1" applyFont="1"/>
    <xf numFmtId="164" fontId="2" fillId="2" borderId="2" xfId="1" applyNumberFormat="1" applyFont="1" applyFill="1" applyBorder="1" applyAlignment="1">
      <alignment horizontal="center"/>
    </xf>
    <xf numFmtId="44" fontId="2" fillId="0" borderId="11" xfId="2" applyNumberFormat="1" applyBorder="1"/>
    <xf numFmtId="44" fontId="2" fillId="9" borderId="0" xfId="2" applyNumberFormat="1" applyFill="1"/>
    <xf numFmtId="44" fontId="2" fillId="0" borderId="12" xfId="2" applyNumberFormat="1" applyBorder="1"/>
    <xf numFmtId="44" fontId="6" fillId="0" borderId="0" xfId="0" applyNumberFormat="1" applyFont="1"/>
    <xf numFmtId="44" fontId="8" fillId="0" borderId="0" xfId="0" applyNumberFormat="1" applyFont="1" applyFill="1"/>
    <xf numFmtId="44" fontId="30" fillId="9" borderId="0" xfId="2" applyNumberFormat="1" applyFont="1" applyFill="1"/>
    <xf numFmtId="44" fontId="30" fillId="0" borderId="0" xfId="2" applyNumberFormat="1" applyFont="1" applyFill="1"/>
    <xf numFmtId="44" fontId="2" fillId="3" borderId="0" xfId="2" applyNumberFormat="1" applyFill="1"/>
    <xf numFmtId="44" fontId="8" fillId="9" borderId="0" xfId="2" applyNumberFormat="1" applyFont="1" applyFill="1"/>
    <xf numFmtId="44" fontId="2" fillId="0" borderId="10" xfId="2" applyFont="1" applyBorder="1"/>
    <xf numFmtId="164" fontId="2" fillId="0" borderId="3" xfId="1" applyNumberFormat="1" applyFont="1" applyBorder="1"/>
    <xf numFmtId="44" fontId="2" fillId="0" borderId="3" xfId="2" applyFont="1" applyBorder="1"/>
    <xf numFmtId="43" fontId="2" fillId="0" borderId="0" xfId="1" applyNumberFormat="1" applyFont="1"/>
    <xf numFmtId="0" fontId="8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/>
    <xf numFmtId="164" fontId="31" fillId="0" borderId="0" xfId="1" applyNumberFormat="1" applyFont="1" applyFill="1"/>
    <xf numFmtId="49" fontId="32" fillId="0" borderId="0" xfId="1" applyNumberFormat="1" applyFont="1" applyAlignment="1"/>
    <xf numFmtId="49" fontId="31" fillId="0" borderId="0" xfId="1" applyNumberFormat="1" applyFont="1"/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4" borderId="0" xfId="1" applyNumberFormat="1" applyFont="1" applyFill="1"/>
    <xf numFmtId="43" fontId="38" fillId="0" borderId="0" xfId="1" applyNumberFormat="1" applyFont="1"/>
    <xf numFmtId="43" fontId="31" fillId="0" borderId="0" xfId="1" applyFont="1" applyFill="1"/>
    <xf numFmtId="169" fontId="22" fillId="0" borderId="0" xfId="1" applyNumberFormat="1" applyFont="1" applyBorder="1" applyAlignment="1">
      <alignment horizontal="center"/>
    </xf>
    <xf numFmtId="169" fontId="37" fillId="0" borderId="0" xfId="1" applyNumberFormat="1" applyFont="1" applyBorder="1" applyAlignment="1">
      <alignment horizontal="left"/>
    </xf>
    <xf numFmtId="164" fontId="32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1" fillId="0" borderId="0" xfId="1" applyNumberFormat="1" applyFont="1" applyBorder="1"/>
    <xf numFmtId="43" fontId="31" fillId="0" borderId="0" xfId="1" applyNumberFormat="1" applyFont="1" applyBorder="1"/>
    <xf numFmtId="164" fontId="2" fillId="14" borderId="0" xfId="1" applyNumberFormat="1" applyFont="1" applyFill="1"/>
    <xf numFmtId="169" fontId="22" fillId="0" borderId="0" xfId="1" applyNumberFormat="1" applyFont="1" applyBorder="1" applyAlignment="1"/>
    <xf numFmtId="164" fontId="36" fillId="0" borderId="0" xfId="1" applyNumberFormat="1" applyFont="1" applyAlignment="1">
      <alignment horizontal="center"/>
    </xf>
    <xf numFmtId="164" fontId="36" fillId="0" borderId="0" xfId="1" applyNumberFormat="1" applyFont="1" applyAlignment="1">
      <alignment horizontal="center"/>
    </xf>
    <xf numFmtId="49" fontId="1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14" borderId="0" xfId="1" applyNumberFormat="1" applyFont="1" applyFill="1"/>
    <xf numFmtId="164" fontId="34" fillId="0" borderId="0" xfId="1" applyNumberFormat="1" applyFont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2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9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2" fillId="15" borderId="0" xfId="1" applyNumberFormat="1" applyFont="1" applyFill="1" applyAlignment="1">
      <alignment horizontal="right"/>
    </xf>
    <xf numFmtId="0" fontId="2" fillId="15" borderId="0" xfId="1" applyNumberFormat="1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2" fillId="0" borderId="0" xfId="1" applyNumberFormat="1" applyFont="1" applyAlignment="1">
      <alignment horizontal="left" indent="3"/>
    </xf>
    <xf numFmtId="44" fontId="2" fillId="16" borderId="0" xfId="2" applyFont="1" applyFill="1"/>
    <xf numFmtId="164" fontId="2" fillId="0" borderId="0" xfId="1" applyNumberFormat="1" applyFont="1" applyFill="1" applyAlignment="1">
      <alignment horizontal="left"/>
    </xf>
    <xf numFmtId="44" fontId="22" fillId="16" borderId="0" xfId="2" applyFont="1" applyFill="1"/>
    <xf numFmtId="164" fontId="23" fillId="0" borderId="0" xfId="1" applyNumberFormat="1" applyFont="1" applyAlignment="1">
      <alignment horizontal="left"/>
    </xf>
    <xf numFmtId="0" fontId="1" fillId="16" borderId="0" xfId="2" applyNumberFormat="1" applyFont="1" applyFill="1" applyAlignment="1">
      <alignment horizontal="center"/>
    </xf>
    <xf numFmtId="44" fontId="6" fillId="16" borderId="0" xfId="2" applyFont="1" applyFill="1"/>
    <xf numFmtId="164" fontId="40" fillId="0" borderId="0" xfId="1" applyNumberFormat="1" applyFont="1" applyAlignment="1">
      <alignment horizontal="left"/>
    </xf>
    <xf numFmtId="164" fontId="34" fillId="0" borderId="0" xfId="1" applyNumberFormat="1" applyFont="1"/>
    <xf numFmtId="164" fontId="34" fillId="0" borderId="0" xfId="1" applyNumberFormat="1" applyFont="1" applyAlignment="1">
      <alignment horizontal="left"/>
    </xf>
    <xf numFmtId="164" fontId="23" fillId="0" borderId="0" xfId="1" applyNumberFormat="1" applyFont="1"/>
    <xf numFmtId="164" fontId="2" fillId="0" borderId="0" xfId="1" applyNumberFormat="1" applyFont="1" applyFill="1"/>
    <xf numFmtId="44" fontId="2" fillId="17" borderId="0" xfId="2" applyNumberFormat="1" applyFont="1" applyFill="1"/>
    <xf numFmtId="44" fontId="2" fillId="17" borderId="0" xfId="2" applyFont="1" applyFill="1"/>
    <xf numFmtId="164" fontId="6" fillId="0" borderId="0" xfId="1" applyNumberFormat="1" applyFont="1"/>
    <xf numFmtId="44" fontId="6" fillId="17" borderId="0" xfId="2" applyFont="1" applyFill="1"/>
    <xf numFmtId="164" fontId="41" fillId="0" borderId="0" xfId="1" applyNumberFormat="1" applyFont="1" applyAlignment="1">
      <alignment horizontal="left"/>
    </xf>
    <xf numFmtId="164" fontId="41" fillId="0" borderId="0" xfId="1" applyNumberFormat="1" applyFont="1" applyAlignment="1">
      <alignment horizontal="left" indent="1"/>
    </xf>
    <xf numFmtId="44" fontId="35" fillId="18" borderId="0" xfId="2" applyFont="1" applyFill="1"/>
    <xf numFmtId="0" fontId="1" fillId="17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left" indent="3"/>
    </xf>
    <xf numFmtId="164" fontId="2" fillId="0" borderId="0" xfId="1" applyNumberFormat="1" applyFont="1" applyAlignment="1">
      <alignment horizontal="left" indent="4"/>
    </xf>
    <xf numFmtId="44" fontId="22" fillId="17" borderId="0" xfId="2" applyFont="1" applyFill="1"/>
    <xf numFmtId="164" fontId="41" fillId="0" borderId="0" xfId="1" applyNumberFormat="1" applyFont="1" applyAlignment="1">
      <alignment horizontal="left" indent="4"/>
    </xf>
    <xf numFmtId="164" fontId="42" fillId="0" borderId="0" xfId="1" applyNumberFormat="1" applyFont="1" applyAlignment="1">
      <alignment horizontal="left"/>
    </xf>
    <xf numFmtId="43" fontId="31" fillId="14" borderId="0" xfId="1" applyFont="1" applyFill="1"/>
    <xf numFmtId="44" fontId="6" fillId="17" borderId="0" xfId="2" applyNumberFormat="1" applyFont="1" applyFill="1"/>
    <xf numFmtId="49" fontId="2" fillId="8" borderId="0" xfId="1" applyNumberFormat="1" applyFont="1" applyFill="1" applyAlignment="1">
      <alignment horizontal="right"/>
    </xf>
    <xf numFmtId="0" fontId="2" fillId="8" borderId="0" xfId="1" applyNumberFormat="1" applyFont="1" applyFill="1" applyAlignment="1">
      <alignment horizontal="center"/>
    </xf>
    <xf numFmtId="0" fontId="1" fillId="19" borderId="0" xfId="1" applyNumberFormat="1" applyFont="1" applyFill="1" applyAlignment="1">
      <alignment horizontal="center"/>
    </xf>
    <xf numFmtId="164" fontId="2" fillId="19" borderId="0" xfId="1" applyNumberFormat="1" applyFont="1" applyFill="1"/>
    <xf numFmtId="44" fontId="6" fillId="19" borderId="0" xfId="2" applyFont="1" applyFill="1"/>
    <xf numFmtId="164" fontId="40" fillId="0" borderId="0" xfId="1" applyNumberFormat="1" applyFont="1"/>
    <xf numFmtId="164" fontId="23" fillId="14" borderId="0" xfId="1" applyNumberFormat="1" applyFont="1" applyFill="1" applyAlignment="1">
      <alignment horizontal="left" vertical="top"/>
    </xf>
    <xf numFmtId="43" fontId="43" fillId="0" borderId="0" xfId="1" applyFont="1"/>
    <xf numFmtId="164" fontId="43" fillId="0" borderId="0" xfId="1" applyNumberFormat="1" applyFont="1"/>
    <xf numFmtId="164" fontId="2" fillId="0" borderId="2" xfId="1" applyNumberFormat="1" applyFont="1" applyBorder="1"/>
    <xf numFmtId="44" fontId="2" fillId="17" borderId="2" xfId="2" applyFont="1" applyFill="1" applyBorder="1"/>
    <xf numFmtId="164" fontId="18" fillId="0" borderId="2" xfId="1" applyNumberFormat="1" applyFont="1" applyBorder="1"/>
    <xf numFmtId="44" fontId="18" fillId="17" borderId="0" xfId="2" applyFont="1" applyFill="1"/>
    <xf numFmtId="44" fontId="6" fillId="17" borderId="2" xfId="2" applyFont="1" applyFill="1" applyBorder="1"/>
    <xf numFmtId="49" fontId="2" fillId="15" borderId="0" xfId="1" applyNumberFormat="1" applyFont="1" applyFill="1" applyAlignment="1">
      <alignment horizontal="center"/>
    </xf>
    <xf numFmtId="49" fontId="1" fillId="0" borderId="0" xfId="1" applyNumberFormat="1" applyFont="1" applyAlignment="1">
      <alignment horizontal="center"/>
    </xf>
    <xf numFmtId="43" fontId="2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2" fillId="0" borderId="10" xfId="1" applyNumberFormat="1" applyFont="1" applyBorder="1"/>
    <xf numFmtId="44" fontId="3" fillId="0" borderId="3" xfId="2" applyFont="1" applyBorder="1"/>
    <xf numFmtId="164" fontId="34" fillId="0" borderId="3" xfId="1" applyNumberFormat="1" applyFont="1" applyBorder="1" applyAlignment="1">
      <alignment horizontal="left"/>
    </xf>
    <xf numFmtId="44" fontId="1" fillId="0" borderId="3" xfId="2" applyFont="1" applyBorder="1"/>
    <xf numFmtId="44" fontId="34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40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40" fillId="0" borderId="0" xfId="1" applyNumberFormat="1" applyFont="1" applyAlignment="1"/>
    <xf numFmtId="44" fontId="6" fillId="16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2" fillId="16" borderId="2" xfId="2" applyFont="1" applyFill="1" applyBorder="1"/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left" indent="3"/>
    </xf>
    <xf numFmtId="44" fontId="6" fillId="16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2" fillId="0" borderId="10" xfId="1" applyNumberFormat="1" applyFont="1" applyBorder="1" applyAlignment="1">
      <alignment horizontal="left" indent="3"/>
    </xf>
    <xf numFmtId="164" fontId="40" fillId="0" borderId="3" xfId="1" applyNumberFormat="1" applyFont="1" applyBorder="1" applyAlignment="1"/>
    <xf numFmtId="44" fontId="1" fillId="0" borderId="10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8" fillId="0" borderId="10" xfId="2" applyFont="1" applyBorder="1"/>
    <xf numFmtId="164" fontId="1" fillId="0" borderId="0" xfId="1" applyNumberFormat="1" applyFont="1" applyAlignment="1">
      <alignment horizontal="left"/>
    </xf>
    <xf numFmtId="164" fontId="23" fillId="0" borderId="0" xfId="1" applyNumberFormat="1" applyFont="1" applyAlignment="1"/>
    <xf numFmtId="44" fontId="23" fillId="0" borderId="2" xfId="2" applyFont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1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10" borderId="0" xfId="2" applyFont="1" applyFill="1"/>
    <xf numFmtId="44" fontId="3" fillId="13" borderId="0" xfId="2" applyFont="1" applyFill="1"/>
    <xf numFmtId="164" fontId="23" fillId="14" borderId="0" xfId="1" applyNumberFormat="1" applyFont="1" applyFill="1"/>
    <xf numFmtId="44" fontId="3" fillId="17" borderId="0" xfId="2" applyFont="1" applyFill="1"/>
    <xf numFmtId="44" fontId="31" fillId="18" borderId="0" xfId="2" applyFont="1" applyFill="1"/>
    <xf numFmtId="44" fontId="3" fillId="16" borderId="0" xfId="2" applyFont="1" applyFill="1"/>
    <xf numFmtId="44" fontId="31" fillId="16" borderId="0" xfId="2" applyFont="1" applyFill="1"/>
    <xf numFmtId="164" fontId="23" fillId="0" borderId="0" xfId="1" applyNumberFormat="1" applyFont="1" applyFill="1"/>
    <xf numFmtId="44" fontId="34" fillId="0" borderId="3" xfId="2" applyFont="1" applyBorder="1"/>
    <xf numFmtId="44" fontId="34" fillId="0" borderId="0" xfId="2" applyFont="1" applyBorder="1"/>
    <xf numFmtId="43" fontId="1" fillId="9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1" fillId="20" borderId="3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4" borderId="0" xfId="0" applyNumberFormat="1" applyFont="1" applyFill="1" applyAlignment="1">
      <alignment horizontal="right"/>
    </xf>
    <xf numFmtId="49" fontId="2" fillId="1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5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2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171" fontId="31" fillId="0" borderId="0" xfId="1" applyNumberFormat="1" applyFont="1"/>
    <xf numFmtId="0" fontId="2" fillId="0" borderId="0" xfId="3"/>
    <xf numFmtId="0" fontId="2" fillId="0" borderId="0" xfId="3" applyFill="1"/>
    <xf numFmtId="164" fontId="31" fillId="0" borderId="0" xfId="4" applyNumberFormat="1" applyFont="1" applyFill="1"/>
    <xf numFmtId="0" fontId="2" fillId="0" borderId="0" xfId="3" applyFill="1" applyAlignment="1">
      <alignment horizontal="center"/>
    </xf>
    <xf numFmtId="44" fontId="2" fillId="0" borderId="0" xfId="3" applyNumberFormat="1" applyFill="1"/>
    <xf numFmtId="0" fontId="22" fillId="0" borderId="0" xfId="3" applyFont="1" applyFill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3" fillId="0" borderId="0" xfId="3" applyFont="1" applyFill="1" applyAlignment="1">
      <alignment horizontal="right"/>
    </xf>
    <xf numFmtId="44" fontId="3" fillId="0" borderId="0" xfId="3" applyNumberFormat="1" applyFont="1" applyFill="1" applyAlignment="1">
      <alignment horizontal="right"/>
    </xf>
    <xf numFmtId="164" fontId="2" fillId="0" borderId="0" xfId="4" applyNumberFormat="1" applyFont="1" applyFill="1"/>
    <xf numFmtId="44" fontId="3" fillId="0" borderId="0" xfId="3" applyNumberFormat="1" applyFont="1" applyFill="1"/>
    <xf numFmtId="44" fontId="3" fillId="0" borderId="4" xfId="3" applyNumberFormat="1" applyFont="1" applyFill="1" applyBorder="1"/>
    <xf numFmtId="0" fontId="3" fillId="0" borderId="0" xfId="3" applyFont="1" applyFill="1"/>
    <xf numFmtId="49" fontId="33" fillId="0" borderId="4" xfId="3" applyNumberFormat="1" applyFont="1" applyFill="1" applyBorder="1" applyAlignment="1">
      <alignment horizontal="center"/>
    </xf>
    <xf numFmtId="49" fontId="33" fillId="0" borderId="0" xfId="3" applyNumberFormat="1" applyFont="1" applyFill="1" applyAlignment="1">
      <alignment horizontal="center"/>
    </xf>
    <xf numFmtId="44" fontId="22" fillId="0" borderId="4" xfId="3" applyNumberFormat="1" applyFont="1" applyFill="1" applyBorder="1" applyAlignment="1">
      <alignment horizontal="center"/>
    </xf>
    <xf numFmtId="44" fontId="3" fillId="0" borderId="7" xfId="3" applyNumberFormat="1" applyFont="1" applyFill="1" applyBorder="1" applyAlignment="1">
      <alignment horizontal="left"/>
    </xf>
    <xf numFmtId="44" fontId="3" fillId="0" borderId="0" xfId="3" applyNumberFormat="1" applyFont="1" applyFill="1" applyAlignment="1">
      <alignment horizontal="center"/>
    </xf>
    <xf numFmtId="0" fontId="3" fillId="0" borderId="4" xfId="3" applyFont="1" applyFill="1" applyBorder="1"/>
    <xf numFmtId="0" fontId="3" fillId="0" borderId="7" xfId="3" applyFont="1" applyFill="1" applyBorder="1"/>
    <xf numFmtId="44" fontId="1" fillId="0" borderId="3" xfId="3" applyNumberFormat="1" applyFont="1" applyFill="1" applyBorder="1"/>
    <xf numFmtId="44" fontId="1" fillId="0" borderId="8" xfId="3" applyNumberFormat="1" applyFont="1" applyFill="1" applyBorder="1"/>
    <xf numFmtId="0" fontId="8" fillId="0" borderId="3" xfId="3" applyFont="1" applyFill="1" applyBorder="1"/>
    <xf numFmtId="0" fontId="1" fillId="0" borderId="3" xfId="3" applyFont="1" applyFill="1" applyBorder="1" applyAlignment="1">
      <alignment horizontal="left" indent="1"/>
    </xf>
    <xf numFmtId="44" fontId="3" fillId="0" borderId="0" xfId="5" applyFont="1" applyFill="1"/>
    <xf numFmtId="44" fontId="3" fillId="0" borderId="4" xfId="5" applyFont="1" applyFill="1" applyBorder="1"/>
    <xf numFmtId="0" fontId="3" fillId="0" borderId="2" xfId="3" applyFont="1" applyFill="1" applyBorder="1"/>
    <xf numFmtId="0" fontId="3" fillId="0" borderId="2" xfId="3" applyFont="1" applyFill="1" applyBorder="1" applyAlignment="1"/>
    <xf numFmtId="44" fontId="3" fillId="0" borderId="0" xfId="5" applyFont="1" applyFill="1" applyBorder="1"/>
    <xf numFmtId="0" fontId="3" fillId="0" borderId="0" xfId="5" applyNumberFormat="1" applyFont="1" applyFill="1" applyBorder="1" applyAlignment="1">
      <alignment horizontal="left"/>
    </xf>
    <xf numFmtId="44" fontId="3" fillId="0" borderId="7" xfId="5" applyFont="1" applyFill="1" applyBorder="1"/>
    <xf numFmtId="0" fontId="3" fillId="0" borderId="0" xfId="3" applyFont="1" applyFill="1" applyAlignment="1"/>
    <xf numFmtId="44" fontId="3" fillId="0" borderId="6" xfId="5" applyFont="1" applyFill="1" applyBorder="1"/>
    <xf numFmtId="44" fontId="3" fillId="0" borderId="2" xfId="3" applyNumberFormat="1" applyFont="1" applyFill="1" applyBorder="1"/>
    <xf numFmtId="44" fontId="3" fillId="0" borderId="5" xfId="5" applyFont="1" applyFill="1" applyBorder="1"/>
    <xf numFmtId="44" fontId="3" fillId="0" borderId="2" xfId="5" applyFont="1" applyFill="1" applyBorder="1"/>
    <xf numFmtId="44" fontId="3" fillId="0" borderId="0" xfId="3" applyNumberFormat="1" applyFont="1" applyFill="1" applyBorder="1" applyAlignment="1">
      <alignment horizontal="center"/>
    </xf>
    <xf numFmtId="44" fontId="3" fillId="0" borderId="4" xfId="3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1" fillId="0" borderId="2" xfId="3" applyFont="1" applyFill="1" applyBorder="1"/>
    <xf numFmtId="0" fontId="33" fillId="0" borderId="0" xfId="3" applyFont="1" applyFill="1" applyBorder="1" applyAlignment="1">
      <alignment horizontal="center"/>
    </xf>
    <xf numFmtId="0" fontId="33" fillId="0" borderId="4" xfId="3" applyFont="1" applyFill="1" applyBorder="1" applyAlignment="1">
      <alignment horizontal="center"/>
    </xf>
    <xf numFmtId="0" fontId="2" fillId="0" borderId="2" xfId="3" applyFill="1" applyBorder="1" applyAlignment="1">
      <alignment horizontal="center"/>
    </xf>
    <xf numFmtId="0" fontId="2" fillId="0" borderId="1" xfId="3" applyFill="1" applyBorder="1" applyAlignment="1">
      <alignment horizontal="center"/>
    </xf>
    <xf numFmtId="0" fontId="2" fillId="0" borderId="2" xfId="3" applyFill="1" applyBorder="1" applyAlignment="1">
      <alignment horizontal="center"/>
    </xf>
    <xf numFmtId="169" fontId="32" fillId="0" borderId="0" xfId="3" applyNumberFormat="1" applyFont="1" applyFill="1" applyBorder="1" applyAlignment="1"/>
    <xf numFmtId="169" fontId="32" fillId="0" borderId="0" xfId="3" applyNumberFormat="1" applyFont="1" applyFill="1" applyBorder="1" applyAlignment="1">
      <alignment horizontal="left"/>
    </xf>
    <xf numFmtId="0" fontId="32" fillId="0" borderId="0" xfId="3" applyFont="1" applyFill="1" applyAlignment="1"/>
    <xf numFmtId="0" fontId="8" fillId="0" borderId="0" xfId="3" applyFont="1" applyFill="1" applyAlignment="1">
      <alignment horizontal="center" vertical="center"/>
    </xf>
    <xf numFmtId="0" fontId="32" fillId="0" borderId="0" xfId="3" applyFont="1" applyFill="1" applyAlignment="1">
      <alignment horizontal="right"/>
    </xf>
  </cellXfs>
  <cellStyles count="6">
    <cellStyle name="Comma" xfId="1" builtinId="3"/>
    <cellStyle name="Comma 3" xfId="4" xr:uid="{640D578C-133D-4C86-8262-CB2197687916}"/>
    <cellStyle name="Currency" xfId="2" builtinId="4"/>
    <cellStyle name="Currency 3" xfId="5" xr:uid="{4B64C380-C6B4-4AF8-8A27-5F5F6A8BE248}"/>
    <cellStyle name="Normal" xfId="0" builtinId="0"/>
    <cellStyle name="Normal 3" xfId="3" xr:uid="{3247FA60-0EB8-474E-B154-0145AC850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8-2018\Core%20GC%20Allocations%208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8-2018\WA\UG-171010%20CNGC%20Monthly%20PGA%20Rpt%20August%202018,%209.28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K48">
            <v>1170774.6200000001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B2">
            <v>43337</v>
          </cell>
        </row>
        <row r="42">
          <cell r="K42">
            <v>1649290.7199999995</v>
          </cell>
        </row>
        <row r="43">
          <cell r="K43">
            <v>3729627.6100000003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4.6899999999999997E-2</v>
          </cell>
          <cell r="C79">
            <v>31</v>
          </cell>
        </row>
        <row r="80">
          <cell r="A80">
            <v>43434</v>
          </cell>
          <cell r="B80">
            <v>4.6899999999999997E-2</v>
          </cell>
          <cell r="C80">
            <v>30</v>
          </cell>
        </row>
        <row r="81">
          <cell r="A81">
            <v>43465</v>
          </cell>
          <cell r="B81">
            <v>4.6899999999999997E-2</v>
          </cell>
          <cell r="C81">
            <v>31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0F48-8E0C-42EC-A13B-4B57568CA2B4}">
  <dimension ref="B1:AG71"/>
  <sheetViews>
    <sheetView showGridLines="0" tabSelected="1" topLeftCell="A10" zoomScaleNormal="100" zoomScaleSheetLayoutView="100" workbookViewId="0">
      <pane xSplit="6" topLeftCell="I1" activePane="topRight" state="frozen"/>
      <selection activeCell="B6" sqref="B6"/>
      <selection pane="topRight" activeCell="Q36" sqref="Q36"/>
    </sheetView>
  </sheetViews>
  <sheetFormatPr defaultRowHeight="14.1" customHeight="1" x14ac:dyDescent="0.25"/>
  <cols>
    <col min="1" max="1" width="1.7109375" style="79" customWidth="1"/>
    <col min="2" max="2" width="3.42578125" style="113" customWidth="1"/>
    <col min="3" max="3" width="5.5703125" style="113" customWidth="1"/>
    <col min="4" max="4" width="6.42578125" style="113" customWidth="1"/>
    <col min="5" max="5" width="7.5703125" style="131" customWidth="1"/>
    <col min="6" max="6" width="29.5703125" style="79" customWidth="1"/>
    <col min="7" max="7" width="11.140625" style="79" bestFit="1" customWidth="1"/>
    <col min="8" max="8" width="14.5703125" style="116" bestFit="1" customWidth="1"/>
    <col min="9" max="9" width="2.7109375" style="79" customWidth="1"/>
    <col min="10" max="10" width="12.7109375" style="79" bestFit="1" customWidth="1"/>
    <col min="11" max="11" width="16.85546875" style="116" bestFit="1" customWidth="1"/>
    <col min="12" max="12" width="2.7109375" style="79" customWidth="1"/>
    <col min="13" max="13" width="13.42578125" style="79" bestFit="1" customWidth="1"/>
    <col min="14" max="14" width="16.28515625" style="116" customWidth="1"/>
    <col min="15" max="15" width="3" style="79" customWidth="1"/>
    <col min="16" max="16" width="12.85546875" style="79" bestFit="1" customWidth="1"/>
    <col min="17" max="17" width="17.42578125" style="79" customWidth="1"/>
    <col min="18" max="18" width="3.7109375" style="79" customWidth="1"/>
    <col min="19" max="19" width="12.85546875" style="79" bestFit="1" customWidth="1"/>
    <col min="20" max="20" width="16.85546875" style="79" customWidth="1"/>
    <col min="21" max="21" width="3.5703125" style="79" customWidth="1"/>
    <col min="22" max="22" width="9.5703125" style="79" bestFit="1" customWidth="1"/>
    <col min="23" max="23" width="16" style="79" bestFit="1" customWidth="1"/>
    <col min="24" max="24" width="1.7109375" style="79" hidden="1" customWidth="1"/>
    <col min="25" max="25" width="10" style="79" bestFit="1" customWidth="1"/>
    <col min="26" max="26" width="14.7109375" style="79" bestFit="1" customWidth="1"/>
    <col min="27" max="27" width="1.7109375" style="79" hidden="1" customWidth="1"/>
    <col min="28" max="29" width="15.7109375" style="79" hidden="1" customWidth="1"/>
    <col min="30" max="30" width="2.140625" style="79" customWidth="1"/>
    <col min="31" max="31" width="11.42578125" style="79" bestFit="1" customWidth="1"/>
    <col min="32" max="32" width="10.7109375" style="79" bestFit="1" customWidth="1"/>
    <col min="33" max="33" width="13.7109375" style="79" bestFit="1" customWidth="1"/>
    <col min="34" max="16384" width="9.140625" style="79"/>
  </cols>
  <sheetData>
    <row r="1" spans="2:33" ht="17.25" customHeight="1" x14ac:dyDescent="0.25">
      <c r="B1" s="112" t="s">
        <v>133</v>
      </c>
      <c r="D1" s="114"/>
      <c r="E1" s="114"/>
      <c r="F1" s="114"/>
      <c r="G1" s="115"/>
      <c r="I1" s="117"/>
      <c r="K1" s="118"/>
      <c r="O1" s="117"/>
      <c r="P1" s="111"/>
      <c r="Q1" s="119"/>
      <c r="R1" s="111"/>
      <c r="S1" s="111"/>
      <c r="T1" s="111"/>
      <c r="U1" s="117"/>
      <c r="W1" s="120">
        <f>B2-31</f>
        <v>43306</v>
      </c>
      <c r="X1" s="120"/>
      <c r="Y1" s="120"/>
    </row>
    <row r="2" spans="2:33" ht="15" customHeight="1" x14ac:dyDescent="0.25">
      <c r="B2" s="121">
        <v>43337</v>
      </c>
      <c r="C2" s="121"/>
      <c r="D2" s="121"/>
      <c r="E2" s="121"/>
      <c r="G2" s="122" t="s">
        <v>85</v>
      </c>
      <c r="H2" s="122"/>
      <c r="I2" s="117"/>
      <c r="J2" s="123" t="s">
        <v>134</v>
      </c>
      <c r="K2" s="123"/>
      <c r="L2" s="123"/>
      <c r="M2" s="123"/>
      <c r="N2" s="123"/>
      <c r="O2" s="117"/>
      <c r="P2" s="124" t="s">
        <v>135</v>
      </c>
      <c r="Q2" s="124"/>
      <c r="R2" s="124"/>
      <c r="S2" s="124"/>
      <c r="T2" s="124"/>
      <c r="U2" s="117"/>
      <c r="W2" s="124" t="s">
        <v>136</v>
      </c>
      <c r="X2" s="124"/>
      <c r="Y2" s="124"/>
    </row>
    <row r="3" spans="2:33" ht="15" x14ac:dyDescent="0.25">
      <c r="E3" s="125"/>
      <c r="H3" s="126"/>
      <c r="I3" s="117"/>
      <c r="K3" s="118"/>
      <c r="O3" s="117"/>
      <c r="U3" s="127"/>
      <c r="W3" s="120">
        <f>B2</f>
        <v>43337</v>
      </c>
      <c r="X3" s="120"/>
      <c r="Y3" s="120"/>
      <c r="Z3" s="128"/>
      <c r="AB3" s="129" t="s">
        <v>137</v>
      </c>
      <c r="AC3" s="129"/>
      <c r="AD3" s="130"/>
    </row>
    <row r="4" spans="2:33" ht="16.5" customHeight="1" x14ac:dyDescent="0.25">
      <c r="F4" s="132" t="s">
        <v>138</v>
      </c>
      <c r="I4" s="117"/>
      <c r="J4" s="133" t="s">
        <v>139</v>
      </c>
      <c r="K4" s="133"/>
      <c r="L4" s="134"/>
      <c r="M4" s="133" t="s">
        <v>140</v>
      </c>
      <c r="N4" s="133"/>
      <c r="O4" s="135"/>
      <c r="P4" s="133" t="s">
        <v>139</v>
      </c>
      <c r="Q4" s="133"/>
      <c r="R4" s="134"/>
      <c r="S4" s="133" t="s">
        <v>140</v>
      </c>
      <c r="T4" s="133"/>
      <c r="U4" s="135"/>
      <c r="V4" s="133" t="s">
        <v>139</v>
      </c>
      <c r="W4" s="133"/>
      <c r="X4" s="134"/>
      <c r="Y4" s="133" t="s">
        <v>140</v>
      </c>
      <c r="Z4" s="133"/>
      <c r="AB4" s="136" t="s">
        <v>91</v>
      </c>
      <c r="AC4" s="136" t="s">
        <v>95</v>
      </c>
      <c r="AD4" s="136"/>
    </row>
    <row r="5" spans="2:33" s="58" customFormat="1" ht="15.75" customHeight="1" x14ac:dyDescent="0.2">
      <c r="B5" s="137" t="s">
        <v>141</v>
      </c>
      <c r="C5" s="137"/>
      <c r="D5" s="137"/>
      <c r="E5" s="137"/>
      <c r="F5" s="138"/>
      <c r="G5" s="139" t="s">
        <v>108</v>
      </c>
      <c r="H5" s="140" t="s">
        <v>142</v>
      </c>
      <c r="I5" s="117"/>
      <c r="J5" s="141" t="s">
        <v>108</v>
      </c>
      <c r="K5" s="142" t="s">
        <v>142</v>
      </c>
      <c r="L5" s="143"/>
      <c r="M5" s="141" t="s">
        <v>108</v>
      </c>
      <c r="N5" s="142" t="s">
        <v>142</v>
      </c>
      <c r="O5" s="117"/>
      <c r="P5" s="139" t="s">
        <v>108</v>
      </c>
      <c r="Q5" s="140" t="s">
        <v>142</v>
      </c>
      <c r="R5" s="143"/>
      <c r="S5" s="141" t="s">
        <v>108</v>
      </c>
      <c r="T5" s="142" t="s">
        <v>142</v>
      </c>
      <c r="U5" s="117"/>
      <c r="V5" s="141" t="s">
        <v>143</v>
      </c>
      <c r="W5" s="144" t="s">
        <v>142</v>
      </c>
      <c r="X5" s="143"/>
      <c r="Y5" s="145" t="s">
        <v>143</v>
      </c>
      <c r="Z5" s="144" t="s">
        <v>142</v>
      </c>
      <c r="AB5" s="146" t="s">
        <v>142</v>
      </c>
      <c r="AC5" s="146" t="s">
        <v>142</v>
      </c>
      <c r="AD5" s="146"/>
    </row>
    <row r="6" spans="2:33" ht="14.25" customHeight="1" x14ac:dyDescent="0.25">
      <c r="B6" s="147" t="s">
        <v>144</v>
      </c>
      <c r="C6" s="148">
        <v>6011</v>
      </c>
      <c r="D6" s="148">
        <v>28040</v>
      </c>
      <c r="E6" s="149">
        <v>671010</v>
      </c>
      <c r="F6" s="58" t="s">
        <v>145</v>
      </c>
      <c r="G6" s="150" t="s">
        <v>146</v>
      </c>
      <c r="H6" s="151">
        <f>K6+N6</f>
        <v>0</v>
      </c>
      <c r="I6" s="117"/>
      <c r="J6" s="152"/>
      <c r="K6" s="153">
        <f>+Q6+W6</f>
        <v>0</v>
      </c>
      <c r="L6" s="154" t="s">
        <v>147</v>
      </c>
      <c r="M6" s="152"/>
      <c r="N6" s="153">
        <f>+T6+Z6</f>
        <v>0</v>
      </c>
      <c r="O6" s="117" t="s">
        <v>147</v>
      </c>
      <c r="P6" s="152"/>
      <c r="Q6" s="155"/>
      <c r="R6" s="58"/>
      <c r="S6" s="152"/>
      <c r="T6" s="155"/>
      <c r="U6" s="117"/>
      <c r="V6" s="156"/>
      <c r="W6" s="155"/>
      <c r="Y6" s="115"/>
      <c r="Z6" s="155"/>
      <c r="AE6" s="157">
        <v>671010</v>
      </c>
    </row>
    <row r="7" spans="2:33" ht="14.25" customHeight="1" x14ac:dyDescent="0.25">
      <c r="B7" s="147" t="s">
        <v>144</v>
      </c>
      <c r="C7" s="148">
        <v>6011</v>
      </c>
      <c r="D7" s="148">
        <v>28040</v>
      </c>
      <c r="E7" s="149">
        <v>671030</v>
      </c>
      <c r="F7" s="58" t="s">
        <v>148</v>
      </c>
      <c r="G7" s="150" t="s">
        <v>146</v>
      </c>
      <c r="H7" s="151">
        <f t="shared" ref="H7:H13" si="0">+K7+N7</f>
        <v>344744.06</v>
      </c>
      <c r="I7" s="117"/>
      <c r="J7" s="152"/>
      <c r="K7" s="153">
        <f>+Q7+W7</f>
        <v>204344.75</v>
      </c>
      <c r="L7" s="154" t="s">
        <v>147</v>
      </c>
      <c r="M7" s="152"/>
      <c r="N7" s="153">
        <f>+T7+Z7</f>
        <v>140399.31</v>
      </c>
      <c r="O7" s="117" t="s">
        <v>147</v>
      </c>
      <c r="P7" s="152"/>
      <c r="Q7" s="158">
        <v>199790.12</v>
      </c>
      <c r="R7" s="58"/>
      <c r="S7" s="152"/>
      <c r="T7" s="158">
        <v>141028.84</v>
      </c>
      <c r="U7" s="117"/>
      <c r="V7" s="159"/>
      <c r="W7" s="158">
        <v>4554.63</v>
      </c>
      <c r="X7" s="160"/>
      <c r="Y7" s="161"/>
      <c r="Z7" s="158">
        <v>-629.53</v>
      </c>
      <c r="AE7" s="157">
        <v>671030</v>
      </c>
    </row>
    <row r="8" spans="2:33" ht="14.25" customHeight="1" x14ac:dyDescent="0.25">
      <c r="B8" s="147" t="s">
        <v>144</v>
      </c>
      <c r="C8" s="148">
        <v>6011</v>
      </c>
      <c r="D8" s="148">
        <v>28040</v>
      </c>
      <c r="E8" s="149">
        <v>671050</v>
      </c>
      <c r="F8" s="58" t="s">
        <v>149</v>
      </c>
      <c r="G8" s="162">
        <f t="shared" ref="G8:G14" si="1">+J8+M8</f>
        <v>11879350</v>
      </c>
      <c r="H8" s="151">
        <f t="shared" si="0"/>
        <v>2595803.2599999998</v>
      </c>
      <c r="I8" s="117"/>
      <c r="J8" s="163">
        <f>+P8+V8</f>
        <v>9777140</v>
      </c>
      <c r="K8" s="164">
        <f>+Q8+W8</f>
        <v>2278499.0099999998</v>
      </c>
      <c r="L8" s="154" t="s">
        <v>150</v>
      </c>
      <c r="M8" s="58">
        <f>+S8+Y8</f>
        <v>2102210</v>
      </c>
      <c r="N8" s="165">
        <f>+T8+Z8</f>
        <v>317304.25</v>
      </c>
      <c r="O8" s="117" t="s">
        <v>150</v>
      </c>
      <c r="P8" s="166">
        <v>9776852</v>
      </c>
      <c r="Q8" s="167">
        <f>2255041.38+23576.23</f>
        <v>2278617.61</v>
      </c>
      <c r="R8" s="58"/>
      <c r="S8" s="166">
        <v>2102518</v>
      </c>
      <c r="T8" s="167">
        <v>317389.78000000003</v>
      </c>
      <c r="U8" s="117"/>
      <c r="V8" s="168">
        <v>288</v>
      </c>
      <c r="W8" s="167">
        <v>-118.6</v>
      </c>
      <c r="X8" s="160"/>
      <c r="Y8" s="169">
        <v>-308</v>
      </c>
      <c r="Z8" s="167">
        <v>-85.53</v>
      </c>
      <c r="AB8" s="170">
        <v>0</v>
      </c>
      <c r="AC8" s="170">
        <v>0</v>
      </c>
      <c r="AE8" s="171">
        <v>671050</v>
      </c>
    </row>
    <row r="9" spans="2:33" ht="14.25" customHeight="1" x14ac:dyDescent="0.25">
      <c r="B9" s="147" t="s">
        <v>144</v>
      </c>
      <c r="C9" s="148">
        <v>6011</v>
      </c>
      <c r="D9" s="148">
        <v>28040</v>
      </c>
      <c r="E9" s="149">
        <v>671051</v>
      </c>
      <c r="F9" s="58" t="s">
        <v>151</v>
      </c>
      <c r="G9" s="150" t="s">
        <v>146</v>
      </c>
      <c r="H9" s="151">
        <f t="shared" si="0"/>
        <v>0</v>
      </c>
      <c r="I9" s="117"/>
      <c r="J9" s="172"/>
      <c r="K9" s="165">
        <f t="shared" ref="J9:K14" si="2">+Q9+W9</f>
        <v>0</v>
      </c>
      <c r="L9" s="154" t="s">
        <v>150</v>
      </c>
      <c r="M9" s="173"/>
      <c r="N9" s="165">
        <f>+T9+Z9</f>
        <v>0</v>
      </c>
      <c r="O9" s="117" t="s">
        <v>150</v>
      </c>
      <c r="P9" s="152"/>
      <c r="Q9" s="174"/>
      <c r="R9" s="58"/>
      <c r="S9" s="152"/>
      <c r="T9" s="174"/>
      <c r="U9" s="117"/>
      <c r="V9" s="175"/>
      <c r="W9" s="167"/>
      <c r="X9" s="161"/>
      <c r="Y9" s="176"/>
      <c r="Z9" s="167"/>
      <c r="AE9" s="171">
        <v>671051</v>
      </c>
    </row>
    <row r="10" spans="2:33" ht="14.25" customHeight="1" x14ac:dyDescent="0.25">
      <c r="B10" s="147" t="s">
        <v>144</v>
      </c>
      <c r="C10" s="148">
        <v>6011</v>
      </c>
      <c r="D10" s="148">
        <v>28040</v>
      </c>
      <c r="E10" s="149">
        <v>671070</v>
      </c>
      <c r="F10" s="58" t="s">
        <v>152</v>
      </c>
      <c r="G10" s="162">
        <f t="shared" si="1"/>
        <v>121510</v>
      </c>
      <c r="H10" s="151">
        <f>+K10+N10</f>
        <v>-9402.8499999999913</v>
      </c>
      <c r="I10" s="117"/>
      <c r="J10" s="163">
        <f t="shared" si="2"/>
        <v>77047</v>
      </c>
      <c r="K10" s="165">
        <f t="shared" si="2"/>
        <v>-10160.179999999993</v>
      </c>
      <c r="L10" s="154" t="s">
        <v>150</v>
      </c>
      <c r="M10" s="58">
        <f>+S10+Y10</f>
        <v>44463</v>
      </c>
      <c r="N10" s="165">
        <f>+T10+Z10</f>
        <v>757.33000000000175</v>
      </c>
      <c r="O10" s="177" t="s">
        <v>150</v>
      </c>
      <c r="P10" s="166">
        <f>+-1452486+1529533</f>
        <v>77047</v>
      </c>
      <c r="Q10" s="178">
        <f>+-314530.17+304369.99</f>
        <v>-10160.179999999993</v>
      </c>
      <c r="R10" s="58"/>
      <c r="S10" s="166">
        <f>+-460984+505447</f>
        <v>44463</v>
      </c>
      <c r="T10" s="167">
        <f>+-99824.28+100581.61</f>
        <v>757.33000000000175</v>
      </c>
      <c r="U10" s="117"/>
      <c r="V10" s="175"/>
      <c r="W10" s="167"/>
      <c r="X10" s="161">
        <v>0</v>
      </c>
      <c r="Y10" s="176"/>
      <c r="Z10" s="167"/>
      <c r="AE10" s="171">
        <v>671070</v>
      </c>
    </row>
    <row r="11" spans="2:33" ht="14.25" customHeight="1" x14ac:dyDescent="0.25">
      <c r="B11" s="179" t="s">
        <v>144</v>
      </c>
      <c r="C11" s="180">
        <v>6011</v>
      </c>
      <c r="D11" s="180">
        <v>28081</v>
      </c>
      <c r="E11" s="181">
        <v>671050</v>
      </c>
      <c r="F11" s="182" t="s">
        <v>153</v>
      </c>
      <c r="G11" s="162">
        <f t="shared" si="1"/>
        <v>0</v>
      </c>
      <c r="H11" s="151">
        <f t="shared" si="0"/>
        <v>0</v>
      </c>
      <c r="I11" s="117"/>
      <c r="J11" s="163">
        <f t="shared" si="2"/>
        <v>0</v>
      </c>
      <c r="K11" s="165">
        <f t="shared" si="2"/>
        <v>0</v>
      </c>
      <c r="L11" s="154" t="s">
        <v>150</v>
      </c>
      <c r="M11" s="58">
        <f t="shared" ref="M11:N14" si="3">+S11+Y11</f>
        <v>0</v>
      </c>
      <c r="N11" s="165">
        <f t="shared" si="3"/>
        <v>0</v>
      </c>
      <c r="O11" s="117" t="s">
        <v>150</v>
      </c>
      <c r="P11" s="166">
        <v>0</v>
      </c>
      <c r="Q11" s="183">
        <v>0</v>
      </c>
      <c r="R11" s="184">
        <v>-1</v>
      </c>
      <c r="S11" s="166">
        <v>0</v>
      </c>
      <c r="T11" s="183">
        <v>0</v>
      </c>
      <c r="U11" s="185">
        <v>-4</v>
      </c>
      <c r="V11" s="175"/>
      <c r="W11" s="167"/>
      <c r="X11" s="161"/>
      <c r="Y11" s="176"/>
      <c r="Z11" s="167"/>
      <c r="AE11" s="181">
        <v>671050</v>
      </c>
      <c r="AF11" s="160"/>
    </row>
    <row r="12" spans="2:33" ht="14.25" customHeight="1" x14ac:dyDescent="0.25">
      <c r="B12" s="179" t="s">
        <v>144</v>
      </c>
      <c r="C12" s="180">
        <v>6011</v>
      </c>
      <c r="D12" s="180">
        <v>28082</v>
      </c>
      <c r="E12" s="181">
        <v>671050</v>
      </c>
      <c r="F12" s="182" t="s">
        <v>154</v>
      </c>
      <c r="G12" s="162">
        <f t="shared" si="1"/>
        <v>-3083370</v>
      </c>
      <c r="H12" s="151">
        <f t="shared" si="0"/>
        <v>-679224.54</v>
      </c>
      <c r="I12" s="117"/>
      <c r="J12" s="163">
        <f t="shared" si="2"/>
        <v>-3083370</v>
      </c>
      <c r="K12" s="165">
        <f t="shared" si="2"/>
        <v>-679224.54</v>
      </c>
      <c r="L12" s="154" t="s">
        <v>150</v>
      </c>
      <c r="M12" s="48">
        <f t="shared" si="3"/>
        <v>0</v>
      </c>
      <c r="N12" s="165">
        <f t="shared" si="3"/>
        <v>0</v>
      </c>
      <c r="O12" s="117" t="s">
        <v>150</v>
      </c>
      <c r="P12" s="166">
        <v>-3083370</v>
      </c>
      <c r="Q12" s="183">
        <v>-679224.54</v>
      </c>
      <c r="R12" s="184">
        <v>-2</v>
      </c>
      <c r="S12" s="186"/>
      <c r="T12" s="183"/>
      <c r="U12" s="185"/>
      <c r="V12" s="168"/>
      <c r="W12" s="167"/>
      <c r="X12" s="161"/>
      <c r="Y12" s="176"/>
      <c r="Z12" s="167"/>
      <c r="AE12" s="181">
        <v>671050</v>
      </c>
      <c r="AF12" s="160"/>
      <c r="AG12" s="166"/>
    </row>
    <row r="13" spans="2:33" ht="14.25" customHeight="1" x14ac:dyDescent="0.25">
      <c r="B13" s="179" t="s">
        <v>144</v>
      </c>
      <c r="C13" s="180">
        <v>6011</v>
      </c>
      <c r="D13" s="180">
        <v>28120</v>
      </c>
      <c r="E13" s="181">
        <v>671070</v>
      </c>
      <c r="F13" s="182" t="s">
        <v>155</v>
      </c>
      <c r="G13" s="162">
        <f t="shared" si="1"/>
        <v>-5357</v>
      </c>
      <c r="H13" s="151">
        <f t="shared" si="0"/>
        <v>-1463.24</v>
      </c>
      <c r="I13" s="117"/>
      <c r="J13" s="163">
        <f t="shared" si="2"/>
        <v>-5176</v>
      </c>
      <c r="K13" s="165">
        <f>+Q13+W13</f>
        <v>-1415</v>
      </c>
      <c r="L13" s="154" t="s">
        <v>150</v>
      </c>
      <c r="M13" s="58">
        <f t="shared" si="3"/>
        <v>-181</v>
      </c>
      <c r="N13" s="165">
        <f t="shared" si="3"/>
        <v>-48.24</v>
      </c>
      <c r="O13" s="117" t="s">
        <v>150</v>
      </c>
      <c r="P13" s="166">
        <v>-5176</v>
      </c>
      <c r="Q13" s="183">
        <v>-1415</v>
      </c>
      <c r="R13" s="184">
        <v>-3</v>
      </c>
      <c r="S13" s="187">
        <v>-181</v>
      </c>
      <c r="T13" s="183">
        <v>-48.24</v>
      </c>
      <c r="U13" s="185">
        <v>-5</v>
      </c>
      <c r="V13" s="175"/>
      <c r="W13" s="167"/>
      <c r="X13" s="161"/>
      <c r="Y13" s="176">
        <v>0</v>
      </c>
      <c r="Z13" s="167"/>
      <c r="AE13" s="181">
        <v>671070</v>
      </c>
    </row>
    <row r="14" spans="2:33" ht="14.25" customHeight="1" x14ac:dyDescent="0.25">
      <c r="B14" s="147" t="s">
        <v>144</v>
      </c>
      <c r="C14" s="148">
        <v>6011</v>
      </c>
      <c r="D14" s="148">
        <v>28040</v>
      </c>
      <c r="E14" s="149">
        <v>671100</v>
      </c>
      <c r="F14" s="58" t="s">
        <v>156</v>
      </c>
      <c r="G14" s="162">
        <f t="shared" si="1"/>
        <v>0</v>
      </c>
      <c r="H14" s="151">
        <f>+K14+N14</f>
        <v>0</v>
      </c>
      <c r="I14" s="117"/>
      <c r="J14" s="163">
        <f>+P14+V14</f>
        <v>0</v>
      </c>
      <c r="K14" s="165">
        <f t="shared" si="2"/>
        <v>0</v>
      </c>
      <c r="L14" s="154" t="s">
        <v>150</v>
      </c>
      <c r="M14" s="188">
        <f t="shared" si="3"/>
        <v>0</v>
      </c>
      <c r="N14" s="189">
        <f t="shared" si="3"/>
        <v>0</v>
      </c>
      <c r="O14" s="117" t="s">
        <v>150</v>
      </c>
      <c r="P14" s="190"/>
      <c r="Q14" s="191"/>
      <c r="R14" s="58"/>
      <c r="S14" s="190"/>
      <c r="T14" s="174"/>
      <c r="U14" s="117"/>
      <c r="V14" s="175"/>
      <c r="W14" s="167"/>
      <c r="X14" s="161"/>
      <c r="Y14" s="176"/>
      <c r="Z14" s="192"/>
      <c r="AE14" s="171">
        <v>671100</v>
      </c>
    </row>
    <row r="15" spans="2:33" ht="14.25" customHeight="1" x14ac:dyDescent="0.25">
      <c r="B15" s="147"/>
      <c r="C15" s="193"/>
      <c r="D15" s="193"/>
      <c r="E15" s="194"/>
      <c r="F15" s="195" t="s">
        <v>157</v>
      </c>
      <c r="G15" s="196">
        <f>SUM(G6:G14)</f>
        <v>8912133</v>
      </c>
      <c r="H15" s="197">
        <f>SUM(H6:H14)</f>
        <v>2250456.6899999995</v>
      </c>
      <c r="I15" s="117"/>
      <c r="J15" s="198">
        <f>SUM(J6:J14)</f>
        <v>6765641</v>
      </c>
      <c r="K15" s="104">
        <f>SUM(K6:K14)</f>
        <v>1792044.0399999996</v>
      </c>
      <c r="L15" s="154"/>
      <c r="M15" s="58">
        <f>SUM(M6:M14)</f>
        <v>2146492</v>
      </c>
      <c r="N15" s="106">
        <f>SUM(N6:N14)</f>
        <v>458412.65</v>
      </c>
      <c r="O15" s="117"/>
      <c r="P15" s="58">
        <f>SUM(P6:P14)</f>
        <v>6765353</v>
      </c>
      <c r="Q15" s="199">
        <f>SUM(Q6:Q14)</f>
        <v>1787608.0099999998</v>
      </c>
      <c r="R15" s="58"/>
      <c r="S15" s="58">
        <f>SUM(S6:S14)</f>
        <v>2146800</v>
      </c>
      <c r="T15" s="199">
        <f>SUM(T6:T14)</f>
        <v>459127.71</v>
      </c>
      <c r="U15" s="117"/>
      <c r="V15" s="200">
        <f>+SUM(V6:V14)</f>
        <v>288</v>
      </c>
      <c r="W15" s="201">
        <f>SUM(W6:W14)</f>
        <v>4436.03</v>
      </c>
      <c r="X15" s="161"/>
      <c r="Y15" s="200">
        <f>SUM(Y6:Y14)</f>
        <v>-308</v>
      </c>
      <c r="Z15" s="201">
        <f>SUM(Z6:Z14)</f>
        <v>-715.06</v>
      </c>
      <c r="AB15" s="202">
        <f>SUM(AB6:AB14)</f>
        <v>0</v>
      </c>
      <c r="AC15" s="202">
        <f>SUM(AC6:AC14)</f>
        <v>0</v>
      </c>
      <c r="AD15" s="202"/>
      <c r="AE15" s="194"/>
    </row>
    <row r="16" spans="2:33" ht="14.25" customHeight="1" x14ac:dyDescent="0.25">
      <c r="B16" s="147"/>
      <c r="C16" s="193"/>
      <c r="D16" s="193"/>
      <c r="E16" s="194"/>
      <c r="G16" s="196"/>
      <c r="H16" s="203"/>
      <c r="I16" s="117"/>
      <c r="J16" s="196"/>
      <c r="K16" s="203"/>
      <c r="L16" s="204"/>
      <c r="M16" s="196"/>
      <c r="N16" s="205"/>
      <c r="O16" s="117"/>
      <c r="P16" s="198"/>
      <c r="Q16" s="53"/>
      <c r="R16" s="58"/>
      <c r="S16" s="198"/>
      <c r="T16" s="53"/>
      <c r="U16" s="117"/>
      <c r="V16" s="206"/>
      <c r="W16" s="76"/>
      <c r="X16" s="161"/>
      <c r="Y16" s="161"/>
      <c r="Z16" s="76"/>
      <c r="AE16" s="194"/>
    </row>
    <row r="17" spans="2:33" ht="14.25" customHeight="1" x14ac:dyDescent="0.25">
      <c r="B17" s="147" t="s">
        <v>144</v>
      </c>
      <c r="C17" s="148">
        <v>6011</v>
      </c>
      <c r="D17" s="148">
        <v>28040</v>
      </c>
      <c r="E17" s="149">
        <v>672010</v>
      </c>
      <c r="F17" s="58" t="s">
        <v>158</v>
      </c>
      <c r="G17" s="150"/>
      <c r="H17" s="151">
        <f>K17+N17</f>
        <v>3891915.66</v>
      </c>
      <c r="I17" s="117"/>
      <c r="J17" s="207"/>
      <c r="K17" s="153">
        <f>+Q17+W17</f>
        <v>3237475.6</v>
      </c>
      <c r="L17" s="154" t="s">
        <v>147</v>
      </c>
      <c r="M17" s="152"/>
      <c r="N17" s="153">
        <f>+T17+Z17</f>
        <v>654440.06000000006</v>
      </c>
      <c r="O17" s="117" t="s">
        <v>147</v>
      </c>
      <c r="P17" s="152"/>
      <c r="Q17" s="158">
        <f>101807.82+3135667.79</f>
        <v>3237475.61</v>
      </c>
      <c r="R17" s="58"/>
      <c r="S17" s="152"/>
      <c r="T17" s="158">
        <f>242253.38+412186.68</f>
        <v>654440.06000000006</v>
      </c>
      <c r="U17" s="117"/>
      <c r="V17" s="208"/>
      <c r="W17" s="158">
        <v>-0.01</v>
      </c>
      <c r="X17" s="161"/>
      <c r="Y17" s="159"/>
      <c r="Z17" s="209"/>
      <c r="AE17" s="157">
        <v>672010</v>
      </c>
    </row>
    <row r="18" spans="2:33" ht="14.25" customHeight="1" x14ac:dyDescent="0.25">
      <c r="B18" s="147" t="s">
        <v>144</v>
      </c>
      <c r="C18" s="148">
        <v>6011</v>
      </c>
      <c r="D18" s="148">
        <v>28040</v>
      </c>
      <c r="E18" s="149">
        <v>672020</v>
      </c>
      <c r="F18" s="58" t="s">
        <v>159</v>
      </c>
      <c r="G18" s="150"/>
      <c r="H18" s="151">
        <f>K18+N18</f>
        <v>69922.61</v>
      </c>
      <c r="I18" s="117"/>
      <c r="J18" s="207"/>
      <c r="K18" s="165">
        <f>+Q18+W18</f>
        <v>61591.43</v>
      </c>
      <c r="L18" s="154" t="s">
        <v>150</v>
      </c>
      <c r="M18" s="152"/>
      <c r="N18" s="165">
        <f>+T18+Z18</f>
        <v>8331.18</v>
      </c>
      <c r="O18" s="117" t="s">
        <v>150</v>
      </c>
      <c r="P18" s="152"/>
      <c r="Q18" s="167">
        <v>58245.98</v>
      </c>
      <c r="R18" s="58"/>
      <c r="T18" s="167">
        <v>7908.02</v>
      </c>
      <c r="U18" s="117"/>
      <c r="V18" s="208"/>
      <c r="W18" s="167">
        <v>3345.45</v>
      </c>
      <c r="X18" s="161"/>
      <c r="Y18" s="159"/>
      <c r="Z18" s="167">
        <v>423.16</v>
      </c>
      <c r="AE18" s="171">
        <v>672020</v>
      </c>
      <c r="AF18" s="210"/>
    </row>
    <row r="19" spans="2:33" ht="14.25" customHeight="1" x14ac:dyDescent="0.25">
      <c r="B19" s="147" t="s">
        <v>144</v>
      </c>
      <c r="C19" s="148">
        <v>6011</v>
      </c>
      <c r="D19" s="148">
        <v>28040</v>
      </c>
      <c r="E19" s="149">
        <v>672030</v>
      </c>
      <c r="F19" s="58" t="s">
        <v>160</v>
      </c>
      <c r="G19" s="150"/>
      <c r="H19" s="151">
        <f>K19+N19</f>
        <v>0</v>
      </c>
      <c r="I19" s="117"/>
      <c r="J19" s="207"/>
      <c r="K19" s="153">
        <f>+Q19+W19</f>
        <v>0</v>
      </c>
      <c r="L19" s="154" t="s">
        <v>147</v>
      </c>
      <c r="M19" s="152"/>
      <c r="N19" s="153">
        <f>+T19+Z19</f>
        <v>0</v>
      </c>
      <c r="O19" s="117" t="s">
        <v>147</v>
      </c>
      <c r="P19" s="152"/>
      <c r="Q19" s="158"/>
      <c r="R19" s="58"/>
      <c r="S19" s="152"/>
      <c r="T19" s="158"/>
      <c r="U19" s="117"/>
      <c r="V19" s="208"/>
      <c r="W19" s="158"/>
      <c r="X19" s="161"/>
      <c r="Y19" s="159"/>
      <c r="Z19" s="158"/>
      <c r="AE19" s="157">
        <v>672030</v>
      </c>
      <c r="AF19" s="210"/>
    </row>
    <row r="20" spans="2:33" ht="14.25" customHeight="1" x14ac:dyDescent="0.25">
      <c r="B20" s="147" t="s">
        <v>144</v>
      </c>
      <c r="C20" s="148">
        <v>6011</v>
      </c>
      <c r="D20" s="148">
        <v>28040</v>
      </c>
      <c r="E20" s="149">
        <v>672040</v>
      </c>
      <c r="F20" s="58" t="s">
        <v>161</v>
      </c>
      <c r="G20" s="150"/>
      <c r="H20" s="151">
        <f>K20+N20</f>
        <v>662998.77</v>
      </c>
      <c r="I20" s="117"/>
      <c r="J20" s="207"/>
      <c r="K20" s="153">
        <f>+Q20+W20</f>
        <v>624290.34</v>
      </c>
      <c r="L20" s="154" t="s">
        <v>147</v>
      </c>
      <c r="M20" s="152"/>
      <c r="N20" s="153">
        <f>+T20+Z20</f>
        <v>38708.43</v>
      </c>
      <c r="O20" s="117" t="s">
        <v>147</v>
      </c>
      <c r="P20" s="152"/>
      <c r="Q20" s="158">
        <v>624749.21</v>
      </c>
      <c r="R20" s="58"/>
      <c r="S20" s="152"/>
      <c r="T20" s="158">
        <v>44072.56</v>
      </c>
      <c r="U20" s="117"/>
      <c r="V20" s="208"/>
      <c r="W20" s="158">
        <v>-458.87</v>
      </c>
      <c r="X20" s="161"/>
      <c r="Y20" s="159"/>
      <c r="Z20" s="158">
        <f>+-64.13-5300</f>
        <v>-5364.13</v>
      </c>
      <c r="AD20" s="79">
        <v>-64.13</v>
      </c>
      <c r="AE20" s="157">
        <v>672040</v>
      </c>
      <c r="AF20" s="210"/>
      <c r="AG20" s="210"/>
    </row>
    <row r="21" spans="2:33" ht="14.25" customHeight="1" x14ac:dyDescent="0.25">
      <c r="B21" s="147" t="s">
        <v>144</v>
      </c>
      <c r="C21" s="148">
        <v>6011</v>
      </c>
      <c r="D21" s="148">
        <v>28040</v>
      </c>
      <c r="E21" s="149">
        <v>672050</v>
      </c>
      <c r="F21" s="58" t="s">
        <v>162</v>
      </c>
      <c r="G21" s="150"/>
      <c r="H21" s="151">
        <f>K21+N21</f>
        <v>-714160.8</v>
      </c>
      <c r="I21" s="117"/>
      <c r="J21" s="211"/>
      <c r="K21" s="153">
        <f>+Q21+W21</f>
        <v>-626519.04000000004</v>
      </c>
      <c r="L21" s="154" t="s">
        <v>147</v>
      </c>
      <c r="M21" s="152"/>
      <c r="N21" s="212">
        <f>+T21+Z21</f>
        <v>-87641.760000000009</v>
      </c>
      <c r="O21" s="117" t="s">
        <v>147</v>
      </c>
      <c r="P21" s="152"/>
      <c r="Q21" s="158">
        <f>+-79.68-623441.35</f>
        <v>-623521.03</v>
      </c>
      <c r="R21" s="213"/>
      <c r="S21" s="214"/>
      <c r="T21" s="215">
        <f>+-94.97-87127.8</f>
        <v>-87222.77</v>
      </c>
      <c r="U21" s="117"/>
      <c r="V21" s="208"/>
      <c r="W21" s="158">
        <v>-2998.01</v>
      </c>
      <c r="X21" s="161"/>
      <c r="Y21" s="159"/>
      <c r="Z21" s="158">
        <v>-418.99</v>
      </c>
      <c r="AE21" s="157">
        <v>672050</v>
      </c>
      <c r="AF21" s="210"/>
      <c r="AG21" s="210"/>
    </row>
    <row r="22" spans="2:33" ht="14.25" customHeight="1" x14ac:dyDescent="0.25">
      <c r="B22" s="147"/>
      <c r="C22" s="193"/>
      <c r="D22" s="193"/>
      <c r="E22" s="194"/>
      <c r="F22" s="198" t="s">
        <v>163</v>
      </c>
      <c r="G22" s="216"/>
      <c r="H22" s="217">
        <f>SUM(H17:H21)</f>
        <v>3910676.24</v>
      </c>
      <c r="I22" s="117"/>
      <c r="J22" s="218"/>
      <c r="K22" s="106">
        <f>SUM(K17:K21)</f>
        <v>3296838.33</v>
      </c>
      <c r="L22" s="154"/>
      <c r="M22" s="219"/>
      <c r="N22" s="106">
        <f>SUM(N17:N21)</f>
        <v>613837.91000000015</v>
      </c>
      <c r="O22" s="117"/>
      <c r="P22" s="198"/>
      <c r="Q22" s="201">
        <f>SUM(Q17:Q21)</f>
        <v>3296949.7699999996</v>
      </c>
      <c r="R22" s="154"/>
      <c r="S22" s="105"/>
      <c r="T22" s="201">
        <f>SUM(T17:T21)</f>
        <v>619197.87000000011</v>
      </c>
      <c r="U22" s="117"/>
      <c r="V22" s="220"/>
      <c r="W22" s="221">
        <f>SUM(W17:W21)</f>
        <v>-111.44000000000051</v>
      </c>
      <c r="X22" s="161"/>
      <c r="Y22" s="159"/>
      <c r="Z22" s="201">
        <f>SUM(Z17:Z21)</f>
        <v>-5359.96</v>
      </c>
      <c r="AB22" s="202">
        <f>SUM(AB17:AB21)</f>
        <v>0</v>
      </c>
      <c r="AC22" s="202">
        <f>SUM(AC17:AC21)</f>
        <v>0</v>
      </c>
      <c r="AD22" s="202"/>
      <c r="AE22" s="194"/>
    </row>
    <row r="23" spans="2:33" ht="14.25" customHeight="1" x14ac:dyDescent="0.25">
      <c r="B23" s="147"/>
      <c r="C23" s="193"/>
      <c r="D23" s="193"/>
      <c r="E23" s="194"/>
      <c r="F23" s="222"/>
      <c r="G23" s="162"/>
      <c r="H23" s="203"/>
      <c r="I23" s="117"/>
      <c r="J23" s="207"/>
      <c r="K23" s="205"/>
      <c r="L23" s="204"/>
      <c r="M23" s="223"/>
      <c r="N23" s="205"/>
      <c r="O23" s="117"/>
      <c r="P23" s="198"/>
      <c r="Q23" s="76"/>
      <c r="R23" s="58"/>
      <c r="S23" s="58"/>
      <c r="T23" s="76"/>
      <c r="U23" s="117"/>
      <c r="V23" s="208"/>
      <c r="W23" s="224"/>
      <c r="X23" s="161"/>
      <c r="Y23" s="159"/>
      <c r="Z23" s="76"/>
      <c r="AE23" s="194"/>
    </row>
    <row r="24" spans="2:33" ht="14.25" customHeight="1" x14ac:dyDescent="0.25">
      <c r="B24" s="147" t="s">
        <v>144</v>
      </c>
      <c r="C24" s="148">
        <v>6011</v>
      </c>
      <c r="D24" s="148">
        <v>28040</v>
      </c>
      <c r="E24" s="149">
        <v>673020</v>
      </c>
      <c r="F24" s="58" t="s">
        <v>164</v>
      </c>
      <c r="G24" s="150"/>
      <c r="H24" s="151">
        <f>K24+N24</f>
        <v>65991.539999999994</v>
      </c>
      <c r="I24" s="117"/>
      <c r="J24" s="207"/>
      <c r="K24" s="153">
        <f t="shared" ref="K24:K37" si="4">+Q24+W24</f>
        <v>57899.56</v>
      </c>
      <c r="L24" s="154" t="s">
        <v>147</v>
      </c>
      <c r="M24" s="152"/>
      <c r="N24" s="153">
        <f t="shared" ref="N24:N33" si="5">+T24+Z24</f>
        <v>8091.98</v>
      </c>
      <c r="O24" s="117" t="s">
        <v>147</v>
      </c>
      <c r="P24" s="152"/>
      <c r="Q24" s="158">
        <v>57899.56</v>
      </c>
      <c r="R24" s="58"/>
      <c r="S24" s="152"/>
      <c r="T24" s="158">
        <v>8091.98</v>
      </c>
      <c r="U24" s="117"/>
      <c r="V24" s="208"/>
      <c r="W24" s="158"/>
      <c r="X24" s="225"/>
      <c r="Y24" s="225"/>
      <c r="Z24" s="158"/>
      <c r="AE24" s="157">
        <v>673020</v>
      </c>
    </row>
    <row r="25" spans="2:33" ht="14.25" customHeight="1" x14ac:dyDescent="0.25">
      <c r="B25" s="147" t="s">
        <v>144</v>
      </c>
      <c r="C25" s="148">
        <v>6011</v>
      </c>
      <c r="D25" s="148">
        <v>28040</v>
      </c>
      <c r="E25" s="149">
        <v>673030</v>
      </c>
      <c r="F25" s="58" t="s">
        <v>165</v>
      </c>
      <c r="G25" s="150"/>
      <c r="H25" s="151">
        <f t="shared" ref="H25:H37" si="6">K25+N25</f>
        <v>67948.34</v>
      </c>
      <c r="I25" s="117"/>
      <c r="J25" s="207"/>
      <c r="K25" s="153">
        <f t="shared" si="4"/>
        <v>61282.61</v>
      </c>
      <c r="L25" s="154" t="s">
        <v>147</v>
      </c>
      <c r="M25" s="152"/>
      <c r="N25" s="153">
        <f t="shared" si="5"/>
        <v>6665.73</v>
      </c>
      <c r="O25" s="117" t="s">
        <v>147</v>
      </c>
      <c r="P25" s="152"/>
      <c r="Q25" s="158">
        <v>61282.61</v>
      </c>
      <c r="R25" s="58"/>
      <c r="S25" s="152"/>
      <c r="T25" s="158">
        <v>6665.73</v>
      </c>
      <c r="U25" s="117"/>
      <c r="V25" s="208"/>
      <c r="W25" s="158"/>
      <c r="X25" s="225"/>
      <c r="Y25" s="225"/>
      <c r="Z25" s="158"/>
      <c r="AE25" s="157">
        <v>673030</v>
      </c>
    </row>
    <row r="26" spans="2:33" ht="14.25" customHeight="1" x14ac:dyDescent="0.25">
      <c r="B26" s="147" t="s">
        <v>144</v>
      </c>
      <c r="C26" s="148">
        <v>6011</v>
      </c>
      <c r="D26" s="148">
        <v>28040</v>
      </c>
      <c r="E26" s="149">
        <v>673040</v>
      </c>
      <c r="F26" s="58" t="s">
        <v>166</v>
      </c>
      <c r="G26" s="150"/>
      <c r="H26" s="151">
        <f t="shared" si="6"/>
        <v>0</v>
      </c>
      <c r="I26" s="117"/>
      <c r="J26" s="207"/>
      <c r="K26" s="165">
        <f t="shared" si="4"/>
        <v>0</v>
      </c>
      <c r="L26" s="154" t="s">
        <v>150</v>
      </c>
      <c r="M26" s="152"/>
      <c r="N26" s="165">
        <f>+T26+Z26</f>
        <v>0</v>
      </c>
      <c r="O26" s="117" t="s">
        <v>150</v>
      </c>
      <c r="P26" s="152"/>
      <c r="Q26" s="167"/>
      <c r="R26" s="58"/>
      <c r="S26" s="152"/>
      <c r="T26" s="167"/>
      <c r="U26" s="117"/>
      <c r="V26" s="208"/>
      <c r="W26" s="167"/>
      <c r="X26" s="225"/>
      <c r="Y26" s="225"/>
      <c r="Z26" s="167"/>
      <c r="AE26" s="171">
        <v>673040</v>
      </c>
    </row>
    <row r="27" spans="2:33" ht="14.25" customHeight="1" x14ac:dyDescent="0.25">
      <c r="B27" s="147" t="s">
        <v>144</v>
      </c>
      <c r="C27" s="148">
        <v>6011</v>
      </c>
      <c r="D27" s="148">
        <v>28040</v>
      </c>
      <c r="E27" s="149">
        <v>673050</v>
      </c>
      <c r="F27" s="58" t="s">
        <v>167</v>
      </c>
      <c r="G27" s="150"/>
      <c r="H27" s="151">
        <f t="shared" si="6"/>
        <v>0</v>
      </c>
      <c r="I27" s="117"/>
      <c r="J27" s="207"/>
      <c r="K27" s="165">
        <f t="shared" si="4"/>
        <v>0</v>
      </c>
      <c r="L27" s="154" t="s">
        <v>150</v>
      </c>
      <c r="M27" s="152"/>
      <c r="N27" s="153">
        <f t="shared" si="5"/>
        <v>0</v>
      </c>
      <c r="O27" s="117" t="s">
        <v>147</v>
      </c>
      <c r="P27" s="152"/>
      <c r="Q27" s="167"/>
      <c r="R27" s="58"/>
      <c r="S27" s="152"/>
      <c r="T27" s="167"/>
      <c r="U27" s="117"/>
      <c r="V27" s="208"/>
      <c r="W27" s="167"/>
      <c r="X27" s="225"/>
      <c r="Y27" s="225"/>
      <c r="Z27" s="167"/>
      <c r="AE27" s="157">
        <v>673050</v>
      </c>
    </row>
    <row r="28" spans="2:33" ht="14.25" customHeight="1" x14ac:dyDescent="0.25">
      <c r="B28" s="147" t="s">
        <v>144</v>
      </c>
      <c r="C28" s="148">
        <v>6011</v>
      </c>
      <c r="D28" s="148">
        <v>28040</v>
      </c>
      <c r="E28" s="149">
        <v>673060</v>
      </c>
      <c r="F28" s="58" t="s">
        <v>168</v>
      </c>
      <c r="G28" s="150"/>
      <c r="H28" s="151">
        <f t="shared" si="6"/>
        <v>0</v>
      </c>
      <c r="I28" s="117"/>
      <c r="J28" s="207"/>
      <c r="K28" s="165">
        <f t="shared" si="4"/>
        <v>0</v>
      </c>
      <c r="L28" s="154" t="s">
        <v>150</v>
      </c>
      <c r="M28" s="152"/>
      <c r="N28" s="153">
        <f t="shared" si="5"/>
        <v>0</v>
      </c>
      <c r="O28" s="117" t="s">
        <v>147</v>
      </c>
      <c r="P28" s="152"/>
      <c r="Q28" s="167"/>
      <c r="R28" s="58"/>
      <c r="S28" s="152"/>
      <c r="T28" s="158"/>
      <c r="U28" s="117"/>
      <c r="V28" s="208"/>
      <c r="W28" s="167"/>
      <c r="X28" s="225"/>
      <c r="Y28" s="225"/>
      <c r="Z28" s="158"/>
      <c r="AE28" s="157">
        <v>673060</v>
      </c>
    </row>
    <row r="29" spans="2:33" ht="14.25" customHeight="1" x14ac:dyDescent="0.25">
      <c r="B29" s="147" t="s">
        <v>144</v>
      </c>
      <c r="C29" s="148">
        <v>6011</v>
      </c>
      <c r="D29" s="148">
        <v>28040</v>
      </c>
      <c r="E29" s="149">
        <v>673070</v>
      </c>
      <c r="F29" s="58" t="s">
        <v>169</v>
      </c>
      <c r="G29" s="150"/>
      <c r="H29" s="151">
        <f t="shared" si="6"/>
        <v>0</v>
      </c>
      <c r="I29" s="117"/>
      <c r="J29" s="207"/>
      <c r="K29" s="165">
        <f t="shared" si="4"/>
        <v>0</v>
      </c>
      <c r="L29" s="154" t="s">
        <v>150</v>
      </c>
      <c r="M29" s="152"/>
      <c r="N29" s="153">
        <f t="shared" si="5"/>
        <v>0</v>
      </c>
      <c r="O29" s="117" t="s">
        <v>147</v>
      </c>
      <c r="P29" s="152"/>
      <c r="Q29" s="167"/>
      <c r="R29" s="58"/>
      <c r="S29" s="152"/>
      <c r="T29" s="158"/>
      <c r="U29" s="117"/>
      <c r="V29" s="208"/>
      <c r="W29" s="167"/>
      <c r="X29" s="225"/>
      <c r="Y29" s="225"/>
      <c r="Z29" s="158"/>
      <c r="AE29" s="157">
        <v>673070</v>
      </c>
    </row>
    <row r="30" spans="2:33" ht="14.25" customHeight="1" x14ac:dyDescent="0.25">
      <c r="B30" s="147" t="s">
        <v>144</v>
      </c>
      <c r="C30" s="148">
        <v>6011</v>
      </c>
      <c r="D30" s="148">
        <v>28040</v>
      </c>
      <c r="E30" s="149">
        <v>673080</v>
      </c>
      <c r="F30" s="58" t="s">
        <v>170</v>
      </c>
      <c r="G30" s="150"/>
      <c r="H30" s="151">
        <f t="shared" si="6"/>
        <v>18758.960000000003</v>
      </c>
      <c r="I30" s="117"/>
      <c r="J30" s="207"/>
      <c r="K30" s="153">
        <f t="shared" si="4"/>
        <v>17029.240000000002</v>
      </c>
      <c r="L30" s="154" t="s">
        <v>147</v>
      </c>
      <c r="M30" s="152"/>
      <c r="N30" s="153">
        <f t="shared" si="5"/>
        <v>1729.72</v>
      </c>
      <c r="O30" s="117" t="s">
        <v>147</v>
      </c>
      <c r="P30" s="152"/>
      <c r="Q30" s="158">
        <v>17029.240000000002</v>
      </c>
      <c r="R30" s="58"/>
      <c r="S30" s="152"/>
      <c r="T30" s="158">
        <v>1729.72</v>
      </c>
      <c r="U30" s="117"/>
      <c r="V30" s="208"/>
      <c r="W30" s="158"/>
      <c r="X30" s="225"/>
      <c r="Y30" s="225"/>
      <c r="Z30" s="158"/>
      <c r="AE30" s="157">
        <v>673080</v>
      </c>
    </row>
    <row r="31" spans="2:33" ht="14.25" customHeight="1" x14ac:dyDescent="0.25">
      <c r="B31" s="147" t="s">
        <v>144</v>
      </c>
      <c r="C31" s="148">
        <v>6011</v>
      </c>
      <c r="D31" s="148">
        <v>28040</v>
      </c>
      <c r="E31" s="149">
        <v>673090</v>
      </c>
      <c r="F31" s="58" t="s">
        <v>171</v>
      </c>
      <c r="G31" s="150"/>
      <c r="H31" s="151">
        <f t="shared" si="6"/>
        <v>0</v>
      </c>
      <c r="I31" s="117"/>
      <c r="J31" s="207"/>
      <c r="K31" s="165">
        <f t="shared" si="4"/>
        <v>0</v>
      </c>
      <c r="L31" s="154" t="s">
        <v>150</v>
      </c>
      <c r="M31" s="152"/>
      <c r="N31" s="165">
        <f>+T31+Z31</f>
        <v>0</v>
      </c>
      <c r="O31" s="117" t="s">
        <v>150</v>
      </c>
      <c r="P31" s="152"/>
      <c r="Q31" s="167"/>
      <c r="R31" s="58"/>
      <c r="S31" s="152"/>
      <c r="T31" s="167"/>
      <c r="U31" s="117"/>
      <c r="V31" s="208"/>
      <c r="W31" s="167"/>
      <c r="X31" s="225"/>
      <c r="Y31" s="225"/>
      <c r="Z31" s="167"/>
      <c r="AE31" s="171">
        <v>673090</v>
      </c>
    </row>
    <row r="32" spans="2:33" ht="14.25" customHeight="1" x14ac:dyDescent="0.25">
      <c r="B32" s="147" t="s">
        <v>144</v>
      </c>
      <c r="C32" s="148">
        <v>6011</v>
      </c>
      <c r="D32" s="148">
        <v>28040</v>
      </c>
      <c r="E32" s="149">
        <v>673120</v>
      </c>
      <c r="F32" s="58" t="s">
        <v>172</v>
      </c>
      <c r="G32" s="150"/>
      <c r="H32" s="151">
        <f t="shared" si="6"/>
        <v>154345.57</v>
      </c>
      <c r="I32" s="117"/>
      <c r="J32" s="207"/>
      <c r="K32" s="153">
        <f t="shared" si="4"/>
        <v>135419.44</v>
      </c>
      <c r="L32" s="154" t="s">
        <v>147</v>
      </c>
      <c r="M32" s="152"/>
      <c r="N32" s="153">
        <f t="shared" si="5"/>
        <v>18926.13</v>
      </c>
      <c r="O32" s="117" t="s">
        <v>147</v>
      </c>
      <c r="P32" s="152"/>
      <c r="Q32" s="158">
        <v>131962.56</v>
      </c>
      <c r="R32" s="58"/>
      <c r="S32" s="152"/>
      <c r="T32" s="158">
        <v>18443</v>
      </c>
      <c r="U32" s="117"/>
      <c r="V32" s="208"/>
      <c r="W32" s="158">
        <v>3456.88</v>
      </c>
      <c r="X32" s="225"/>
      <c r="Y32" s="225"/>
      <c r="Z32" s="158">
        <v>483.13</v>
      </c>
      <c r="AE32" s="157">
        <v>673120</v>
      </c>
    </row>
    <row r="33" spans="2:31" ht="14.25" customHeight="1" x14ac:dyDescent="0.25">
      <c r="B33" s="147" t="s">
        <v>144</v>
      </c>
      <c r="C33" s="148">
        <v>6011</v>
      </c>
      <c r="D33" s="148">
        <v>28040</v>
      </c>
      <c r="E33" s="149">
        <v>673130</v>
      </c>
      <c r="F33" s="58" t="s">
        <v>173</v>
      </c>
      <c r="G33" s="150"/>
      <c r="H33" s="151">
        <f t="shared" si="6"/>
        <v>108.5</v>
      </c>
      <c r="I33" s="117"/>
      <c r="J33" s="207"/>
      <c r="K33" s="153">
        <f t="shared" si="4"/>
        <v>97.86</v>
      </c>
      <c r="L33" s="154" t="s">
        <v>147</v>
      </c>
      <c r="M33" s="152"/>
      <c r="N33" s="153">
        <f t="shared" si="5"/>
        <v>10.64</v>
      </c>
      <c r="O33" s="117" t="s">
        <v>147</v>
      </c>
      <c r="P33" s="152"/>
      <c r="Q33" s="158">
        <v>97.86</v>
      </c>
      <c r="R33" s="58"/>
      <c r="S33" s="152"/>
      <c r="T33" s="158">
        <v>10.64</v>
      </c>
      <c r="U33" s="117"/>
      <c r="V33" s="226"/>
      <c r="W33" s="155"/>
      <c r="X33" s="115"/>
      <c r="Y33" s="156"/>
      <c r="Z33" s="155"/>
      <c r="AE33" s="157">
        <v>673130</v>
      </c>
    </row>
    <row r="34" spans="2:31" ht="14.25" customHeight="1" x14ac:dyDescent="0.25">
      <c r="B34" s="147" t="s">
        <v>144</v>
      </c>
      <c r="C34" s="148">
        <v>6011</v>
      </c>
      <c r="D34" s="148">
        <v>28040</v>
      </c>
      <c r="E34" s="149">
        <v>673140</v>
      </c>
      <c r="F34" s="58" t="s">
        <v>174</v>
      </c>
      <c r="G34" s="150"/>
      <c r="H34" s="151">
        <f t="shared" si="6"/>
        <v>0</v>
      </c>
      <c r="I34" s="117"/>
      <c r="J34" s="207"/>
      <c r="K34" s="165">
        <f t="shared" si="4"/>
        <v>0</v>
      </c>
      <c r="L34" s="154" t="s">
        <v>150</v>
      </c>
      <c r="M34" s="152"/>
      <c r="N34" s="165">
        <f>+T34+Z34</f>
        <v>0</v>
      </c>
      <c r="O34" s="117" t="s">
        <v>150</v>
      </c>
      <c r="P34" s="152"/>
      <c r="Q34" s="167"/>
      <c r="R34" s="58"/>
      <c r="S34" s="152"/>
      <c r="T34" s="167"/>
      <c r="U34" s="117"/>
      <c r="V34" s="226"/>
      <c r="W34" s="174"/>
      <c r="X34" s="115"/>
      <c r="Y34" s="156"/>
      <c r="Z34" s="174"/>
      <c r="AE34" s="171">
        <v>673140</v>
      </c>
    </row>
    <row r="35" spans="2:31" ht="14.25" customHeight="1" x14ac:dyDescent="0.25">
      <c r="B35" s="147" t="s">
        <v>144</v>
      </c>
      <c r="C35" s="148">
        <v>6011</v>
      </c>
      <c r="D35" s="148">
        <v>28040</v>
      </c>
      <c r="E35" s="149">
        <v>673160</v>
      </c>
      <c r="F35" s="58" t="s">
        <v>175</v>
      </c>
      <c r="G35" s="150"/>
      <c r="H35" s="151">
        <f t="shared" si="6"/>
        <v>0</v>
      </c>
      <c r="I35" s="117"/>
      <c r="J35" s="207"/>
      <c r="K35" s="165">
        <f t="shared" si="4"/>
        <v>0</v>
      </c>
      <c r="L35" s="154" t="s">
        <v>150</v>
      </c>
      <c r="M35" s="152"/>
      <c r="N35" s="165">
        <f>+T35+Z35</f>
        <v>0</v>
      </c>
      <c r="O35" s="117" t="s">
        <v>150</v>
      </c>
      <c r="P35" s="152"/>
      <c r="Q35" s="167"/>
      <c r="R35" s="58"/>
      <c r="S35" s="152"/>
      <c r="T35" s="167"/>
      <c r="U35" s="117"/>
      <c r="V35" s="226"/>
      <c r="W35" s="174"/>
      <c r="X35" s="115"/>
      <c r="Y35" s="156"/>
      <c r="Z35" s="174"/>
      <c r="AE35" s="171">
        <v>673160</v>
      </c>
    </row>
    <row r="36" spans="2:31" ht="14.25" customHeight="1" x14ac:dyDescent="0.25">
      <c r="B36" s="147" t="s">
        <v>144</v>
      </c>
      <c r="C36" s="148">
        <v>6011</v>
      </c>
      <c r="D36" s="148">
        <v>28040</v>
      </c>
      <c r="E36" s="149">
        <v>673180</v>
      </c>
      <c r="F36" s="58" t="s">
        <v>176</v>
      </c>
      <c r="G36" s="150"/>
      <c r="H36" s="151">
        <f t="shared" si="6"/>
        <v>20166.84</v>
      </c>
      <c r="I36" s="117"/>
      <c r="J36" s="207"/>
      <c r="K36" s="153">
        <f>+Q36+W36</f>
        <v>18307.25</v>
      </c>
      <c r="L36" s="154" t="s">
        <v>147</v>
      </c>
      <c r="M36" s="152"/>
      <c r="N36" s="153">
        <f>+T36+Z36</f>
        <v>1859.59</v>
      </c>
      <c r="O36" s="117" t="s">
        <v>147</v>
      </c>
      <c r="P36" s="152"/>
      <c r="Q36" s="158">
        <v>18307.25</v>
      </c>
      <c r="R36" s="58"/>
      <c r="S36" s="152"/>
      <c r="T36" s="158">
        <v>1859.59</v>
      </c>
      <c r="U36" s="117"/>
      <c r="V36" s="226"/>
      <c r="W36" s="155"/>
      <c r="X36" s="115"/>
      <c r="Y36" s="156"/>
      <c r="Z36" s="155"/>
      <c r="AE36" s="157">
        <v>673180</v>
      </c>
    </row>
    <row r="37" spans="2:31" ht="14.25" customHeight="1" x14ac:dyDescent="0.25">
      <c r="B37" s="147" t="s">
        <v>144</v>
      </c>
      <c r="C37" s="148">
        <v>6011</v>
      </c>
      <c r="D37" s="148">
        <v>28040</v>
      </c>
      <c r="E37" s="149">
        <v>673190</v>
      </c>
      <c r="F37" s="188" t="s">
        <v>177</v>
      </c>
      <c r="G37" s="150"/>
      <c r="H37" s="227">
        <f t="shared" si="6"/>
        <v>0</v>
      </c>
      <c r="I37" s="117"/>
      <c r="J37" s="207"/>
      <c r="K37" s="165">
        <f t="shared" si="4"/>
        <v>0</v>
      </c>
      <c r="L37" s="154" t="s">
        <v>150</v>
      </c>
      <c r="M37" s="214"/>
      <c r="N37" s="165">
        <f>+T37+Z37</f>
        <v>0</v>
      </c>
      <c r="O37" s="117" t="s">
        <v>150</v>
      </c>
      <c r="P37" s="214"/>
      <c r="Q37" s="174"/>
      <c r="R37" s="58"/>
      <c r="S37" s="214"/>
      <c r="T37" s="192"/>
      <c r="U37" s="117"/>
      <c r="V37" s="228"/>
      <c r="W37" s="174"/>
      <c r="X37" s="115"/>
      <c r="Y37" s="156"/>
      <c r="Z37" s="174"/>
      <c r="AE37" s="171">
        <v>673190</v>
      </c>
    </row>
    <row r="38" spans="2:31" ht="15" x14ac:dyDescent="0.25">
      <c r="F38" s="58" t="s">
        <v>178</v>
      </c>
      <c r="G38" s="216"/>
      <c r="H38" s="151">
        <f>SUM(H24:H37)</f>
        <v>327319.75000000006</v>
      </c>
      <c r="I38" s="117"/>
      <c r="J38" s="216"/>
      <c r="K38" s="106">
        <f>SUM(K24:K37)</f>
        <v>290035.95999999996</v>
      </c>
      <c r="L38" s="154"/>
      <c r="M38" s="58"/>
      <c r="N38" s="106">
        <f>SUM(N24:N37)</f>
        <v>37283.789999999994</v>
      </c>
      <c r="O38" s="117"/>
      <c r="P38" s="58"/>
      <c r="Q38" s="199">
        <f>SUM(Q24:Q37)</f>
        <v>286579.07999999996</v>
      </c>
      <c r="R38" s="154"/>
      <c r="S38" s="105"/>
      <c r="T38" s="199">
        <f>SUM(T24:T37)</f>
        <v>36800.659999999996</v>
      </c>
      <c r="U38" s="117"/>
      <c r="W38" s="199">
        <f>SUM(W24:W37)</f>
        <v>3456.88</v>
      </c>
      <c r="Y38" s="229"/>
      <c r="Z38" s="199">
        <f>SUM(Z24:Z37)</f>
        <v>483.13</v>
      </c>
      <c r="AB38" s="202">
        <f>SUM(AB24:AB37)</f>
        <v>0</v>
      </c>
      <c r="AC38" s="202">
        <f>SUM(AC24:AC37)</f>
        <v>0</v>
      </c>
      <c r="AD38" s="202"/>
    </row>
    <row r="39" spans="2:31" ht="14.1" customHeight="1" x14ac:dyDescent="0.25">
      <c r="F39" s="222"/>
      <c r="H39" s="230"/>
      <c r="I39" s="117"/>
      <c r="J39" s="216"/>
      <c r="K39" s="231"/>
      <c r="L39" s="232"/>
      <c r="M39" s="216"/>
      <c r="N39" s="231"/>
      <c r="O39" s="117"/>
      <c r="P39" s="105"/>
      <c r="Q39" s="106"/>
      <c r="R39" s="58"/>
      <c r="S39" s="105"/>
      <c r="T39" s="106"/>
      <c r="U39" s="117"/>
      <c r="V39" s="233"/>
      <c r="W39" s="195"/>
      <c r="Z39" s="107"/>
      <c r="AB39" s="116"/>
      <c r="AC39" s="116"/>
      <c r="AD39" s="116"/>
    </row>
    <row r="40" spans="2:31" ht="15.75" customHeight="1" x14ac:dyDescent="0.25">
      <c r="F40" s="105" t="s">
        <v>179</v>
      </c>
      <c r="G40" s="216">
        <f>+G38+G22+G15</f>
        <v>8912133</v>
      </c>
      <c r="H40" s="151">
        <f>+H38+H22+H15</f>
        <v>6488452.6799999997</v>
      </c>
      <c r="I40" s="117"/>
      <c r="J40" s="234">
        <f>+J38+J22+J15</f>
        <v>6765641</v>
      </c>
      <c r="K40" s="199">
        <f>+K38+K22+K15</f>
        <v>5378918.3300000001</v>
      </c>
      <c r="L40" s="235"/>
      <c r="M40" s="234">
        <f>+M38+M22+M15</f>
        <v>2146492</v>
      </c>
      <c r="N40" s="199">
        <f>+N38+N22+N15</f>
        <v>1109534.3500000001</v>
      </c>
      <c r="O40" s="135"/>
      <c r="P40" s="234">
        <f>+P38+P22+P15</f>
        <v>6765353</v>
      </c>
      <c r="Q40" s="199">
        <f>+Q38+Q22+Q15</f>
        <v>5371136.8599999994</v>
      </c>
      <c r="R40" s="85"/>
      <c r="S40" s="234">
        <f>+S38+S22+S15</f>
        <v>2146800</v>
      </c>
      <c r="T40" s="199">
        <f>+T38+T22+T15</f>
        <v>1115126.2400000002</v>
      </c>
      <c r="U40" s="117"/>
      <c r="V40" s="236">
        <f>+V38+V22+V15</f>
        <v>288</v>
      </c>
      <c r="W40" s="199">
        <f>+W38+W22+W15</f>
        <v>7781.4699999999993</v>
      </c>
      <c r="Y40" s="79">
        <f>+Y38+Y22+Y15</f>
        <v>-308</v>
      </c>
      <c r="Z40" s="199">
        <f>+Z38+Z22+Z15</f>
        <v>-5591.8899999999994</v>
      </c>
      <c r="AB40" s="202">
        <f>+AB38+AB22+AB15</f>
        <v>0</v>
      </c>
      <c r="AC40" s="202">
        <f>+AC38+AC22+AC15</f>
        <v>0</v>
      </c>
      <c r="AD40" s="202"/>
      <c r="AE40" s="210"/>
    </row>
    <row r="41" spans="2:31" ht="14.1" customHeight="1" x14ac:dyDescent="0.25">
      <c r="H41" s="237"/>
      <c r="I41" s="117"/>
      <c r="J41" s="162"/>
      <c r="K41" s="205"/>
      <c r="L41" s="232"/>
      <c r="M41" s="162"/>
      <c r="N41" s="205"/>
      <c r="O41" s="117"/>
      <c r="P41" s="58"/>
      <c r="Q41" s="53"/>
      <c r="R41" s="58"/>
      <c r="S41" s="58"/>
      <c r="T41" s="53"/>
      <c r="U41" s="117"/>
      <c r="W41" s="107"/>
      <c r="Z41" s="107"/>
    </row>
    <row r="42" spans="2:31" ht="14.1" customHeight="1" x14ac:dyDescent="0.25">
      <c r="C42" s="162" t="s">
        <v>180</v>
      </c>
      <c r="I42" s="117"/>
      <c r="J42" s="238" t="s">
        <v>75</v>
      </c>
      <c r="K42" s="239">
        <f>+K8+K9+K10+K11+K12+K13+K14+K18+K26+K27+K28+K29+K31+K34+K35+K37</f>
        <v>1649290.7199999995</v>
      </c>
      <c r="L42" s="232" t="s">
        <v>150</v>
      </c>
      <c r="M42" s="162"/>
      <c r="N42" s="240">
        <f>+N8+N9+N10+N11+N12+N13+N14+N18+N26+N31+N34+N35+N37+N27</f>
        <v>326344.52</v>
      </c>
      <c r="O42" s="241" t="s">
        <v>150</v>
      </c>
      <c r="P42" s="58"/>
      <c r="Q42" s="242">
        <f>+Q8+Q9+Q10+Q11+Q12+Q13+Q14+Q18+Q26+Q27+Q28+Q29+Q31+Q34+Q35+Q37</f>
        <v>1646063.8699999996</v>
      </c>
      <c r="R42" s="58"/>
      <c r="S42" s="238" t="s">
        <v>89</v>
      </c>
      <c r="T42" s="242">
        <f>+T8+T10+T9+T11+T12+T13+T14+T18+T26+T31+T34+T35+T37+T27</f>
        <v>326006.89000000007</v>
      </c>
      <c r="U42" s="117"/>
      <c r="W42" s="242">
        <f>+W8+W9+W10+W11+W12+W13+W14+W18+W26+W27+W28+W29+W31+W34+W35+W37</f>
        <v>3226.85</v>
      </c>
      <c r="Z42" s="242">
        <f>Z9+Z10+Z11+Z12+Z13+Z14+Z18+Z26+Z31+Z34+Z35+Z37+Z8+Z27</f>
        <v>337.63</v>
      </c>
      <c r="AB42" s="243">
        <f>+AB8+AB9+AB10+AB11+AB12+AB13+AB14+AB18+AB26+AB27+AB28+AB29+AB31+AB34+AB35+AB37</f>
        <v>0</v>
      </c>
      <c r="AC42" s="243">
        <f>+AC6+AC8+AC9+AC10+AC11+AC12+AC13+AC14+AC18+AC26+AC31+AC34+AC35+AC37</f>
        <v>0</v>
      </c>
    </row>
    <row r="43" spans="2:31" ht="14.1" customHeight="1" x14ac:dyDescent="0.25">
      <c r="C43" s="162" t="s">
        <v>181</v>
      </c>
      <c r="I43" s="117"/>
      <c r="J43" s="238" t="s">
        <v>75</v>
      </c>
      <c r="K43" s="239">
        <f>+K6+K7+K17+K24+K25+K30+K32+K33+K36+K19+K20+K21</f>
        <v>3729627.6100000003</v>
      </c>
      <c r="L43" s="232" t="s">
        <v>147</v>
      </c>
      <c r="M43" s="162"/>
      <c r="N43" s="240">
        <f>N6+N7+N17+N24+N25+N30+N32+N33+N36+N19+N20+N21+N29+N28</f>
        <v>783189.83000000007</v>
      </c>
      <c r="O43" s="241" t="s">
        <v>147</v>
      </c>
      <c r="P43" s="58"/>
      <c r="Q43" s="244">
        <f>Q6+Q7+Q17+Q24+Q25+Q30+Q32+Q33+Q36+Q19+Q20+Q21</f>
        <v>3725072.9899999993</v>
      </c>
      <c r="R43" s="58"/>
      <c r="S43" s="238" t="s">
        <v>89</v>
      </c>
      <c r="T43" s="244">
        <f>+T7+T6+T17+T24+T25+T30+T32+T33+T36+T19+T20+T21+T29+T28</f>
        <v>789119.34999999986</v>
      </c>
      <c r="U43" s="117"/>
      <c r="W43" s="244">
        <f>W6+W7+W17+W24+W25+W30+W32+W33+W36+W19+W20+W21</f>
        <v>4554.62</v>
      </c>
      <c r="Z43" s="244">
        <f>+Z7+Z17+Z24+Z25+Z30+Z32+Z33+Z36+Z19+Z20+Z21+Z29+Z28+Z6</f>
        <v>-5929.5199999999995</v>
      </c>
      <c r="AB43" s="245">
        <f>AB6+AB7+AB17+AB24+AB25+AB30+AB32+AB33+AB36</f>
        <v>0</v>
      </c>
      <c r="AC43" s="245">
        <f>+AC7+AC17+AC24+AC25+AC27+AC28+AC29+AC30+AC32+AC33+AC36</f>
        <v>0</v>
      </c>
    </row>
    <row r="44" spans="2:31" ht="15" customHeight="1" x14ac:dyDescent="0.25">
      <c r="C44" s="162" t="s">
        <v>85</v>
      </c>
      <c r="I44" s="117"/>
      <c r="J44" s="162"/>
      <c r="K44" s="199">
        <f>SUM(K42:K43)</f>
        <v>5378918.3300000001</v>
      </c>
      <c r="L44" s="246"/>
      <c r="M44" s="162"/>
      <c r="N44" s="199">
        <f>SUM(N42:N43)</f>
        <v>1109534.3500000001</v>
      </c>
      <c r="O44" s="117"/>
      <c r="P44" s="58"/>
      <c r="Q44" s="199">
        <f>SUM(Q42:Q43)</f>
        <v>5371136.8599999994</v>
      </c>
      <c r="R44" s="58"/>
      <c r="S44" s="58"/>
      <c r="T44" s="199">
        <f>SUM(T42:T43)</f>
        <v>1115126.24</v>
      </c>
      <c r="U44" s="117"/>
      <c r="W44" s="199">
        <f>SUM(W42:W43)</f>
        <v>7781.4699999999993</v>
      </c>
      <c r="Z44" s="199">
        <f>SUM(Z42:Z43)</f>
        <v>-5591.8899999999994</v>
      </c>
      <c r="AB44" s="247">
        <f>SUM(AB42:AB43)</f>
        <v>0</v>
      </c>
      <c r="AC44" s="247">
        <f>SUM(AC42:AC43)</f>
        <v>0</v>
      </c>
      <c r="AD44" s="248"/>
    </row>
    <row r="45" spans="2:31" ht="15" customHeight="1" x14ac:dyDescent="0.25">
      <c r="L45" s="111"/>
    </row>
    <row r="46" spans="2:31" ht="15" customHeight="1" x14ac:dyDescent="0.25">
      <c r="J46" s="58" t="s">
        <v>182</v>
      </c>
      <c r="K46" s="249">
        <f>K44+N44</f>
        <v>6488452.6799999997</v>
      </c>
      <c r="P46" s="250" t="s">
        <v>183</v>
      </c>
      <c r="Q46" s="251">
        <f>Q44-Q11-Q12-Q13</f>
        <v>6051776.3999999994</v>
      </c>
      <c r="R46" s="111"/>
      <c r="S46" s="250" t="s">
        <v>183</v>
      </c>
      <c r="T46" s="251">
        <f>T44-T11-T12-T13</f>
        <v>1115174.48</v>
      </c>
      <c r="W46" s="210"/>
      <c r="Z46" s="44">
        <f>+Z44+W44</f>
        <v>2189.58</v>
      </c>
      <c r="AE46" s="58" t="s">
        <v>184</v>
      </c>
    </row>
    <row r="47" spans="2:31" ht="15" customHeight="1" x14ac:dyDescent="0.25">
      <c r="F47" s="252"/>
      <c r="K47" s="253"/>
      <c r="P47" s="254" t="s">
        <v>185</v>
      </c>
      <c r="Q47" s="255">
        <f>W44</f>
        <v>7781.4699999999993</v>
      </c>
      <c r="R47" s="162"/>
      <c r="S47" s="254" t="s">
        <v>185</v>
      </c>
      <c r="T47" s="255">
        <f>Z44</f>
        <v>-5591.8899999999994</v>
      </c>
      <c r="W47" s="79" t="s">
        <v>186</v>
      </c>
      <c r="Z47" s="210"/>
    </row>
    <row r="48" spans="2:31" ht="15" customHeight="1" x14ac:dyDescent="0.25">
      <c r="F48" s="252"/>
      <c r="G48" s="79" t="s">
        <v>187</v>
      </c>
      <c r="Q48" s="256">
        <f>Q46+Q47</f>
        <v>6059557.8699999992</v>
      </c>
      <c r="R48" s="257"/>
      <c r="S48" s="257"/>
      <c r="T48" s="256">
        <f>T46+T47</f>
        <v>1109582.5900000001</v>
      </c>
      <c r="U48" s="257"/>
      <c r="V48" s="257"/>
      <c r="W48" s="258">
        <f>Q11+Q12+Q13+T11+T12+T13</f>
        <v>-680687.78</v>
      </c>
      <c r="Z48" s="259"/>
    </row>
    <row r="49" spans="2:26" ht="15" customHeight="1" x14ac:dyDescent="0.25">
      <c r="F49" s="252"/>
      <c r="L49" s="260"/>
      <c r="M49" s="261" t="s">
        <v>90</v>
      </c>
      <c r="N49" s="262" t="s">
        <v>188</v>
      </c>
      <c r="Q49" s="263"/>
      <c r="T49" s="263"/>
      <c r="Z49" s="259"/>
    </row>
    <row r="50" spans="2:26" ht="14.1" customHeight="1" x14ac:dyDescent="0.25">
      <c r="L50" s="127"/>
      <c r="M50" s="261" t="s">
        <v>189</v>
      </c>
      <c r="N50" s="262" t="s">
        <v>190</v>
      </c>
      <c r="P50" s="85"/>
      <c r="Z50" s="259"/>
    </row>
    <row r="51" spans="2:26" ht="14.1" customHeight="1" x14ac:dyDescent="0.25">
      <c r="B51" s="79"/>
      <c r="L51" s="127"/>
      <c r="M51" s="261" t="s">
        <v>191</v>
      </c>
      <c r="N51" s="262" t="s">
        <v>192</v>
      </c>
    </row>
    <row r="52" spans="2:26" ht="14.1" customHeight="1" x14ac:dyDescent="0.25">
      <c r="B52" s="264"/>
      <c r="L52" s="127"/>
      <c r="M52" s="261" t="s">
        <v>193</v>
      </c>
      <c r="N52" s="262" t="s">
        <v>194</v>
      </c>
    </row>
    <row r="53" spans="2:26" ht="14.1" customHeight="1" x14ac:dyDescent="0.25">
      <c r="L53" s="127"/>
      <c r="M53" s="261" t="s">
        <v>195</v>
      </c>
      <c r="N53" s="265" t="s">
        <v>196</v>
      </c>
    </row>
    <row r="54" spans="2:26" ht="14.1" customHeight="1" x14ac:dyDescent="0.25">
      <c r="L54" s="127"/>
      <c r="M54" s="261" t="s">
        <v>197</v>
      </c>
      <c r="N54" s="262" t="s">
        <v>198</v>
      </c>
    </row>
    <row r="55" spans="2:26" ht="14.1" customHeight="1" x14ac:dyDescent="0.25">
      <c r="L55" s="127"/>
      <c r="M55" s="261" t="s">
        <v>199</v>
      </c>
      <c r="N55" s="262" t="s">
        <v>200</v>
      </c>
    </row>
    <row r="56" spans="2:26" ht="14.1" customHeight="1" x14ac:dyDescent="0.25">
      <c r="L56" s="127"/>
      <c r="M56" s="261" t="s">
        <v>201</v>
      </c>
      <c r="N56" s="262" t="s">
        <v>202</v>
      </c>
    </row>
    <row r="57" spans="2:26" ht="14.1" customHeight="1" x14ac:dyDescent="0.25">
      <c r="L57" s="111"/>
      <c r="M57" s="266"/>
      <c r="N57" s="262" t="s">
        <v>203</v>
      </c>
    </row>
    <row r="58" spans="2:26" ht="14.1" customHeight="1" thickBot="1" x14ac:dyDescent="0.3">
      <c r="P58" s="267" t="s">
        <v>143</v>
      </c>
      <c r="Q58" s="268"/>
      <c r="R58" s="267"/>
      <c r="S58" s="267" t="s">
        <v>143</v>
      </c>
      <c r="T58" s="268"/>
    </row>
    <row r="59" spans="2:26" ht="14.1" customHeight="1" x14ac:dyDescent="0.25">
      <c r="B59" s="79"/>
      <c r="J59" s="269" t="s">
        <v>204</v>
      </c>
      <c r="K59" s="270" t="s">
        <v>205</v>
      </c>
      <c r="L59" s="85"/>
      <c r="M59" s="77">
        <v>6011</v>
      </c>
      <c r="N59" s="262" t="s">
        <v>206</v>
      </c>
      <c r="P59" s="85" t="e">
        <f ca="1">[3]!SSGXA4(N$55&amp;"-"&amp;J59&amp;"-"&amp;$M59&amp;"-"&amp;$N59,N$49,N$51,N$52,N$53,N$54)</f>
        <v>#NAME?</v>
      </c>
      <c r="Q59" s="81" t="e">
        <f ca="1">[3]!SSGXA4(N$55&amp;"-"&amp;J59&amp;"-"&amp;$M59&amp;"-"&amp;$N59,N$50,N$51,N$52,N$53,N$54)</f>
        <v>#NAME?</v>
      </c>
      <c r="R59" s="162">
        <v>-1</v>
      </c>
      <c r="S59" s="85" t="e">
        <f ca="1">[3]!SSGXA4(N$55&amp;"-"&amp;K59&amp;"-"&amp;$M59&amp;"-"&amp;$N59,N$49,N$51,N$52,N$53,N$54)</f>
        <v>#NAME?</v>
      </c>
      <c r="T59" s="81" t="e">
        <f ca="1">[3]!SSGXA4(N$55&amp;"-"&amp;K59&amp;"-"&amp;$M59&amp;"-"&amp;$N59,N$50,N$51,N$52,N$53,N$54)</f>
        <v>#NAME?</v>
      </c>
      <c r="U59" s="271">
        <v>-4</v>
      </c>
    </row>
    <row r="60" spans="2:26" ht="14.1" customHeight="1" x14ac:dyDescent="0.25">
      <c r="J60" s="269" t="s">
        <v>204</v>
      </c>
      <c r="K60" s="270" t="s">
        <v>205</v>
      </c>
      <c r="L60" s="85"/>
      <c r="M60" s="77">
        <v>6011</v>
      </c>
      <c r="N60" s="77">
        <v>28082</v>
      </c>
      <c r="P60" s="85" t="e">
        <f ca="1">[3]!SSGXA4(N$55&amp;"-"&amp;J60&amp;"-"&amp;$M60&amp;"-"&amp;$N60,N$49,N$51,N$52,N$53,N$54)</f>
        <v>#NAME?</v>
      </c>
      <c r="Q60" s="272" t="e">
        <f ca="1">[3]!SSGXA4(N$55&amp;"-"&amp;N$56&amp;"-"&amp;$M60&amp;"-"&amp;$N60,N$50,N$51,N$52,N$53,N$54)</f>
        <v>#NAME?</v>
      </c>
      <c r="R60" s="162">
        <v>-2</v>
      </c>
      <c r="S60" s="81"/>
      <c r="T60" s="272"/>
      <c r="U60" s="271"/>
    </row>
    <row r="61" spans="2:26" ht="15" x14ac:dyDescent="0.25">
      <c r="J61" s="269" t="s">
        <v>204</v>
      </c>
      <c r="K61" s="270" t="s">
        <v>205</v>
      </c>
      <c r="L61" s="85"/>
      <c r="M61" s="77">
        <v>6011</v>
      </c>
      <c r="N61" s="77">
        <v>28120</v>
      </c>
      <c r="P61" s="85" t="e">
        <f ca="1">[3]!SSGXA4(N$55&amp;"-"&amp;J61&amp;"-"&amp;$M61&amp;"-"&amp;$N61,N$49,N$51,N$52,N$53,N$54)</f>
        <v>#NAME?</v>
      </c>
      <c r="Q61" s="81" t="e">
        <f ca="1">[3]!SSGXA4(N$55&amp;"-"&amp;J61&amp;"-"&amp;$M61&amp;"-"&amp;$N61,N$50,N$51,N$52,N$53,N$54)</f>
        <v>#NAME?</v>
      </c>
      <c r="R61" s="162">
        <v>-3</v>
      </c>
      <c r="S61" s="85" t="e">
        <f ca="1">[3]!SSGXA4(N$55&amp;"-"&amp;K61&amp;"-"&amp;$M61&amp;"-"&amp;$N61,N$49,N$51,N$52,N$53,N$54)</f>
        <v>#NAME?</v>
      </c>
      <c r="T61" s="81" t="e">
        <f ca="1">[3]!SSGXA4(N$55&amp;"-"&amp;K61&amp;"-"&amp;$M61&amp;"-"&amp;$N61,N$50,N$51,N$52,N$53,N$54)</f>
        <v>#NAME?</v>
      </c>
      <c r="U61" s="271">
        <v>-5</v>
      </c>
    </row>
    <row r="62" spans="2:26" ht="14.1" customHeight="1" x14ac:dyDescent="0.25">
      <c r="B62" s="78"/>
      <c r="P62" s="85"/>
      <c r="Q62" s="273" t="e">
        <f ca="1">SUM(Q59:Q61)</f>
        <v>#NAME?</v>
      </c>
      <c r="R62" s="134"/>
      <c r="S62" s="134"/>
      <c r="T62" s="273" t="e">
        <f ca="1">SUM(T59:T61)</f>
        <v>#NAME?</v>
      </c>
      <c r="U62" s="85"/>
    </row>
    <row r="63" spans="2:26" ht="14.1" customHeight="1" x14ac:dyDescent="0.25">
      <c r="P63" s="274"/>
      <c r="Q63" s="275"/>
      <c r="R63" s="274"/>
      <c r="S63" s="274"/>
      <c r="T63" s="275"/>
      <c r="U63" s="85"/>
    </row>
    <row r="69" spans="17:22" ht="14.1" customHeight="1" x14ac:dyDescent="0.25">
      <c r="Q69" s="79">
        <v>9776852</v>
      </c>
      <c r="S69" s="79">
        <v>2278617.61</v>
      </c>
      <c r="T69" s="79">
        <v>2102518</v>
      </c>
      <c r="V69" s="79">
        <v>317389.78000000003</v>
      </c>
    </row>
    <row r="71" spans="17:22" ht="14.1" customHeight="1" x14ac:dyDescent="0.25">
      <c r="S71" s="276">
        <f>+S69/Q69</f>
        <v>0.23306250416800825</v>
      </c>
      <c r="V71" s="276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E624F-BCFA-4FA7-927A-19C60A8ABBA5}">
  <dimension ref="B1:AK112"/>
  <sheetViews>
    <sheetView showGridLines="0" topLeftCell="A4" zoomScaleNormal="100" workbookViewId="0">
      <selection activeCell="I28" sqref="I28"/>
    </sheetView>
  </sheetViews>
  <sheetFormatPr defaultRowHeight="12.75" x14ac:dyDescent="0.2"/>
  <cols>
    <col min="1" max="1" width="1.7109375" customWidth="1"/>
    <col min="2" max="2" width="21.7109375" style="15" customWidth="1"/>
    <col min="3" max="3" width="26.140625" style="16" customWidth="1"/>
    <col min="4" max="4" width="3.5703125" style="18" hidden="1" customWidth="1"/>
    <col min="5" max="5" width="4" style="18" bestFit="1" customWidth="1"/>
    <col min="6" max="6" width="13.7109375" style="18" customWidth="1"/>
    <col min="7" max="7" width="15" style="48" bestFit="1" customWidth="1"/>
    <col min="8" max="8" width="12.140625" style="32" customWidth="1"/>
    <col min="9" max="9" width="11.85546875" style="32" bestFit="1" customWidth="1"/>
    <col min="10" max="10" width="14" style="32" bestFit="1" customWidth="1"/>
    <col min="11" max="12" width="16.140625" style="32" bestFit="1" customWidth="1"/>
    <col min="13" max="13" width="14.5703125" style="32" bestFit="1" customWidth="1"/>
    <col min="14" max="14" width="16.85546875" style="32" bestFit="1" customWidth="1"/>
    <col min="15" max="15" width="16.85546875" style="32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88" t="s">
        <v>115</v>
      </c>
      <c r="C1" s="89"/>
      <c r="E1" s="82" t="s">
        <v>81</v>
      </c>
      <c r="F1" s="82"/>
      <c r="G1" s="82"/>
      <c r="H1" s="82"/>
      <c r="I1" s="82"/>
      <c r="J1" s="82"/>
      <c r="K1" s="82"/>
      <c r="L1" s="2"/>
      <c r="M1" s="2"/>
      <c r="N1" s="2"/>
      <c r="O1" s="2"/>
      <c r="P1" s="2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2:37" ht="14.25" customHeight="1" x14ac:dyDescent="0.25">
      <c r="B2" s="88" t="s">
        <v>116</v>
      </c>
      <c r="C2" s="89"/>
      <c r="D2" s="59"/>
      <c r="E2" s="82"/>
      <c r="F2" s="82"/>
      <c r="G2" s="82"/>
      <c r="H2" s="82"/>
      <c r="I2" s="82"/>
      <c r="J2" s="82"/>
      <c r="K2" s="82"/>
      <c r="L2" s="60" t="s">
        <v>0</v>
      </c>
      <c r="M2" s="60"/>
      <c r="N2" s="60"/>
      <c r="O2" s="60"/>
      <c r="P2" s="60"/>
    </row>
    <row r="3" spans="2:37" ht="14.25" customHeight="1" x14ac:dyDescent="0.25">
      <c r="B3" s="90" t="s">
        <v>117</v>
      </c>
      <c r="C3" s="90"/>
      <c r="D3" s="59"/>
      <c r="E3" s="83"/>
      <c r="F3" s="84">
        <f>'Core Cost Incurred'!B2</f>
        <v>43337</v>
      </c>
      <c r="G3" s="84"/>
      <c r="H3" s="84"/>
      <c r="I3" s="84"/>
      <c r="J3" s="84"/>
      <c r="K3" s="84"/>
      <c r="L3" s="61" t="s">
        <v>1</v>
      </c>
      <c r="M3" s="61"/>
      <c r="N3" s="61"/>
      <c r="O3" s="61"/>
      <c r="P3" s="61"/>
    </row>
    <row r="4" spans="2:37" ht="14.25" customHeight="1" x14ac:dyDescent="0.25">
      <c r="B4" s="91" t="s">
        <v>118</v>
      </c>
      <c r="C4" s="91"/>
      <c r="D4" s="59"/>
      <c r="E4" s="83"/>
      <c r="F4" s="84"/>
      <c r="G4" s="84"/>
      <c r="H4" s="84"/>
      <c r="I4" s="84"/>
      <c r="J4" s="84"/>
      <c r="K4" s="84"/>
      <c r="L4" s="62" t="s">
        <v>2</v>
      </c>
      <c r="M4" s="62"/>
      <c r="N4" s="62"/>
      <c r="O4" s="62"/>
      <c r="P4" s="62"/>
    </row>
    <row r="5" spans="2:37" ht="14.25" customHeight="1" x14ac:dyDescent="0.2">
      <c r="D5" s="59"/>
      <c r="E5" s="83"/>
      <c r="F5" s="83"/>
      <c r="G5" s="83"/>
      <c r="H5" s="83"/>
      <c r="I5" s="83"/>
      <c r="J5" s="83"/>
      <c r="K5" s="83"/>
      <c r="L5" s="2"/>
      <c r="M5" s="2"/>
      <c r="N5" s="2"/>
      <c r="O5" s="2"/>
      <c r="P5" s="2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2:37" x14ac:dyDescent="0.2">
      <c r="B6" s="3"/>
      <c r="C6" s="4"/>
      <c r="D6" s="5"/>
      <c r="E6" s="5"/>
      <c r="F6" s="5"/>
      <c r="G6" s="80" t="s">
        <v>82</v>
      </c>
      <c r="H6" s="63" t="s">
        <v>83</v>
      </c>
      <c r="I6" s="63" t="s">
        <v>84</v>
      </c>
      <c r="J6" s="63" t="s">
        <v>3</v>
      </c>
      <c r="K6" s="63" t="s">
        <v>83</v>
      </c>
      <c r="L6" s="63" t="s">
        <v>84</v>
      </c>
      <c r="M6" s="63"/>
      <c r="N6" s="63" t="s">
        <v>85</v>
      </c>
      <c r="O6" s="92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6"/>
    </row>
    <row r="7" spans="2:37" ht="15" x14ac:dyDescent="0.25">
      <c r="B7" s="7"/>
      <c r="C7" s="8"/>
      <c r="D7" s="9"/>
      <c r="E7" s="9"/>
      <c r="F7" s="7" t="s">
        <v>4</v>
      </c>
      <c r="G7" s="80" t="s">
        <v>108</v>
      </c>
      <c r="H7" s="63" t="s">
        <v>5</v>
      </c>
      <c r="I7" s="63" t="s">
        <v>5</v>
      </c>
      <c r="J7" s="63" t="s">
        <v>6</v>
      </c>
      <c r="K7" s="63" t="s">
        <v>86</v>
      </c>
      <c r="L7" s="63" t="s">
        <v>86</v>
      </c>
      <c r="M7" s="63" t="s">
        <v>3</v>
      </c>
      <c r="N7" s="63" t="s">
        <v>3</v>
      </c>
      <c r="O7" s="92"/>
      <c r="Q7" s="23"/>
      <c r="R7" s="93">
        <v>200294.94</v>
      </c>
      <c r="S7" s="23"/>
      <c r="T7" s="23"/>
      <c r="U7" s="93">
        <v>140046.39000000001</v>
      </c>
      <c r="V7" s="23"/>
      <c r="W7" s="23"/>
      <c r="X7" s="23"/>
      <c r="Y7" s="23"/>
      <c r="Z7" s="23"/>
      <c r="AA7" s="23"/>
      <c r="AB7" s="23"/>
      <c r="AC7" s="10"/>
      <c r="AD7" s="11"/>
    </row>
    <row r="8" spans="2:37" s="14" customFormat="1" ht="15" x14ac:dyDescent="0.25">
      <c r="B8" s="64"/>
      <c r="C8" s="65"/>
      <c r="D8" s="64" t="s">
        <v>7</v>
      </c>
      <c r="E8" s="64" t="s">
        <v>8</v>
      </c>
      <c r="F8" s="64" t="s">
        <v>8</v>
      </c>
      <c r="G8" s="94" t="s">
        <v>87</v>
      </c>
      <c r="H8" s="66" t="s">
        <v>119</v>
      </c>
      <c r="I8" s="66" t="str">
        <f>+H8</f>
        <v>Sep 1 2017</v>
      </c>
      <c r="J8" s="66" t="str">
        <f>I8</f>
        <v>Sep 1 2017</v>
      </c>
      <c r="K8" s="67" t="s">
        <v>88</v>
      </c>
      <c r="L8" s="67" t="s">
        <v>88</v>
      </c>
      <c r="M8" s="67" t="s">
        <v>6</v>
      </c>
      <c r="N8" s="67" t="s">
        <v>88</v>
      </c>
      <c r="O8" s="92"/>
      <c r="P8"/>
      <c r="Q8" s="93">
        <v>11214374</v>
      </c>
      <c r="R8" s="93">
        <f>2345597.06+78799.97+56688.77</f>
        <v>2481085.8000000003</v>
      </c>
      <c r="S8" s="23"/>
      <c r="T8" s="93">
        <v>2845776</v>
      </c>
      <c r="U8" s="93">
        <v>459339.89</v>
      </c>
      <c r="V8" s="23"/>
      <c r="W8" s="23"/>
      <c r="X8" s="23"/>
      <c r="Y8" s="23"/>
      <c r="Z8" s="23"/>
      <c r="AA8" s="23"/>
      <c r="AB8" s="23"/>
      <c r="AC8" s="12"/>
      <c r="AD8" s="11" t="s">
        <v>9</v>
      </c>
      <c r="AE8" s="11" t="s">
        <v>10</v>
      </c>
      <c r="AF8" s="11" t="s">
        <v>11</v>
      </c>
      <c r="AG8" s="13" t="s">
        <v>12</v>
      </c>
      <c r="AH8" s="11" t="s">
        <v>13</v>
      </c>
      <c r="AI8" s="11" t="s">
        <v>14</v>
      </c>
      <c r="AJ8" s="11" t="s">
        <v>15</v>
      </c>
      <c r="AK8" s="11" t="s">
        <v>16</v>
      </c>
    </row>
    <row r="9" spans="2:37" ht="15.75" x14ac:dyDescent="0.25">
      <c r="B9" s="68" t="s">
        <v>17</v>
      </c>
      <c r="C9" s="16" t="s">
        <v>18</v>
      </c>
      <c r="D9" s="17">
        <v>1</v>
      </c>
      <c r="E9" s="18" t="s">
        <v>19</v>
      </c>
      <c r="F9" s="19" t="s">
        <v>120</v>
      </c>
      <c r="G9" s="20">
        <v>566</v>
      </c>
      <c r="H9" s="69">
        <v>0.27335999999999999</v>
      </c>
      <c r="I9" s="69">
        <v>0.16533</v>
      </c>
      <c r="J9" s="69">
        <v>5.3220000000000003E-2</v>
      </c>
      <c r="K9" s="21">
        <f>ROUND(H9*G9,2)</f>
        <v>154.72</v>
      </c>
      <c r="L9" s="21">
        <f>ROUND(G9*I9,2)</f>
        <v>93.58</v>
      </c>
      <c r="M9" s="95">
        <f>ROUND(G9*J9,2)</f>
        <v>30.12</v>
      </c>
      <c r="N9" s="96">
        <f>SUM(K9:M9)</f>
        <v>278.42</v>
      </c>
      <c r="O9" s="26"/>
      <c r="Q9" s="22" t="s">
        <v>20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3"/>
      <c r="AD9" t="s">
        <v>21</v>
      </c>
      <c r="AG9" s="23">
        <v>0</v>
      </c>
      <c r="AK9" t="s">
        <v>22</v>
      </c>
    </row>
    <row r="10" spans="2:37" ht="15.75" x14ac:dyDescent="0.25">
      <c r="B10" s="68" t="s">
        <v>17</v>
      </c>
      <c r="C10" s="16" t="s">
        <v>23</v>
      </c>
      <c r="D10" s="17">
        <v>1</v>
      </c>
      <c r="E10" s="18" t="s">
        <v>24</v>
      </c>
      <c r="F10" s="19" t="s">
        <v>121</v>
      </c>
      <c r="G10" s="24">
        <v>0</v>
      </c>
      <c r="H10" s="70">
        <f>$H$9</f>
        <v>0.27335999999999999</v>
      </c>
      <c r="I10" s="70">
        <f>$I$9</f>
        <v>0.16533</v>
      </c>
      <c r="J10" s="70">
        <f>$J$9</f>
        <v>5.3220000000000003E-2</v>
      </c>
      <c r="K10" s="21">
        <f>ROUND(H10*G10,2)</f>
        <v>0</v>
      </c>
      <c r="L10" s="21">
        <f>ROUND(G10*I10,2)</f>
        <v>0</v>
      </c>
      <c r="M10" s="97">
        <f>ROUND(G10*J10,2)</f>
        <v>0</v>
      </c>
      <c r="N10" s="21">
        <f>SUM(K10:M10)</f>
        <v>0</v>
      </c>
      <c r="O10" s="26"/>
      <c r="Q10" s="98">
        <f>+-1529533-194708</f>
        <v>-1724241</v>
      </c>
      <c r="R10" s="98">
        <f>+-304369.99-70364.48</f>
        <v>-374734.47</v>
      </c>
      <c r="S10" s="22"/>
      <c r="T10" s="75">
        <f>+-505447-64182</f>
        <v>-569629</v>
      </c>
      <c r="U10" s="75">
        <f>+-100581.61-23194.4</f>
        <v>-123776.01000000001</v>
      </c>
      <c r="V10" s="22"/>
      <c r="W10" s="22"/>
      <c r="X10" s="22"/>
      <c r="Y10" s="22"/>
      <c r="Z10" s="22"/>
      <c r="AA10" s="22"/>
      <c r="AB10" s="22"/>
      <c r="AC10" s="23"/>
      <c r="AD10" t="s">
        <v>21</v>
      </c>
      <c r="AG10" s="23">
        <v>0</v>
      </c>
      <c r="AK10" t="s">
        <v>25</v>
      </c>
    </row>
    <row r="11" spans="2:37" ht="15.75" x14ac:dyDescent="0.25">
      <c r="B11" s="68" t="s">
        <v>17</v>
      </c>
      <c r="C11" s="16" t="s">
        <v>26</v>
      </c>
      <c r="D11" s="17">
        <v>1</v>
      </c>
      <c r="E11" s="18" t="s">
        <v>27</v>
      </c>
      <c r="F11" s="19" t="s">
        <v>122</v>
      </c>
      <c r="G11" s="20">
        <v>2714543</v>
      </c>
      <c r="H11" s="70">
        <f t="shared" ref="H11:H13" si="0">$H$9</f>
        <v>0.27335999999999999</v>
      </c>
      <c r="I11" s="69">
        <v>0.16786000000000001</v>
      </c>
      <c r="J11" s="70">
        <f>$J$9</f>
        <v>5.3220000000000003E-2</v>
      </c>
      <c r="K11" s="21">
        <f>ROUND(H11*G11,2)</f>
        <v>742047.47</v>
      </c>
      <c r="L11" s="21">
        <f>ROUND(G11*I11,2)</f>
        <v>455663.19</v>
      </c>
      <c r="M11" s="97">
        <f>ROUND(G11*J11,2)</f>
        <v>144467.98000000001</v>
      </c>
      <c r="N11" s="96">
        <f>SUM(K11:M11)</f>
        <v>1342178.64</v>
      </c>
      <c r="O11" s="26"/>
      <c r="Q11" s="75"/>
      <c r="R11" s="75"/>
      <c r="S11" s="75"/>
      <c r="T11" s="75"/>
      <c r="U11" s="75"/>
      <c r="V11" s="22"/>
      <c r="W11" s="22"/>
      <c r="X11" s="22"/>
      <c r="Y11" s="22"/>
      <c r="Z11" s="22"/>
      <c r="AA11" s="22"/>
      <c r="AB11" s="22"/>
      <c r="AC11" s="23"/>
      <c r="AD11" t="s">
        <v>21</v>
      </c>
      <c r="AG11" s="23">
        <v>0</v>
      </c>
      <c r="AK11" t="s">
        <v>28</v>
      </c>
    </row>
    <row r="12" spans="2:37" ht="15.75" x14ac:dyDescent="0.25">
      <c r="B12" s="68" t="s">
        <v>29</v>
      </c>
      <c r="C12" s="16" t="s">
        <v>109</v>
      </c>
      <c r="D12" s="17">
        <v>1</v>
      </c>
      <c r="E12" s="18" t="s">
        <v>27</v>
      </c>
      <c r="F12" s="19" t="s">
        <v>122</v>
      </c>
      <c r="G12" s="25">
        <v>-2376801</v>
      </c>
      <c r="H12" s="70">
        <f t="shared" si="0"/>
        <v>0.27335999999999999</v>
      </c>
      <c r="I12" s="70">
        <f>$I$11</f>
        <v>0.16786000000000001</v>
      </c>
      <c r="J12" s="70">
        <f>$J$9</f>
        <v>5.3220000000000003E-2</v>
      </c>
      <c r="K12" s="21">
        <f>ROUND(H12*G12,2)</f>
        <v>-649722.31999999995</v>
      </c>
      <c r="L12" s="21">
        <f>ROUND(G12*I12,2)</f>
        <v>-398969.82</v>
      </c>
      <c r="M12" s="97"/>
      <c r="N12" s="96">
        <f>SUM(K12:M12)</f>
        <v>-1048692.1399999999</v>
      </c>
      <c r="O12" s="26"/>
      <c r="Q12" s="99"/>
      <c r="R12" s="99"/>
      <c r="S12" s="99"/>
      <c r="T12" s="99"/>
      <c r="U12" s="99"/>
      <c r="V12" s="27"/>
      <c r="W12" s="27"/>
      <c r="X12" s="27"/>
      <c r="Y12" s="27"/>
      <c r="Z12" s="27"/>
      <c r="AA12" s="27"/>
      <c r="AB12" s="27"/>
      <c r="AC12" s="23"/>
      <c r="AD12" t="s">
        <v>21</v>
      </c>
      <c r="AG12" s="23">
        <v>0</v>
      </c>
      <c r="AK12" t="s">
        <v>28</v>
      </c>
    </row>
    <row r="13" spans="2:37" ht="15.75" x14ac:dyDescent="0.25">
      <c r="B13" s="68" t="s">
        <v>29</v>
      </c>
      <c r="C13" s="16" t="s">
        <v>110</v>
      </c>
      <c r="D13" s="17">
        <v>1</v>
      </c>
      <c r="E13" s="18" t="s">
        <v>27</v>
      </c>
      <c r="F13" s="19" t="s">
        <v>122</v>
      </c>
      <c r="G13" s="25">
        <v>1072372</v>
      </c>
      <c r="H13" s="70">
        <f t="shared" si="0"/>
        <v>0.27335999999999999</v>
      </c>
      <c r="I13" s="70">
        <f>$I$11</f>
        <v>0.16786000000000001</v>
      </c>
      <c r="J13" s="70">
        <f>$J$9</f>
        <v>5.3220000000000003E-2</v>
      </c>
      <c r="K13" s="21">
        <f>ROUND(H13*G13,2)</f>
        <v>293143.61</v>
      </c>
      <c r="L13" s="21">
        <f>ROUND(G13*I13,2)</f>
        <v>180008.36</v>
      </c>
      <c r="M13" s="97"/>
      <c r="N13" s="96">
        <f>SUM(K13:M13)</f>
        <v>473151.97</v>
      </c>
      <c r="O13" s="26"/>
      <c r="Q13" s="99"/>
      <c r="R13" s="99"/>
      <c r="S13" s="99"/>
      <c r="T13" s="99"/>
      <c r="U13" s="99"/>
      <c r="V13" s="27"/>
      <c r="W13" s="27"/>
      <c r="X13" s="27"/>
      <c r="Y13" s="27"/>
      <c r="Z13" s="27"/>
      <c r="AA13" s="27"/>
      <c r="AB13" s="27"/>
      <c r="AC13" s="23"/>
      <c r="AD13" t="s">
        <v>21</v>
      </c>
      <c r="AG13" s="23">
        <v>0</v>
      </c>
      <c r="AK13" t="s">
        <v>28</v>
      </c>
    </row>
    <row r="14" spans="2:37" ht="12" customHeight="1" x14ac:dyDescent="0.2">
      <c r="B14" s="68"/>
      <c r="D14" s="17"/>
      <c r="F14" s="19"/>
      <c r="G14" s="24"/>
      <c r="H14" s="70"/>
      <c r="I14" s="70"/>
      <c r="J14" s="70"/>
      <c r="K14" s="21"/>
      <c r="L14" s="21"/>
      <c r="M14" s="97"/>
      <c r="N14" s="21"/>
      <c r="O14" s="26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3"/>
      <c r="AG14" s="23"/>
    </row>
    <row r="15" spans="2:37" ht="15" x14ac:dyDescent="0.2">
      <c r="B15" s="68" t="s">
        <v>31</v>
      </c>
      <c r="C15" s="16" t="s">
        <v>32</v>
      </c>
      <c r="D15" s="17">
        <v>2</v>
      </c>
      <c r="E15" s="18" t="s">
        <v>19</v>
      </c>
      <c r="F15" s="19" t="s">
        <v>120</v>
      </c>
      <c r="G15" s="24"/>
      <c r="H15" s="70">
        <f t="shared" ref="H15:H18" si="1">$H$9</f>
        <v>0.27335999999999999</v>
      </c>
      <c r="I15" s="70">
        <f t="shared" ref="I15:I18" si="2">$I$9</f>
        <v>0.16533</v>
      </c>
      <c r="J15" s="70">
        <f t="shared" ref="J15:J18" si="3">$J$9</f>
        <v>5.3220000000000003E-2</v>
      </c>
      <c r="K15" s="21">
        <f>ROUND(H15*G15,2)</f>
        <v>0</v>
      </c>
      <c r="L15" s="21">
        <f>ROUND(G15*I15,2)</f>
        <v>0</v>
      </c>
      <c r="M15" s="97">
        <f>ROUND(G15*J15,2)</f>
        <v>0</v>
      </c>
      <c r="N15" s="21">
        <f>SUM(K15:M15)</f>
        <v>0</v>
      </c>
      <c r="O15" s="26"/>
      <c r="Q15" s="22" t="s">
        <v>20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3"/>
      <c r="AD15" t="s">
        <v>21</v>
      </c>
      <c r="AG15" s="23">
        <v>0</v>
      </c>
      <c r="AK15" t="s">
        <v>33</v>
      </c>
    </row>
    <row r="16" spans="2:37" ht="15.75" x14ac:dyDescent="0.25">
      <c r="B16" s="68" t="s">
        <v>31</v>
      </c>
      <c r="C16" s="16" t="s">
        <v>34</v>
      </c>
      <c r="D16" s="17">
        <v>2</v>
      </c>
      <c r="E16" s="18" t="s">
        <v>35</v>
      </c>
      <c r="F16" s="19" t="s">
        <v>123</v>
      </c>
      <c r="G16" s="20">
        <v>2801474</v>
      </c>
      <c r="H16" s="70">
        <f t="shared" si="1"/>
        <v>0.27335999999999999</v>
      </c>
      <c r="I16" s="70">
        <f t="shared" si="2"/>
        <v>0.16533</v>
      </c>
      <c r="J16" s="70">
        <f t="shared" si="3"/>
        <v>5.3220000000000003E-2</v>
      </c>
      <c r="K16" s="21">
        <f>ROUND(H16*G16,2)</f>
        <v>765810.93</v>
      </c>
      <c r="L16" s="21">
        <f>ROUND(G16*I16,2)</f>
        <v>463167.7</v>
      </c>
      <c r="M16" s="97">
        <f>ROUND(G16*J16,2)</f>
        <v>149094.45000000001</v>
      </c>
      <c r="N16" s="100">
        <f>SUM(K16:M16)</f>
        <v>1378073.08</v>
      </c>
      <c r="O16" s="101">
        <v>-0.02</v>
      </c>
      <c r="Q16" s="22" t="s">
        <v>20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3"/>
      <c r="AD16" t="s">
        <v>21</v>
      </c>
      <c r="AG16" s="23">
        <v>0</v>
      </c>
      <c r="AK16" t="s">
        <v>36</v>
      </c>
    </row>
    <row r="17" spans="2:37" ht="15.75" x14ac:dyDescent="0.25">
      <c r="B17" s="68" t="s">
        <v>37</v>
      </c>
      <c r="C17" s="16" t="s">
        <v>111</v>
      </c>
      <c r="D17" s="17">
        <v>2</v>
      </c>
      <c r="E17" s="18" t="s">
        <v>35</v>
      </c>
      <c r="F17" s="19" t="s">
        <v>123</v>
      </c>
      <c r="G17" s="25">
        <v>-2469451</v>
      </c>
      <c r="H17" s="70">
        <f t="shared" si="1"/>
        <v>0.27335999999999999</v>
      </c>
      <c r="I17" s="70">
        <f t="shared" si="2"/>
        <v>0.16533</v>
      </c>
      <c r="J17" s="70">
        <f t="shared" si="3"/>
        <v>5.3220000000000003E-2</v>
      </c>
      <c r="K17" s="21">
        <f>ROUND(H17*G17,2)</f>
        <v>-675049.13</v>
      </c>
      <c r="L17" s="21">
        <f>ROUND(G17*I17,2)</f>
        <v>-408274.33</v>
      </c>
      <c r="M17" s="97"/>
      <c r="N17" s="100">
        <f>SUM(K17:M17)</f>
        <v>-1083323.46</v>
      </c>
      <c r="O17" s="101"/>
      <c r="Q17" s="27" t="s">
        <v>30</v>
      </c>
      <c r="R17" s="27">
        <f>101807.82+3135667.8</f>
        <v>3237475.6199999996</v>
      </c>
      <c r="S17" s="27"/>
      <c r="T17" s="27"/>
      <c r="U17" s="99">
        <f>242253.38+412186.68</f>
        <v>654440.06000000006</v>
      </c>
      <c r="V17" s="27"/>
      <c r="W17" s="27"/>
      <c r="X17" s="27"/>
      <c r="Y17" s="27"/>
      <c r="Z17" s="27"/>
      <c r="AA17" s="27"/>
      <c r="AB17" s="27"/>
      <c r="AC17" s="23"/>
      <c r="AD17" t="s">
        <v>21</v>
      </c>
      <c r="AG17" s="23">
        <v>0</v>
      </c>
      <c r="AK17" t="s">
        <v>36</v>
      </c>
    </row>
    <row r="18" spans="2:37" ht="15.75" x14ac:dyDescent="0.25">
      <c r="B18" s="68" t="s">
        <v>37</v>
      </c>
      <c r="C18" s="16" t="s">
        <v>112</v>
      </c>
      <c r="D18" s="17">
        <v>2</v>
      </c>
      <c r="E18" s="18" t="s">
        <v>35</v>
      </c>
      <c r="F18" s="19" t="s">
        <v>123</v>
      </c>
      <c r="G18" s="25">
        <v>1246891</v>
      </c>
      <c r="H18" s="70">
        <f t="shared" si="1"/>
        <v>0.27335999999999999</v>
      </c>
      <c r="I18" s="70">
        <f t="shared" si="2"/>
        <v>0.16533</v>
      </c>
      <c r="J18" s="70">
        <f t="shared" si="3"/>
        <v>5.3220000000000003E-2</v>
      </c>
      <c r="K18" s="21">
        <f>ROUND(H18*G18,2)</f>
        <v>340850.12</v>
      </c>
      <c r="L18" s="21">
        <f>ROUND(G18*I18,2)</f>
        <v>206148.49</v>
      </c>
      <c r="M18" s="97"/>
      <c r="N18" s="96">
        <f>SUM(K18:M18)</f>
        <v>546998.61</v>
      </c>
      <c r="O18" s="26"/>
      <c r="Q18" s="27" t="s">
        <v>30</v>
      </c>
      <c r="R18" s="27">
        <v>55387.57</v>
      </c>
      <c r="S18" s="27"/>
      <c r="T18" s="27"/>
      <c r="U18" s="99">
        <v>7182.43</v>
      </c>
      <c r="V18" s="27"/>
      <c r="W18" s="27"/>
      <c r="X18" s="27"/>
      <c r="Y18" s="27"/>
      <c r="Z18" s="27"/>
      <c r="AA18" s="27"/>
      <c r="AB18" s="27"/>
      <c r="AC18" s="23"/>
      <c r="AD18" t="s">
        <v>21</v>
      </c>
      <c r="AG18" s="23">
        <v>0</v>
      </c>
      <c r="AK18" t="s">
        <v>36</v>
      </c>
    </row>
    <row r="19" spans="2:37" ht="12" customHeight="1" x14ac:dyDescent="0.2">
      <c r="B19" s="68"/>
      <c r="D19" s="17"/>
      <c r="F19" s="19"/>
      <c r="G19" s="24"/>
      <c r="H19" s="70"/>
      <c r="I19" s="70"/>
      <c r="J19" s="70"/>
      <c r="K19" s="21"/>
      <c r="L19" s="21"/>
      <c r="M19" s="97"/>
      <c r="N19" s="21"/>
      <c r="O19" s="26"/>
      <c r="Q19" s="28"/>
      <c r="R19" s="28"/>
      <c r="S19" s="28"/>
      <c r="T19" s="28"/>
      <c r="U19" s="75"/>
      <c r="V19" s="28"/>
      <c r="W19" s="28"/>
      <c r="X19" s="28"/>
      <c r="Y19" s="28"/>
      <c r="Z19" s="28"/>
      <c r="AA19" s="28"/>
      <c r="AB19" s="28"/>
      <c r="AC19" s="23"/>
      <c r="AG19" s="23"/>
    </row>
    <row r="20" spans="2:37" ht="15.75" x14ac:dyDescent="0.25">
      <c r="B20" s="68" t="s">
        <v>31</v>
      </c>
      <c r="C20" s="16" t="s">
        <v>38</v>
      </c>
      <c r="D20" s="17">
        <v>2</v>
      </c>
      <c r="E20" s="18" t="s">
        <v>39</v>
      </c>
      <c r="F20" s="19" t="s">
        <v>124</v>
      </c>
      <c r="G20" s="20">
        <v>395931</v>
      </c>
      <c r="H20" s="70">
        <f t="shared" ref="H20:H25" si="4">$H$9</f>
        <v>0.27335999999999999</v>
      </c>
      <c r="I20" s="69">
        <v>0.15284</v>
      </c>
      <c r="J20" s="70">
        <f t="shared" ref="J20:J25" si="5">$J$9</f>
        <v>5.3220000000000003E-2</v>
      </c>
      <c r="K20" s="21">
        <f t="shared" ref="K20:K25" si="6">ROUND(H20*G20,2)</f>
        <v>108231.7</v>
      </c>
      <c r="L20" s="21">
        <f t="shared" ref="L20:L25" si="7">ROUND(G20*I20,2)</f>
        <v>60514.09</v>
      </c>
      <c r="M20" s="97">
        <f t="shared" ref="M20:M25" si="8">ROUND(G20*J20,2)</f>
        <v>21071.45</v>
      </c>
      <c r="N20" s="102">
        <f t="shared" ref="N20:N25" si="9">SUM(K20:M20)</f>
        <v>189817.24</v>
      </c>
      <c r="O20" s="101">
        <v>2.0699999999999998</v>
      </c>
      <c r="Q20" s="22" t="s">
        <v>20</v>
      </c>
      <c r="R20" s="22">
        <v>625208.07999999996</v>
      </c>
      <c r="S20" s="22"/>
      <c r="T20" s="22"/>
      <c r="U20" s="75">
        <f>44136.69+5300</f>
        <v>49436.69</v>
      </c>
      <c r="V20" s="22"/>
      <c r="W20" s="22"/>
      <c r="X20" s="22"/>
      <c r="Y20" s="22"/>
      <c r="Z20" s="22"/>
      <c r="AA20" s="22"/>
      <c r="AB20" s="22"/>
      <c r="AC20" s="23"/>
      <c r="AD20" t="s">
        <v>21</v>
      </c>
      <c r="AG20" s="23">
        <v>0</v>
      </c>
      <c r="AK20" t="s">
        <v>40</v>
      </c>
    </row>
    <row r="21" spans="2:37" ht="15" x14ac:dyDescent="0.2">
      <c r="B21" s="68" t="s">
        <v>31</v>
      </c>
      <c r="C21" s="16" t="s">
        <v>41</v>
      </c>
      <c r="D21" s="17">
        <v>2</v>
      </c>
      <c r="E21" s="18" t="s">
        <v>42</v>
      </c>
      <c r="F21" s="19" t="s">
        <v>125</v>
      </c>
      <c r="G21" s="24"/>
      <c r="H21" s="70">
        <f t="shared" si="4"/>
        <v>0.27335999999999999</v>
      </c>
      <c r="I21" s="70">
        <f>$I$9</f>
        <v>0.16533</v>
      </c>
      <c r="J21" s="70">
        <f t="shared" si="5"/>
        <v>5.3220000000000003E-2</v>
      </c>
      <c r="K21" s="21">
        <f t="shared" si="6"/>
        <v>0</v>
      </c>
      <c r="L21" s="21">
        <f t="shared" si="7"/>
        <v>0</v>
      </c>
      <c r="M21" s="97">
        <f t="shared" si="8"/>
        <v>0</v>
      </c>
      <c r="N21" s="96">
        <f>SUM(K21:M21)</f>
        <v>0</v>
      </c>
      <c r="O21" s="26">
        <v>0.01</v>
      </c>
      <c r="Q21" s="22" t="s">
        <v>20</v>
      </c>
      <c r="R21" s="22">
        <f>+-128.04-565547.01</f>
        <v>-565675.05000000005</v>
      </c>
      <c r="S21" s="22"/>
      <c r="T21" s="22"/>
      <c r="U21" s="75">
        <f>+-193.7-79036.58</f>
        <v>-79230.28</v>
      </c>
      <c r="V21" s="22"/>
      <c r="W21" s="22"/>
      <c r="X21" s="22"/>
      <c r="Y21" s="22"/>
      <c r="Z21" s="22"/>
      <c r="AA21" s="22"/>
      <c r="AB21" s="22"/>
      <c r="AC21" s="29"/>
      <c r="AD21" t="s">
        <v>21</v>
      </c>
      <c r="AG21" s="23">
        <v>0</v>
      </c>
      <c r="AK21" t="s">
        <v>43</v>
      </c>
    </row>
    <row r="22" spans="2:37" ht="15" x14ac:dyDescent="0.2">
      <c r="B22" s="68" t="s">
        <v>31</v>
      </c>
      <c r="C22" s="16" t="s">
        <v>44</v>
      </c>
      <c r="D22" s="17">
        <v>2</v>
      </c>
      <c r="E22" s="18" t="s">
        <v>24</v>
      </c>
      <c r="F22" s="19" t="s">
        <v>121</v>
      </c>
      <c r="G22" s="24">
        <v>0</v>
      </c>
      <c r="H22" s="70">
        <f t="shared" si="4"/>
        <v>0.27335999999999999</v>
      </c>
      <c r="I22" s="70">
        <f>$I$9</f>
        <v>0.16533</v>
      </c>
      <c r="J22" s="70">
        <f t="shared" si="5"/>
        <v>5.3220000000000003E-2</v>
      </c>
      <c r="K22" s="21">
        <f t="shared" si="6"/>
        <v>0</v>
      </c>
      <c r="L22" s="21">
        <f t="shared" si="7"/>
        <v>0</v>
      </c>
      <c r="M22" s="97">
        <f t="shared" si="8"/>
        <v>0</v>
      </c>
      <c r="N22" s="21">
        <f t="shared" si="9"/>
        <v>0</v>
      </c>
      <c r="O22" s="26"/>
      <c r="Q22" s="22" t="s">
        <v>20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9"/>
      <c r="AD22" t="s">
        <v>21</v>
      </c>
      <c r="AG22" s="23">
        <v>0</v>
      </c>
      <c r="AK22" t="s">
        <v>45</v>
      </c>
    </row>
    <row r="23" spans="2:37" ht="15.75" x14ac:dyDescent="0.25">
      <c r="B23" s="68" t="s">
        <v>31</v>
      </c>
      <c r="C23" s="16" t="s">
        <v>38</v>
      </c>
      <c r="D23" s="17">
        <v>2</v>
      </c>
      <c r="E23" s="18" t="s">
        <v>39</v>
      </c>
      <c r="F23" s="19" t="s">
        <v>126</v>
      </c>
      <c r="G23" s="20">
        <v>124</v>
      </c>
      <c r="H23" s="70">
        <f t="shared" si="4"/>
        <v>0.27335999999999999</v>
      </c>
      <c r="I23" s="70">
        <f>+I25</f>
        <v>0.16533</v>
      </c>
      <c r="J23" s="70">
        <f t="shared" si="5"/>
        <v>5.3220000000000003E-2</v>
      </c>
      <c r="K23" s="21">
        <f t="shared" si="6"/>
        <v>33.9</v>
      </c>
      <c r="L23" s="21">
        <f t="shared" si="7"/>
        <v>20.5</v>
      </c>
      <c r="M23" s="97">
        <f t="shared" si="8"/>
        <v>6.6</v>
      </c>
      <c r="N23" s="100">
        <f t="shared" si="9"/>
        <v>61</v>
      </c>
      <c r="O23" s="101"/>
      <c r="Q23" s="22" t="s">
        <v>20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3"/>
      <c r="AD23" t="s">
        <v>21</v>
      </c>
      <c r="AG23" s="23">
        <v>0</v>
      </c>
      <c r="AK23" t="s">
        <v>40</v>
      </c>
    </row>
    <row r="24" spans="2:37" ht="15.75" x14ac:dyDescent="0.25">
      <c r="B24" s="68" t="s">
        <v>37</v>
      </c>
      <c r="C24" s="16" t="s">
        <v>46</v>
      </c>
      <c r="D24" s="17">
        <v>2</v>
      </c>
      <c r="E24" s="18" t="s">
        <v>39</v>
      </c>
      <c r="F24" s="19" t="s">
        <v>127</v>
      </c>
      <c r="G24" s="31">
        <v>-124</v>
      </c>
      <c r="H24" s="70">
        <f t="shared" si="4"/>
        <v>0.27335999999999999</v>
      </c>
      <c r="I24" s="70">
        <f>+I25</f>
        <v>0.16533</v>
      </c>
      <c r="J24" s="70">
        <f t="shared" si="5"/>
        <v>5.3220000000000003E-2</v>
      </c>
      <c r="K24" s="21">
        <f t="shared" si="6"/>
        <v>-33.9</v>
      </c>
      <c r="L24" s="21">
        <f t="shared" si="7"/>
        <v>-20.5</v>
      </c>
      <c r="M24" s="97">
        <f t="shared" si="8"/>
        <v>-6.6</v>
      </c>
      <c r="N24" s="100">
        <f t="shared" si="9"/>
        <v>-61</v>
      </c>
      <c r="O24" s="101"/>
      <c r="Q24" s="28"/>
      <c r="R24" s="28">
        <v>57899.56</v>
      </c>
      <c r="S24" s="28"/>
      <c r="T24" s="28"/>
      <c r="U24" s="75">
        <v>8091.98</v>
      </c>
      <c r="V24" s="28"/>
      <c r="W24" s="28"/>
      <c r="X24" s="28"/>
      <c r="Y24" s="28"/>
      <c r="Z24" s="28"/>
      <c r="AA24" s="28"/>
      <c r="AB24" s="28"/>
      <c r="AC24" s="30"/>
      <c r="AD24" t="s">
        <v>21</v>
      </c>
      <c r="AG24" s="23">
        <v>0</v>
      </c>
      <c r="AK24" t="s">
        <v>40</v>
      </c>
    </row>
    <row r="25" spans="2:37" ht="15.75" x14ac:dyDescent="0.25">
      <c r="B25" s="68" t="s">
        <v>37</v>
      </c>
      <c r="C25" s="16" t="s">
        <v>47</v>
      </c>
      <c r="D25" s="17">
        <v>2</v>
      </c>
      <c r="E25" s="18" t="s">
        <v>39</v>
      </c>
      <c r="F25" s="19" t="s">
        <v>127</v>
      </c>
      <c r="G25" s="31">
        <v>158</v>
      </c>
      <c r="H25" s="70">
        <f t="shared" si="4"/>
        <v>0.27335999999999999</v>
      </c>
      <c r="I25" s="70">
        <f>+I18</f>
        <v>0.16533</v>
      </c>
      <c r="J25" s="70">
        <f t="shared" si="5"/>
        <v>5.3220000000000003E-2</v>
      </c>
      <c r="K25" s="21">
        <f t="shared" si="6"/>
        <v>43.19</v>
      </c>
      <c r="L25" s="21">
        <f t="shared" si="7"/>
        <v>26.12</v>
      </c>
      <c r="M25" s="97">
        <f t="shared" si="8"/>
        <v>8.41</v>
      </c>
      <c r="N25" s="96">
        <f t="shared" si="9"/>
        <v>77.72</v>
      </c>
      <c r="O25" s="26"/>
      <c r="Q25" s="28"/>
      <c r="R25" s="28">
        <v>61282.61</v>
      </c>
      <c r="S25" s="28"/>
      <c r="T25" s="28"/>
      <c r="U25" s="75">
        <v>6665.73</v>
      </c>
      <c r="V25" s="28"/>
      <c r="W25" s="28"/>
      <c r="X25" s="28"/>
      <c r="Y25" s="28"/>
      <c r="Z25" s="28"/>
      <c r="AA25" s="28"/>
      <c r="AB25" s="28"/>
      <c r="AC25" s="30"/>
      <c r="AD25" t="s">
        <v>21</v>
      </c>
      <c r="AG25" s="23">
        <v>0</v>
      </c>
      <c r="AK25" t="s">
        <v>40</v>
      </c>
    </row>
    <row r="26" spans="2:37" ht="12" customHeight="1" x14ac:dyDescent="0.2">
      <c r="B26" s="68"/>
      <c r="D26" s="17"/>
      <c r="F26" s="19"/>
      <c r="G26" s="71"/>
      <c r="H26" s="72"/>
      <c r="I26" s="70"/>
      <c r="J26" s="70"/>
      <c r="K26" s="21"/>
      <c r="L26" s="21"/>
      <c r="M26" s="97"/>
      <c r="N26" s="21"/>
      <c r="O26" s="26"/>
      <c r="Q26" s="28"/>
      <c r="R26" s="28"/>
      <c r="S26" s="28"/>
      <c r="T26" s="28"/>
      <c r="U26" s="75"/>
      <c r="V26" s="28"/>
      <c r="W26" s="28"/>
      <c r="X26" s="28"/>
      <c r="Y26" s="28"/>
      <c r="Z26" s="28"/>
      <c r="AA26" s="28"/>
      <c r="AB26" s="28"/>
      <c r="AC26" s="30"/>
      <c r="AG26" s="23"/>
    </row>
    <row r="27" spans="2:37" ht="15.75" x14ac:dyDescent="0.25">
      <c r="B27" s="68" t="s">
        <v>48</v>
      </c>
      <c r="C27" s="16" t="s">
        <v>49</v>
      </c>
      <c r="D27" s="17">
        <v>3</v>
      </c>
      <c r="E27" s="18" t="s">
        <v>50</v>
      </c>
      <c r="F27" s="19" t="s">
        <v>128</v>
      </c>
      <c r="G27" s="20">
        <v>543579</v>
      </c>
      <c r="H27" s="70">
        <f t="shared" ref="H27:H29" si="10">$H$9</f>
        <v>0.27335999999999999</v>
      </c>
      <c r="I27" s="70">
        <f>$I$20</f>
        <v>0.15284</v>
      </c>
      <c r="J27" s="70">
        <f t="shared" ref="J27:J29" si="11">$J$9</f>
        <v>5.3220000000000003E-2</v>
      </c>
      <c r="K27" s="21">
        <f>ROUND(H27*G27,2)</f>
        <v>148592.76</v>
      </c>
      <c r="L27" s="21">
        <f>ROUND(G27*I27,2)</f>
        <v>83080.61</v>
      </c>
      <c r="M27" s="97">
        <f>ROUND(G27*J27,2)</f>
        <v>28929.27</v>
      </c>
      <c r="N27" s="96">
        <f>SUM(K27:M27)</f>
        <v>260602.63999999998</v>
      </c>
      <c r="O27" s="26">
        <v>-0.01</v>
      </c>
      <c r="Q27" s="22" t="s">
        <v>20</v>
      </c>
      <c r="R27" s="22">
        <v>49965.85</v>
      </c>
      <c r="S27" s="22"/>
      <c r="T27" s="22"/>
      <c r="U27" s="75">
        <v>5434.8</v>
      </c>
      <c r="V27" s="22"/>
      <c r="W27" s="22"/>
      <c r="X27" s="22"/>
      <c r="Y27" s="22"/>
      <c r="Z27" s="22"/>
      <c r="AA27" s="22"/>
      <c r="AB27" s="22"/>
      <c r="AC27" s="29"/>
      <c r="AD27" t="s">
        <v>21</v>
      </c>
      <c r="AG27" s="23">
        <v>0</v>
      </c>
      <c r="AK27" t="s">
        <v>51</v>
      </c>
    </row>
    <row r="28" spans="2:37" ht="15.75" x14ac:dyDescent="0.25">
      <c r="B28" s="68" t="s">
        <v>48</v>
      </c>
      <c r="C28" s="16" t="s">
        <v>52</v>
      </c>
      <c r="D28" s="17">
        <v>3</v>
      </c>
      <c r="E28" s="18" t="s">
        <v>39</v>
      </c>
      <c r="F28" s="19" t="s">
        <v>124</v>
      </c>
      <c r="G28" s="20">
        <v>255143</v>
      </c>
      <c r="H28" s="70">
        <f t="shared" si="10"/>
        <v>0.27335999999999999</v>
      </c>
      <c r="I28" s="70">
        <f>$I$20</f>
        <v>0.15284</v>
      </c>
      <c r="J28" s="70">
        <f t="shared" si="11"/>
        <v>5.3220000000000003E-2</v>
      </c>
      <c r="K28" s="21">
        <f>ROUND(H28*G28,2)</f>
        <v>69745.89</v>
      </c>
      <c r="L28" s="21">
        <f>ROUND(G28*I28,2)</f>
        <v>38996.06</v>
      </c>
      <c r="M28" s="97">
        <f>ROUND(G28*J28,2)</f>
        <v>13578.71</v>
      </c>
      <c r="N28" s="96">
        <f>SUM(K28:M28)</f>
        <v>122320.66</v>
      </c>
      <c r="O28" s="26"/>
      <c r="Q28" s="22" t="s">
        <v>20</v>
      </c>
      <c r="R28" s="22"/>
      <c r="S28" s="22"/>
      <c r="T28" s="22"/>
      <c r="U28" s="75"/>
      <c r="V28" s="22"/>
      <c r="W28" s="22"/>
      <c r="X28" s="22"/>
      <c r="Y28" s="22"/>
      <c r="Z28" s="22"/>
      <c r="AA28" s="22"/>
      <c r="AB28" s="22"/>
      <c r="AC28" s="29"/>
      <c r="AD28" t="s">
        <v>21</v>
      </c>
      <c r="AG28" s="23">
        <v>0</v>
      </c>
      <c r="AK28" t="s">
        <v>53</v>
      </c>
    </row>
    <row r="29" spans="2:37" ht="15" x14ac:dyDescent="0.2">
      <c r="B29" s="68" t="s">
        <v>48</v>
      </c>
      <c r="C29" s="16" t="s">
        <v>54</v>
      </c>
      <c r="D29" s="17">
        <v>3</v>
      </c>
      <c r="E29" s="18" t="s">
        <v>42</v>
      </c>
      <c r="F29" s="19" t="s">
        <v>125</v>
      </c>
      <c r="G29" s="24">
        <v>0</v>
      </c>
      <c r="H29" s="70">
        <f t="shared" si="10"/>
        <v>0.27335999999999999</v>
      </c>
      <c r="I29" s="70">
        <f>$I$9</f>
        <v>0.16533</v>
      </c>
      <c r="J29" s="70">
        <f t="shared" si="11"/>
        <v>5.3220000000000003E-2</v>
      </c>
      <c r="K29" s="21">
        <f>ROUND(H29*G29,2)</f>
        <v>0</v>
      </c>
      <c r="L29" s="21">
        <f>ROUND(G29*I29,2)</f>
        <v>0</v>
      </c>
      <c r="M29" s="97">
        <f>ROUND(G29*J29,2)</f>
        <v>0</v>
      </c>
      <c r="N29" s="21">
        <f>SUM(K29:M29)</f>
        <v>0</v>
      </c>
      <c r="O29" s="26"/>
      <c r="Q29" s="28"/>
      <c r="R29" s="28"/>
      <c r="S29" s="28"/>
      <c r="T29" s="28"/>
      <c r="U29" s="75"/>
      <c r="V29" s="28"/>
      <c r="W29" s="28"/>
      <c r="X29" s="28"/>
      <c r="Y29" s="28"/>
      <c r="Z29" s="28"/>
      <c r="AA29" s="28"/>
      <c r="AB29" s="28"/>
      <c r="AC29" s="23"/>
      <c r="AD29" t="s">
        <v>21</v>
      </c>
      <c r="AG29" s="23">
        <v>0</v>
      </c>
      <c r="AK29" t="s">
        <v>55</v>
      </c>
    </row>
    <row r="30" spans="2:37" ht="12" customHeight="1" x14ac:dyDescent="0.2">
      <c r="B30" s="68"/>
      <c r="D30" s="17"/>
      <c r="F30" s="19"/>
      <c r="G30" s="24"/>
      <c r="H30" s="70"/>
      <c r="I30" s="70"/>
      <c r="J30" s="70"/>
      <c r="K30" s="21"/>
      <c r="L30" s="21"/>
      <c r="M30" s="97"/>
      <c r="N30" s="21"/>
      <c r="O30" s="26"/>
      <c r="Q30" s="28"/>
      <c r="R30" s="28">
        <v>17029.240000000002</v>
      </c>
      <c r="S30" s="28"/>
      <c r="T30" s="28"/>
      <c r="U30" s="75">
        <v>1729.72</v>
      </c>
      <c r="V30" s="28"/>
      <c r="W30" s="28"/>
      <c r="X30" s="28"/>
      <c r="Y30" s="28"/>
      <c r="Z30" s="28"/>
      <c r="AA30" s="28"/>
      <c r="AB30" s="28"/>
      <c r="AC30" s="23"/>
      <c r="AG30" s="23"/>
    </row>
    <row r="31" spans="2:37" ht="15" x14ac:dyDescent="0.2">
      <c r="B31" s="68" t="s">
        <v>57</v>
      </c>
      <c r="C31" s="16" t="s">
        <v>56</v>
      </c>
      <c r="D31" s="17">
        <v>3</v>
      </c>
      <c r="E31" s="18" t="s">
        <v>50</v>
      </c>
      <c r="F31" s="19" t="s">
        <v>129</v>
      </c>
      <c r="G31" s="24"/>
      <c r="H31" s="70">
        <f t="shared" ref="H31:H33" si="12">$H$9</f>
        <v>0.27335999999999999</v>
      </c>
      <c r="I31" s="70">
        <f>$I$20</f>
        <v>0.15284</v>
      </c>
      <c r="J31" s="70">
        <f t="shared" ref="J31:J33" si="13">$J$9</f>
        <v>5.3220000000000003E-2</v>
      </c>
      <c r="K31" s="21">
        <f t="shared" ref="K31:K33" si="14">ROUND(H31*G31,2)</f>
        <v>0</v>
      </c>
      <c r="L31" s="21">
        <f t="shared" ref="L31:L33" si="15">ROUND(G31*I31,2)</f>
        <v>0</v>
      </c>
      <c r="M31" s="97">
        <f t="shared" ref="M31:M33" si="16">ROUND(G31*J31,2)</f>
        <v>0</v>
      </c>
      <c r="N31" s="21">
        <f t="shared" ref="N31:N33" si="17">SUM(K31:M31)</f>
        <v>0</v>
      </c>
      <c r="O31" s="26"/>
      <c r="Q31" s="22" t="s">
        <v>20</v>
      </c>
      <c r="R31" s="22"/>
      <c r="S31" s="22"/>
      <c r="T31" s="22"/>
      <c r="U31" s="75"/>
      <c r="V31" s="22"/>
      <c r="W31" s="22"/>
      <c r="X31" s="22"/>
      <c r="Y31" s="22"/>
      <c r="Z31" s="22"/>
      <c r="AA31" s="22"/>
      <c r="AB31" s="22"/>
      <c r="AC31" s="29"/>
      <c r="AD31" t="s">
        <v>21</v>
      </c>
      <c r="AG31" s="23">
        <v>0</v>
      </c>
      <c r="AK31" t="s">
        <v>51</v>
      </c>
    </row>
    <row r="32" spans="2:37" ht="15" x14ac:dyDescent="0.2">
      <c r="B32" s="68" t="s">
        <v>62</v>
      </c>
      <c r="C32" s="16" t="s">
        <v>46</v>
      </c>
      <c r="D32" s="17">
        <v>3</v>
      </c>
      <c r="E32" s="18" t="s">
        <v>50</v>
      </c>
      <c r="F32" s="19" t="s">
        <v>129</v>
      </c>
      <c r="G32" s="73">
        <v>0</v>
      </c>
      <c r="H32" s="70">
        <f t="shared" si="12"/>
        <v>0.27335999999999999</v>
      </c>
      <c r="I32" s="70">
        <f>$I$20</f>
        <v>0.15284</v>
      </c>
      <c r="J32" s="70">
        <f t="shared" si="13"/>
        <v>5.3220000000000003E-2</v>
      </c>
      <c r="K32" s="21">
        <f t="shared" si="14"/>
        <v>0</v>
      </c>
      <c r="L32" s="21">
        <f t="shared" si="15"/>
        <v>0</v>
      </c>
      <c r="M32" s="97">
        <f t="shared" si="16"/>
        <v>0</v>
      </c>
      <c r="N32" s="21">
        <f t="shared" si="17"/>
        <v>0</v>
      </c>
      <c r="O32" s="26"/>
      <c r="Q32" s="28"/>
      <c r="R32" s="28">
        <v>128505.68</v>
      </c>
      <c r="S32" s="28"/>
      <c r="T32" s="28"/>
      <c r="U32" s="75">
        <v>17959.87</v>
      </c>
      <c r="V32" s="28"/>
      <c r="W32" s="28"/>
      <c r="X32" s="28"/>
      <c r="Y32" s="28"/>
      <c r="Z32" s="28"/>
      <c r="AA32" s="28"/>
      <c r="AB32" s="28"/>
      <c r="AC32" s="30"/>
      <c r="AD32" t="s">
        <v>21</v>
      </c>
      <c r="AG32" s="23">
        <v>0</v>
      </c>
      <c r="AK32" t="s">
        <v>51</v>
      </c>
    </row>
    <row r="33" spans="2:37" ht="15.75" x14ac:dyDescent="0.25">
      <c r="B33" s="68" t="s">
        <v>62</v>
      </c>
      <c r="C33" s="16" t="s">
        <v>47</v>
      </c>
      <c r="D33" s="17">
        <v>3</v>
      </c>
      <c r="E33" s="18" t="s">
        <v>50</v>
      </c>
      <c r="F33" s="19" t="s">
        <v>129</v>
      </c>
      <c r="G33" s="31">
        <v>359</v>
      </c>
      <c r="H33" s="70">
        <f t="shared" si="12"/>
        <v>0.27335999999999999</v>
      </c>
      <c r="I33" s="70">
        <f>$I$20</f>
        <v>0.15284</v>
      </c>
      <c r="J33" s="70">
        <f t="shared" si="13"/>
        <v>5.3220000000000003E-2</v>
      </c>
      <c r="K33" s="21">
        <f t="shared" si="14"/>
        <v>98.14</v>
      </c>
      <c r="L33" s="21">
        <f t="shared" si="15"/>
        <v>54.87</v>
      </c>
      <c r="M33" s="97">
        <f t="shared" si="16"/>
        <v>19.11</v>
      </c>
      <c r="N33" s="21">
        <f t="shared" si="17"/>
        <v>172.12</v>
      </c>
      <c r="O33" s="21"/>
      <c r="Q33" s="28"/>
      <c r="R33" s="28">
        <v>97.86</v>
      </c>
      <c r="S33" s="28"/>
      <c r="T33" s="28"/>
      <c r="U33" s="75">
        <v>10.64</v>
      </c>
      <c r="V33" s="28"/>
      <c r="W33" s="28"/>
      <c r="X33" s="28"/>
      <c r="Y33" s="28"/>
      <c r="Z33" s="28"/>
      <c r="AA33" s="28"/>
      <c r="AB33" s="28"/>
      <c r="AC33" s="30"/>
      <c r="AD33" t="s">
        <v>21</v>
      </c>
      <c r="AG33" s="23">
        <v>0</v>
      </c>
      <c r="AK33" t="s">
        <v>51</v>
      </c>
    </row>
    <row r="34" spans="2:37" ht="12" customHeight="1" x14ac:dyDescent="0.2">
      <c r="B34" s="68"/>
      <c r="D34" s="17"/>
      <c r="F34" s="19"/>
      <c r="G34" s="24"/>
      <c r="H34" s="70"/>
      <c r="I34" s="70"/>
      <c r="J34" s="70"/>
      <c r="K34" s="21"/>
      <c r="L34" s="21"/>
      <c r="M34" s="97"/>
      <c r="N34" s="21"/>
      <c r="O34" s="21"/>
      <c r="Q34" s="28"/>
      <c r="R34" s="28"/>
      <c r="S34" s="28"/>
      <c r="T34" s="28"/>
      <c r="U34" s="75"/>
      <c r="V34" s="28"/>
      <c r="W34" s="28"/>
      <c r="X34" s="28"/>
      <c r="Y34" s="28"/>
      <c r="Z34" s="28"/>
      <c r="AA34" s="28"/>
      <c r="AB34" s="28"/>
      <c r="AC34" s="29"/>
      <c r="AG34" s="23"/>
    </row>
    <row r="35" spans="2:37" ht="15" x14ac:dyDescent="0.2">
      <c r="B35" s="68" t="s">
        <v>57</v>
      </c>
      <c r="C35" s="16" t="s">
        <v>58</v>
      </c>
      <c r="D35" s="17" t="s">
        <v>59</v>
      </c>
      <c r="E35" s="18" t="s">
        <v>60</v>
      </c>
      <c r="F35" s="19" t="s">
        <v>130</v>
      </c>
      <c r="G35" s="24">
        <v>0</v>
      </c>
      <c r="H35" s="70">
        <f t="shared" ref="H35:H37" si="18">$H$9</f>
        <v>0.27335999999999999</v>
      </c>
      <c r="I35" s="69">
        <v>0.1404</v>
      </c>
      <c r="J35" s="70">
        <f t="shared" ref="J35:J37" si="19">$J$9</f>
        <v>5.3220000000000003E-2</v>
      </c>
      <c r="K35" s="21">
        <f>ROUND(H35*G35,2)</f>
        <v>0</v>
      </c>
      <c r="L35" s="21">
        <f>ROUND(G35*I35,2)</f>
        <v>0</v>
      </c>
      <c r="M35" s="97">
        <f>ROUND(G35*J35,2)</f>
        <v>0</v>
      </c>
      <c r="N35" s="102">
        <f>SUM(K35:M35)</f>
        <v>0</v>
      </c>
      <c r="Q35" s="28"/>
      <c r="R35" s="28"/>
      <c r="S35" s="28"/>
      <c r="T35" s="28"/>
      <c r="U35" s="75"/>
      <c r="V35" s="28"/>
      <c r="W35" s="28"/>
      <c r="X35" s="28"/>
      <c r="Y35" s="28"/>
      <c r="Z35" s="28"/>
      <c r="AA35" s="28"/>
      <c r="AB35" s="28"/>
      <c r="AC35" s="23"/>
      <c r="AD35" t="s">
        <v>21</v>
      </c>
      <c r="AG35" s="23">
        <v>0</v>
      </c>
      <c r="AK35" t="s">
        <v>61</v>
      </c>
    </row>
    <row r="36" spans="2:37" ht="15" x14ac:dyDescent="0.2">
      <c r="B36" s="68" t="s">
        <v>62</v>
      </c>
      <c r="C36" s="16" t="s">
        <v>46</v>
      </c>
      <c r="D36" s="17">
        <v>4</v>
      </c>
      <c r="E36" s="18" t="s">
        <v>60</v>
      </c>
      <c r="F36" s="19" t="s">
        <v>130</v>
      </c>
      <c r="G36" s="73">
        <v>0</v>
      </c>
      <c r="H36" s="70">
        <f t="shared" si="18"/>
        <v>0.27335999999999999</v>
      </c>
      <c r="I36" s="70">
        <f>$I$35</f>
        <v>0.1404</v>
      </c>
      <c r="J36" s="70">
        <f t="shared" si="19"/>
        <v>5.3220000000000003E-2</v>
      </c>
      <c r="K36" s="21">
        <f>ROUND(H36*G36,2)</f>
        <v>0</v>
      </c>
      <c r="L36" s="21">
        <f>ROUND(G36*I36,2)</f>
        <v>0</v>
      </c>
      <c r="M36" s="97">
        <f>ROUND(G36*J36,2)</f>
        <v>0</v>
      </c>
      <c r="N36" s="96">
        <f>SUM(K36:M36)</f>
        <v>0</v>
      </c>
      <c r="O36" s="21">
        <f>-N36-80.06</f>
        <v>-80.06</v>
      </c>
      <c r="Q36" s="28"/>
      <c r="R36" s="28">
        <v>18307.25</v>
      </c>
      <c r="S36" s="28"/>
      <c r="T36" s="28"/>
      <c r="U36" s="75">
        <v>1859.59</v>
      </c>
      <c r="V36" s="28"/>
      <c r="W36" s="28"/>
      <c r="X36" s="28"/>
      <c r="Y36" s="28"/>
      <c r="Z36" s="28"/>
      <c r="AA36" s="28"/>
      <c r="AB36" s="28"/>
      <c r="AC36" s="30"/>
      <c r="AD36" t="s">
        <v>21</v>
      </c>
      <c r="AG36" s="23">
        <v>0</v>
      </c>
      <c r="AK36" t="s">
        <v>63</v>
      </c>
    </row>
    <row r="37" spans="2:37" ht="15" x14ac:dyDescent="0.2">
      <c r="B37" s="68" t="s">
        <v>62</v>
      </c>
      <c r="C37" s="16" t="s">
        <v>47</v>
      </c>
      <c r="D37" s="17">
        <v>4</v>
      </c>
      <c r="E37" s="18" t="s">
        <v>60</v>
      </c>
      <c r="F37" s="19" t="s">
        <v>130</v>
      </c>
      <c r="G37" s="73">
        <v>0</v>
      </c>
      <c r="H37" s="70">
        <f t="shared" si="18"/>
        <v>0.27335999999999999</v>
      </c>
      <c r="I37" s="70">
        <f>$I$35</f>
        <v>0.1404</v>
      </c>
      <c r="J37" s="70">
        <f t="shared" si="19"/>
        <v>5.3220000000000003E-2</v>
      </c>
      <c r="K37" s="21">
        <f>ROUND(H37*G37,2)</f>
        <v>0</v>
      </c>
      <c r="L37" s="21">
        <f>ROUND(G37*I37,2)</f>
        <v>0</v>
      </c>
      <c r="M37" s="97">
        <f>ROUND(G37*J37,2)</f>
        <v>0</v>
      </c>
      <c r="N37" s="21">
        <f>SUM(K37:M37)</f>
        <v>0</v>
      </c>
      <c r="O37" s="21"/>
      <c r="Q37" s="28"/>
      <c r="R37" s="28"/>
      <c r="S37" s="28"/>
      <c r="T37" s="28"/>
      <c r="U37" s="75"/>
      <c r="V37" s="28"/>
      <c r="W37" s="28"/>
      <c r="X37" s="28"/>
      <c r="Y37" s="28"/>
      <c r="Z37" s="28"/>
      <c r="AA37" s="28"/>
      <c r="AB37" s="28"/>
      <c r="AC37" s="30"/>
      <c r="AD37" t="s">
        <v>21</v>
      </c>
      <c r="AG37" s="23">
        <v>0</v>
      </c>
      <c r="AK37" t="s">
        <v>63</v>
      </c>
    </row>
    <row r="38" spans="2:37" ht="12" customHeight="1" x14ac:dyDescent="0.2">
      <c r="B38" s="68"/>
      <c r="D38" s="17"/>
      <c r="F38" s="19"/>
      <c r="G38" s="24"/>
      <c r="H38" s="70"/>
      <c r="I38" s="70"/>
      <c r="J38" s="70"/>
      <c r="M38" s="9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3"/>
      <c r="AG38" s="23"/>
    </row>
    <row r="39" spans="2:37" ht="15.75" x14ac:dyDescent="0.25">
      <c r="B39" s="68" t="s">
        <v>64</v>
      </c>
      <c r="C39" s="16" t="s">
        <v>65</v>
      </c>
      <c r="D39" s="17" t="s">
        <v>66</v>
      </c>
      <c r="E39" s="18" t="s">
        <v>60</v>
      </c>
      <c r="F39" s="19" t="s">
        <v>130</v>
      </c>
      <c r="G39" s="20">
        <v>111904</v>
      </c>
      <c r="H39" s="70">
        <f t="shared" ref="H39:H44" si="20">$H$9</f>
        <v>0.27335999999999999</v>
      </c>
      <c r="I39" s="70">
        <f t="shared" ref="I39:I44" si="21">$I$35</f>
        <v>0.1404</v>
      </c>
      <c r="J39" s="70">
        <f t="shared" ref="J39:J44" si="22">$J$9</f>
        <v>5.3220000000000003E-2</v>
      </c>
      <c r="K39" s="21">
        <f t="shared" ref="K39:K44" si="23">ROUND(H39*G39,2)</f>
        <v>30590.080000000002</v>
      </c>
      <c r="L39" s="21">
        <f t="shared" ref="L39:L44" si="24">ROUND(G39*I39,2)</f>
        <v>15711.32</v>
      </c>
      <c r="M39" s="97">
        <f t="shared" ref="M39:M43" si="25">ROUND(G39*J39,2)</f>
        <v>5955.53</v>
      </c>
      <c r="N39" s="96">
        <f>SUM(K39:M39)</f>
        <v>52256.93</v>
      </c>
      <c r="O39" s="21">
        <v>0.01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3"/>
      <c r="AD39" t="s">
        <v>21</v>
      </c>
      <c r="AG39" s="23">
        <v>0</v>
      </c>
      <c r="AK39" t="s">
        <v>63</v>
      </c>
    </row>
    <row r="40" spans="2:37" ht="15.75" x14ac:dyDescent="0.25">
      <c r="B40" s="68" t="s">
        <v>64</v>
      </c>
      <c r="C40" s="16" t="s">
        <v>46</v>
      </c>
      <c r="D40" s="17">
        <v>5</v>
      </c>
      <c r="E40" s="18" t="s">
        <v>60</v>
      </c>
      <c r="F40" s="19" t="s">
        <v>130</v>
      </c>
      <c r="G40" s="31">
        <v>-111904</v>
      </c>
      <c r="H40" s="70">
        <f t="shared" si="20"/>
        <v>0.27335999999999999</v>
      </c>
      <c r="I40" s="70">
        <f t="shared" si="21"/>
        <v>0.1404</v>
      </c>
      <c r="J40" s="70">
        <f t="shared" si="22"/>
        <v>5.3220000000000003E-2</v>
      </c>
      <c r="K40" s="21">
        <f t="shared" si="23"/>
        <v>-30590.080000000002</v>
      </c>
      <c r="L40" s="21">
        <f t="shared" si="24"/>
        <v>-15711.32</v>
      </c>
      <c r="M40" s="97">
        <f t="shared" si="25"/>
        <v>-5955.53</v>
      </c>
      <c r="N40" s="96">
        <f t="shared" ref="N40:N44" si="26">SUM(K40:M40)</f>
        <v>-52256.93</v>
      </c>
      <c r="O40" s="21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30"/>
      <c r="AD40" t="s">
        <v>21</v>
      </c>
      <c r="AG40" s="23">
        <v>0</v>
      </c>
      <c r="AK40" t="s">
        <v>61</v>
      </c>
    </row>
    <row r="41" spans="2:37" ht="15.75" x14ac:dyDescent="0.25">
      <c r="B41" s="68" t="s">
        <v>64</v>
      </c>
      <c r="C41" s="16" t="s">
        <v>67</v>
      </c>
      <c r="D41" s="17">
        <v>5</v>
      </c>
      <c r="E41" s="18" t="s">
        <v>60</v>
      </c>
      <c r="F41" s="19" t="s">
        <v>130</v>
      </c>
      <c r="G41" s="31">
        <v>93391</v>
      </c>
      <c r="H41" s="70">
        <f t="shared" si="20"/>
        <v>0.27335999999999999</v>
      </c>
      <c r="I41" s="70">
        <f t="shared" si="21"/>
        <v>0.1404</v>
      </c>
      <c r="J41" s="70">
        <f t="shared" si="22"/>
        <v>5.3220000000000003E-2</v>
      </c>
      <c r="K41" s="21">
        <f t="shared" si="23"/>
        <v>25529.360000000001</v>
      </c>
      <c r="L41" s="21">
        <f t="shared" si="24"/>
        <v>13112.1</v>
      </c>
      <c r="M41" s="97">
        <f t="shared" si="25"/>
        <v>4970.2700000000004</v>
      </c>
      <c r="N41" s="96">
        <f t="shared" si="26"/>
        <v>43611.729999999996</v>
      </c>
      <c r="O41" s="21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30"/>
      <c r="AD41" t="s">
        <v>21</v>
      </c>
      <c r="AG41" s="23">
        <v>0</v>
      </c>
      <c r="AK41" t="s">
        <v>61</v>
      </c>
    </row>
    <row r="42" spans="2:37" ht="15.75" x14ac:dyDescent="0.25">
      <c r="B42" s="68" t="s">
        <v>68</v>
      </c>
      <c r="C42" s="16" t="s">
        <v>69</v>
      </c>
      <c r="D42" s="17">
        <v>5</v>
      </c>
      <c r="E42" s="18" t="s">
        <v>70</v>
      </c>
      <c r="F42" s="19" t="s">
        <v>131</v>
      </c>
      <c r="G42" s="20">
        <v>8245</v>
      </c>
      <c r="H42" s="70">
        <f t="shared" si="20"/>
        <v>0.27335999999999999</v>
      </c>
      <c r="I42" s="70">
        <f t="shared" si="21"/>
        <v>0.1404</v>
      </c>
      <c r="J42" s="70">
        <f t="shared" si="22"/>
        <v>5.3220000000000003E-2</v>
      </c>
      <c r="K42" s="21">
        <f t="shared" si="23"/>
        <v>2253.85</v>
      </c>
      <c r="L42" s="21">
        <f t="shared" si="24"/>
        <v>1157.5999999999999</v>
      </c>
      <c r="M42" s="97">
        <f t="shared" si="25"/>
        <v>438.8</v>
      </c>
      <c r="N42" s="96">
        <f t="shared" si="26"/>
        <v>3850.25</v>
      </c>
      <c r="O42" s="21">
        <v>-0.01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3"/>
      <c r="AD42" t="s">
        <v>21</v>
      </c>
      <c r="AG42" s="23">
        <v>0</v>
      </c>
      <c r="AK42" t="s">
        <v>71</v>
      </c>
    </row>
    <row r="43" spans="2:37" ht="15.75" x14ac:dyDescent="0.25">
      <c r="B43" s="68" t="s">
        <v>64</v>
      </c>
      <c r="C43" s="16" t="s">
        <v>46</v>
      </c>
      <c r="D43" s="17">
        <v>5</v>
      </c>
      <c r="E43" s="18" t="s">
        <v>70</v>
      </c>
      <c r="F43" s="19" t="s">
        <v>131</v>
      </c>
      <c r="G43" s="31">
        <v>-3496</v>
      </c>
      <c r="H43" s="70">
        <f t="shared" si="20"/>
        <v>0.27335999999999999</v>
      </c>
      <c r="I43" s="70">
        <f t="shared" si="21"/>
        <v>0.1404</v>
      </c>
      <c r="J43" s="70">
        <f t="shared" si="22"/>
        <v>5.3220000000000003E-2</v>
      </c>
      <c r="K43" s="21">
        <f>ROUND(H43*G43,2)</f>
        <v>-955.67</v>
      </c>
      <c r="L43" s="21">
        <f t="shared" si="24"/>
        <v>-490.84</v>
      </c>
      <c r="M43" s="97">
        <f t="shared" si="25"/>
        <v>-186.06</v>
      </c>
      <c r="N43" s="96">
        <f t="shared" si="26"/>
        <v>-1632.57</v>
      </c>
      <c r="O43" s="21">
        <v>-0.01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30"/>
      <c r="AD43" t="s">
        <v>21</v>
      </c>
      <c r="AG43" s="23">
        <v>0</v>
      </c>
      <c r="AK43" t="s">
        <v>61</v>
      </c>
    </row>
    <row r="44" spans="2:37" ht="15" x14ac:dyDescent="0.2">
      <c r="B44" s="68" t="s">
        <v>64</v>
      </c>
      <c r="C44" s="16" t="s">
        <v>67</v>
      </c>
      <c r="D44" s="17">
        <v>5</v>
      </c>
      <c r="E44" s="18" t="s">
        <v>70</v>
      </c>
      <c r="F44" s="19" t="s">
        <v>131</v>
      </c>
      <c r="G44" s="73">
        <v>0</v>
      </c>
      <c r="H44" s="70">
        <f t="shared" si="20"/>
        <v>0.27335999999999999</v>
      </c>
      <c r="I44" s="70">
        <f t="shared" si="21"/>
        <v>0.1404</v>
      </c>
      <c r="J44" s="70">
        <f t="shared" si="22"/>
        <v>5.3220000000000003E-2</v>
      </c>
      <c r="K44" s="21">
        <f t="shared" si="23"/>
        <v>0</v>
      </c>
      <c r="L44" s="21">
        <f t="shared" si="24"/>
        <v>0</v>
      </c>
      <c r="M44" s="97">
        <f>ROUND(G44*J44,2)</f>
        <v>0</v>
      </c>
      <c r="N44" s="96">
        <f t="shared" si="26"/>
        <v>0</v>
      </c>
      <c r="O44" s="21">
        <v>0.01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30"/>
      <c r="AD44" t="s">
        <v>21</v>
      </c>
      <c r="AG44" s="23">
        <v>0</v>
      </c>
      <c r="AK44" t="s">
        <v>61</v>
      </c>
    </row>
    <row r="45" spans="2:37" ht="12" customHeight="1" x14ac:dyDescent="0.2">
      <c r="B45" s="68"/>
      <c r="D45" s="17"/>
      <c r="F45" s="19"/>
      <c r="G45" s="33"/>
      <c r="H45" s="70"/>
      <c r="I45" s="70"/>
      <c r="J45" s="70"/>
      <c r="K45" s="21"/>
      <c r="L45" s="21"/>
      <c r="M45" s="97"/>
      <c r="N45" s="21"/>
      <c r="O45" s="21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30"/>
      <c r="AG45" s="23"/>
    </row>
    <row r="46" spans="2:37" ht="14.25" x14ac:dyDescent="0.2">
      <c r="B46" s="68" t="s">
        <v>68</v>
      </c>
      <c r="C46" s="16" t="s">
        <v>72</v>
      </c>
      <c r="D46" s="17">
        <v>6</v>
      </c>
      <c r="E46" s="18" t="s">
        <v>60</v>
      </c>
      <c r="F46" s="19"/>
      <c r="G46" s="34">
        <f>'[2]Core Billed Therms '!$J$88</f>
        <v>0</v>
      </c>
      <c r="H46" s="70">
        <f>$H$9</f>
        <v>0.27335999999999999</v>
      </c>
      <c r="I46" s="70">
        <f>$I$35</f>
        <v>0.1404</v>
      </c>
      <c r="J46" s="70">
        <f>$J$9</f>
        <v>5.3220000000000003E-2</v>
      </c>
      <c r="K46" s="21">
        <f>ROUND(H46*G46,2)</f>
        <v>0</v>
      </c>
      <c r="L46" s="21">
        <f>ROUND(G46*I46,2)</f>
        <v>0</v>
      </c>
      <c r="M46" s="97">
        <f>ROUND(G46*J46,2)</f>
        <v>0</v>
      </c>
      <c r="N46" s="21">
        <f>SUM(K46:M46)</f>
        <v>0</v>
      </c>
      <c r="O46" s="21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3"/>
      <c r="AD46" t="s">
        <v>21</v>
      </c>
      <c r="AG46" s="23">
        <v>0</v>
      </c>
      <c r="AK46" t="s">
        <v>73</v>
      </c>
    </row>
    <row r="47" spans="2:37" ht="12" customHeight="1" x14ac:dyDescent="0.2">
      <c r="B47" s="68"/>
      <c r="D47" s="17"/>
      <c r="G47" s="34"/>
      <c r="J47" s="35"/>
      <c r="K47" s="21"/>
      <c r="L47" s="21"/>
      <c r="M47" s="97"/>
      <c r="N47" s="21"/>
      <c r="O47" s="21"/>
      <c r="AC47" s="23"/>
      <c r="AG47" s="23"/>
    </row>
    <row r="48" spans="2:37" ht="15" x14ac:dyDescent="0.25">
      <c r="B48" s="74"/>
      <c r="D48" s="36"/>
      <c r="E48" s="37"/>
      <c r="F48" s="18" t="s">
        <v>132</v>
      </c>
      <c r="G48" s="85">
        <f>SUM(G9:G47)</f>
        <v>4282904</v>
      </c>
      <c r="H48" s="38" t="s">
        <v>74</v>
      </c>
      <c r="K48" s="86">
        <f>SUM(K9:K47)</f>
        <v>1170774.6200000001</v>
      </c>
      <c r="L48" s="87">
        <f>SUM(L9:L47)</f>
        <v>694287.78</v>
      </c>
      <c r="M48" s="39">
        <f>SUM(M9:M47)</f>
        <v>362422.51000000007</v>
      </c>
      <c r="N48" s="39">
        <f>SUM(N9:N47)</f>
        <v>2227484.9099999997</v>
      </c>
      <c r="O48" s="103">
        <v>0.03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23"/>
      <c r="AG48" s="23"/>
    </row>
    <row r="49" spans="3:37" ht="14.25" x14ac:dyDescent="0.2">
      <c r="C49" s="15"/>
      <c r="D49" s="36"/>
      <c r="F49" s="18" t="s">
        <v>113</v>
      </c>
      <c r="G49" s="85"/>
      <c r="K49" s="39" t="s">
        <v>75</v>
      </c>
      <c r="L49" s="39" t="s">
        <v>75</v>
      </c>
      <c r="M49" s="39"/>
      <c r="N49" s="39"/>
      <c r="O49" s="39"/>
      <c r="Q49" s="39">
        <f>-N48</f>
        <v>-2227484.9099999997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15" t="s">
        <v>76</v>
      </c>
      <c r="AD49" t="s">
        <v>21</v>
      </c>
      <c r="AG49" s="23">
        <v>0</v>
      </c>
      <c r="AK49" t="s">
        <v>77</v>
      </c>
    </row>
    <row r="50" spans="3:37" ht="15" x14ac:dyDescent="0.25">
      <c r="F50" s="1" t="s">
        <v>114</v>
      </c>
      <c r="G50" s="40">
        <f>+G48+G49</f>
        <v>4282904</v>
      </c>
      <c r="H50" s="41"/>
      <c r="K50" s="39">
        <f>SUM(K48:K49)</f>
        <v>1170774.6200000001</v>
      </c>
      <c r="L50" s="39">
        <f>SUM(L48:L49)</f>
        <v>694287.78</v>
      </c>
      <c r="M50" s="39">
        <f>SUM(M48:M49)</f>
        <v>362422.51000000007</v>
      </c>
      <c r="N50" s="39">
        <f>SUM(N48:N49)</f>
        <v>2227484.9099999997</v>
      </c>
      <c r="O50" s="39"/>
      <c r="P50" s="21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E50" s="23"/>
    </row>
    <row r="51" spans="3:37" ht="21.75" customHeight="1" x14ac:dyDescent="0.25">
      <c r="G51" s="43" t="s">
        <v>78</v>
      </c>
      <c r="K51" s="39"/>
      <c r="L51" s="44"/>
      <c r="M51" s="39"/>
      <c r="N51" s="39"/>
      <c r="O51" s="39"/>
    </row>
    <row r="52" spans="3:37" ht="21.75" customHeight="1" x14ac:dyDescent="0.2">
      <c r="G52" s="45" t="s">
        <v>79</v>
      </c>
      <c r="H52" s="46"/>
      <c r="L52" s="47"/>
      <c r="M52" s="21"/>
      <c r="N52" s="21"/>
      <c r="O52" s="21"/>
    </row>
    <row r="53" spans="3:37" x14ac:dyDescent="0.2">
      <c r="H53" s="46"/>
      <c r="L53" s="49"/>
      <c r="N53" s="44">
        <v>7</v>
      </c>
      <c r="O53" s="44"/>
    </row>
    <row r="54" spans="3:37" x14ac:dyDescent="0.2">
      <c r="F54" s="18" t="s">
        <v>80</v>
      </c>
      <c r="L54" s="50"/>
      <c r="N54" s="51"/>
      <c r="O54" s="51"/>
    </row>
    <row r="55" spans="3:37" x14ac:dyDescent="0.2">
      <c r="L55" s="50"/>
      <c r="M55" s="52"/>
    </row>
    <row r="56" spans="3:37" x14ac:dyDescent="0.2">
      <c r="G56" s="48">
        <f>+G42+G39+G31+G28+G27+G23+G21+G20+G16+G11+G9</f>
        <v>6831509</v>
      </c>
      <c r="L56" s="50"/>
      <c r="M56" s="52"/>
      <c r="N56" s="53"/>
      <c r="O56" s="53"/>
    </row>
    <row r="57" spans="3:37" x14ac:dyDescent="0.2">
      <c r="G57" s="48">
        <f>+G44+G41+G33+G25</f>
        <v>93908</v>
      </c>
      <c r="L57" s="50"/>
      <c r="M57" s="52"/>
      <c r="N57" s="54"/>
      <c r="O57" s="54"/>
    </row>
    <row r="58" spans="3:37" x14ac:dyDescent="0.2">
      <c r="G58" s="48">
        <f>+G43+G40+G32+G24</f>
        <v>-115524</v>
      </c>
      <c r="L58" s="50"/>
      <c r="M58" s="52"/>
      <c r="N58" s="54"/>
      <c r="O58" s="54"/>
    </row>
    <row r="59" spans="3:37" x14ac:dyDescent="0.2">
      <c r="G59" s="48">
        <f>+G17+G12</f>
        <v>-4846252</v>
      </c>
      <c r="L59" s="50"/>
      <c r="M59" s="54"/>
      <c r="N59" s="52"/>
      <c r="O59" s="52"/>
    </row>
    <row r="60" spans="3:37" x14ac:dyDescent="0.2">
      <c r="L60" s="55"/>
      <c r="N60" s="56"/>
      <c r="O60" s="56"/>
    </row>
    <row r="61" spans="3:37" x14ac:dyDescent="0.2">
      <c r="L61" s="49"/>
      <c r="N61" s="57"/>
      <c r="O61" s="57"/>
    </row>
    <row r="73" spans="7:7" x14ac:dyDescent="0.2">
      <c r="G73" s="48" t="e">
        <f>+G50+#REF!</f>
        <v>#REF!</v>
      </c>
    </row>
    <row r="108" spans="2:28" x14ac:dyDescent="0.2">
      <c r="B108" s="58"/>
      <c r="D108" s="36"/>
    </row>
    <row r="109" spans="2:28" x14ac:dyDescent="0.2">
      <c r="B109" s="58"/>
      <c r="D109" s="36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</row>
    <row r="110" spans="2:28" x14ac:dyDescent="0.2"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</row>
    <row r="111" spans="2:28" x14ac:dyDescent="0.2">
      <c r="D111" s="36"/>
    </row>
    <row r="112" spans="2:28" x14ac:dyDescent="0.2">
      <c r="D112" s="36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E8B8-6458-494B-8519-07C181311C2D}">
  <dimension ref="A1:I28"/>
  <sheetViews>
    <sheetView showGridLines="0" view="pageBreakPreview" zoomScale="60" zoomScaleNormal="100" workbookViewId="0">
      <selection activeCell="S8" sqref="S8"/>
    </sheetView>
  </sheetViews>
  <sheetFormatPr defaultRowHeight="12.75" x14ac:dyDescent="0.2"/>
  <cols>
    <col min="1" max="1" width="1.7109375" style="277" customWidth="1"/>
    <col min="2" max="2" width="10.5703125" style="277" customWidth="1"/>
    <col min="3" max="3" width="23.7109375" style="277" customWidth="1"/>
    <col min="4" max="4" width="20.42578125" style="277" customWidth="1"/>
    <col min="5" max="5" width="19" style="277" customWidth="1"/>
    <col min="6" max="7" width="16.42578125" style="277" bestFit="1" customWidth="1"/>
    <col min="8" max="8" width="3.7109375" style="277" customWidth="1"/>
    <col min="9" max="16384" width="9.140625" style="277"/>
  </cols>
  <sheetData>
    <row r="1" spans="1:9" ht="18" customHeight="1" x14ac:dyDescent="0.2">
      <c r="A1" s="278"/>
      <c r="B1" s="325" t="s">
        <v>96</v>
      </c>
      <c r="C1" s="325"/>
      <c r="D1" s="325"/>
      <c r="E1" s="325"/>
      <c r="F1" s="325"/>
      <c r="G1" s="327"/>
      <c r="H1" s="326"/>
      <c r="I1" s="278"/>
    </row>
    <row r="2" spans="1:9" ht="15" x14ac:dyDescent="0.2">
      <c r="A2" s="278"/>
      <c r="B2" s="325" t="s">
        <v>97</v>
      </c>
      <c r="C2" s="324">
        <f>'[1]Core Cost Incurred'!B2</f>
        <v>43337</v>
      </c>
      <c r="D2" s="323"/>
      <c r="E2" s="323"/>
      <c r="F2" s="323"/>
      <c r="G2" s="323"/>
      <c r="H2" s="278"/>
      <c r="I2" s="278"/>
    </row>
    <row r="3" spans="1:9" x14ac:dyDescent="0.2">
      <c r="A3" s="278"/>
      <c r="B3" s="278"/>
      <c r="C3" s="278"/>
      <c r="D3" s="278"/>
      <c r="E3" s="278"/>
      <c r="F3" s="278"/>
      <c r="G3" s="278"/>
      <c r="H3" s="278"/>
      <c r="I3" s="278"/>
    </row>
    <row r="4" spans="1:9" ht="15" customHeight="1" thickBot="1" x14ac:dyDescent="0.25">
      <c r="A4" s="278"/>
      <c r="B4" s="322"/>
      <c r="C4" s="322"/>
      <c r="D4" s="322"/>
      <c r="E4" s="322"/>
      <c r="F4" s="321"/>
      <c r="G4" s="320"/>
      <c r="H4" s="278"/>
      <c r="I4" s="278"/>
    </row>
    <row r="5" spans="1:9" ht="14.25" x14ac:dyDescent="0.2">
      <c r="A5" s="278"/>
      <c r="B5" s="108"/>
      <c r="C5" s="108"/>
      <c r="D5" s="318" t="s">
        <v>83</v>
      </c>
      <c r="E5" s="318" t="s">
        <v>84</v>
      </c>
      <c r="F5" s="319" t="s">
        <v>6</v>
      </c>
      <c r="G5" s="318" t="s">
        <v>85</v>
      </c>
      <c r="H5" s="278"/>
      <c r="I5" s="278"/>
    </row>
    <row r="6" spans="1:9" ht="15" x14ac:dyDescent="0.25">
      <c r="A6" s="278"/>
      <c r="B6" s="304" t="s">
        <v>98</v>
      </c>
      <c r="C6" s="317"/>
      <c r="D6" s="315">
        <v>692010</v>
      </c>
      <c r="E6" s="315">
        <v>691010</v>
      </c>
      <c r="F6" s="316">
        <v>693010</v>
      </c>
      <c r="G6" s="315"/>
      <c r="H6" s="110"/>
      <c r="I6" s="278"/>
    </row>
    <row r="7" spans="1:9" ht="16.5" customHeight="1" x14ac:dyDescent="0.2">
      <c r="A7" s="278"/>
      <c r="B7" s="308" t="s">
        <v>99</v>
      </c>
      <c r="C7" s="289"/>
      <c r="D7" s="313">
        <v>1170774.6200000001</v>
      </c>
      <c r="E7" s="313">
        <v>694287.78</v>
      </c>
      <c r="F7" s="314">
        <v>362422.51000000007</v>
      </c>
      <c r="G7" s="313">
        <v>2227484.91</v>
      </c>
      <c r="H7" s="278"/>
      <c r="I7" s="278"/>
    </row>
    <row r="8" spans="1:9" ht="16.5" customHeight="1" x14ac:dyDescent="0.2">
      <c r="A8" s="278"/>
      <c r="B8" s="308" t="s">
        <v>100</v>
      </c>
      <c r="C8" s="289"/>
      <c r="D8" s="312">
        <f>'[1]Core Cost Incurred'!K42</f>
        <v>1649290.7199999995</v>
      </c>
      <c r="E8" s="312">
        <f>'[1]Core Cost Incurred'!K43</f>
        <v>3729627.6100000003</v>
      </c>
      <c r="F8" s="311">
        <v>0</v>
      </c>
      <c r="G8" s="310">
        <f>SUM(D8:E8)</f>
        <v>5378918.3300000001</v>
      </c>
      <c r="H8" s="278"/>
      <c r="I8" s="278"/>
    </row>
    <row r="9" spans="1:9" ht="16.5" customHeight="1" x14ac:dyDescent="0.2">
      <c r="A9" s="278"/>
      <c r="B9" s="308" t="s">
        <v>101</v>
      </c>
      <c r="C9" s="289"/>
      <c r="D9" s="301">
        <f>D7-D8</f>
        <v>-478516.09999999939</v>
      </c>
      <c r="E9" s="309">
        <f>E7-E8</f>
        <v>-3035339.83</v>
      </c>
      <c r="F9" s="309">
        <f>F7-F8</f>
        <v>362422.51000000007</v>
      </c>
      <c r="G9" s="301">
        <f>G7-G8</f>
        <v>-3151433.42</v>
      </c>
      <c r="H9" s="278"/>
      <c r="I9" s="278"/>
    </row>
    <row r="10" spans="1:9" ht="16.5" customHeight="1" x14ac:dyDescent="0.2">
      <c r="A10" s="278"/>
      <c r="B10" s="308" t="s">
        <v>102</v>
      </c>
      <c r="C10" s="289"/>
      <c r="D10" s="305">
        <v>208.07</v>
      </c>
      <c r="E10" s="307"/>
      <c r="F10" s="306"/>
      <c r="G10" s="305">
        <v>208.07</v>
      </c>
      <c r="H10" s="278"/>
      <c r="I10" s="278"/>
    </row>
    <row r="11" spans="1:9" ht="16.5" customHeight="1" x14ac:dyDescent="0.2">
      <c r="A11" s="278"/>
      <c r="B11" s="304" t="s">
        <v>103</v>
      </c>
      <c r="C11" s="303"/>
      <c r="D11" s="301"/>
      <c r="E11" s="301">
        <v>255885.42</v>
      </c>
      <c r="F11" s="302"/>
      <c r="G11" s="301">
        <v>255885.42</v>
      </c>
      <c r="H11" s="278"/>
      <c r="I11" s="278"/>
    </row>
    <row r="12" spans="1:9" ht="16.5" customHeight="1" x14ac:dyDescent="0.25">
      <c r="A12" s="278"/>
      <c r="B12" s="300" t="s">
        <v>104</v>
      </c>
      <c r="C12" s="299"/>
      <c r="D12" s="297">
        <f>+D7-D8+D10</f>
        <v>-478308.02999999939</v>
      </c>
      <c r="E12" s="297">
        <f>+E9+E11</f>
        <v>-2779454.41</v>
      </c>
      <c r="F12" s="298">
        <f>+F7-F8</f>
        <v>362422.51000000007</v>
      </c>
      <c r="G12" s="297">
        <f>G9+G11+G10</f>
        <v>-2895339.93</v>
      </c>
      <c r="H12" s="278"/>
      <c r="I12" s="278"/>
    </row>
    <row r="13" spans="1:9" ht="14.25" customHeight="1" x14ac:dyDescent="0.2">
      <c r="A13" s="278"/>
      <c r="B13" s="278"/>
      <c r="C13" s="278"/>
      <c r="D13" s="289"/>
      <c r="E13" s="289"/>
      <c r="F13" s="295"/>
      <c r="G13" s="289"/>
      <c r="H13" s="278"/>
      <c r="I13" s="278"/>
    </row>
    <row r="14" spans="1:9" ht="14.25" customHeight="1" x14ac:dyDescent="0.2">
      <c r="A14" s="278"/>
      <c r="B14" s="278"/>
      <c r="C14" s="278"/>
      <c r="D14" s="289" t="s">
        <v>105</v>
      </c>
      <c r="E14" s="289"/>
      <c r="F14" s="295"/>
      <c r="G14" s="289"/>
      <c r="H14" s="278"/>
      <c r="I14" s="278"/>
    </row>
    <row r="15" spans="1:9" ht="14.25" customHeight="1" x14ac:dyDescent="0.2">
      <c r="A15" s="278"/>
      <c r="B15" s="278"/>
      <c r="C15" s="278"/>
      <c r="D15" s="289"/>
      <c r="E15" s="296"/>
      <c r="F15" s="295"/>
      <c r="G15" s="289"/>
      <c r="H15" s="278"/>
      <c r="I15" s="278"/>
    </row>
    <row r="16" spans="1:9" ht="14.25" customHeight="1" x14ac:dyDescent="0.2">
      <c r="A16" s="278"/>
      <c r="B16" s="286" t="s">
        <v>106</v>
      </c>
      <c r="C16" s="286"/>
      <c r="D16" s="294" t="s">
        <v>92</v>
      </c>
      <c r="E16" s="293" t="s">
        <v>92</v>
      </c>
      <c r="F16" s="292"/>
      <c r="G16" s="282"/>
      <c r="H16" s="278"/>
      <c r="I16" s="278"/>
    </row>
    <row r="17" spans="1:9" ht="14.25" customHeight="1" x14ac:dyDescent="0.2">
      <c r="A17" s="278"/>
      <c r="B17" s="110"/>
      <c r="C17" s="110"/>
      <c r="D17" s="291"/>
      <c r="E17" s="291"/>
      <c r="F17" s="290"/>
      <c r="G17" s="289"/>
      <c r="H17" s="278"/>
      <c r="I17" s="278"/>
    </row>
    <row r="18" spans="1:9" ht="14.25" customHeight="1" x14ac:dyDescent="0.2">
      <c r="A18" s="278"/>
      <c r="B18" s="110"/>
      <c r="C18" s="110"/>
      <c r="D18" s="287">
        <f>-D12</f>
        <v>478308.02999999939</v>
      </c>
      <c r="E18" s="287">
        <f>-E9-E11</f>
        <v>2779454.41</v>
      </c>
      <c r="F18" s="288">
        <f>-F12</f>
        <v>-362422.51000000007</v>
      </c>
      <c r="G18" s="287">
        <f>SUM(D18:F18)</f>
        <v>2895339.9299999992</v>
      </c>
      <c r="H18" s="278"/>
      <c r="I18" s="278"/>
    </row>
    <row r="19" spans="1:9" ht="14.25" customHeight="1" thickBot="1" x14ac:dyDescent="0.25">
      <c r="A19" s="278"/>
      <c r="B19" s="286" t="s">
        <v>107</v>
      </c>
      <c r="C19" s="286"/>
      <c r="D19" s="285" t="s">
        <v>93</v>
      </c>
      <c r="E19" s="284" t="s">
        <v>94</v>
      </c>
      <c r="F19" s="283"/>
      <c r="G19" s="282"/>
      <c r="H19" s="278"/>
      <c r="I19" s="278"/>
    </row>
    <row r="20" spans="1:9" x14ac:dyDescent="0.2">
      <c r="A20" s="278"/>
      <c r="B20" s="110"/>
      <c r="C20" s="110"/>
      <c r="D20" s="110"/>
      <c r="E20" s="109"/>
      <c r="F20" s="109"/>
      <c r="G20" s="109"/>
      <c r="H20" s="278"/>
      <c r="I20" s="278"/>
    </row>
    <row r="21" spans="1:9" x14ac:dyDescent="0.2">
      <c r="A21" s="278"/>
      <c r="B21" s="278"/>
      <c r="C21" s="278"/>
      <c r="D21" s="278"/>
      <c r="E21" s="281"/>
      <c r="F21" s="280"/>
      <c r="G21" s="278"/>
      <c r="H21" s="278"/>
      <c r="I21" s="278"/>
    </row>
    <row r="22" spans="1:9" x14ac:dyDescent="0.2">
      <c r="A22" s="278"/>
      <c r="B22" s="278"/>
      <c r="C22" s="278"/>
      <c r="D22" s="278"/>
      <c r="E22" s="281"/>
      <c r="F22" s="280"/>
      <c r="G22" s="278"/>
      <c r="H22" s="278"/>
      <c r="I22" s="278"/>
    </row>
    <row r="23" spans="1:9" x14ac:dyDescent="0.2">
      <c r="A23" s="278"/>
      <c r="B23" s="278"/>
      <c r="C23" s="278"/>
      <c r="D23" s="278"/>
      <c r="E23" s="281"/>
      <c r="F23" s="280"/>
      <c r="G23" s="278"/>
      <c r="H23" s="278"/>
      <c r="I23" s="278"/>
    </row>
    <row r="24" spans="1:9" x14ac:dyDescent="0.2">
      <c r="A24" s="278"/>
      <c r="B24" s="278"/>
      <c r="C24" s="278"/>
      <c r="D24" s="278"/>
      <c r="E24" s="278"/>
      <c r="F24" s="280"/>
      <c r="G24" s="278"/>
      <c r="H24" s="278"/>
      <c r="I24" s="278"/>
    </row>
    <row r="25" spans="1:9" x14ac:dyDescent="0.2">
      <c r="A25" s="278"/>
      <c r="B25" s="278"/>
      <c r="C25" s="278"/>
      <c r="D25" s="278"/>
      <c r="E25" s="278"/>
      <c r="F25" s="278"/>
      <c r="G25" s="278"/>
      <c r="H25" s="278"/>
      <c r="I25" s="278"/>
    </row>
    <row r="26" spans="1:9" x14ac:dyDescent="0.2">
      <c r="A26" s="278"/>
      <c r="B26" s="278"/>
      <c r="C26" s="278"/>
      <c r="D26" s="278"/>
      <c r="E26" s="278"/>
      <c r="F26" s="278"/>
      <c r="G26" s="278"/>
      <c r="H26" s="278"/>
      <c r="I26" s="278"/>
    </row>
    <row r="27" spans="1:9" x14ac:dyDescent="0.2">
      <c r="A27" s="278"/>
      <c r="B27" s="279"/>
      <c r="C27" s="279"/>
      <c r="D27" s="278"/>
      <c r="E27" s="278"/>
      <c r="F27" s="278"/>
      <c r="G27" s="278"/>
      <c r="H27" s="278"/>
      <c r="I27" s="278"/>
    </row>
    <row r="28" spans="1:9" x14ac:dyDescent="0.2">
      <c r="A28" s="278"/>
      <c r="B28" s="278"/>
      <c r="C28" s="278"/>
      <c r="D28" s="278"/>
      <c r="E28" s="278"/>
      <c r="F28" s="278"/>
      <c r="G28" s="278"/>
      <c r="H28" s="278"/>
      <c r="I28" s="278"/>
    </row>
  </sheetData>
  <mergeCells count="1">
    <mergeCell ref="B4:E4"/>
  </mergeCells>
  <pageMargins left="0.75" right="0.75" top="0.7" bottom="1" header="0.7" footer="0.5"/>
  <pageSetup scale="81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551EF0-3042-40B2-97D4-52C14661A85C}"/>
</file>

<file path=customXml/itemProps2.xml><?xml version="1.0" encoding="utf-8"?>
<ds:datastoreItem xmlns:ds="http://schemas.openxmlformats.org/officeDocument/2006/customXml" ds:itemID="{A430EC0D-523D-4CBE-8154-F5911679E1E0}"/>
</file>

<file path=customXml/itemProps3.xml><?xml version="1.0" encoding="utf-8"?>
<ds:datastoreItem xmlns:ds="http://schemas.openxmlformats.org/officeDocument/2006/customXml" ds:itemID="{A56ED187-744E-441F-8B4B-92A21ADAA6DD}"/>
</file>

<file path=customXml/itemProps4.xml><?xml version="1.0" encoding="utf-8"?>
<ds:datastoreItem xmlns:ds="http://schemas.openxmlformats.org/officeDocument/2006/customXml" ds:itemID="{F8760EE4-6B6B-4F3C-9471-58C2AA658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2018-09-28T20:52:53Z</dcterms:created>
  <dcterms:modified xsi:type="dcterms:W3CDTF">2018-09-28T21:11:30Z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