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4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2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80" windowHeight="7305"/>
  </bookViews>
  <sheets>
    <sheet name="Testimony" sheetId="1" r:id="rId1"/>
    <sheet name="10 yr Hydro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calcPr calcId="145621" iterate="1"/>
</workbook>
</file>

<file path=xl/calcChain.xml><?xml version="1.0" encoding="utf-8"?>
<calcChain xmlns="http://schemas.openxmlformats.org/spreadsheetml/2006/main">
  <c r="B52" i="1" l="1"/>
  <c r="B51" i="1"/>
  <c r="B49" i="1"/>
  <c r="B48" i="1"/>
  <c r="B46" i="1"/>
  <c r="B45" i="1"/>
  <c r="B50" i="1"/>
  <c r="B47" i="1"/>
  <c r="B44" i="1"/>
  <c r="B43" i="1"/>
  <c r="B42" i="1"/>
  <c r="B41" i="1"/>
  <c r="B35" i="1" l="1"/>
  <c r="C18" i="1"/>
  <c r="B31" i="1" l="1"/>
  <c r="B28" i="1" l="1"/>
  <c r="B26" i="1" l="1"/>
  <c r="B25" i="1"/>
  <c r="B27" i="1" l="1"/>
  <c r="B6" i="1"/>
  <c r="B7" i="1"/>
  <c r="B8" i="1"/>
  <c r="B9" i="1"/>
  <c r="B65" i="1"/>
  <c r="B14" i="1"/>
  <c r="B13" i="1"/>
  <c r="B12" i="1"/>
  <c r="B11" i="1"/>
  <c r="B10" i="1"/>
  <c r="F7" i="2"/>
  <c r="C7" i="2"/>
  <c r="F8" i="2"/>
  <c r="C8" i="2"/>
  <c r="F9" i="2"/>
  <c r="C9" i="2"/>
  <c r="B87" i="1" l="1"/>
  <c r="Y7" i="2" l="1"/>
  <c r="Y8" i="2"/>
  <c r="Y9" i="2"/>
  <c r="L12" i="2"/>
  <c r="L13" i="2"/>
  <c r="L14" i="2"/>
  <c r="L15" i="2"/>
  <c r="C24" i="2" l="1"/>
  <c r="E24" i="2" l="1"/>
  <c r="E22" i="2"/>
  <c r="E21" i="2"/>
  <c r="E20" i="2"/>
  <c r="E19" i="2"/>
  <c r="E18" i="2"/>
  <c r="E17" i="2"/>
  <c r="E16" i="2"/>
  <c r="E15" i="2"/>
  <c r="E14" i="2"/>
  <c r="E13" i="2"/>
  <c r="B14" i="2" l="1"/>
  <c r="B15" i="2" s="1"/>
  <c r="B16" i="2" s="1"/>
  <c r="B17" i="2" s="1"/>
  <c r="B18" i="2" s="1"/>
  <c r="B19" i="2" s="1"/>
  <c r="B20" i="2" s="1"/>
  <c r="B21" i="2" s="1"/>
  <c r="B22" i="2" s="1"/>
  <c r="C26" i="2"/>
  <c r="D26" i="2" l="1"/>
  <c r="E26" i="2" s="1"/>
  <c r="F13" i="2" s="1"/>
  <c r="G21" i="2"/>
  <c r="G19" i="2"/>
  <c r="G17" i="2"/>
  <c r="G15" i="2"/>
  <c r="G13" i="2"/>
  <c r="G22" i="2"/>
  <c r="G20" i="2"/>
  <c r="G18" i="2"/>
  <c r="G16" i="2"/>
  <c r="G14" i="2"/>
  <c r="F24" i="2" l="1"/>
  <c r="F21" i="2"/>
  <c r="F19" i="2"/>
  <c r="F17" i="2"/>
  <c r="F15" i="2"/>
  <c r="F22" i="2"/>
  <c r="F20" i="2"/>
  <c r="F18" i="2"/>
  <c r="F16" i="2"/>
  <c r="F14" i="2"/>
  <c r="D8" i="2" l="1"/>
  <c r="E8" i="2" s="1"/>
  <c r="D9" i="2"/>
  <c r="E9" i="2" s="1"/>
  <c r="B86" i="1" s="1"/>
  <c r="G9" i="2"/>
  <c r="B88" i="1" s="1"/>
  <c r="H9" i="2" l="1"/>
  <c r="G8" i="2"/>
  <c r="H8" i="2" s="1"/>
  <c r="K77" i="1"/>
  <c r="K75" i="1"/>
  <c r="K76" i="1"/>
  <c r="K74" i="1"/>
  <c r="K70" i="1" l="1"/>
  <c r="B81" i="1"/>
  <c r="B80" i="1"/>
  <c r="B79" i="1"/>
  <c r="B71" i="1"/>
  <c r="B70" i="1"/>
  <c r="B69" i="1"/>
  <c r="B73" i="1" l="1"/>
  <c r="B75" i="1"/>
  <c r="B74" i="1"/>
  <c r="B72" i="1"/>
  <c r="K71" i="1" s="1"/>
  <c r="H55" i="1" l="1"/>
  <c r="B63" i="1"/>
  <c r="H20" i="1" l="1"/>
  <c r="B4" i="1" l="1"/>
  <c r="E5" i="1" l="1"/>
  <c r="B30" i="1"/>
  <c r="B34" i="1"/>
  <c r="B36" i="1"/>
  <c r="B37" i="1"/>
  <c r="B38" i="1"/>
  <c r="B39" i="1"/>
  <c r="B56" i="1"/>
  <c r="B57" i="1"/>
  <c r="B58" i="1" l="1"/>
  <c r="G7" i="2" l="1"/>
  <c r="D7" i="2"/>
  <c r="E7" i="2" s="1"/>
  <c r="B85" i="1" s="1"/>
  <c r="H7" i="2" l="1"/>
  <c r="M6" i="2" l="1"/>
  <c r="M12" i="2" l="1"/>
  <c r="M13" i="2"/>
  <c r="M14" i="2"/>
  <c r="M15" i="2"/>
  <c r="N6" i="2"/>
  <c r="N12" i="2" l="1"/>
  <c r="N13" i="2"/>
  <c r="N14" i="2"/>
  <c r="N15" i="2"/>
  <c r="O6" i="2"/>
  <c r="O12" i="2" l="1"/>
  <c r="O13" i="2"/>
  <c r="O14" i="2"/>
  <c r="O15" i="2"/>
  <c r="P6" i="2"/>
  <c r="P12" i="2" l="1"/>
  <c r="P13" i="2"/>
  <c r="P14" i="2"/>
  <c r="P15" i="2"/>
  <c r="Q6" i="2"/>
  <c r="Q12" i="2" l="1"/>
  <c r="Q13" i="2"/>
  <c r="Q14" i="2"/>
  <c r="Q15" i="2"/>
  <c r="R6" i="2"/>
  <c r="R12" i="2" l="1"/>
  <c r="R13" i="2"/>
  <c r="R14" i="2"/>
  <c r="R15" i="2"/>
  <c r="S6" i="2"/>
  <c r="T6" i="2"/>
  <c r="T12" i="2" l="1"/>
  <c r="T13" i="2"/>
  <c r="T14" i="2"/>
  <c r="T15" i="2"/>
  <c r="S12" i="2"/>
  <c r="S13" i="2"/>
  <c r="S14" i="2"/>
  <c r="S15" i="2"/>
  <c r="U6" i="2" l="1"/>
  <c r="V6" i="2"/>
  <c r="V12" i="2" l="1"/>
  <c r="V13" i="2"/>
  <c r="V14" i="2"/>
  <c r="V15" i="2"/>
  <c r="U12" i="2"/>
  <c r="U13" i="2"/>
  <c r="U14" i="2"/>
  <c r="U15" i="2"/>
  <c r="W6" i="2"/>
  <c r="W12" i="2" l="1"/>
  <c r="W13" i="2"/>
  <c r="W14" i="2"/>
  <c r="W15" i="2"/>
  <c r="L20" i="1"/>
  <c r="B62" i="1"/>
  <c r="B61" i="1" s="1"/>
  <c r="B78" i="1" l="1"/>
  <c r="X6" i="2"/>
  <c r="B77" i="1"/>
  <c r="I55" i="1"/>
  <c r="B55" i="1" s="1"/>
  <c r="I20" i="1"/>
  <c r="B20" i="1" s="1"/>
  <c r="B21" i="1" s="1"/>
  <c r="B54" i="1" l="1"/>
  <c r="B23" i="1" s="1"/>
  <c r="B76" i="1"/>
  <c r="K69" i="1"/>
  <c r="M20" i="1"/>
  <c r="X12" i="2"/>
  <c r="X13" i="2"/>
  <c r="X14" i="2"/>
  <c r="X15" i="2"/>
  <c r="Y6" i="2"/>
  <c r="K68" i="1"/>
  <c r="C6" i="2"/>
  <c r="D6" i="2" s="1"/>
  <c r="E6" i="2" s="1"/>
  <c r="C25" i="2"/>
  <c r="E25" i="2" s="1"/>
  <c r="F25" i="2" s="1"/>
  <c r="L21" i="1"/>
  <c r="M21" i="1"/>
  <c r="N21" i="1" l="1"/>
  <c r="L22" i="1"/>
  <c r="Y12" i="2"/>
  <c r="Y13" i="2"/>
  <c r="Y14" i="2"/>
  <c r="Y15" i="2"/>
  <c r="B68" i="1"/>
  <c r="K72" i="1"/>
  <c r="L68" i="1" s="1"/>
  <c r="M22" i="1"/>
  <c r="N20" i="1"/>
  <c r="L69" i="1" l="1"/>
  <c r="L71" i="1"/>
  <c r="L70" i="1"/>
  <c r="L72" i="1"/>
  <c r="N22" i="1"/>
  <c r="B22" i="1" s="1"/>
  <c r="F6" i="2" l="1"/>
  <c r="G6" i="2" s="1"/>
  <c r="H6" i="2" s="1"/>
  <c r="B5" i="1"/>
  <c r="I5" i="1" l="1"/>
  <c r="B18" i="1"/>
  <c r="C6" i="1"/>
  <c r="C8" i="1"/>
  <c r="C9" i="1"/>
  <c r="C14" i="1"/>
  <c r="C12" i="1"/>
  <c r="C10" i="1"/>
  <c r="C11" i="1"/>
  <c r="C7" i="1"/>
  <c r="C13" i="1"/>
  <c r="C50" i="1" l="1"/>
  <c r="C47" i="1"/>
  <c r="C41" i="1"/>
  <c r="C43" i="1"/>
  <c r="C44" i="1"/>
  <c r="C42" i="1"/>
  <c r="C57" i="1"/>
  <c r="C56" i="1"/>
  <c r="C58" i="1"/>
  <c r="C55" i="1"/>
  <c r="C54" i="1"/>
  <c r="C39" i="1"/>
  <c r="C23" i="1"/>
  <c r="C22" i="1"/>
  <c r="D7" i="1"/>
  <c r="D12" i="1"/>
  <c r="D9" i="1"/>
  <c r="D6" i="1"/>
  <c r="D14" i="1"/>
  <c r="D13" i="1"/>
  <c r="D11" i="1"/>
  <c r="D10" i="1"/>
  <c r="D8" i="1"/>
  <c r="B60" i="1"/>
  <c r="C60" i="1" s="1"/>
</calcChain>
</file>

<file path=xl/sharedStrings.xml><?xml version="1.0" encoding="utf-8"?>
<sst xmlns="http://schemas.openxmlformats.org/spreadsheetml/2006/main" count="150" uniqueCount="139">
  <si>
    <t>% of variation due to high hydro</t>
  </si>
  <si>
    <t>Variation between high and low hydro (NPC $)</t>
  </si>
  <si>
    <t>2006 Hydro Variation analysis</t>
  </si>
  <si>
    <t>Chehalis Capacity</t>
  </si>
  <si>
    <t>Hermiston Capacity (100%)</t>
  </si>
  <si>
    <t>WCA Gas generation capacity (MW) prior to 2006</t>
  </si>
  <si>
    <t>Wind resources (owned and contracted) to serve load (MW) - Test Period</t>
  </si>
  <si>
    <t>Wind resources (owned and contracted) to serve load (MW) - Current</t>
  </si>
  <si>
    <t>New wind resources since 2006 - PPAs (MW)</t>
  </si>
  <si>
    <t>New wind resources since 2006 - Company owned (MW)</t>
  </si>
  <si>
    <t>Wind and hydro generation vs WCA load (Max%)</t>
  </si>
  <si>
    <t>Wind and hydro generation vs WCA load (Min%)</t>
  </si>
  <si>
    <t>Wind and hydro generation vs WCA load (%)</t>
  </si>
  <si>
    <t>Wind and hydro capacity vs WCA (%)</t>
  </si>
  <si>
    <t>PCAM</t>
  </si>
  <si>
    <t>Wind integration costs ($/MWh)</t>
  </si>
  <si>
    <t>Company Wind - Prior Case</t>
  </si>
  <si>
    <t>Company Wind - Current Case</t>
  </si>
  <si>
    <t>Company owned wind generation change (%)</t>
  </si>
  <si>
    <t>Delta in gas swap impact</t>
  </si>
  <si>
    <t>Gas Swap impact in current case ($)</t>
  </si>
  <si>
    <t>Gas Swap impact in prior case ($)</t>
  </si>
  <si>
    <t>Colstrip delivered cost/ton (current case)</t>
  </si>
  <si>
    <t>Colstrip delivered cost/ton (prior case)</t>
  </si>
  <si>
    <t>Increase in Colstrip coal costs ($)</t>
  </si>
  <si>
    <t>BCC delivered cost/ton (current case)</t>
  </si>
  <si>
    <t>BCC delivered cost/ton (prior case)</t>
  </si>
  <si>
    <t>Increase in Bridger Coal Company costs ($)</t>
  </si>
  <si>
    <t>BB delivered cost/ton (current case)</t>
  </si>
  <si>
    <t>BB delivered cost/ton (prior case)</t>
  </si>
  <si>
    <t>Increase in Black Butte Coal costs ($)</t>
  </si>
  <si>
    <t>Colstrip coal price increase ($)</t>
  </si>
  <si>
    <t>Bridger coal price increase ($)</t>
  </si>
  <si>
    <t>Coal price increase ($)</t>
  </si>
  <si>
    <t>BPA rate case - transmission expense impact ($)</t>
  </si>
  <si>
    <t>NT and IS rate reduction</t>
  </si>
  <si>
    <t>Approximate rate increase for PTP and FPT</t>
  </si>
  <si>
    <t>Share of BPA transmission that is PTP and FPT</t>
  </si>
  <si>
    <t>BPA transmission capacity</t>
  </si>
  <si>
    <t>BPA rate case - transmission expense impact (%)</t>
  </si>
  <si>
    <t>WCA NPC Delta</t>
  </si>
  <si>
    <t>Bridger share with dynamic overlay derate</t>
  </si>
  <si>
    <t>Bridger share without dynamic overlay derate</t>
  </si>
  <si>
    <t>Cost of QFs in this case</t>
  </si>
  <si>
    <t>Cost reduction due to natural gas and electric swaps</t>
  </si>
  <si>
    <t>Cost reduction due to drop in load</t>
  </si>
  <si>
    <t>Desciption</t>
  </si>
  <si>
    <t>Value</t>
  </si>
  <si>
    <t>Testimony References</t>
  </si>
  <si>
    <t>DC intertie/NOB excluded</t>
  </si>
  <si>
    <t>Non-owned wind integration excluded_x000D_</t>
  </si>
  <si>
    <t>Wind generation using P50</t>
  </si>
  <si>
    <t xml:space="preserve">Using the derated  dynamic overlay capacity of the Idaho PTP/decreased Bridger ratio </t>
  </si>
  <si>
    <t>Hydro generation weekly from UE-111190</t>
  </si>
  <si>
    <t>Including ECA sale_x000D_</t>
  </si>
  <si>
    <t>Excluding OR and CA QFs in WCA_x000D_</t>
  </si>
  <si>
    <t>Excluding WA Commercial weather normalization</t>
  </si>
  <si>
    <t>n/a</t>
  </si>
  <si>
    <t>Study</t>
  </si>
  <si>
    <t>Delta</t>
  </si>
  <si>
    <t>NPC</t>
  </si>
  <si>
    <t>NPC Reports - Testimony One-offs</t>
  </si>
  <si>
    <t>UE-111190 (May13)</t>
  </si>
  <si>
    <t>UE-12XXXX (CY14)</t>
  </si>
  <si>
    <t>MWh</t>
  </si>
  <si>
    <t>Dollars</t>
  </si>
  <si>
    <t>MWH</t>
  </si>
  <si>
    <t>$/MWH</t>
  </si>
  <si>
    <t>STF Purchases</t>
  </si>
  <si>
    <t>System Balancing Purchases</t>
  </si>
  <si>
    <t>Total Purchases</t>
  </si>
  <si>
    <t>E&amp;G Swap impact from prior case ($)</t>
  </si>
  <si>
    <t>Electric Swaps impact ($)</t>
  </si>
  <si>
    <t>Change in load (MWh)</t>
  </si>
  <si>
    <t>CY14 has Electric Swap Sales in Sales section</t>
  </si>
  <si>
    <t>Wind P50 vs 48 month impact - Owned and PPAs</t>
  </si>
  <si>
    <t>Load only Regulation, no wind integration</t>
  </si>
  <si>
    <t>WCA wind capacity factor (12ME June 2012)</t>
  </si>
  <si>
    <t>WCA wind output (min, % nameplate, 12ME June 2012)</t>
  </si>
  <si>
    <t>WCA wind output (max, % nameplate, 12ME June 2012)</t>
  </si>
  <si>
    <t>WCA Company-owned Capacity</t>
  </si>
  <si>
    <t>Coal</t>
  </si>
  <si>
    <t>Gas</t>
  </si>
  <si>
    <t>Hydro</t>
  </si>
  <si>
    <t>Wind</t>
  </si>
  <si>
    <t>Lewis</t>
  </si>
  <si>
    <t>Klamath</t>
  </si>
  <si>
    <t>North Umpqua</t>
  </si>
  <si>
    <t>Other West</t>
  </si>
  <si>
    <t>Total</t>
  </si>
  <si>
    <t>10 year Max</t>
  </si>
  <si>
    <t>10 year Median</t>
  </si>
  <si>
    <t>10 year Min</t>
  </si>
  <si>
    <t>Filed</t>
  </si>
  <si>
    <t>VS Median</t>
  </si>
  <si>
    <t>NPC impact %</t>
  </si>
  <si>
    <t>NPC impact ($)</t>
  </si>
  <si>
    <t>Total NPC ($)</t>
  </si>
  <si>
    <t>MWh Delta %</t>
  </si>
  <si>
    <t>MWh Delta</t>
  </si>
  <si>
    <t>Total MWh</t>
  </si>
  <si>
    <t>NPC Impacts Due to Hydro Variations</t>
  </si>
  <si>
    <t xml:space="preserve"> Skookumchuck</t>
  </si>
  <si>
    <t xml:space="preserve"> Naches Drop</t>
  </si>
  <si>
    <t xml:space="preserve"> Naches</t>
  </si>
  <si>
    <t xml:space="preserve"> Powerdale</t>
  </si>
  <si>
    <t xml:space="preserve"> Cline Falls</t>
  </si>
  <si>
    <t xml:space="preserve"> Stayton</t>
  </si>
  <si>
    <t xml:space="preserve"> Condit</t>
  </si>
  <si>
    <t xml:space="preserve"> Westside</t>
  </si>
  <si>
    <t>Eastside</t>
  </si>
  <si>
    <t>Expired West:</t>
  </si>
  <si>
    <t>vs 10 Year Median</t>
  </si>
  <si>
    <t>WA GRC CY2014 Filed</t>
  </si>
  <si>
    <t>WA UE-111190 (GRC May2013) (Settlement)</t>
  </si>
  <si>
    <t>Normalized</t>
  </si>
  <si>
    <t>Expired West</t>
  </si>
  <si>
    <t>West</t>
  </si>
  <si>
    <t>As a percentage of WA GRC Filed</t>
  </si>
  <si>
    <t>2007/2010</t>
  </si>
  <si>
    <t>WA GRC Filed</t>
  </si>
  <si>
    <t>Version</t>
  </si>
  <si>
    <t>Year</t>
  </si>
  <si>
    <t>Month</t>
  </si>
  <si>
    <t>Does not include Swift 2 Exchange</t>
  </si>
  <si>
    <t>Note: includes Swift 2 Exchange</t>
  </si>
  <si>
    <t>10 year hydro min (% vs median)</t>
  </si>
  <si>
    <t>10 year hydro max (% vs median)</t>
  </si>
  <si>
    <t>PSE QF price (2009 GRC)</t>
  </si>
  <si>
    <t>PSE QF price (2011 GRC)</t>
  </si>
  <si>
    <t>From:</t>
  </si>
  <si>
    <t xml:space="preserve"> UE-111048_UG-111049 PSE Redacted Mills attach 2 DEM-10C 9-01-2011.xls ID: 403E16</t>
  </si>
  <si>
    <t>www.wutc.wa.gov/RMS2.nsf/177d98baa5918c7388256a550064a61e/c11467e20383b628882578fe00701f08!OpenDocument</t>
  </si>
  <si>
    <t>WA Allocated</t>
  </si>
  <si>
    <t>Cost of QFs in previous case</t>
  </si>
  <si>
    <t>WA Allocation</t>
  </si>
  <si>
    <t>WA Allocated NPC</t>
  </si>
  <si>
    <t>UE-13XXXX (CY14)</t>
  </si>
  <si>
    <t xml:space="preserve">n/a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</si>
</sst>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#,##0.00_);[Red]\(#,##0.00\);&quot;-     &quot;"/>
    <numFmt numFmtId="167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b/>
      <sz val="10"/>
      <name val="Arial"/>
      <family val="2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164" fontId="0" fillId="0" borderId="0" xfId="1" applyNumberFormat="1" applyFont="1"/>
    <xf numFmtId="164" fontId="0" fillId="0" borderId="0" xfId="0" applyNumberFormat="1"/>
    <xf numFmtId="43" fontId="0" fillId="0" borderId="0" xfId="0" applyNumberFormat="1"/>
    <xf numFmtId="9" fontId="0" fillId="0" borderId="0" xfId="2" applyFont="1"/>
    <xf numFmtId="165" fontId="0" fillId="0" borderId="0" xfId="2" applyNumberFormat="1" applyFont="1"/>
    <xf numFmtId="164" fontId="0" fillId="0" borderId="0" xfId="1" applyNumberFormat="1" applyFont="1" applyFill="1"/>
    <xf numFmtId="0" fontId="0" fillId="0" borderId="0" xfId="0" applyAlignment="1">
      <alignment wrapText="1"/>
    </xf>
    <xf numFmtId="1" fontId="0" fillId="0" borderId="0" xfId="0" applyNumberFormat="1"/>
    <xf numFmtId="1" fontId="4" fillId="0" borderId="0" xfId="0" applyNumberFormat="1" applyFont="1" applyFill="1" applyAlignment="1">
      <alignment horizontal="center"/>
    </xf>
    <xf numFmtId="164" fontId="4" fillId="0" borderId="0" xfId="1" applyNumberFormat="1" applyFont="1" applyFill="1" applyAlignment="1">
      <alignment horizontal="center"/>
    </xf>
    <xf numFmtId="164" fontId="5" fillId="0" borderId="0" xfId="1" applyNumberFormat="1" applyFont="1"/>
    <xf numFmtId="43" fontId="3" fillId="0" borderId="0" xfId="1" applyFont="1" applyFill="1"/>
    <xf numFmtId="164" fontId="6" fillId="0" borderId="0" xfId="1" applyNumberFormat="1" applyFont="1" applyFill="1"/>
    <xf numFmtId="43" fontId="4" fillId="0" borderId="0" xfId="1" applyFont="1" applyFill="1"/>
    <xf numFmtId="166" fontId="7" fillId="0" borderId="1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1" fontId="3" fillId="0" borderId="0" xfId="0" applyNumberFormat="1" applyFont="1" applyAlignment="1">
      <alignment horizontal="right"/>
    </xf>
    <xf numFmtId="41" fontId="0" fillId="0" borderId="0" xfId="0" applyNumberFormat="1"/>
    <xf numFmtId="0" fontId="0" fillId="0" borderId="0" xfId="0" applyAlignment="1">
      <alignment horizontal="left"/>
    </xf>
    <xf numFmtId="0" fontId="0" fillId="0" borderId="2" xfId="0" applyBorder="1"/>
    <xf numFmtId="0" fontId="8" fillId="0" borderId="0" xfId="0" applyFont="1"/>
    <xf numFmtId="37" fontId="0" fillId="0" borderId="0" xfId="0" applyNumberFormat="1"/>
    <xf numFmtId="164" fontId="8" fillId="0" borderId="0" xfId="0" applyNumberFormat="1" applyFont="1"/>
    <xf numFmtId="0" fontId="0" fillId="0" borderId="0" xfId="0" applyBorder="1"/>
    <xf numFmtId="0" fontId="0" fillId="0" borderId="2" xfId="0" applyBorder="1" applyAlignment="1">
      <alignment horizontal="center"/>
    </xf>
    <xf numFmtId="0" fontId="9" fillId="0" borderId="0" xfId="3"/>
    <xf numFmtId="0" fontId="0" fillId="0" borderId="0" xfId="0" applyFill="1"/>
    <xf numFmtId="0" fontId="2" fillId="0" borderId="0" xfId="0" applyFont="1" applyFill="1"/>
    <xf numFmtId="164" fontId="0" fillId="0" borderId="0" xfId="0" applyNumberFormat="1" applyFill="1"/>
    <xf numFmtId="165" fontId="0" fillId="0" borderId="0" xfId="2" applyNumberFormat="1" applyFont="1" applyFill="1"/>
    <xf numFmtId="43" fontId="0" fillId="0" borderId="0" xfId="1" applyFont="1" applyFill="1"/>
    <xf numFmtId="10" fontId="0" fillId="0" borderId="0" xfId="2" applyNumberFormat="1" applyFont="1" applyFill="1"/>
    <xf numFmtId="9" fontId="0" fillId="0" borderId="0" xfId="2" applyFont="1" applyFill="1"/>
    <xf numFmtId="167" fontId="0" fillId="0" borderId="0" xfId="1" applyNumberFormat="1" applyFont="1" applyFill="1"/>
    <xf numFmtId="43" fontId="0" fillId="0" borderId="0" xfId="0" applyNumberFormat="1" applyFill="1"/>
    <xf numFmtId="9" fontId="0" fillId="0" borderId="0" xfId="2" applyNumberFormat="1" applyFont="1" applyFill="1"/>
    <xf numFmtId="9" fontId="0" fillId="0" borderId="0" xfId="0" applyNumberFormat="1" applyFill="1"/>
    <xf numFmtId="1" fontId="0" fillId="0" borderId="0" xfId="0" applyNumberFormat="1" applyFill="1"/>
    <xf numFmtId="165" fontId="0" fillId="0" borderId="0" xfId="0" applyNumberFormat="1" applyFill="1"/>
    <xf numFmtId="167" fontId="0" fillId="0" borderId="0" xfId="0" applyNumberFormat="1"/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34" Type="http://schemas.openxmlformats.org/officeDocument/2006/relationships/customXml" Target="../customXml/item4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customXml" Target="../customXml/item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theme" Target="theme/theme1.xml"/><Relationship Id="rId30" Type="http://schemas.openxmlformats.org/officeDocument/2006/relationships/calcChain" Target="calcChain.xml"/><Relationship Id="rId8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nfidential/UE-111190%20WA%20GRC%20Stipulated%20NPC%20GOLD%20CONF_2012%2012%2019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Testimony%20One-offs/NPC%20Reports/One-off_WA%20GRC%20CY14%20WCA%20Remove%20DC%20Intertie%20(Conf)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Testimony%20One-offs/NPC%20Reports/One-off_WA%20GRC%20CY14%20WCA%20Load%20Regulation%20only%20No%20Wind%20Integration%20(Conf)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PSE%20QF%20Prices_UE-111048_UG-11104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WA%20UE-xxxxxx%20(GRC%20CY2014)/Data/GOLD%20Data%20Series/WAw_Bridger%20Ratio%20(Conf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Testimony%20One-offs/Data%20Series/WAw_Bridger%20Ratio%20(Conf)%20(DynOverlay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WA%20UE-xxxxxx%20(GRC%20CY2014)/Data/GOLD%20Data%20Series/WAw_Wheeling%20(Conf)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Confidential/WUTC101w_Gas%20Swaps%20(Conf)%20(111108)%20(UE-111190)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WA%20UE-xxxxxx%20(GRC%20CY2014)/Data/GOLD%20Data%20Series/WAw_Gas%20Swaps%20(121108)%20NOV12%20(Conf)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gure%201%20-%20WCA%20Actual%20vs.%20Forecast%20Wind%20CONF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WA%20UE-xxxxxx%20(GRC%20CY2014)/Data/GOLD%20Data%20Series/WAw_Wind%20(Conf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A%20UE-xxxxxx%20(GRC%20CY2014)/Data%20Requests/Concurrent/_WA%20GRC%20CY14%20WCA%20NPC%20Study%20CONF_2012%2012%2007.xlsm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WA%20UE-xxxxxx%20(GRC%20CY2014)/Data/GOLD%20Data%20Series/WA_Weekly%20Hydro%20(121108%20OFPC)%20(Conf)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Testimony%20One-offs/NPC%20Reports/One-off_WA%20GRC%20CY14%20WCA%2010%20Year%20Min%20Hydro%20(Conf).xlsm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Testimony%20One-offs/NPC%20Reports/One-off_WA%20GRC%20CY14%20WCA%2010%20Year%20Median%20Hydro%20(Conf).xlsm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Testimony%20One-offs/NPC%20Reports/One-off_WA%20GRC%20CY14%20WCA%2010%20Year%20Max%20Hydro%20(Conf)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Confidential/Coal%20Costs/2013%20WA%20GRC/Cost%20Compariso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Testimony%20One-offs/NPC%20Reports/One-off_WA%20GRC%20CY14%20WCA%20No%20WA%20Comm%20weather%20adj%20(Conf)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Testimony%20One-offs/NPC%20Reports/One-off_WA%20GRC%20CY14%20WCA%20No%20OR%20CA%20QFs%20(Conf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Testimony%20One-offs/NPC%20Reports/One-off_WA%20GRC%20CY14%20WCA%20East%20Control%20Area%20Sale%20(Conf)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Testimony%20One-offs/NPC%20Reports/One-off_WA%20GRC%20CY14%20WCA%20UE-111190%20Hourly%20Hydro%20(Conf)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Testimony%20One-offs/NPC%20Reports/One-off_WA%20GRC%20CY14%20WCA%20Dynamic%20Overlay%20Derate%20(Conf)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Testimony%20One-offs/NPC%20Reports/One-off_WA%20GRC%20CY14%20WCA%20P50%20Wind%20(Conf)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Testimony%20One-offs/NPC%20Reports/One-off_WA%20GRC%20CY14%20WCA%20Remove%20OATT%20Wind%20Integration%20(Conf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Data"/>
      <sheetName val="NPC"/>
      <sheetName val="Hermiston"/>
      <sheetName val="Ramp Loss"/>
      <sheetName val="GRID LTC ($)"/>
      <sheetName val="GRID LTC (MWH)"/>
      <sheetName val="GRID Emergency Purchase (MWh)"/>
      <sheetName val="GRID Emergency Purchase ($)"/>
      <sheetName val="GRID Transmission Costs ($)"/>
      <sheetName val="GRID Fuel Price ($MMBtu)"/>
      <sheetName val="GRID Fuel Used (MMBtu)"/>
      <sheetName val="GRID Thermal Fuel Burn ($)"/>
      <sheetName val="GRID Thermal Generation (MWH)"/>
      <sheetName val="GRID Hydro Generation (MWH)"/>
      <sheetName val="GRID Purchases (MWH)"/>
      <sheetName val="GRID Purchases ($)"/>
      <sheetName val="GRID Sales (MWH)"/>
      <sheetName val="GRID Sales ($)"/>
      <sheetName val="GRID Nameplate (MW)"/>
      <sheetName val="GRID Load (MWH)"/>
      <sheetName val="GRID ST Firm Sales (MWH)"/>
      <sheetName val="GRID ST Firm Sales ($)"/>
      <sheetName val="GRID ST Firm Purchases (MWH)"/>
      <sheetName val="GRID ST Firm Purchases ($)"/>
      <sheetName val="Wind Integration"/>
      <sheetName val="MacroBuilder"/>
    </sheetNames>
    <sheetDataSet>
      <sheetData sheetId="0"/>
      <sheetData sheetId="1">
        <row r="211">
          <cell r="E211">
            <v>-2709694.2</v>
          </cell>
        </row>
        <row r="301">
          <cell r="E301">
            <v>548582138.46615565</v>
          </cell>
        </row>
        <row r="321">
          <cell r="E321">
            <v>20495884.741919279</v>
          </cell>
        </row>
        <row r="582">
          <cell r="E582">
            <v>3672270.3546415661</v>
          </cell>
        </row>
        <row r="608">
          <cell r="E608">
            <v>1152721.951102</v>
          </cell>
        </row>
        <row r="985">
          <cell r="E985">
            <v>118.82814240943165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Data"/>
      <sheetName val="NPC"/>
      <sheetName val="FuelAllocation"/>
      <sheetName val="West Valley"/>
      <sheetName val="Hermiston"/>
      <sheetName val="Ramp Loss"/>
      <sheetName val="GRID LTC ($)"/>
      <sheetName val="GRID LTC (MWH)"/>
      <sheetName val="GRID Emergency Purchase (MWh)"/>
      <sheetName val="GRID Emergency Purchase ($)"/>
      <sheetName val="GRID Transmission Costs ($)"/>
      <sheetName val="GRID Fuel Price ($MMBtu)"/>
      <sheetName val="GRID Fuel Used (MMBtu)"/>
      <sheetName val="GRID Thermal Fuel Burn ($)"/>
      <sheetName val="GRID Thermal Generation (MWH)"/>
      <sheetName val="GRID Hydro Generation (MWH)"/>
      <sheetName val="GRID Purchases (MWH)"/>
      <sheetName val="GRID Purchases ($)"/>
      <sheetName val="GRID Sales (MWH)"/>
      <sheetName val="GRID Sales ($)"/>
      <sheetName val="GRID Nameplate (MW)"/>
      <sheetName val="GRID Load (MWH)"/>
      <sheetName val="GRID ST Firm Sales (MWH)"/>
      <sheetName val="GRID ST Firm Sales ($)"/>
      <sheetName val="GRID ST Firm Purchases (MWH)"/>
      <sheetName val="GRID ST Firm Purchases ($)"/>
      <sheetName val="Wind Integration"/>
      <sheetName val="MacroBuilder"/>
    </sheetNames>
    <sheetDataSet>
      <sheetData sheetId="0"/>
      <sheetData sheetId="1">
        <row r="310">
          <cell r="E310">
            <v>575893341.13491285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Data"/>
      <sheetName val="Wind Int"/>
      <sheetName val="NPC"/>
      <sheetName val="FuelAllocation"/>
      <sheetName val="West Valley"/>
      <sheetName val="Hermiston"/>
      <sheetName val="Ramp Loss"/>
      <sheetName val="GRID LTC ($)"/>
      <sheetName val="GRID LTC (MWH)"/>
      <sheetName val="GRID Emergency Purchase (MWh)"/>
      <sheetName val="GRID Emergency Purchase ($)"/>
      <sheetName val="GRID Transmission Costs ($)"/>
      <sheetName val="GRID Fuel Price ($MMBtu)"/>
      <sheetName val="GRID Fuel Used (MMBtu)"/>
      <sheetName val="GRID Thermal Fuel Burn ($)"/>
      <sheetName val="GRID Thermal Generation (MWH)"/>
      <sheetName val="GRID Hydro Generation (MWH)"/>
      <sheetName val="GRID Purchases (MWH)"/>
      <sheetName val="GRID Purchases ($)"/>
      <sheetName val="GRID Sales (MWH)"/>
      <sheetName val="GRID Sales ($)"/>
      <sheetName val="GRID Nameplate (MW)"/>
      <sheetName val="GRID Load (MWH)"/>
      <sheetName val="GRID ST Firm Sales (MWH)"/>
      <sheetName val="GRID ST Firm Sales ($)"/>
      <sheetName val="GRID ST Firm Purchases (MWH)"/>
      <sheetName val="GRID ST Firm Purchases ($)"/>
      <sheetName val="Wind Integration"/>
      <sheetName val="MacroBuilder"/>
    </sheetNames>
    <sheetDataSet>
      <sheetData sheetId="0"/>
      <sheetData sheetId="1">
        <row r="9">
          <cell r="E9">
            <v>3.1317196844158488</v>
          </cell>
        </row>
      </sheetData>
      <sheetData sheetId="2">
        <row r="310">
          <cell r="E310">
            <v>574199076.1843425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DACTED"/>
      <sheetName val="11GRC Update vs As Filed(R)"/>
      <sheetName val="11GRC vs 09GRC(R)"/>
    </sheetNames>
    <sheetDataSet>
      <sheetData sheetId="0"/>
      <sheetData sheetId="1"/>
      <sheetData sheetId="2">
        <row r="91">
          <cell r="T91">
            <v>72.716274385396289</v>
          </cell>
          <cell r="U91">
            <v>97.291242527399589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idgerRatio"/>
    </sheetNames>
    <sheetDataSet>
      <sheetData sheetId="0">
        <row r="18">
          <cell r="Q18">
            <v>0.99432537417889666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idgerRatio"/>
    </sheetNames>
    <sheetDataSet>
      <sheetData sheetId="0">
        <row r="18">
          <cell r="Q18">
            <v>0.96496879983278516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heelingCosts"/>
      <sheetName val="BPA Rate Case"/>
      <sheetName val="Known &amp; Measurable"/>
      <sheetName val="Wheeling purpose"/>
      <sheetName val="SourceData"/>
      <sheetName val="Goodnoe PTP"/>
      <sheetName val="Lookup"/>
      <sheetName val="BPA Network Expense-12"/>
      <sheetName val="BPA Network Expense-14"/>
      <sheetName val="HoodRiver-12"/>
      <sheetName val="HoodRiver-14"/>
    </sheetNames>
    <sheetDataSet>
      <sheetData sheetId="0"/>
      <sheetData sheetId="1">
        <row r="86">
          <cell r="E86">
            <v>0.19587793710176135</v>
          </cell>
          <cell r="F86">
            <v>2827</v>
          </cell>
        </row>
        <row r="87">
          <cell r="E87">
            <v>-6.0160427807486629E-2</v>
          </cell>
        </row>
        <row r="88">
          <cell r="E88">
            <v>0.19527916999040359</v>
          </cell>
          <cell r="F88">
            <v>1352.6353784568198</v>
          </cell>
        </row>
        <row r="89">
          <cell r="E89">
            <v>-3.5806887107322119E-2</v>
          </cell>
        </row>
        <row r="91">
          <cell r="D91">
            <v>13419790.469280016</v>
          </cell>
          <cell r="E91">
            <v>0.15229160504418018</v>
          </cell>
          <cell r="F91">
            <v>5008.7844617901537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 Swap Summary"/>
      <sheetName val="Gas Swap Source"/>
      <sheetName val="NG price"/>
      <sheetName val="Lookup"/>
    </sheetNames>
    <sheetDataSet>
      <sheetData sheetId="0">
        <row r="19">
          <cell r="E19">
            <v>37814512</v>
          </cell>
        </row>
      </sheetData>
      <sheetData sheetId="1"/>
      <sheetData sheetId="2"/>
      <sheetData sheetId="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 Swap Summary"/>
      <sheetName val="Gas Swap Source"/>
      <sheetName val="NG price"/>
      <sheetName val="Lookup"/>
    </sheetNames>
    <sheetDataSet>
      <sheetData sheetId="0">
        <row r="20">
          <cell r="E20">
            <v>12179632.5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1"/>
      <sheetName val="Actual Hourly"/>
      <sheetName val="GRID Hourly"/>
      <sheetName val="Mapping"/>
      <sheetName val="Source"/>
    </sheetNames>
    <sheetDataSet>
      <sheetData sheetId="0" refreshError="1"/>
      <sheetData sheetId="1"/>
      <sheetData sheetId="2" refreshError="1"/>
      <sheetData sheetId="3" refreshError="1"/>
      <sheetData sheetId="4">
        <row r="4">
          <cell r="Q4">
            <v>0.28658291456858848</v>
          </cell>
        </row>
        <row r="5">
          <cell r="Q5">
            <v>-6.6125336169204438E-3</v>
          </cell>
        </row>
        <row r="6">
          <cell r="Q6">
            <v>0.93060871948454615</v>
          </cell>
        </row>
        <row r="14">
          <cell r="P14">
            <v>0.32383232958650132</v>
          </cell>
        </row>
        <row r="15">
          <cell r="P15">
            <v>5.7026426483857875E-2</v>
          </cell>
        </row>
        <row r="16">
          <cell r="P16">
            <v>0.8582702978801291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R"/>
      <sheetName val="Capacity Factor"/>
      <sheetName val="Nameplate Capacity"/>
      <sheetName val="48 Month"/>
      <sheetName val="Stateline Nameplates"/>
      <sheetName val="Stateline"/>
    </sheetNames>
    <sheetDataSet>
      <sheetData sheetId="0" refreshError="1"/>
      <sheetData sheetId="1" refreshError="1"/>
      <sheetData sheetId="2">
        <row r="5">
          <cell r="AO5">
            <v>41</v>
          </cell>
          <cell r="BF5">
            <v>41</v>
          </cell>
          <cell r="BS5">
            <v>41</v>
          </cell>
        </row>
        <row r="11">
          <cell r="C11">
            <v>94</v>
          </cell>
          <cell r="BF11">
            <v>94</v>
          </cell>
        </row>
        <row r="12">
          <cell r="BS12">
            <v>94</v>
          </cell>
        </row>
        <row r="14">
          <cell r="BS14">
            <v>10</v>
          </cell>
        </row>
        <row r="15">
          <cell r="C15">
            <v>100.5</v>
          </cell>
          <cell r="BF15">
            <v>100.5</v>
          </cell>
        </row>
        <row r="16">
          <cell r="BS16">
            <v>100.5</v>
          </cell>
        </row>
        <row r="17">
          <cell r="BS17">
            <v>10</v>
          </cell>
        </row>
        <row r="18">
          <cell r="C18">
            <v>140.4</v>
          </cell>
          <cell r="BF18">
            <v>140.4</v>
          </cell>
          <cell r="BS18">
            <v>140.4</v>
          </cell>
        </row>
        <row r="19">
          <cell r="C19">
            <v>70.2</v>
          </cell>
          <cell r="BF19">
            <v>70.2</v>
          </cell>
          <cell r="BS19">
            <v>70.2</v>
          </cell>
        </row>
        <row r="23">
          <cell r="BS23">
            <v>10</v>
          </cell>
        </row>
        <row r="25">
          <cell r="E25">
            <v>64.55</v>
          </cell>
          <cell r="BF25">
            <v>64.55</v>
          </cell>
          <cell r="BS25">
            <v>64.55</v>
          </cell>
        </row>
        <row r="26">
          <cell r="BS26">
            <v>10</v>
          </cell>
        </row>
        <row r="38">
          <cell r="C38">
            <v>9.8999999999999986</v>
          </cell>
          <cell r="BF38">
            <v>9.8999999999999986</v>
          </cell>
          <cell r="BS38">
            <v>9.8999999999999986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Data"/>
      <sheetName val="NPC"/>
      <sheetName val="FuelAllocation"/>
      <sheetName val="West Valley"/>
      <sheetName val="Hermiston"/>
      <sheetName val="Ramp Loss"/>
      <sheetName val="GRID LTC ($)"/>
      <sheetName val="GRID LTC (MWH)"/>
      <sheetName val="GRID Emergency Purchase (MWh)"/>
      <sheetName val="GRID Emergency Purchase ($)"/>
      <sheetName val="GRID Transmission Costs ($)"/>
      <sheetName val="GRID Fuel Price ($MMBtu)"/>
      <sheetName val="GRID Fuel Used (MMBtu)"/>
      <sheetName val="GRID Thermal Fuel Burn ($)"/>
      <sheetName val="GRID Thermal Generation (MWH)"/>
      <sheetName val="GRID Hydro Generation (MWH)"/>
      <sheetName val="GRID Purchases (MWH)"/>
      <sheetName val="GRID Purchases ($)"/>
      <sheetName val="GRID Sales (MWH)"/>
      <sheetName val="GRID Sales ($)"/>
      <sheetName val="GRID Nameplate (MW)"/>
      <sheetName val="GRID Load (MWH)"/>
      <sheetName val="GRID ST Firm Sales (MWH)"/>
      <sheetName val="GRID ST Firm Sales ($)"/>
      <sheetName val="GRID ST Firm Purchases (MWH)"/>
      <sheetName val="GRID ST Firm Purchases ($)"/>
      <sheetName val="Wind Integration"/>
      <sheetName val="MacroBuilder"/>
      <sheetName val="_WA GRC CY14 WCA NPC Study CONF"/>
    </sheetNames>
    <sheetDataSet>
      <sheetData sheetId="0" refreshError="1"/>
      <sheetData sheetId="1">
        <row r="1">
          <cell r="J1" t="str">
            <v>_WA_GRC_CY2014_WCA_NPC_Study_2012_12_07</v>
          </cell>
        </row>
        <row r="47">
          <cell r="E47">
            <v>483860.62</v>
          </cell>
        </row>
        <row r="208">
          <cell r="E208">
            <v>899640</v>
          </cell>
        </row>
        <row r="219">
          <cell r="E219">
            <v>-811464</v>
          </cell>
        </row>
        <row r="235">
          <cell r="E235">
            <v>67404818.710999995</v>
          </cell>
        </row>
        <row r="310">
          <cell r="E310">
            <v>580642562.87359464</v>
          </cell>
        </row>
        <row r="330">
          <cell r="E330">
            <v>19980405.973903514</v>
          </cell>
        </row>
        <row r="535">
          <cell r="E535">
            <v>47600</v>
          </cell>
        </row>
        <row r="561">
          <cell r="E561">
            <v>2166114.9963819999</v>
          </cell>
        </row>
        <row r="597">
          <cell r="E597">
            <v>3594351.6493036961</v>
          </cell>
          <cell r="F597">
            <v>458628.12942960201</v>
          </cell>
          <cell r="G597">
            <v>369093.67169743805</v>
          </cell>
          <cell r="H597">
            <v>425126.52064002294</v>
          </cell>
          <cell r="I597">
            <v>353353.40792880009</v>
          </cell>
          <cell r="J597">
            <v>311270.99822112906</v>
          </cell>
          <cell r="K597">
            <v>285403.18695259001</v>
          </cell>
          <cell r="L597">
            <v>178976.94414276595</v>
          </cell>
          <cell r="M597">
            <v>165305.29133158</v>
          </cell>
          <cell r="N597">
            <v>205579.11901008</v>
          </cell>
          <cell r="O597">
            <v>159813.09909479003</v>
          </cell>
          <cell r="P597">
            <v>287496.82901244995</v>
          </cell>
          <cell r="Q597">
            <v>394304.45184244803</v>
          </cell>
        </row>
        <row r="600">
          <cell r="E600">
            <v>3594351.6493036961</v>
          </cell>
        </row>
        <row r="626">
          <cell r="E626">
            <v>1014553.6391572</v>
          </cell>
        </row>
        <row r="727">
          <cell r="E727">
            <v>74</v>
          </cell>
        </row>
        <row r="728">
          <cell r="E728">
            <v>0</v>
          </cell>
        </row>
        <row r="729">
          <cell r="E729">
            <v>0</v>
          </cell>
        </row>
        <row r="730">
          <cell r="E730">
            <v>0</v>
          </cell>
        </row>
        <row r="731">
          <cell r="E731">
            <v>0</v>
          </cell>
        </row>
        <row r="732">
          <cell r="E732">
            <v>0</v>
          </cell>
        </row>
        <row r="733">
          <cell r="E733">
            <v>1411.3</v>
          </cell>
        </row>
        <row r="738">
          <cell r="E738">
            <v>242</v>
          </cell>
        </row>
        <row r="739">
          <cell r="E739">
            <v>0</v>
          </cell>
        </row>
        <row r="741">
          <cell r="E741">
            <v>512</v>
          </cell>
        </row>
        <row r="742">
          <cell r="E742">
            <v>0</v>
          </cell>
        </row>
        <row r="743">
          <cell r="E743">
            <v>0</v>
          </cell>
        </row>
        <row r="744">
          <cell r="E744">
            <v>0</v>
          </cell>
        </row>
        <row r="745">
          <cell r="E745">
            <v>242</v>
          </cell>
        </row>
        <row r="1019">
          <cell r="E1019">
            <v>77.199284240680143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ID LEW"/>
      <sheetName val="LEW Detail"/>
      <sheetName val="GRID NUR"/>
      <sheetName val="NUR Detail"/>
      <sheetName val="GRID KLA"/>
      <sheetName val="KLA Detail"/>
      <sheetName val="GRID  MID C"/>
      <sheetName val="MID C Detail"/>
      <sheetName val="Mid-C Percent"/>
      <sheetName val="GRID Reserve"/>
      <sheetName val="GRID Reserve Detail"/>
      <sheetName val="GRID  ROR"/>
      <sheetName val="ROR Detail"/>
      <sheetName val="Facility Lookup"/>
      <sheetName val="Cowlitz Return"/>
      <sheetName val="FO Rate"/>
      <sheetName val="FO generation losses"/>
    </sheetNames>
    <sheetDataSet>
      <sheetData sheetId="0"/>
      <sheetData sheetId="1">
        <row r="5">
          <cell r="F5">
            <v>252.1</v>
          </cell>
          <cell r="H5">
            <v>166.9</v>
          </cell>
          <cell r="I5">
            <v>148.80000000000001</v>
          </cell>
        </row>
        <row r="6">
          <cell r="F6">
            <v>252.4</v>
          </cell>
          <cell r="H6">
            <v>166.9</v>
          </cell>
          <cell r="I6">
            <v>148.4</v>
          </cell>
        </row>
        <row r="7">
          <cell r="F7">
            <v>252.5</v>
          </cell>
          <cell r="H7">
            <v>166.9</v>
          </cell>
          <cell r="I7">
            <v>148.4</v>
          </cell>
        </row>
        <row r="8">
          <cell r="F8">
            <v>252.5</v>
          </cell>
          <cell r="H8">
            <v>166.9</v>
          </cell>
          <cell r="I8">
            <v>148.4</v>
          </cell>
        </row>
        <row r="9">
          <cell r="F9">
            <v>252</v>
          </cell>
          <cell r="H9">
            <v>167.8</v>
          </cell>
          <cell r="I9">
            <v>147.69999999999999</v>
          </cell>
        </row>
        <row r="10">
          <cell r="F10">
            <v>249.1</v>
          </cell>
          <cell r="H10">
            <v>166.9</v>
          </cell>
          <cell r="I10">
            <v>149.19999999999999</v>
          </cell>
        </row>
        <row r="11">
          <cell r="F11">
            <v>243.9</v>
          </cell>
          <cell r="H11">
            <v>166.9</v>
          </cell>
          <cell r="I11">
            <v>149</v>
          </cell>
        </row>
        <row r="12">
          <cell r="F12">
            <v>238</v>
          </cell>
          <cell r="H12">
            <v>166.9</v>
          </cell>
          <cell r="I12">
            <v>149</v>
          </cell>
        </row>
        <row r="13">
          <cell r="F13">
            <v>232.2</v>
          </cell>
          <cell r="H13">
            <v>170</v>
          </cell>
          <cell r="I13">
            <v>145.19999999999999</v>
          </cell>
        </row>
        <row r="14">
          <cell r="F14">
            <v>232.9</v>
          </cell>
          <cell r="H14">
            <v>168.8</v>
          </cell>
          <cell r="I14">
            <v>148</v>
          </cell>
        </row>
        <row r="15">
          <cell r="F15">
            <v>232.2</v>
          </cell>
          <cell r="H15">
            <v>167</v>
          </cell>
          <cell r="I15">
            <v>149.1</v>
          </cell>
        </row>
        <row r="16">
          <cell r="F16">
            <v>228</v>
          </cell>
          <cell r="H16">
            <v>167</v>
          </cell>
          <cell r="I16">
            <v>148</v>
          </cell>
        </row>
        <row r="17">
          <cell r="F17">
            <v>223.8</v>
          </cell>
          <cell r="H17">
            <v>160.1</v>
          </cell>
          <cell r="I17">
            <v>148.5</v>
          </cell>
        </row>
        <row r="18">
          <cell r="F18">
            <v>227.7</v>
          </cell>
          <cell r="H18">
            <v>167.2</v>
          </cell>
          <cell r="I18">
            <v>147.1</v>
          </cell>
        </row>
        <row r="19">
          <cell r="F19">
            <v>231.5</v>
          </cell>
          <cell r="H19">
            <v>170</v>
          </cell>
          <cell r="I19">
            <v>142.6</v>
          </cell>
        </row>
        <row r="20">
          <cell r="F20">
            <v>235.1</v>
          </cell>
          <cell r="H20">
            <v>170</v>
          </cell>
          <cell r="I20">
            <v>140.5</v>
          </cell>
        </row>
        <row r="21">
          <cell r="F21">
            <v>238.4</v>
          </cell>
          <cell r="H21">
            <v>170</v>
          </cell>
          <cell r="I21">
            <v>137.80000000000001</v>
          </cell>
        </row>
        <row r="22">
          <cell r="F22">
            <v>245</v>
          </cell>
          <cell r="H22">
            <v>170</v>
          </cell>
          <cell r="I22">
            <v>146.5</v>
          </cell>
        </row>
        <row r="23">
          <cell r="F23">
            <v>250.8</v>
          </cell>
          <cell r="H23">
            <v>168.1</v>
          </cell>
          <cell r="I23">
            <v>149.69999999999999</v>
          </cell>
        </row>
        <row r="24">
          <cell r="F24">
            <v>254.1</v>
          </cell>
          <cell r="H24">
            <v>170</v>
          </cell>
          <cell r="I24">
            <v>144.6</v>
          </cell>
        </row>
        <row r="25">
          <cell r="F25">
            <v>255</v>
          </cell>
          <cell r="H25">
            <v>170</v>
          </cell>
          <cell r="I25">
            <v>138.1</v>
          </cell>
        </row>
        <row r="26">
          <cell r="F26">
            <v>255</v>
          </cell>
          <cell r="H26">
            <v>170</v>
          </cell>
          <cell r="I26">
            <v>144.80000000000001</v>
          </cell>
        </row>
        <row r="27">
          <cell r="F27">
            <v>255</v>
          </cell>
          <cell r="H27">
            <v>170</v>
          </cell>
          <cell r="I27">
            <v>141.4</v>
          </cell>
        </row>
        <row r="28">
          <cell r="F28">
            <v>255</v>
          </cell>
          <cell r="H28">
            <v>170</v>
          </cell>
          <cell r="I28">
            <v>63.8</v>
          </cell>
        </row>
        <row r="29">
          <cell r="F29">
            <v>255</v>
          </cell>
          <cell r="H29">
            <v>170</v>
          </cell>
          <cell r="I29">
            <v>50</v>
          </cell>
        </row>
        <row r="30">
          <cell r="F30">
            <v>255</v>
          </cell>
          <cell r="H30">
            <v>170</v>
          </cell>
          <cell r="I30">
            <v>85.6</v>
          </cell>
        </row>
        <row r="31">
          <cell r="F31">
            <v>255</v>
          </cell>
          <cell r="H31">
            <v>170</v>
          </cell>
          <cell r="I31">
            <v>150</v>
          </cell>
        </row>
        <row r="32">
          <cell r="F32">
            <v>230.2</v>
          </cell>
          <cell r="H32">
            <v>170</v>
          </cell>
          <cell r="I32">
            <v>150</v>
          </cell>
        </row>
        <row r="33">
          <cell r="F33">
            <v>242.9</v>
          </cell>
          <cell r="H33">
            <v>170</v>
          </cell>
          <cell r="I33">
            <v>128.30000000000001</v>
          </cell>
        </row>
        <row r="34">
          <cell r="F34">
            <v>255</v>
          </cell>
          <cell r="H34">
            <v>170</v>
          </cell>
          <cell r="I34">
            <v>100</v>
          </cell>
        </row>
        <row r="35">
          <cell r="F35">
            <v>255</v>
          </cell>
          <cell r="H35">
            <v>170</v>
          </cell>
          <cell r="I35">
            <v>142.9</v>
          </cell>
        </row>
        <row r="36">
          <cell r="F36">
            <v>156.80000000000001</v>
          </cell>
          <cell r="H36">
            <v>120.9</v>
          </cell>
          <cell r="I36">
            <v>150</v>
          </cell>
        </row>
        <row r="37">
          <cell r="F37">
            <v>242.9</v>
          </cell>
          <cell r="H37">
            <v>157.9</v>
          </cell>
          <cell r="I37">
            <v>149.30000000000001</v>
          </cell>
        </row>
        <row r="38">
          <cell r="F38">
            <v>255</v>
          </cell>
          <cell r="H38">
            <v>170</v>
          </cell>
          <cell r="I38">
            <v>148.9</v>
          </cell>
        </row>
        <row r="39">
          <cell r="F39">
            <v>255</v>
          </cell>
          <cell r="H39">
            <v>108.8</v>
          </cell>
          <cell r="I39">
            <v>147.30000000000001</v>
          </cell>
        </row>
        <row r="40">
          <cell r="F40">
            <v>255</v>
          </cell>
          <cell r="H40">
            <v>170</v>
          </cell>
          <cell r="I40">
            <v>146.9</v>
          </cell>
        </row>
        <row r="41">
          <cell r="F41">
            <v>255</v>
          </cell>
          <cell r="H41">
            <v>170</v>
          </cell>
          <cell r="I41">
            <v>148.1</v>
          </cell>
        </row>
        <row r="42">
          <cell r="F42">
            <v>250.3</v>
          </cell>
          <cell r="H42">
            <v>169</v>
          </cell>
          <cell r="I42">
            <v>149.30000000000001</v>
          </cell>
        </row>
        <row r="43">
          <cell r="F43">
            <v>243</v>
          </cell>
          <cell r="H43">
            <v>167</v>
          </cell>
          <cell r="I43">
            <v>150</v>
          </cell>
        </row>
        <row r="44">
          <cell r="F44">
            <v>244.4</v>
          </cell>
          <cell r="H44">
            <v>167.2</v>
          </cell>
          <cell r="I44">
            <v>150</v>
          </cell>
        </row>
        <row r="45">
          <cell r="F45">
            <v>247.9</v>
          </cell>
          <cell r="H45">
            <v>165.7</v>
          </cell>
          <cell r="I45">
            <v>150</v>
          </cell>
        </row>
        <row r="46">
          <cell r="F46">
            <v>251.2</v>
          </cell>
          <cell r="H46">
            <v>161.4</v>
          </cell>
          <cell r="I46">
            <v>150</v>
          </cell>
        </row>
        <row r="47">
          <cell r="F47">
            <v>252.1</v>
          </cell>
          <cell r="H47">
            <v>167.7</v>
          </cell>
          <cell r="I47">
            <v>147.19999999999999</v>
          </cell>
        </row>
        <row r="48">
          <cell r="F48">
            <v>251.8</v>
          </cell>
          <cell r="H48">
            <v>170</v>
          </cell>
          <cell r="I48">
            <v>143</v>
          </cell>
        </row>
        <row r="49">
          <cell r="F49">
            <v>251.8</v>
          </cell>
          <cell r="H49">
            <v>168</v>
          </cell>
          <cell r="I49">
            <v>148.69999999999999</v>
          </cell>
        </row>
        <row r="50">
          <cell r="F50">
            <v>252</v>
          </cell>
          <cell r="H50">
            <v>166.1</v>
          </cell>
          <cell r="I50">
            <v>149</v>
          </cell>
        </row>
        <row r="51">
          <cell r="F51">
            <v>250.7</v>
          </cell>
          <cell r="H51">
            <v>167</v>
          </cell>
          <cell r="I51">
            <v>149.19999999999999</v>
          </cell>
        </row>
        <row r="52">
          <cell r="F52">
            <v>252.5</v>
          </cell>
          <cell r="H52">
            <v>168.8</v>
          </cell>
          <cell r="I52">
            <v>147.9</v>
          </cell>
        </row>
        <row r="53">
          <cell r="F53">
            <v>252.5</v>
          </cell>
          <cell r="H53">
            <v>167</v>
          </cell>
          <cell r="I53">
            <v>149.1</v>
          </cell>
        </row>
        <row r="54">
          <cell r="F54">
            <v>252.5</v>
          </cell>
          <cell r="H54">
            <v>167</v>
          </cell>
          <cell r="I54">
            <v>148.9</v>
          </cell>
        </row>
        <row r="55">
          <cell r="F55">
            <v>252.5</v>
          </cell>
          <cell r="H55">
            <v>167</v>
          </cell>
          <cell r="I55">
            <v>148.9</v>
          </cell>
        </row>
        <row r="56">
          <cell r="F56">
            <v>252.5</v>
          </cell>
          <cell r="H56">
            <v>165.9</v>
          </cell>
          <cell r="I56">
            <v>148.1</v>
          </cell>
        </row>
        <row r="57">
          <cell r="F57">
            <v>251.4</v>
          </cell>
          <cell r="H57">
            <v>166.6</v>
          </cell>
          <cell r="I57">
            <v>148.69999999999999</v>
          </cell>
        </row>
        <row r="58">
          <cell r="F58">
            <v>0</v>
          </cell>
          <cell r="H58">
            <v>0</v>
          </cell>
          <cell r="I58">
            <v>0</v>
          </cell>
        </row>
      </sheetData>
      <sheetData sheetId="2"/>
      <sheetData sheetId="3">
        <row r="5">
          <cell r="J5">
            <v>31</v>
          </cell>
          <cell r="K5">
            <v>32</v>
          </cell>
          <cell r="L5">
            <v>13</v>
          </cell>
          <cell r="M5">
            <v>18</v>
          </cell>
          <cell r="N5">
            <v>42</v>
          </cell>
          <cell r="O5">
            <v>11</v>
          </cell>
          <cell r="P5">
            <v>17.5</v>
          </cell>
          <cell r="Q5">
            <v>11.5</v>
          </cell>
        </row>
        <row r="6">
          <cell r="J6">
            <v>31</v>
          </cell>
          <cell r="K6">
            <v>32</v>
          </cell>
          <cell r="L6">
            <v>13</v>
          </cell>
          <cell r="M6">
            <v>18</v>
          </cell>
          <cell r="N6">
            <v>42</v>
          </cell>
          <cell r="O6">
            <v>11</v>
          </cell>
          <cell r="P6">
            <v>17.5</v>
          </cell>
          <cell r="Q6">
            <v>11.5</v>
          </cell>
        </row>
        <row r="7">
          <cell r="J7">
            <v>31</v>
          </cell>
          <cell r="K7">
            <v>32</v>
          </cell>
          <cell r="L7">
            <v>13</v>
          </cell>
          <cell r="M7">
            <v>18</v>
          </cell>
          <cell r="N7">
            <v>42</v>
          </cell>
          <cell r="O7">
            <v>11</v>
          </cell>
          <cell r="P7">
            <v>17.5</v>
          </cell>
          <cell r="Q7">
            <v>11.5</v>
          </cell>
        </row>
        <row r="8">
          <cell r="J8">
            <v>31</v>
          </cell>
          <cell r="K8">
            <v>32</v>
          </cell>
          <cell r="L8">
            <v>13</v>
          </cell>
          <cell r="M8">
            <v>18</v>
          </cell>
          <cell r="N8">
            <v>42</v>
          </cell>
          <cell r="O8">
            <v>11</v>
          </cell>
          <cell r="P8">
            <v>17.5</v>
          </cell>
          <cell r="Q8">
            <v>11.5</v>
          </cell>
        </row>
        <row r="9">
          <cell r="J9">
            <v>31</v>
          </cell>
          <cell r="K9">
            <v>32</v>
          </cell>
          <cell r="L9">
            <v>13</v>
          </cell>
          <cell r="M9">
            <v>18</v>
          </cell>
          <cell r="N9">
            <v>42</v>
          </cell>
          <cell r="O9">
            <v>11</v>
          </cell>
          <cell r="P9">
            <v>17.5</v>
          </cell>
          <cell r="Q9">
            <v>11.5</v>
          </cell>
        </row>
        <row r="10">
          <cell r="J10">
            <v>31</v>
          </cell>
          <cell r="K10">
            <v>32</v>
          </cell>
          <cell r="L10">
            <v>13</v>
          </cell>
          <cell r="M10">
            <v>18</v>
          </cell>
          <cell r="N10">
            <v>42</v>
          </cell>
          <cell r="O10">
            <v>11</v>
          </cell>
          <cell r="P10">
            <v>17.5</v>
          </cell>
          <cell r="Q10">
            <v>11.5</v>
          </cell>
        </row>
        <row r="11">
          <cell r="J11">
            <v>31</v>
          </cell>
          <cell r="K11">
            <v>32</v>
          </cell>
          <cell r="L11">
            <v>13</v>
          </cell>
          <cell r="M11">
            <v>18</v>
          </cell>
          <cell r="N11">
            <v>42</v>
          </cell>
          <cell r="O11">
            <v>11</v>
          </cell>
          <cell r="P11">
            <v>17.5</v>
          </cell>
          <cell r="Q11">
            <v>11.5</v>
          </cell>
        </row>
        <row r="12">
          <cell r="J12">
            <v>31</v>
          </cell>
          <cell r="K12">
            <v>32</v>
          </cell>
          <cell r="L12">
            <v>13</v>
          </cell>
          <cell r="M12">
            <v>18</v>
          </cell>
          <cell r="N12">
            <v>42</v>
          </cell>
          <cell r="O12">
            <v>11</v>
          </cell>
          <cell r="P12">
            <v>17.5</v>
          </cell>
          <cell r="Q12">
            <v>11.5</v>
          </cell>
        </row>
        <row r="13">
          <cell r="J13">
            <v>31</v>
          </cell>
          <cell r="K13">
            <v>32</v>
          </cell>
          <cell r="L13">
            <v>13</v>
          </cell>
          <cell r="M13">
            <v>18</v>
          </cell>
          <cell r="N13">
            <v>42</v>
          </cell>
          <cell r="O13">
            <v>11</v>
          </cell>
          <cell r="P13">
            <v>17.5</v>
          </cell>
          <cell r="Q13">
            <v>11.5</v>
          </cell>
        </row>
        <row r="14">
          <cell r="J14">
            <v>31</v>
          </cell>
          <cell r="K14">
            <v>32</v>
          </cell>
          <cell r="L14">
            <v>13</v>
          </cell>
          <cell r="M14">
            <v>18</v>
          </cell>
          <cell r="N14">
            <v>42</v>
          </cell>
          <cell r="O14">
            <v>11</v>
          </cell>
          <cell r="P14">
            <v>17.5</v>
          </cell>
          <cell r="Q14">
            <v>11.5</v>
          </cell>
        </row>
        <row r="15">
          <cell r="J15">
            <v>31</v>
          </cell>
          <cell r="K15">
            <v>32</v>
          </cell>
          <cell r="L15">
            <v>13</v>
          </cell>
          <cell r="M15">
            <v>18</v>
          </cell>
          <cell r="N15">
            <v>42</v>
          </cell>
          <cell r="O15">
            <v>11</v>
          </cell>
          <cell r="P15">
            <v>17.5</v>
          </cell>
          <cell r="Q15">
            <v>11.5</v>
          </cell>
        </row>
        <row r="16">
          <cell r="J16">
            <v>31</v>
          </cell>
          <cell r="K16">
            <v>32</v>
          </cell>
          <cell r="L16">
            <v>13</v>
          </cell>
          <cell r="M16">
            <v>18</v>
          </cell>
          <cell r="N16">
            <v>42</v>
          </cell>
          <cell r="O16">
            <v>11</v>
          </cell>
          <cell r="P16">
            <v>17.5</v>
          </cell>
          <cell r="Q16">
            <v>11.5</v>
          </cell>
        </row>
        <row r="17">
          <cell r="J17">
            <v>31</v>
          </cell>
          <cell r="K17">
            <v>32</v>
          </cell>
          <cell r="L17">
            <v>1.8</v>
          </cell>
          <cell r="M17">
            <v>18</v>
          </cell>
          <cell r="N17">
            <v>42</v>
          </cell>
          <cell r="O17">
            <v>11</v>
          </cell>
          <cell r="P17">
            <v>17.5</v>
          </cell>
          <cell r="Q17">
            <v>11.5</v>
          </cell>
        </row>
        <row r="18">
          <cell r="J18">
            <v>31</v>
          </cell>
          <cell r="K18">
            <v>32</v>
          </cell>
          <cell r="L18">
            <v>7.4</v>
          </cell>
          <cell r="M18">
            <v>18</v>
          </cell>
          <cell r="N18">
            <v>42</v>
          </cell>
          <cell r="O18">
            <v>11</v>
          </cell>
          <cell r="P18">
            <v>17.5</v>
          </cell>
          <cell r="Q18">
            <v>11.5</v>
          </cell>
        </row>
        <row r="19">
          <cell r="J19">
            <v>31</v>
          </cell>
          <cell r="K19">
            <v>32</v>
          </cell>
          <cell r="L19">
            <v>13</v>
          </cell>
          <cell r="M19">
            <v>18</v>
          </cell>
          <cell r="N19">
            <v>42</v>
          </cell>
          <cell r="O19">
            <v>11</v>
          </cell>
          <cell r="P19">
            <v>14.9</v>
          </cell>
          <cell r="Q19">
            <v>11.5</v>
          </cell>
        </row>
        <row r="20">
          <cell r="J20">
            <v>31</v>
          </cell>
          <cell r="K20">
            <v>32</v>
          </cell>
          <cell r="L20">
            <v>13</v>
          </cell>
          <cell r="M20">
            <v>18</v>
          </cell>
          <cell r="N20">
            <v>42</v>
          </cell>
          <cell r="O20">
            <v>11</v>
          </cell>
          <cell r="P20">
            <v>0</v>
          </cell>
          <cell r="Q20">
            <v>11.5</v>
          </cell>
        </row>
        <row r="21">
          <cell r="J21">
            <v>31</v>
          </cell>
          <cell r="K21">
            <v>27.2</v>
          </cell>
          <cell r="L21">
            <v>13</v>
          </cell>
          <cell r="M21">
            <v>18</v>
          </cell>
          <cell r="N21">
            <v>42</v>
          </cell>
          <cell r="O21">
            <v>11</v>
          </cell>
          <cell r="P21">
            <v>0</v>
          </cell>
          <cell r="Q21">
            <v>11.5</v>
          </cell>
        </row>
        <row r="22">
          <cell r="J22">
            <v>31</v>
          </cell>
          <cell r="K22">
            <v>0</v>
          </cell>
          <cell r="L22">
            <v>13</v>
          </cell>
          <cell r="M22">
            <v>18</v>
          </cell>
          <cell r="N22">
            <v>42</v>
          </cell>
          <cell r="O22">
            <v>11</v>
          </cell>
          <cell r="P22">
            <v>0</v>
          </cell>
          <cell r="Q22">
            <v>11.5</v>
          </cell>
        </row>
        <row r="23">
          <cell r="J23">
            <v>31</v>
          </cell>
          <cell r="K23">
            <v>0</v>
          </cell>
          <cell r="L23">
            <v>13</v>
          </cell>
          <cell r="M23">
            <v>18</v>
          </cell>
          <cell r="N23">
            <v>42</v>
          </cell>
          <cell r="O23">
            <v>11</v>
          </cell>
          <cell r="P23">
            <v>0</v>
          </cell>
          <cell r="Q23">
            <v>11.5</v>
          </cell>
        </row>
        <row r="24">
          <cell r="J24">
            <v>31</v>
          </cell>
          <cell r="K24">
            <v>0</v>
          </cell>
          <cell r="L24">
            <v>13</v>
          </cell>
          <cell r="M24">
            <v>18</v>
          </cell>
          <cell r="N24">
            <v>29.1</v>
          </cell>
          <cell r="O24">
            <v>11</v>
          </cell>
          <cell r="P24">
            <v>0</v>
          </cell>
          <cell r="Q24">
            <v>11.5</v>
          </cell>
        </row>
        <row r="25">
          <cell r="J25">
            <v>31</v>
          </cell>
          <cell r="K25">
            <v>0</v>
          </cell>
          <cell r="L25">
            <v>13</v>
          </cell>
          <cell r="M25">
            <v>18</v>
          </cell>
          <cell r="N25">
            <v>27</v>
          </cell>
          <cell r="O25">
            <v>11</v>
          </cell>
          <cell r="P25">
            <v>0</v>
          </cell>
          <cell r="Q25">
            <v>11.5</v>
          </cell>
        </row>
        <row r="26">
          <cell r="J26">
            <v>31</v>
          </cell>
          <cell r="K26">
            <v>0</v>
          </cell>
          <cell r="L26">
            <v>13</v>
          </cell>
          <cell r="M26">
            <v>18</v>
          </cell>
          <cell r="N26">
            <v>37.700000000000003</v>
          </cell>
          <cell r="O26">
            <v>11</v>
          </cell>
          <cell r="P26">
            <v>0</v>
          </cell>
          <cell r="Q26">
            <v>11.5</v>
          </cell>
        </row>
        <row r="27">
          <cell r="J27">
            <v>31</v>
          </cell>
          <cell r="K27">
            <v>0</v>
          </cell>
          <cell r="L27">
            <v>13</v>
          </cell>
          <cell r="M27">
            <v>18</v>
          </cell>
          <cell r="N27">
            <v>42</v>
          </cell>
          <cell r="O27">
            <v>11</v>
          </cell>
          <cell r="P27">
            <v>0</v>
          </cell>
          <cell r="Q27">
            <v>11.5</v>
          </cell>
        </row>
        <row r="28">
          <cell r="J28">
            <v>31</v>
          </cell>
          <cell r="K28">
            <v>13.7</v>
          </cell>
          <cell r="L28">
            <v>13</v>
          </cell>
          <cell r="M28">
            <v>18</v>
          </cell>
          <cell r="N28">
            <v>42</v>
          </cell>
          <cell r="O28">
            <v>11</v>
          </cell>
          <cell r="P28">
            <v>5</v>
          </cell>
          <cell r="Q28">
            <v>11.5</v>
          </cell>
        </row>
        <row r="29">
          <cell r="J29">
            <v>31</v>
          </cell>
          <cell r="K29">
            <v>32</v>
          </cell>
          <cell r="L29">
            <v>13</v>
          </cell>
          <cell r="M29">
            <v>18</v>
          </cell>
          <cell r="N29">
            <v>36.200000000000003</v>
          </cell>
          <cell r="O29">
            <v>11</v>
          </cell>
          <cell r="P29">
            <v>17.5</v>
          </cell>
          <cell r="Q29">
            <v>11.5</v>
          </cell>
        </row>
        <row r="30">
          <cell r="J30">
            <v>31</v>
          </cell>
          <cell r="K30">
            <v>32</v>
          </cell>
          <cell r="L30">
            <v>13</v>
          </cell>
          <cell r="M30">
            <v>2.5</v>
          </cell>
          <cell r="N30">
            <v>26.5</v>
          </cell>
          <cell r="O30">
            <v>11</v>
          </cell>
          <cell r="P30">
            <v>17.5</v>
          </cell>
          <cell r="Q30">
            <v>11.6</v>
          </cell>
        </row>
        <row r="31">
          <cell r="J31">
            <v>31</v>
          </cell>
          <cell r="K31">
            <v>32</v>
          </cell>
          <cell r="L31">
            <v>13</v>
          </cell>
          <cell r="M31">
            <v>0</v>
          </cell>
          <cell r="N31">
            <v>18.899999999999999</v>
          </cell>
          <cell r="O31">
            <v>11</v>
          </cell>
          <cell r="P31">
            <v>17.5</v>
          </cell>
          <cell r="Q31">
            <v>11.6</v>
          </cell>
        </row>
        <row r="32">
          <cell r="J32">
            <v>31</v>
          </cell>
          <cell r="K32">
            <v>32</v>
          </cell>
          <cell r="L32">
            <v>13</v>
          </cell>
          <cell r="M32">
            <v>0</v>
          </cell>
          <cell r="N32">
            <v>28.5</v>
          </cell>
          <cell r="O32">
            <v>11</v>
          </cell>
          <cell r="P32">
            <v>17.5</v>
          </cell>
          <cell r="Q32">
            <v>11.6</v>
          </cell>
        </row>
        <row r="33">
          <cell r="J33">
            <v>31</v>
          </cell>
          <cell r="K33">
            <v>32</v>
          </cell>
          <cell r="L33">
            <v>13</v>
          </cell>
          <cell r="M33">
            <v>2.6</v>
          </cell>
          <cell r="N33">
            <v>38.200000000000003</v>
          </cell>
          <cell r="O33">
            <v>11</v>
          </cell>
          <cell r="P33">
            <v>17.5</v>
          </cell>
          <cell r="Q33">
            <v>11.6</v>
          </cell>
        </row>
        <row r="34">
          <cell r="J34">
            <v>31</v>
          </cell>
          <cell r="K34">
            <v>32</v>
          </cell>
          <cell r="L34">
            <v>13</v>
          </cell>
          <cell r="M34">
            <v>18</v>
          </cell>
          <cell r="N34">
            <v>42</v>
          </cell>
          <cell r="O34">
            <v>11</v>
          </cell>
          <cell r="P34">
            <v>17.5</v>
          </cell>
          <cell r="Q34">
            <v>11.6</v>
          </cell>
        </row>
        <row r="35">
          <cell r="J35">
            <v>31</v>
          </cell>
          <cell r="K35">
            <v>32</v>
          </cell>
          <cell r="L35">
            <v>13</v>
          </cell>
          <cell r="M35">
            <v>18</v>
          </cell>
          <cell r="N35">
            <v>42</v>
          </cell>
          <cell r="O35">
            <v>11</v>
          </cell>
          <cell r="P35">
            <v>17.5</v>
          </cell>
          <cell r="Q35">
            <v>11.6</v>
          </cell>
        </row>
        <row r="36">
          <cell r="J36">
            <v>31</v>
          </cell>
          <cell r="K36">
            <v>32</v>
          </cell>
          <cell r="L36">
            <v>13</v>
          </cell>
          <cell r="M36">
            <v>18</v>
          </cell>
          <cell r="N36">
            <v>42</v>
          </cell>
          <cell r="O36">
            <v>11</v>
          </cell>
          <cell r="P36">
            <v>17.5</v>
          </cell>
          <cell r="Q36">
            <v>11.6</v>
          </cell>
        </row>
        <row r="37">
          <cell r="J37">
            <v>31</v>
          </cell>
          <cell r="K37">
            <v>32</v>
          </cell>
          <cell r="L37">
            <v>13</v>
          </cell>
          <cell r="M37">
            <v>18</v>
          </cell>
          <cell r="N37">
            <v>42</v>
          </cell>
          <cell r="O37">
            <v>11</v>
          </cell>
          <cell r="P37">
            <v>17.5</v>
          </cell>
          <cell r="Q37">
            <v>11.6</v>
          </cell>
        </row>
        <row r="38">
          <cell r="J38">
            <v>30.8</v>
          </cell>
          <cell r="K38">
            <v>32</v>
          </cell>
          <cell r="L38">
            <v>13</v>
          </cell>
          <cell r="M38">
            <v>18</v>
          </cell>
          <cell r="N38">
            <v>42</v>
          </cell>
          <cell r="O38">
            <v>11</v>
          </cell>
          <cell r="P38">
            <v>17.5</v>
          </cell>
          <cell r="Q38">
            <v>11.6</v>
          </cell>
        </row>
        <row r="39">
          <cell r="J39">
            <v>31</v>
          </cell>
          <cell r="K39">
            <v>32</v>
          </cell>
          <cell r="L39">
            <v>13</v>
          </cell>
          <cell r="M39">
            <v>18</v>
          </cell>
          <cell r="N39">
            <v>42</v>
          </cell>
          <cell r="O39">
            <v>11</v>
          </cell>
          <cell r="P39">
            <v>17.5</v>
          </cell>
          <cell r="Q39">
            <v>11.6</v>
          </cell>
        </row>
        <row r="40">
          <cell r="J40">
            <v>31</v>
          </cell>
          <cell r="K40">
            <v>32</v>
          </cell>
          <cell r="L40">
            <v>13</v>
          </cell>
          <cell r="M40">
            <v>18</v>
          </cell>
          <cell r="N40">
            <v>42</v>
          </cell>
          <cell r="O40">
            <v>9.4</v>
          </cell>
          <cell r="P40">
            <v>17.5</v>
          </cell>
          <cell r="Q40">
            <v>11.6</v>
          </cell>
        </row>
        <row r="41">
          <cell r="J41">
            <v>31</v>
          </cell>
          <cell r="K41">
            <v>32</v>
          </cell>
          <cell r="L41">
            <v>13</v>
          </cell>
          <cell r="M41">
            <v>18</v>
          </cell>
          <cell r="N41">
            <v>42</v>
          </cell>
          <cell r="O41">
            <v>6.3</v>
          </cell>
          <cell r="P41">
            <v>17.5</v>
          </cell>
          <cell r="Q41">
            <v>11.6</v>
          </cell>
        </row>
        <row r="42">
          <cell r="J42">
            <v>31</v>
          </cell>
          <cell r="K42">
            <v>32</v>
          </cell>
          <cell r="L42">
            <v>13</v>
          </cell>
          <cell r="M42">
            <v>18</v>
          </cell>
          <cell r="N42">
            <v>42</v>
          </cell>
          <cell r="O42">
            <v>11</v>
          </cell>
          <cell r="P42">
            <v>17.5</v>
          </cell>
          <cell r="Q42">
            <v>11.6</v>
          </cell>
        </row>
        <row r="43">
          <cell r="J43">
            <v>31</v>
          </cell>
          <cell r="K43">
            <v>32</v>
          </cell>
          <cell r="L43">
            <v>13</v>
          </cell>
          <cell r="M43">
            <v>18</v>
          </cell>
          <cell r="N43">
            <v>42</v>
          </cell>
          <cell r="O43">
            <v>11</v>
          </cell>
          <cell r="P43">
            <v>17.5</v>
          </cell>
          <cell r="Q43">
            <v>11.6</v>
          </cell>
        </row>
        <row r="44">
          <cell r="J44">
            <v>31</v>
          </cell>
          <cell r="K44">
            <v>32</v>
          </cell>
          <cell r="L44">
            <v>13</v>
          </cell>
          <cell r="M44">
            <v>18</v>
          </cell>
          <cell r="N44">
            <v>42</v>
          </cell>
          <cell r="O44">
            <v>11</v>
          </cell>
          <cell r="P44">
            <v>17.5</v>
          </cell>
          <cell r="Q44">
            <v>11.6</v>
          </cell>
        </row>
        <row r="45">
          <cell r="J45">
            <v>31</v>
          </cell>
          <cell r="K45">
            <v>32</v>
          </cell>
          <cell r="L45">
            <v>13</v>
          </cell>
          <cell r="M45">
            <v>18</v>
          </cell>
          <cell r="N45">
            <v>42</v>
          </cell>
          <cell r="O45">
            <v>11</v>
          </cell>
          <cell r="P45">
            <v>17.5</v>
          </cell>
          <cell r="Q45">
            <v>11.6</v>
          </cell>
        </row>
        <row r="46">
          <cell r="J46">
            <v>31</v>
          </cell>
          <cell r="K46">
            <v>32</v>
          </cell>
          <cell r="L46">
            <v>13</v>
          </cell>
          <cell r="M46">
            <v>18</v>
          </cell>
          <cell r="N46">
            <v>42</v>
          </cell>
          <cell r="O46">
            <v>11</v>
          </cell>
          <cell r="P46">
            <v>17.5</v>
          </cell>
          <cell r="Q46">
            <v>11.6</v>
          </cell>
        </row>
        <row r="47">
          <cell r="J47">
            <v>31</v>
          </cell>
          <cell r="K47">
            <v>32</v>
          </cell>
          <cell r="L47">
            <v>13</v>
          </cell>
          <cell r="M47">
            <v>18</v>
          </cell>
          <cell r="N47">
            <v>42</v>
          </cell>
          <cell r="O47">
            <v>11</v>
          </cell>
          <cell r="P47">
            <v>17.5</v>
          </cell>
          <cell r="Q47">
            <v>11.6</v>
          </cell>
        </row>
        <row r="48">
          <cell r="J48">
            <v>31</v>
          </cell>
          <cell r="K48">
            <v>32</v>
          </cell>
          <cell r="L48">
            <v>13</v>
          </cell>
          <cell r="M48">
            <v>18</v>
          </cell>
          <cell r="N48">
            <v>42</v>
          </cell>
          <cell r="O48">
            <v>11</v>
          </cell>
          <cell r="P48">
            <v>17.5</v>
          </cell>
          <cell r="Q48">
            <v>11.6</v>
          </cell>
        </row>
        <row r="49">
          <cell r="J49">
            <v>31</v>
          </cell>
          <cell r="K49">
            <v>32</v>
          </cell>
          <cell r="L49">
            <v>13</v>
          </cell>
          <cell r="M49">
            <v>18</v>
          </cell>
          <cell r="N49">
            <v>42</v>
          </cell>
          <cell r="O49">
            <v>11</v>
          </cell>
          <cell r="P49">
            <v>17.5</v>
          </cell>
          <cell r="Q49">
            <v>11.6</v>
          </cell>
        </row>
        <row r="50">
          <cell r="J50">
            <v>31</v>
          </cell>
          <cell r="K50">
            <v>32</v>
          </cell>
          <cell r="L50">
            <v>13</v>
          </cell>
          <cell r="M50">
            <v>18</v>
          </cell>
          <cell r="N50">
            <v>42</v>
          </cell>
          <cell r="O50">
            <v>11</v>
          </cell>
          <cell r="P50">
            <v>17.5</v>
          </cell>
          <cell r="Q50">
            <v>11.6</v>
          </cell>
        </row>
        <row r="51">
          <cell r="J51">
            <v>31</v>
          </cell>
          <cell r="K51">
            <v>32</v>
          </cell>
          <cell r="L51">
            <v>13</v>
          </cell>
          <cell r="M51">
            <v>18</v>
          </cell>
          <cell r="N51">
            <v>42</v>
          </cell>
          <cell r="O51">
            <v>11</v>
          </cell>
          <cell r="P51">
            <v>17.5</v>
          </cell>
          <cell r="Q51">
            <v>11.6</v>
          </cell>
        </row>
        <row r="52">
          <cell r="J52">
            <v>31</v>
          </cell>
          <cell r="K52">
            <v>32</v>
          </cell>
          <cell r="L52">
            <v>13</v>
          </cell>
          <cell r="M52">
            <v>18</v>
          </cell>
          <cell r="N52">
            <v>42</v>
          </cell>
          <cell r="O52">
            <v>11</v>
          </cell>
          <cell r="P52">
            <v>17.5</v>
          </cell>
          <cell r="Q52">
            <v>11.6</v>
          </cell>
        </row>
        <row r="53">
          <cell r="J53">
            <v>31</v>
          </cell>
          <cell r="K53">
            <v>32</v>
          </cell>
          <cell r="L53">
            <v>13</v>
          </cell>
          <cell r="M53">
            <v>18</v>
          </cell>
          <cell r="N53">
            <v>42</v>
          </cell>
          <cell r="O53">
            <v>11</v>
          </cell>
          <cell r="P53">
            <v>17.5</v>
          </cell>
          <cell r="Q53">
            <v>9.8000000000000007</v>
          </cell>
        </row>
        <row r="54">
          <cell r="J54">
            <v>31</v>
          </cell>
          <cell r="K54">
            <v>32</v>
          </cell>
          <cell r="L54">
            <v>13</v>
          </cell>
          <cell r="M54">
            <v>18</v>
          </cell>
          <cell r="N54">
            <v>42</v>
          </cell>
          <cell r="O54">
            <v>11</v>
          </cell>
          <cell r="P54">
            <v>17.5</v>
          </cell>
          <cell r="Q54">
            <v>5</v>
          </cell>
        </row>
        <row r="55">
          <cell r="J55">
            <v>31</v>
          </cell>
          <cell r="K55">
            <v>32</v>
          </cell>
          <cell r="L55">
            <v>13</v>
          </cell>
          <cell r="M55">
            <v>18</v>
          </cell>
          <cell r="N55">
            <v>42</v>
          </cell>
          <cell r="O55">
            <v>11</v>
          </cell>
          <cell r="P55">
            <v>17.5</v>
          </cell>
          <cell r="Q55">
            <v>11.5</v>
          </cell>
        </row>
        <row r="56">
          <cell r="J56">
            <v>31</v>
          </cell>
          <cell r="K56">
            <v>32</v>
          </cell>
          <cell r="L56">
            <v>13</v>
          </cell>
          <cell r="M56">
            <v>18</v>
          </cell>
          <cell r="N56">
            <v>42</v>
          </cell>
          <cell r="O56">
            <v>11</v>
          </cell>
          <cell r="P56">
            <v>17.5</v>
          </cell>
          <cell r="Q56">
            <v>11.5</v>
          </cell>
        </row>
        <row r="57">
          <cell r="J57">
            <v>31</v>
          </cell>
          <cell r="K57">
            <v>32</v>
          </cell>
          <cell r="L57">
            <v>13</v>
          </cell>
          <cell r="M57">
            <v>18</v>
          </cell>
          <cell r="N57">
            <v>42</v>
          </cell>
          <cell r="O57">
            <v>11</v>
          </cell>
          <cell r="P57">
            <v>17.5</v>
          </cell>
          <cell r="Q57">
            <v>11.5</v>
          </cell>
        </row>
      </sheetData>
      <sheetData sheetId="4"/>
      <sheetData sheetId="5">
        <row r="5">
          <cell r="J5">
            <v>103.3</v>
          </cell>
          <cell r="K5">
            <v>24.6</v>
          </cell>
          <cell r="L5">
            <v>30</v>
          </cell>
          <cell r="M5">
            <v>18.7</v>
          </cell>
        </row>
        <row r="6">
          <cell r="J6">
            <v>103.6</v>
          </cell>
          <cell r="K6">
            <v>24.6</v>
          </cell>
          <cell r="L6">
            <v>30</v>
          </cell>
          <cell r="M6">
            <v>18.7</v>
          </cell>
        </row>
        <row r="7">
          <cell r="J7">
            <v>103.6</v>
          </cell>
          <cell r="K7">
            <v>24.6</v>
          </cell>
          <cell r="L7">
            <v>30</v>
          </cell>
          <cell r="M7">
            <v>18.7</v>
          </cell>
        </row>
        <row r="8">
          <cell r="J8">
            <v>103.6</v>
          </cell>
          <cell r="K8">
            <v>24.6</v>
          </cell>
          <cell r="L8">
            <v>30</v>
          </cell>
          <cell r="M8">
            <v>18.7</v>
          </cell>
        </row>
        <row r="9">
          <cell r="J9">
            <v>103.8</v>
          </cell>
          <cell r="K9">
            <v>24.6</v>
          </cell>
          <cell r="L9">
            <v>30</v>
          </cell>
          <cell r="M9">
            <v>18.7</v>
          </cell>
        </row>
        <row r="10">
          <cell r="J10">
            <v>104</v>
          </cell>
          <cell r="K10">
            <v>24.6</v>
          </cell>
          <cell r="L10">
            <v>30</v>
          </cell>
          <cell r="M10">
            <v>18.7</v>
          </cell>
        </row>
        <row r="11">
          <cell r="J11">
            <v>103.2</v>
          </cell>
          <cell r="K11">
            <v>24.6</v>
          </cell>
          <cell r="L11">
            <v>30</v>
          </cell>
          <cell r="M11">
            <v>18.7</v>
          </cell>
        </row>
        <row r="12">
          <cell r="J12">
            <v>103.2</v>
          </cell>
          <cell r="K12">
            <v>24.6</v>
          </cell>
          <cell r="L12">
            <v>30</v>
          </cell>
          <cell r="M12">
            <v>18.7</v>
          </cell>
        </row>
        <row r="13">
          <cell r="J13">
            <v>103.7</v>
          </cell>
          <cell r="K13">
            <v>24.6</v>
          </cell>
          <cell r="L13">
            <v>30</v>
          </cell>
          <cell r="M13">
            <v>18.7</v>
          </cell>
        </row>
        <row r="14">
          <cell r="J14">
            <v>103.1</v>
          </cell>
          <cell r="K14">
            <v>24.6</v>
          </cell>
          <cell r="L14">
            <v>30</v>
          </cell>
          <cell r="M14">
            <v>18.7</v>
          </cell>
        </row>
        <row r="15">
          <cell r="J15">
            <v>103.5</v>
          </cell>
          <cell r="K15">
            <v>24.6</v>
          </cell>
          <cell r="L15">
            <v>30</v>
          </cell>
          <cell r="M15">
            <v>18.7</v>
          </cell>
        </row>
        <row r="16">
          <cell r="J16">
            <v>103.5</v>
          </cell>
          <cell r="K16">
            <v>24.6</v>
          </cell>
          <cell r="L16">
            <v>30</v>
          </cell>
          <cell r="M16">
            <v>18.7</v>
          </cell>
        </row>
        <row r="17">
          <cell r="J17">
            <v>103.5</v>
          </cell>
          <cell r="K17">
            <v>24.6</v>
          </cell>
          <cell r="L17">
            <v>30</v>
          </cell>
          <cell r="M17">
            <v>18.7</v>
          </cell>
        </row>
        <row r="18">
          <cell r="J18">
            <v>102.4</v>
          </cell>
          <cell r="K18">
            <v>24.6</v>
          </cell>
          <cell r="L18">
            <v>30</v>
          </cell>
          <cell r="M18">
            <v>18.600000000000001</v>
          </cell>
        </row>
        <row r="19">
          <cell r="J19">
            <v>102.4</v>
          </cell>
          <cell r="K19">
            <v>24.6</v>
          </cell>
          <cell r="L19">
            <v>30</v>
          </cell>
          <cell r="M19">
            <v>18.600000000000001</v>
          </cell>
        </row>
        <row r="20">
          <cell r="J20">
            <v>102.4</v>
          </cell>
          <cell r="K20">
            <v>24.6</v>
          </cell>
          <cell r="L20">
            <v>30</v>
          </cell>
          <cell r="M20">
            <v>18.600000000000001</v>
          </cell>
        </row>
        <row r="21">
          <cell r="J21">
            <v>102.4</v>
          </cell>
          <cell r="K21">
            <v>24.6</v>
          </cell>
          <cell r="L21">
            <v>30</v>
          </cell>
          <cell r="M21">
            <v>18.600000000000001</v>
          </cell>
        </row>
        <row r="22">
          <cell r="J22">
            <v>102.3</v>
          </cell>
          <cell r="K22">
            <v>24.6</v>
          </cell>
          <cell r="L22">
            <v>30</v>
          </cell>
          <cell r="M22">
            <v>18.600000000000001</v>
          </cell>
        </row>
        <row r="23">
          <cell r="J23">
            <v>102.8</v>
          </cell>
          <cell r="K23">
            <v>24.6</v>
          </cell>
          <cell r="L23">
            <v>30</v>
          </cell>
          <cell r="M23">
            <v>2.6</v>
          </cell>
        </row>
        <row r="24">
          <cell r="J24">
            <v>102.7</v>
          </cell>
          <cell r="K24">
            <v>24.6</v>
          </cell>
          <cell r="L24">
            <v>30</v>
          </cell>
          <cell r="M24">
            <v>16</v>
          </cell>
        </row>
        <row r="25">
          <cell r="J25">
            <v>102.8</v>
          </cell>
          <cell r="K25">
            <v>24.6</v>
          </cell>
          <cell r="L25">
            <v>30</v>
          </cell>
          <cell r="M25">
            <v>18.7</v>
          </cell>
        </row>
        <row r="26">
          <cell r="J26">
            <v>102.6</v>
          </cell>
          <cell r="K26">
            <v>24.6</v>
          </cell>
          <cell r="L26">
            <v>30</v>
          </cell>
          <cell r="M26">
            <v>18.7</v>
          </cell>
        </row>
        <row r="27">
          <cell r="J27">
            <v>103.7</v>
          </cell>
          <cell r="K27">
            <v>24.6</v>
          </cell>
          <cell r="L27">
            <v>30</v>
          </cell>
          <cell r="M27">
            <v>18.8</v>
          </cell>
        </row>
        <row r="28">
          <cell r="J28">
            <v>103.6</v>
          </cell>
          <cell r="K28">
            <v>24.6</v>
          </cell>
          <cell r="L28">
            <v>30</v>
          </cell>
          <cell r="M28">
            <v>18.8</v>
          </cell>
        </row>
        <row r="29">
          <cell r="J29">
            <v>103.5</v>
          </cell>
          <cell r="K29">
            <v>24.6</v>
          </cell>
          <cell r="L29">
            <v>30</v>
          </cell>
          <cell r="M29">
            <v>18.8</v>
          </cell>
        </row>
        <row r="30">
          <cell r="J30">
            <v>103.3</v>
          </cell>
          <cell r="K30">
            <v>24.6</v>
          </cell>
          <cell r="L30">
            <v>30</v>
          </cell>
          <cell r="M30">
            <v>18.8</v>
          </cell>
        </row>
        <row r="31">
          <cell r="J31">
            <v>104.6</v>
          </cell>
          <cell r="K31">
            <v>24.6</v>
          </cell>
          <cell r="L31">
            <v>30</v>
          </cell>
          <cell r="M31">
            <v>18.899999999999999</v>
          </cell>
        </row>
        <row r="32">
          <cell r="J32">
            <v>104.6</v>
          </cell>
          <cell r="K32">
            <v>24.6</v>
          </cell>
          <cell r="L32">
            <v>30</v>
          </cell>
          <cell r="M32">
            <v>18.899999999999999</v>
          </cell>
        </row>
        <row r="33">
          <cell r="J33">
            <v>104.6</v>
          </cell>
          <cell r="K33">
            <v>24.6</v>
          </cell>
          <cell r="L33">
            <v>30</v>
          </cell>
          <cell r="M33">
            <v>18.899999999999999</v>
          </cell>
        </row>
        <row r="34">
          <cell r="J34">
            <v>104.6</v>
          </cell>
          <cell r="K34">
            <v>24.6</v>
          </cell>
          <cell r="L34">
            <v>30</v>
          </cell>
          <cell r="M34">
            <v>18.899999999999999</v>
          </cell>
        </row>
        <row r="35">
          <cell r="J35">
            <v>104.6</v>
          </cell>
          <cell r="K35">
            <v>24.6</v>
          </cell>
          <cell r="L35">
            <v>30</v>
          </cell>
          <cell r="M35">
            <v>18.899999999999999</v>
          </cell>
        </row>
        <row r="36">
          <cell r="J36">
            <v>104.6</v>
          </cell>
          <cell r="K36">
            <v>24.6</v>
          </cell>
          <cell r="L36">
            <v>30</v>
          </cell>
          <cell r="M36">
            <v>18.899999999999999</v>
          </cell>
        </row>
        <row r="37">
          <cell r="J37">
            <v>104.6</v>
          </cell>
          <cell r="K37">
            <v>24.6</v>
          </cell>
          <cell r="L37">
            <v>23.5</v>
          </cell>
          <cell r="M37">
            <v>18.899999999999999</v>
          </cell>
        </row>
        <row r="38">
          <cell r="J38">
            <v>104.6</v>
          </cell>
          <cell r="K38">
            <v>24.6</v>
          </cell>
          <cell r="L38">
            <v>15</v>
          </cell>
          <cell r="M38">
            <v>18.899999999999999</v>
          </cell>
        </row>
        <row r="39">
          <cell r="J39">
            <v>104.6</v>
          </cell>
          <cell r="K39">
            <v>24.6</v>
          </cell>
          <cell r="L39">
            <v>29.9</v>
          </cell>
          <cell r="M39">
            <v>18.899999999999999</v>
          </cell>
        </row>
        <row r="40">
          <cell r="J40">
            <v>104.6</v>
          </cell>
          <cell r="K40">
            <v>24.6</v>
          </cell>
          <cell r="L40">
            <v>15</v>
          </cell>
          <cell r="M40">
            <v>18.899999999999999</v>
          </cell>
        </row>
        <row r="41">
          <cell r="J41">
            <v>104.1</v>
          </cell>
          <cell r="K41">
            <v>24.6</v>
          </cell>
          <cell r="L41">
            <v>27.9</v>
          </cell>
          <cell r="M41">
            <v>18.8</v>
          </cell>
        </row>
        <row r="42">
          <cell r="J42">
            <v>43.1</v>
          </cell>
          <cell r="K42">
            <v>24.6</v>
          </cell>
          <cell r="L42">
            <v>30</v>
          </cell>
          <cell r="M42">
            <v>18.899999999999999</v>
          </cell>
        </row>
        <row r="43">
          <cell r="J43">
            <v>54</v>
          </cell>
          <cell r="K43">
            <v>24.6</v>
          </cell>
          <cell r="L43">
            <v>30</v>
          </cell>
          <cell r="M43">
            <v>18.899999999999999</v>
          </cell>
        </row>
        <row r="44">
          <cell r="J44">
            <v>97.1</v>
          </cell>
          <cell r="K44">
            <v>21</v>
          </cell>
          <cell r="L44">
            <v>30</v>
          </cell>
          <cell r="M44">
            <v>18.8</v>
          </cell>
        </row>
        <row r="45">
          <cell r="J45">
            <v>104.2</v>
          </cell>
          <cell r="K45">
            <v>12.3</v>
          </cell>
          <cell r="L45">
            <v>30</v>
          </cell>
          <cell r="M45">
            <v>18.8</v>
          </cell>
        </row>
        <row r="46">
          <cell r="J46">
            <v>104.3</v>
          </cell>
          <cell r="K46">
            <v>17.5</v>
          </cell>
          <cell r="L46">
            <v>30</v>
          </cell>
          <cell r="M46">
            <v>18.8</v>
          </cell>
        </row>
        <row r="47">
          <cell r="J47">
            <v>104.3</v>
          </cell>
          <cell r="K47">
            <v>15.8</v>
          </cell>
          <cell r="L47">
            <v>30</v>
          </cell>
          <cell r="M47">
            <v>18.8</v>
          </cell>
        </row>
        <row r="48">
          <cell r="J48">
            <v>104.3</v>
          </cell>
          <cell r="K48">
            <v>24.6</v>
          </cell>
          <cell r="L48">
            <v>30</v>
          </cell>
          <cell r="M48">
            <v>18.8</v>
          </cell>
        </row>
        <row r="49">
          <cell r="J49">
            <v>104.1</v>
          </cell>
          <cell r="K49">
            <v>24.6</v>
          </cell>
          <cell r="L49">
            <v>30</v>
          </cell>
          <cell r="M49">
            <v>18.8</v>
          </cell>
        </row>
        <row r="50">
          <cell r="J50">
            <v>103.9</v>
          </cell>
          <cell r="K50">
            <v>24.6</v>
          </cell>
          <cell r="L50">
            <v>30</v>
          </cell>
          <cell r="M50">
            <v>18.8</v>
          </cell>
        </row>
        <row r="51">
          <cell r="J51">
            <v>104.3</v>
          </cell>
          <cell r="K51">
            <v>24.6</v>
          </cell>
          <cell r="L51">
            <v>30</v>
          </cell>
          <cell r="M51">
            <v>18.8</v>
          </cell>
        </row>
        <row r="52">
          <cell r="J52">
            <v>104.1</v>
          </cell>
          <cell r="K52">
            <v>24.6</v>
          </cell>
          <cell r="L52">
            <v>30</v>
          </cell>
          <cell r="M52">
            <v>18.8</v>
          </cell>
        </row>
        <row r="53">
          <cell r="J53">
            <v>103.7</v>
          </cell>
          <cell r="K53">
            <v>24.6</v>
          </cell>
          <cell r="L53">
            <v>30</v>
          </cell>
          <cell r="M53">
            <v>18.8</v>
          </cell>
        </row>
        <row r="54">
          <cell r="J54">
            <v>103.7</v>
          </cell>
          <cell r="K54">
            <v>24.6</v>
          </cell>
          <cell r="L54">
            <v>30</v>
          </cell>
          <cell r="M54">
            <v>18.8</v>
          </cell>
        </row>
        <row r="55">
          <cell r="J55">
            <v>103.8</v>
          </cell>
          <cell r="K55">
            <v>24.6</v>
          </cell>
          <cell r="L55">
            <v>30</v>
          </cell>
          <cell r="M55">
            <v>18.8</v>
          </cell>
        </row>
        <row r="56">
          <cell r="J56">
            <v>103.5</v>
          </cell>
          <cell r="K56">
            <v>24.6</v>
          </cell>
          <cell r="L56">
            <v>30</v>
          </cell>
          <cell r="M56">
            <v>18.8</v>
          </cell>
        </row>
        <row r="57">
          <cell r="J57">
            <v>103.6</v>
          </cell>
          <cell r="K57">
            <v>24.6</v>
          </cell>
          <cell r="L57">
            <v>30</v>
          </cell>
          <cell r="M57">
            <v>18.7</v>
          </cell>
        </row>
        <row r="58">
          <cell r="J58">
            <v>103.6</v>
          </cell>
          <cell r="K58">
            <v>24.6</v>
          </cell>
          <cell r="L58">
            <v>30</v>
          </cell>
          <cell r="M58">
            <v>18.7</v>
          </cell>
        </row>
      </sheetData>
      <sheetData sheetId="6"/>
      <sheetData sheetId="7"/>
      <sheetData sheetId="8"/>
      <sheetData sheetId="9"/>
      <sheetData sheetId="10"/>
      <sheetData sheetId="11"/>
      <sheetData sheetId="12">
        <row r="5">
          <cell r="O5">
            <v>4.5999999999999996</v>
          </cell>
          <cell r="P5">
            <v>36.799999999999997</v>
          </cell>
          <cell r="Q5">
            <v>7.3</v>
          </cell>
          <cell r="R5">
            <v>1.3</v>
          </cell>
          <cell r="S5">
            <v>2.2999999999999998</v>
          </cell>
          <cell r="T5">
            <v>1.1000000000000001</v>
          </cell>
          <cell r="V5">
            <v>1.1000000000000001</v>
          </cell>
          <cell r="X5">
            <v>1.9</v>
          </cell>
        </row>
      </sheetData>
      <sheetData sheetId="13"/>
      <sheetData sheetId="14"/>
      <sheetData sheetId="15"/>
      <sheetData sheetId="16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Data"/>
      <sheetName val="NPC"/>
      <sheetName val="FuelAllocation"/>
      <sheetName val="West Valley"/>
      <sheetName val="Hermiston"/>
      <sheetName val="Ramp Loss"/>
      <sheetName val="GRID LTC ($)"/>
      <sheetName val="GRID LTC (MWH)"/>
      <sheetName val="GRID Emergency Purchase (MWh)"/>
      <sheetName val="GRID Emergency Purchase ($)"/>
      <sheetName val="GRID Transmission Costs ($)"/>
      <sheetName val="GRID Fuel Price ($MMBtu)"/>
      <sheetName val="GRID Fuel Used (MMBtu)"/>
      <sheetName val="GRID Thermal Fuel Burn ($)"/>
      <sheetName val="GRID Thermal Generation (MWH)"/>
      <sheetName val="GRID Hydro Generation (MWH)"/>
      <sheetName val="GRID Purchases (MWH)"/>
      <sheetName val="GRID Purchases ($)"/>
      <sheetName val="GRID Sales (MWH)"/>
      <sheetName val="GRID Sales ($)"/>
      <sheetName val="GRID Nameplate (MW)"/>
      <sheetName val="GRID Load (MWH)"/>
      <sheetName val="GRID ST Firm Sales (MWH)"/>
      <sheetName val="GRID ST Firm Sales ($)"/>
      <sheetName val="GRID ST Firm Purchases (MWH)"/>
      <sheetName val="GRID ST Firm Purchases ($)"/>
      <sheetName val="Wind Integration"/>
      <sheetName val="MacroBuilder"/>
    </sheetNames>
    <sheetDataSet>
      <sheetData sheetId="0"/>
      <sheetData sheetId="1">
        <row r="310">
          <cell r="E310">
            <v>602391009.52826309</v>
          </cell>
        </row>
        <row r="597">
          <cell r="E597">
            <v>2786099.5981827751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Data"/>
      <sheetName val="NPC"/>
      <sheetName val="FuelAllocation"/>
      <sheetName val="West Valley"/>
      <sheetName val="Hermiston"/>
      <sheetName val="Ramp Loss"/>
      <sheetName val="GRID LTC ($)"/>
      <sheetName val="GRID LTC (MWH)"/>
      <sheetName val="GRID Emergency Purchase (MWh)"/>
      <sheetName val="GRID Emergency Purchase ($)"/>
      <sheetName val="GRID Transmission Costs ($)"/>
      <sheetName val="GRID Fuel Price ($MMBtu)"/>
      <sheetName val="GRID Fuel Used (MMBtu)"/>
      <sheetName val="GRID Thermal Fuel Burn ($)"/>
      <sheetName val="GRID Thermal Generation (MWH)"/>
      <sheetName val="GRID Hydro Generation (MWH)"/>
      <sheetName val="GRID Purchases (MWH)"/>
      <sheetName val="GRID Purchases ($)"/>
      <sheetName val="GRID Sales (MWH)"/>
      <sheetName val="GRID Sales ($)"/>
      <sheetName val="GRID Nameplate (MW)"/>
      <sheetName val="GRID Load (MWH)"/>
      <sheetName val="GRID ST Firm Sales (MWH)"/>
      <sheetName val="GRID ST Firm Sales ($)"/>
      <sheetName val="GRID ST Firm Purchases (MWH)"/>
      <sheetName val="GRID ST Firm Purchases ($)"/>
      <sheetName val="Wind Integration"/>
      <sheetName val="MacroBuilder"/>
    </sheetNames>
    <sheetDataSet>
      <sheetData sheetId="0"/>
      <sheetData sheetId="1">
        <row r="310">
          <cell r="E310">
            <v>587181678.93603337</v>
          </cell>
        </row>
        <row r="597">
          <cell r="E597">
            <v>3347329.3680739892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Data"/>
      <sheetName val="NPC"/>
      <sheetName val="FuelAllocation"/>
      <sheetName val="West Valley"/>
      <sheetName val="Hermiston"/>
      <sheetName val="Ramp Loss"/>
      <sheetName val="GRID LTC ($)"/>
      <sheetName val="GRID LTC (MWH)"/>
      <sheetName val="GRID Emergency Purchase (MWh)"/>
      <sheetName val="GRID Emergency Purchase ($)"/>
      <sheetName val="GRID Transmission Costs ($)"/>
      <sheetName val="GRID Fuel Price ($MMBtu)"/>
      <sheetName val="GRID Fuel Used (MMBtu)"/>
      <sheetName val="GRID Thermal Fuel Burn ($)"/>
      <sheetName val="GRID Thermal Generation (MWH)"/>
      <sheetName val="GRID Hydro Generation (MWH)"/>
      <sheetName val="GRID Purchases (MWH)"/>
      <sheetName val="GRID Purchases ($)"/>
      <sheetName val="GRID Sales (MWH)"/>
      <sheetName val="GRID Sales ($)"/>
      <sheetName val="GRID Nameplate (MW)"/>
      <sheetName val="GRID Load (MWH)"/>
      <sheetName val="GRID ST Firm Sales (MWH)"/>
      <sheetName val="GRID ST Firm Sales ($)"/>
      <sheetName val="GRID ST Firm Purchases (MWH)"/>
      <sheetName val="GRID ST Firm Purchases ($)"/>
      <sheetName val="Wind Integration"/>
      <sheetName val="MacroBuilder"/>
    </sheetNames>
    <sheetDataSet>
      <sheetData sheetId="0"/>
      <sheetData sheetId="1">
        <row r="310">
          <cell r="E310">
            <v>568375931.29093373</v>
          </cell>
        </row>
        <row r="597">
          <cell r="E597">
            <v>4094892.9856274473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etail"/>
      <sheetName val="Bridger"/>
      <sheetName val="Black Butte"/>
      <sheetName val="Colstrip"/>
      <sheetName val="BCC 2014"/>
      <sheetName val="BCC Jun'12 - May '13"/>
      <sheetName val="BCC Quality Jun'12 - May'13"/>
      <sheetName val="BCC Coal Quality 2013"/>
      <sheetName val="BCC Coal Quality 2012"/>
      <sheetName val="BCC Coal Quality - 2014"/>
      <sheetName val="WA GRC MMBTU"/>
    </sheetNames>
    <sheetDataSet>
      <sheetData sheetId="0">
        <row r="17">
          <cell r="K17">
            <v>3.3691844618552578</v>
          </cell>
          <cell r="M17">
            <v>1.8561521252921234</v>
          </cell>
          <cell r="O17">
            <v>1.2910061585163597</v>
          </cell>
        </row>
        <row r="18">
          <cell r="K18">
            <v>0.37412774075362082</v>
          </cell>
          <cell r="O18">
            <v>0.37412774075362082</v>
          </cell>
        </row>
      </sheetData>
      <sheetData sheetId="1">
        <row r="14">
          <cell r="H14">
            <v>37.524834139891034</v>
          </cell>
          <cell r="N14">
            <v>37.006252420308499</v>
          </cell>
        </row>
        <row r="19">
          <cell r="H19">
            <v>36.71328403755868</v>
          </cell>
          <cell r="N19">
            <v>35.931666666666672</v>
          </cell>
        </row>
        <row r="27">
          <cell r="H27">
            <v>21.795754476086568</v>
          </cell>
          <cell r="N27">
            <v>20.949189435161692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Data"/>
      <sheetName val="NPC"/>
      <sheetName val="FuelAllocation"/>
      <sheetName val="West Valley"/>
      <sheetName val="Hermiston"/>
      <sheetName val="Ramp Loss"/>
      <sheetName val="GRID LTC ($)"/>
      <sheetName val="GRID LTC (MWH)"/>
      <sheetName val="GRID Emergency Purchase (MWh)"/>
      <sheetName val="GRID Emergency Purchase ($)"/>
      <sheetName val="GRID Transmission Costs ($)"/>
      <sheetName val="GRID Fuel Price ($MMBtu)"/>
      <sheetName val="GRID Fuel Used (MMBtu)"/>
      <sheetName val="GRID Thermal Fuel Burn ($)"/>
      <sheetName val="GRID Thermal Generation (MWH)"/>
      <sheetName val="GRID Hydro Generation (MWH)"/>
      <sheetName val="GRID Purchases (MWH)"/>
      <sheetName val="GRID Purchases ($)"/>
      <sheetName val="GRID Sales (MWH)"/>
      <sheetName val="GRID Sales ($)"/>
      <sheetName val="GRID Nameplate (MW)"/>
      <sheetName val="GRID Load (MWH)"/>
      <sheetName val="GRID ST Firm Sales (MWH)"/>
      <sheetName val="GRID ST Firm Sales ($)"/>
      <sheetName val="GRID ST Firm Purchases (MWH)"/>
      <sheetName val="GRID ST Firm Purchases ($)"/>
      <sheetName val="Wind Integration"/>
      <sheetName val="MacroBuilder"/>
    </sheetNames>
    <sheetDataSet>
      <sheetData sheetId="0"/>
      <sheetData sheetId="1">
        <row r="310">
          <cell r="E310">
            <v>580597341.90091658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Data"/>
      <sheetName val="NPC"/>
      <sheetName val="FuelAllocation"/>
      <sheetName val="West Valley"/>
      <sheetName val="Hermiston"/>
      <sheetName val="Ramp Loss"/>
      <sheetName val="GRID LTC ($)"/>
      <sheetName val="GRID LTC (MWH)"/>
      <sheetName val="GRID Emergency Purchase (MWh)"/>
      <sheetName val="GRID Emergency Purchase ($)"/>
      <sheetName val="GRID Transmission Costs ($)"/>
      <sheetName val="GRID Fuel Price ($MMBtu)"/>
      <sheetName val="GRID Fuel Used (MMBtu)"/>
      <sheetName val="GRID Thermal Fuel Burn ($)"/>
      <sheetName val="GRID Thermal Generation (MWH)"/>
      <sheetName val="GRID Hydro Generation (MWH)"/>
      <sheetName val="GRID Purchases (MWH)"/>
      <sheetName val="GRID Purchases ($)"/>
      <sheetName val="GRID Sales (MWH)"/>
      <sheetName val="GRID Sales ($)"/>
      <sheetName val="GRID Nameplate (MW)"/>
      <sheetName val="GRID Load (MWH)"/>
      <sheetName val="GRID ST Firm Sales (MWH)"/>
      <sheetName val="GRID ST Firm Sales ($)"/>
      <sheetName val="GRID ST Firm Purchases (MWH)"/>
      <sheetName val="GRID ST Firm Purchases ($)"/>
      <sheetName val="Wind Integration"/>
      <sheetName val="MacroBuilder"/>
    </sheetNames>
    <sheetDataSet>
      <sheetData sheetId="0"/>
      <sheetData sheetId="1">
        <row r="310">
          <cell r="E310">
            <v>533357558.13776052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Data"/>
      <sheetName val="NPC"/>
      <sheetName val="FuelAllocation"/>
      <sheetName val="West Valley"/>
      <sheetName val="Hermiston"/>
      <sheetName val="Ramp Loss"/>
      <sheetName val="GRID LTC ($)"/>
      <sheetName val="GRID LTC (MWH)"/>
      <sheetName val="GRID Emergency Purchase (MWh)"/>
      <sheetName val="GRID Emergency Purchase ($)"/>
      <sheetName val="GRID Transmission Costs ($)"/>
      <sheetName val="GRID Fuel Price ($MMBtu)"/>
      <sheetName val="GRID Fuel Used (MMBtu)"/>
      <sheetName val="GRID Thermal Fuel Burn ($)"/>
      <sheetName val="GRID Thermal Generation (MWH)"/>
      <sheetName val="GRID Hydro Generation (MWH)"/>
      <sheetName val="GRID Purchases (MWH)"/>
      <sheetName val="GRID Purchases ($)"/>
      <sheetName val="GRID Sales (MWH)"/>
      <sheetName val="GRID Sales ($)"/>
      <sheetName val="GRID Nameplate (MW)"/>
      <sheetName val="GRID Load (MWH)"/>
      <sheetName val="GRID ST Firm Sales (MWH)"/>
      <sheetName val="GRID ST Firm Sales ($)"/>
      <sheetName val="GRID ST Firm Purchases (MWH)"/>
      <sheetName val="GRID ST Firm Purchases ($)"/>
      <sheetName val="Wind Integration"/>
      <sheetName val="MacroBuilder"/>
    </sheetNames>
    <sheetDataSet>
      <sheetData sheetId="0"/>
      <sheetData sheetId="1">
        <row r="310">
          <cell r="E310">
            <v>579306874.60913086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Data"/>
      <sheetName val="NPC"/>
      <sheetName val="FuelAllocation"/>
      <sheetName val="West Valley"/>
      <sheetName val="Hermiston"/>
      <sheetName val="Ramp Loss"/>
      <sheetName val="GRID LTC ($)"/>
      <sheetName val="GRID LTC (MWH)"/>
      <sheetName val="GRID Emergency Purchase (MWh)"/>
      <sheetName val="GRID Emergency Purchase ($)"/>
      <sheetName val="GRID Transmission Costs ($)"/>
      <sheetName val="GRID Fuel Price ($MMBtu)"/>
      <sheetName val="GRID Fuel Used (MMBtu)"/>
      <sheetName val="GRID Thermal Fuel Burn ($)"/>
      <sheetName val="GRID Thermal Generation (MWH)"/>
      <sheetName val="GRID Hydro Generation (MWH)"/>
      <sheetName val="GRID Purchases (MWH)"/>
      <sheetName val="GRID Purchases ($)"/>
      <sheetName val="GRID Sales (MWH)"/>
      <sheetName val="GRID Sales ($)"/>
      <sheetName val="GRID Nameplate (MW)"/>
      <sheetName val="GRID Load (MWH)"/>
      <sheetName val="GRID ST Firm Sales (MWH)"/>
      <sheetName val="GRID ST Firm Sales ($)"/>
      <sheetName val="GRID ST Firm Purchases (MWH)"/>
      <sheetName val="GRID ST Firm Purchases ($)"/>
      <sheetName val="Wind Integration"/>
      <sheetName val="MacroBuilder"/>
    </sheetNames>
    <sheetDataSet>
      <sheetData sheetId="0"/>
      <sheetData sheetId="1">
        <row r="310">
          <cell r="E310">
            <v>581220199.13906944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Data"/>
      <sheetName val="NPC"/>
      <sheetName val="FuelAllocation"/>
      <sheetName val="West Valley"/>
      <sheetName val="Hermiston"/>
      <sheetName val="Ramp Loss"/>
      <sheetName val="GRID LTC ($)"/>
      <sheetName val="GRID LTC (MWH)"/>
      <sheetName val="GRID Emergency Purchase (MWh)"/>
      <sheetName val="GRID Emergency Purchase ($)"/>
      <sheetName val="GRID Transmission Costs ($)"/>
      <sheetName val="GRID Fuel Price ($MMBtu)"/>
      <sheetName val="GRID Fuel Used (MMBtu)"/>
      <sheetName val="GRID Thermal Fuel Burn ($)"/>
      <sheetName val="GRID Thermal Generation (MWH)"/>
      <sheetName val="GRID Hydro Generation (MWH)"/>
      <sheetName val="GRID Purchases (MWH)"/>
      <sheetName val="GRID Purchases ($)"/>
      <sheetName val="GRID Sales (MWH)"/>
      <sheetName val="GRID Sales ($)"/>
      <sheetName val="GRID Nameplate (MW)"/>
      <sheetName val="GRID Load (MWH)"/>
      <sheetName val="GRID ST Firm Sales (MWH)"/>
      <sheetName val="GRID ST Firm Sales ($)"/>
      <sheetName val="GRID ST Firm Purchases (MWH)"/>
      <sheetName val="GRID ST Firm Purchases ($)"/>
      <sheetName val="Wind Integration"/>
      <sheetName val="MacroBuilder"/>
    </sheetNames>
    <sheetDataSet>
      <sheetData sheetId="0"/>
      <sheetData sheetId="1">
        <row r="310">
          <cell r="E310">
            <v>581710731.08958244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Data"/>
      <sheetName val="NPC"/>
      <sheetName val="FuelAllocation"/>
      <sheetName val="West Valley"/>
      <sheetName val="Hermiston"/>
      <sheetName val="Ramp Loss"/>
      <sheetName val="GRID LTC ($)"/>
      <sheetName val="GRID LTC (MWH)"/>
      <sheetName val="GRID Emergency Purchase (MWh)"/>
      <sheetName val="GRID Emergency Purchase ($)"/>
      <sheetName val="GRID Transmission Costs ($)"/>
      <sheetName val="GRID Fuel Price ($MMBtu)"/>
      <sheetName val="GRID Fuel Used (MMBtu)"/>
      <sheetName val="GRID Thermal Fuel Burn ($)"/>
      <sheetName val="GRID Thermal Generation (MWH)"/>
      <sheetName val="GRID Hydro Generation (MWH)"/>
      <sheetName val="GRID Purchases (MWH)"/>
      <sheetName val="GRID Purchases ($)"/>
      <sheetName val="GRID Sales (MWH)"/>
      <sheetName val="GRID Sales ($)"/>
      <sheetName val="GRID Nameplate (MW)"/>
      <sheetName val="GRID Load (MWH)"/>
      <sheetName val="GRID ST Firm Sales (MWH)"/>
      <sheetName val="GRID ST Firm Sales ($)"/>
      <sheetName val="GRID ST Firm Purchases (MWH)"/>
      <sheetName val="GRID ST Firm Purchases ($)"/>
      <sheetName val="Wind Integration"/>
      <sheetName val="MacroBuilder"/>
    </sheetNames>
    <sheetDataSet>
      <sheetData sheetId="0"/>
      <sheetData sheetId="1">
        <row r="310">
          <cell r="E310">
            <v>576223316.94688606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Data"/>
      <sheetName val="NPC"/>
      <sheetName val="FuelAllocation"/>
      <sheetName val="West Valley"/>
      <sheetName val="Hermiston"/>
      <sheetName val="Ramp Loss"/>
      <sheetName val="GRID LTC ($)"/>
      <sheetName val="GRID LTC (MWH)"/>
      <sheetName val="GRID Emergency Purchase (MWh)"/>
      <sheetName val="GRID Emergency Purchase ($)"/>
      <sheetName val="GRID Transmission Costs ($)"/>
      <sheetName val="GRID Fuel Price ($MMBtu)"/>
      <sheetName val="GRID Fuel Used (MMBtu)"/>
      <sheetName val="GRID Thermal Fuel Burn ($)"/>
      <sheetName val="GRID Thermal Generation (MWH)"/>
      <sheetName val="GRID Hydro Generation (MWH)"/>
      <sheetName val="GRID Purchases (MWH)"/>
      <sheetName val="GRID Purchases ($)"/>
      <sheetName val="GRID Sales (MWH)"/>
      <sheetName val="GRID Sales ($)"/>
      <sheetName val="GRID Nameplate (MW)"/>
      <sheetName val="GRID Load (MWH)"/>
      <sheetName val="GRID ST Firm Sales (MWH)"/>
      <sheetName val="GRID ST Firm Sales ($)"/>
      <sheetName val="GRID ST Firm Purchases (MWH)"/>
      <sheetName val="GRID ST Firm Purchases ($)"/>
      <sheetName val="Wind Integration"/>
      <sheetName val="MacroBuilder"/>
    </sheetNames>
    <sheetDataSet>
      <sheetData sheetId="0"/>
      <sheetData sheetId="1">
        <row r="310">
          <cell r="E310">
            <v>579838055.37169659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wutc.wa.gov/RMS2.nsf/177d98baa5918c7388256a550064a61e/c11467e20383b628882578fe00701f08!OpenDocumen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90"/>
  <sheetViews>
    <sheetView tabSelected="1" workbookViewId="0"/>
  </sheetViews>
  <sheetFormatPr defaultRowHeight="15" x14ac:dyDescent="0.25"/>
  <cols>
    <col min="2" max="2" width="19.42578125" customWidth="1"/>
    <col min="3" max="3" width="15.28515625" bestFit="1" customWidth="1"/>
    <col min="4" max="4" width="22.7109375" customWidth="1"/>
    <col min="5" max="5" width="12" customWidth="1"/>
    <col min="8" max="8" width="26" customWidth="1"/>
    <col min="9" max="9" width="21.42578125" customWidth="1"/>
    <col min="10" max="10" width="15.85546875" customWidth="1"/>
    <col min="11" max="11" width="18.5703125" customWidth="1"/>
    <col min="12" max="12" width="11" bestFit="1" customWidth="1"/>
    <col min="13" max="13" width="13.140625" customWidth="1"/>
    <col min="14" max="14" width="8.85546875" customWidth="1"/>
  </cols>
  <sheetData>
    <row r="2" spans="1:12" x14ac:dyDescent="0.25">
      <c r="B2" s="1" t="s">
        <v>61</v>
      </c>
    </row>
    <row r="3" spans="1:12" x14ac:dyDescent="0.25">
      <c r="B3" s="1" t="s">
        <v>60</v>
      </c>
      <c r="C3" s="1" t="s">
        <v>59</v>
      </c>
      <c r="D3" t="s">
        <v>135</v>
      </c>
      <c r="E3" t="s">
        <v>58</v>
      </c>
    </row>
    <row r="4" spans="1:12" x14ac:dyDescent="0.25">
      <c r="B4" s="7">
        <f>[1]NPC!$E$301</f>
        <v>548582138.46615565</v>
      </c>
      <c r="C4" s="28" t="s">
        <v>138</v>
      </c>
      <c r="D4" s="7">
        <v>123969086</v>
      </c>
      <c r="E4" t="s">
        <v>62</v>
      </c>
      <c r="I4" t="s">
        <v>136</v>
      </c>
    </row>
    <row r="5" spans="1:12" x14ac:dyDescent="0.25">
      <c r="A5" s="3"/>
      <c r="B5" s="7">
        <f>[2]NPC!$E$310</f>
        <v>580642562.87359464</v>
      </c>
      <c r="C5" s="28" t="s">
        <v>57</v>
      </c>
      <c r="D5" s="7">
        <v>131447129</v>
      </c>
      <c r="E5" s="9" t="str">
        <f>[2]NPC!$J$1</f>
        <v>_WA_GRC_CY2014_WCA_NPC_Study_2012_12_07</v>
      </c>
      <c r="I5" s="6">
        <f>D5/B5</f>
        <v>0.22638217968291779</v>
      </c>
      <c r="L5" s="8"/>
    </row>
    <row r="6" spans="1:12" x14ac:dyDescent="0.25">
      <c r="A6" s="3"/>
      <c r="B6" s="7">
        <f>[3]NPC!$E$310</f>
        <v>580597341.90091658</v>
      </c>
      <c r="C6" s="7">
        <f t="shared" ref="C6:C14" si="0">B6-$B$5</f>
        <v>-45220.9726780653</v>
      </c>
      <c r="D6" s="7">
        <f t="shared" ref="D6:D14" si="1">C6*$I$5</f>
        <v>-10237.222362242095</v>
      </c>
      <c r="E6" s="9" t="s">
        <v>56</v>
      </c>
      <c r="L6" s="8"/>
    </row>
    <row r="7" spans="1:12" x14ac:dyDescent="0.25">
      <c r="A7" s="3"/>
      <c r="B7" s="7">
        <f>[4]NPC!$E$310</f>
        <v>533357558.13776052</v>
      </c>
      <c r="C7" s="7">
        <f t="shared" si="0"/>
        <v>-47285004.735834122</v>
      </c>
      <c r="D7" s="7">
        <f t="shared" si="1"/>
        <v>-10704482.438415218</v>
      </c>
      <c r="E7" t="s">
        <v>55</v>
      </c>
      <c r="L7" s="8"/>
    </row>
    <row r="8" spans="1:12" x14ac:dyDescent="0.25">
      <c r="A8" s="3"/>
      <c r="B8" s="7">
        <f>[5]NPC!$E$310</f>
        <v>579306874.60913086</v>
      </c>
      <c r="C8" s="7">
        <f t="shared" si="0"/>
        <v>-1335688.2644637823</v>
      </c>
      <c r="D8" s="7">
        <f t="shared" si="1"/>
        <v>-302376.0206862046</v>
      </c>
      <c r="E8" t="s">
        <v>54</v>
      </c>
      <c r="L8" s="8"/>
    </row>
    <row r="9" spans="1:12" x14ac:dyDescent="0.25">
      <c r="A9" s="3"/>
      <c r="B9" s="7">
        <f>[6]NPC!$E$310</f>
        <v>581220199.13906944</v>
      </c>
      <c r="C9" s="7">
        <f t="shared" si="0"/>
        <v>577636.2654747963</v>
      </c>
      <c r="D9" s="7">
        <f t="shared" si="1"/>
        <v>130766.55684208494</v>
      </c>
      <c r="E9" t="s">
        <v>53</v>
      </c>
    </row>
    <row r="10" spans="1:12" x14ac:dyDescent="0.25">
      <c r="A10" s="3"/>
      <c r="B10" s="7">
        <f>[7]NPC!$E$310</f>
        <v>581710731.08958244</v>
      </c>
      <c r="C10" s="7">
        <f t="shared" si="0"/>
        <v>1068168.2159878016</v>
      </c>
      <c r="D10" s="7">
        <f t="shared" si="1"/>
        <v>241814.24900333222</v>
      </c>
      <c r="E10" t="s">
        <v>52</v>
      </c>
    </row>
    <row r="11" spans="1:12" x14ac:dyDescent="0.25">
      <c r="A11" s="3"/>
      <c r="B11" s="7">
        <f>[8]NPC!$E$310</f>
        <v>576223316.94688606</v>
      </c>
      <c r="C11" s="7">
        <f t="shared" si="0"/>
        <v>-4419245.9267085791</v>
      </c>
      <c r="D11" s="7">
        <f t="shared" si="1"/>
        <v>-1000438.5254431441</v>
      </c>
      <c r="E11" t="s">
        <v>51</v>
      </c>
    </row>
    <row r="12" spans="1:12" x14ac:dyDescent="0.25">
      <c r="A12" s="3"/>
      <c r="B12" s="7">
        <f>[9]NPC!$E$310</f>
        <v>579838055.37169659</v>
      </c>
      <c r="C12" s="7">
        <f t="shared" si="0"/>
        <v>-804507.50189805031</v>
      </c>
      <c r="D12" s="7">
        <f t="shared" si="1"/>
        <v>-182126.16185093977</v>
      </c>
      <c r="E12" t="s">
        <v>50</v>
      </c>
    </row>
    <row r="13" spans="1:12" x14ac:dyDescent="0.25">
      <c r="A13" s="3"/>
      <c r="B13" s="7">
        <f>[10]NPC!$E$310</f>
        <v>575893341.13491285</v>
      </c>
      <c r="C13" s="7">
        <f t="shared" si="0"/>
        <v>-4749221.7386817932</v>
      </c>
      <c r="D13" s="7">
        <f t="shared" si="1"/>
        <v>-1075139.169000281</v>
      </c>
      <c r="E13" t="s">
        <v>49</v>
      </c>
    </row>
    <row r="14" spans="1:12" x14ac:dyDescent="0.25">
      <c r="A14" s="3"/>
      <c r="B14" s="7">
        <f>[11]NPC!$E$310</f>
        <v>574199076.1843425</v>
      </c>
      <c r="C14" s="7">
        <f t="shared" si="0"/>
        <v>-6443486.6892521381</v>
      </c>
      <c r="D14" s="7">
        <f t="shared" si="1"/>
        <v>-1458690.5614707666</v>
      </c>
      <c r="E14" t="s">
        <v>76</v>
      </c>
    </row>
    <row r="15" spans="1:12" x14ac:dyDescent="0.25">
      <c r="B15" s="28"/>
      <c r="C15" s="28"/>
      <c r="D15" s="28"/>
    </row>
    <row r="16" spans="1:12" x14ac:dyDescent="0.25">
      <c r="B16" s="29" t="s">
        <v>48</v>
      </c>
      <c r="C16" s="28"/>
      <c r="D16" s="28"/>
    </row>
    <row r="17" spans="2:14" x14ac:dyDescent="0.25">
      <c r="B17" s="28" t="s">
        <v>47</v>
      </c>
      <c r="C17" s="28" t="s">
        <v>133</v>
      </c>
      <c r="D17" s="28" t="s">
        <v>46</v>
      </c>
    </row>
    <row r="18" spans="2:14" x14ac:dyDescent="0.25">
      <c r="B18" s="7">
        <f>B5-B4</f>
        <v>32060424.407438993</v>
      </c>
      <c r="C18" s="30">
        <f>D5-D4</f>
        <v>7478043</v>
      </c>
      <c r="D18" s="28" t="s">
        <v>40</v>
      </c>
      <c r="I18" s="3"/>
    </row>
    <row r="19" spans="2:14" x14ac:dyDescent="0.25">
      <c r="B19" s="7"/>
      <c r="C19" s="28"/>
      <c r="D19" s="28"/>
      <c r="H19" t="s">
        <v>62</v>
      </c>
      <c r="I19" t="s">
        <v>137</v>
      </c>
      <c r="K19" s="17" t="s">
        <v>137</v>
      </c>
      <c r="L19" s="10" t="s">
        <v>65</v>
      </c>
      <c r="M19" s="11" t="s">
        <v>66</v>
      </c>
      <c r="N19" s="10" t="s">
        <v>67</v>
      </c>
    </row>
    <row r="20" spans="2:14" x14ac:dyDescent="0.25">
      <c r="B20" s="30">
        <f>I20-H20</f>
        <v>-515478.76801576465</v>
      </c>
      <c r="C20" s="28"/>
      <c r="D20" s="28" t="s">
        <v>73</v>
      </c>
      <c r="H20" s="2">
        <f>[1]NPC!$E$321</f>
        <v>20495884.741919279</v>
      </c>
      <c r="I20" s="2">
        <f>[2]NPC!$E$330</f>
        <v>19980405.973903514</v>
      </c>
      <c r="J20" t="s">
        <v>64</v>
      </c>
      <c r="K20" s="18" t="s">
        <v>68</v>
      </c>
      <c r="L20" s="12">
        <f>[2]NPC!$E$208</f>
        <v>899640</v>
      </c>
      <c r="M20" s="12">
        <f>[2]NPC!$E$535</f>
        <v>47600</v>
      </c>
      <c r="N20" s="13">
        <f>L20/M20</f>
        <v>18.899999999999999</v>
      </c>
    </row>
    <row r="21" spans="2:14" x14ac:dyDescent="0.25">
      <c r="B21" s="31">
        <f>B20/H20</f>
        <v>-2.5150354547099883E-2</v>
      </c>
      <c r="C21" s="28"/>
      <c r="D21" s="28"/>
      <c r="H21" s="2"/>
      <c r="I21" s="2"/>
      <c r="K21" s="18" t="s">
        <v>69</v>
      </c>
      <c r="L21" s="14">
        <f>[2]NPC!$E$235</f>
        <v>67404818.710999995</v>
      </c>
      <c r="M21" s="14">
        <f>[2]NPC!$E$561</f>
        <v>2166114.9963819999</v>
      </c>
      <c r="N21" s="15">
        <f>L21/M21</f>
        <v>31.117839460778555</v>
      </c>
    </row>
    <row r="22" spans="2:14" x14ac:dyDescent="0.25">
      <c r="B22" s="30">
        <f>B20*N22</f>
        <v>-15905163.168644032</v>
      </c>
      <c r="C22" s="30">
        <f>B22*I5</f>
        <v>-3600645.5063300994</v>
      </c>
      <c r="D22" s="28" t="s">
        <v>45</v>
      </c>
      <c r="K22" s="18" t="s">
        <v>70</v>
      </c>
      <c r="L22" s="12">
        <f>L20+L21</f>
        <v>68304458.710999995</v>
      </c>
      <c r="M22" s="12">
        <f>M20+M21</f>
        <v>2213714.9963819999</v>
      </c>
      <c r="N22" s="16">
        <f>L22/M22</f>
        <v>30.855127612467662</v>
      </c>
    </row>
    <row r="23" spans="2:14" x14ac:dyDescent="0.25">
      <c r="B23" s="30">
        <f>B54</f>
        <v>-24220509.920000002</v>
      </c>
      <c r="C23" s="30">
        <f>B23*I5</f>
        <v>-5483091.8287213333</v>
      </c>
      <c r="D23" s="28" t="s">
        <v>44</v>
      </c>
    </row>
    <row r="24" spans="2:14" x14ac:dyDescent="0.25">
      <c r="B24" s="28"/>
      <c r="C24" s="28"/>
      <c r="D24" s="28"/>
    </row>
    <row r="25" spans="2:14" x14ac:dyDescent="0.25">
      <c r="B25" s="32">
        <f>'[12]11GRC vs 09GRC(R)'!$U$91</f>
        <v>97.291242527399589</v>
      </c>
      <c r="C25" s="28"/>
      <c r="D25" s="28" t="s">
        <v>128</v>
      </c>
      <c r="G25" t="s">
        <v>130</v>
      </c>
      <c r="H25" s="27" t="s">
        <v>132</v>
      </c>
    </row>
    <row r="26" spans="2:14" x14ac:dyDescent="0.25">
      <c r="B26" s="32">
        <f>'[12]11GRC vs 09GRC(R)'!$T$91</f>
        <v>72.716274385396289</v>
      </c>
      <c r="C26" s="28"/>
      <c r="D26" s="28" t="s">
        <v>129</v>
      </c>
      <c r="H26" t="s">
        <v>131</v>
      </c>
    </row>
    <row r="27" spans="2:14" x14ac:dyDescent="0.25">
      <c r="B27" s="32">
        <f>[2]NPC!$E$1019</f>
        <v>77.199284240680143</v>
      </c>
      <c r="C27" s="28"/>
      <c r="D27" s="28" t="s">
        <v>43</v>
      </c>
    </row>
    <row r="28" spans="2:14" x14ac:dyDescent="0.25">
      <c r="B28" s="32">
        <f>[1]NPC!$E$985</f>
        <v>118.82814240943165</v>
      </c>
      <c r="C28" s="28"/>
      <c r="D28" s="28" t="s">
        <v>134</v>
      </c>
    </row>
    <row r="29" spans="2:14" x14ac:dyDescent="0.25">
      <c r="B29" s="28"/>
      <c r="C29" s="28"/>
      <c r="D29" s="28"/>
    </row>
    <row r="30" spans="2:14" x14ac:dyDescent="0.25">
      <c r="B30" s="33">
        <f>[13]BridgerRatio!$Q$18</f>
        <v>0.99432537417889666</v>
      </c>
      <c r="C30" s="28"/>
      <c r="D30" s="28" t="s">
        <v>42</v>
      </c>
    </row>
    <row r="31" spans="2:14" x14ac:dyDescent="0.25">
      <c r="B31" s="33">
        <f>[14]BridgerRatio!$Q$18</f>
        <v>0.96496879983278516</v>
      </c>
      <c r="C31" s="28"/>
      <c r="D31" s="28" t="s">
        <v>41</v>
      </c>
    </row>
    <row r="32" spans="2:14" x14ac:dyDescent="0.25">
      <c r="B32" s="28"/>
      <c r="C32" s="28"/>
      <c r="D32" s="28"/>
    </row>
    <row r="33" spans="2:12" x14ac:dyDescent="0.25">
      <c r="B33" s="28"/>
      <c r="C33" s="28"/>
      <c r="D33" s="28"/>
    </row>
    <row r="34" spans="2:12" x14ac:dyDescent="0.25">
      <c r="B34" s="34">
        <f>'[15]BPA Rate Case'!$E$91</f>
        <v>0.15229160504418018</v>
      </c>
      <c r="C34" s="28"/>
      <c r="D34" s="28" t="s">
        <v>39</v>
      </c>
    </row>
    <row r="35" spans="2:12" x14ac:dyDescent="0.25">
      <c r="B35" s="7">
        <f>'[15]BPA Rate Case'!$F$91</f>
        <v>5008.7844617901537</v>
      </c>
      <c r="C35" s="28"/>
      <c r="D35" s="28" t="s">
        <v>38</v>
      </c>
    </row>
    <row r="36" spans="2:12" x14ac:dyDescent="0.25">
      <c r="B36" s="34">
        <f>('[15]BPA Rate Case'!$F$86+'[15]BPA Rate Case'!$F$88)/'[15]BPA Rate Case'!$F$91</f>
        <v>0.83446101750663204</v>
      </c>
      <c r="C36" s="28"/>
      <c r="D36" s="28" t="s">
        <v>37</v>
      </c>
    </row>
    <row r="37" spans="2:12" x14ac:dyDescent="0.25">
      <c r="B37" s="31">
        <f>AVERAGE('[15]BPA Rate Case'!$E$86,'[15]BPA Rate Case'!$E$88)</f>
        <v>0.19557855354608247</v>
      </c>
      <c r="C37" s="28"/>
      <c r="D37" s="28" t="s">
        <v>36</v>
      </c>
    </row>
    <row r="38" spans="2:12" x14ac:dyDescent="0.25">
      <c r="B38" s="34">
        <f>AVERAGE('[15]BPA Rate Case'!$E$87,'[15]BPA Rate Case'!$E$89)</f>
        <v>-4.7983657457404377E-2</v>
      </c>
      <c r="C38" s="28"/>
      <c r="D38" s="28" t="s">
        <v>35</v>
      </c>
    </row>
    <row r="39" spans="2:12" x14ac:dyDescent="0.25">
      <c r="B39" s="7">
        <f>'[15]BPA Rate Case'!$D$91</f>
        <v>13419790.469280016</v>
      </c>
      <c r="C39" s="30">
        <f>B39*$I$5</f>
        <v>3038001.4173236564</v>
      </c>
      <c r="D39" s="28" t="s">
        <v>34</v>
      </c>
    </row>
    <row r="40" spans="2:12" x14ac:dyDescent="0.25">
      <c r="B40" s="28"/>
      <c r="C40" s="28"/>
      <c r="D40" s="28"/>
    </row>
    <row r="41" spans="2:12" x14ac:dyDescent="0.25">
      <c r="B41" s="35">
        <f>SUM([24]Summary!$K$17:$K$18)</f>
        <v>3.7433122026088785</v>
      </c>
      <c r="C41" s="36">
        <f>B41*$I$5</f>
        <v>0.84741917566026193</v>
      </c>
      <c r="D41" s="28" t="s">
        <v>33</v>
      </c>
      <c r="G41" s="41"/>
      <c r="H41" s="41"/>
      <c r="K41" s="2"/>
      <c r="L41" s="2"/>
    </row>
    <row r="42" spans="2:12" x14ac:dyDescent="0.25">
      <c r="B42" s="35">
        <f>SUM([24]Summary!$K$17)</f>
        <v>3.3691844618552578</v>
      </c>
      <c r="C42" s="36">
        <f>B42*$I$5</f>
        <v>0.76272332222861161</v>
      </c>
      <c r="D42" s="28" t="s">
        <v>32</v>
      </c>
      <c r="G42" s="41"/>
      <c r="H42" s="41"/>
      <c r="K42" s="2"/>
      <c r="L42" s="2"/>
    </row>
    <row r="43" spans="2:12" x14ac:dyDescent="0.25">
      <c r="B43" s="35">
        <f>SUM([24]Summary!$K$18)</f>
        <v>0.37412774075362082</v>
      </c>
      <c r="C43" s="36">
        <f>B43*$I$5</f>
        <v>8.4695853431650273E-2</v>
      </c>
      <c r="D43" s="28" t="s">
        <v>31</v>
      </c>
      <c r="G43" s="41"/>
      <c r="H43" s="41"/>
      <c r="K43" s="2"/>
      <c r="L43" s="2"/>
    </row>
    <row r="44" spans="2:12" x14ac:dyDescent="0.25">
      <c r="B44" s="35">
        <f>[24]Summary!$O$17</f>
        <v>1.2910061585163597</v>
      </c>
      <c r="C44" s="36">
        <f>B44*$I$5</f>
        <v>0.29226078814900397</v>
      </c>
      <c r="D44" s="28" t="s">
        <v>30</v>
      </c>
      <c r="G44" s="41"/>
      <c r="H44" s="4"/>
    </row>
    <row r="45" spans="2:12" x14ac:dyDescent="0.25">
      <c r="B45" s="32">
        <f>[24]Detail!$N$19</f>
        <v>35.931666666666672</v>
      </c>
      <c r="C45" s="28"/>
      <c r="D45" s="28" t="s">
        <v>29</v>
      </c>
      <c r="G45" s="41"/>
      <c r="H45" s="41"/>
    </row>
    <row r="46" spans="2:12" x14ac:dyDescent="0.25">
      <c r="B46" s="32">
        <f>[24]Detail!$H$19</f>
        <v>36.71328403755868</v>
      </c>
      <c r="C46" s="28"/>
      <c r="D46" s="28" t="s">
        <v>28</v>
      </c>
      <c r="G46" s="41"/>
      <c r="H46" s="41"/>
    </row>
    <row r="47" spans="2:12" x14ac:dyDescent="0.25">
      <c r="B47" s="35">
        <f>[24]Summary!$M$17</f>
        <v>1.8561521252921234</v>
      </c>
      <c r="C47" s="36">
        <f>B47*$I$5</f>
        <v>0.42019976394671121</v>
      </c>
      <c r="D47" s="28" t="s">
        <v>27</v>
      </c>
      <c r="G47" s="41"/>
      <c r="H47" s="41"/>
    </row>
    <row r="48" spans="2:12" x14ac:dyDescent="0.25">
      <c r="B48" s="32">
        <f>[24]Detail!$N$14</f>
        <v>37.006252420308499</v>
      </c>
      <c r="C48" s="28"/>
      <c r="D48" s="28" t="s">
        <v>26</v>
      </c>
      <c r="G48" s="41"/>
      <c r="H48" s="41"/>
    </row>
    <row r="49" spans="2:10" x14ac:dyDescent="0.25">
      <c r="B49" s="32">
        <f>[24]Detail!$H$14</f>
        <v>37.524834139891034</v>
      </c>
      <c r="C49" s="28"/>
      <c r="D49" s="28" t="s">
        <v>25</v>
      </c>
      <c r="G49" s="41"/>
      <c r="H49" s="41"/>
    </row>
    <row r="50" spans="2:10" x14ac:dyDescent="0.25">
      <c r="B50" s="35">
        <f>[24]Summary!$O$18</f>
        <v>0.37412774075362082</v>
      </c>
      <c r="C50" s="36">
        <f>B50*$I$5</f>
        <v>8.4695853431650273E-2</v>
      </c>
      <c r="D50" s="28" t="s">
        <v>24</v>
      </c>
      <c r="G50" s="41"/>
      <c r="H50" s="41"/>
    </row>
    <row r="51" spans="2:10" x14ac:dyDescent="0.25">
      <c r="B51" s="32">
        <f>[24]Detail!$N$27</f>
        <v>20.949189435161692</v>
      </c>
      <c r="C51" s="28"/>
      <c r="D51" s="28" t="s">
        <v>23</v>
      </c>
      <c r="G51" s="41"/>
      <c r="H51" s="41"/>
    </row>
    <row r="52" spans="2:10" x14ac:dyDescent="0.25">
      <c r="B52" s="32">
        <f>[24]Detail!$H$27</f>
        <v>21.795754476086568</v>
      </c>
      <c r="C52" s="28"/>
      <c r="D52" s="28" t="s">
        <v>22</v>
      </c>
      <c r="G52" s="41"/>
      <c r="H52" s="41"/>
    </row>
    <row r="53" spans="2:10" x14ac:dyDescent="0.25">
      <c r="B53" s="28"/>
      <c r="C53" s="28"/>
      <c r="D53" s="28"/>
    </row>
    <row r="54" spans="2:10" x14ac:dyDescent="0.25">
      <c r="B54" s="30">
        <f>B55+B58</f>
        <v>-24220509.920000002</v>
      </c>
      <c r="C54" s="7">
        <f>B54*$I$5</f>
        <v>-5483091.8287213333</v>
      </c>
      <c r="D54" s="28" t="s">
        <v>71</v>
      </c>
      <c r="H54" t="s">
        <v>62</v>
      </c>
      <c r="I54" t="s">
        <v>63</v>
      </c>
    </row>
    <row r="55" spans="2:10" x14ac:dyDescent="0.25">
      <c r="B55" s="30">
        <f>I55-H55</f>
        <v>1414369.58</v>
      </c>
      <c r="C55" s="7">
        <f t="shared" ref="C55:C60" si="2">B55*$I$5</f>
        <v>320188.06839761301</v>
      </c>
      <c r="D55" s="28" t="s">
        <v>72</v>
      </c>
      <c r="H55" s="2">
        <f>[1]NPC!$E$211</f>
        <v>-2709694.2</v>
      </c>
      <c r="I55" s="2">
        <f>[2]NPC!$E$219-[2]NPC!$E$47</f>
        <v>-1295324.6200000001</v>
      </c>
      <c r="J55" t="s">
        <v>74</v>
      </c>
    </row>
    <row r="56" spans="2:10" x14ac:dyDescent="0.25">
      <c r="B56" s="7">
        <f>'[16]Gas Swap Summary'!$E$19</f>
        <v>37814512</v>
      </c>
      <c r="C56" s="7">
        <f t="shared" si="2"/>
        <v>8560531.6502058506</v>
      </c>
      <c r="D56" s="28" t="s">
        <v>21</v>
      </c>
    </row>
    <row r="57" spans="2:10" x14ac:dyDescent="0.25">
      <c r="B57" s="7">
        <f>'[17]Gas Swap Summary'!$E$20</f>
        <v>12179632.5</v>
      </c>
      <c r="C57" s="7">
        <f t="shared" si="2"/>
        <v>2757251.7530869055</v>
      </c>
      <c r="D57" s="28" t="s">
        <v>20</v>
      </c>
    </row>
    <row r="58" spans="2:10" x14ac:dyDescent="0.25">
      <c r="B58" s="7">
        <f>B57-B56</f>
        <v>-25634879.5</v>
      </c>
      <c r="C58" s="7">
        <f t="shared" si="2"/>
        <v>-5803279.8971189456</v>
      </c>
      <c r="D58" s="28" t="s">
        <v>19</v>
      </c>
    </row>
    <row r="59" spans="2:10" x14ac:dyDescent="0.25">
      <c r="B59" s="28"/>
      <c r="C59" s="28"/>
      <c r="D59" s="28"/>
    </row>
    <row r="60" spans="2:10" x14ac:dyDescent="0.25">
      <c r="B60" s="30">
        <f>C11</f>
        <v>-4419245.9267085791</v>
      </c>
      <c r="C60" s="7">
        <f t="shared" si="2"/>
        <v>-1000438.5254431441</v>
      </c>
      <c r="D60" s="28" t="s">
        <v>75</v>
      </c>
    </row>
    <row r="61" spans="2:10" x14ac:dyDescent="0.25">
      <c r="B61" s="37">
        <f>(B62-B63)/B63</f>
        <v>-0.11986265361973139</v>
      </c>
      <c r="C61" s="28"/>
      <c r="D61" s="28" t="s">
        <v>18</v>
      </c>
    </row>
    <row r="62" spans="2:10" x14ac:dyDescent="0.25">
      <c r="B62" s="7">
        <f>[2]NPC!$E$626</f>
        <v>1014553.6391572</v>
      </c>
      <c r="C62" s="28"/>
      <c r="D62" s="28" t="s">
        <v>17</v>
      </c>
    </row>
    <row r="63" spans="2:10" x14ac:dyDescent="0.25">
      <c r="B63" s="7">
        <f>[1]NPC!$E$608</f>
        <v>1152721.951102</v>
      </c>
      <c r="C63" s="28"/>
      <c r="D63" s="28" t="s">
        <v>16</v>
      </c>
    </row>
    <row r="64" spans="2:10" x14ac:dyDescent="0.25">
      <c r="B64" s="28"/>
      <c r="C64" s="28"/>
      <c r="D64" s="28"/>
    </row>
    <row r="65" spans="2:12" x14ac:dyDescent="0.25">
      <c r="B65" s="32">
        <f>'[11]Wind Int'!$E$9</f>
        <v>3.1317196844158488</v>
      </c>
      <c r="C65" s="28"/>
      <c r="D65" s="28" t="s">
        <v>15</v>
      </c>
    </row>
    <row r="66" spans="2:12" x14ac:dyDescent="0.25">
      <c r="B66" s="28"/>
      <c r="C66" s="28"/>
      <c r="D66" s="28"/>
    </row>
    <row r="67" spans="2:12" x14ac:dyDescent="0.25">
      <c r="B67" s="28"/>
      <c r="C67" s="28"/>
      <c r="D67" s="29" t="s">
        <v>14</v>
      </c>
      <c r="K67" t="s">
        <v>80</v>
      </c>
    </row>
    <row r="68" spans="2:12" x14ac:dyDescent="0.25">
      <c r="B68" s="34">
        <f>SUM(K70:K71)/SUM(K68:K71)</f>
        <v>0.35916838842975207</v>
      </c>
      <c r="C68" s="28"/>
      <c r="D68" s="28" t="s">
        <v>13</v>
      </c>
      <c r="J68" t="s">
        <v>81</v>
      </c>
      <c r="K68">
        <f>SUM([2]NPC!$E$727:$E$733)</f>
        <v>1485.3</v>
      </c>
      <c r="L68" s="5">
        <f t="shared" ref="L68:L71" si="3">K68/$K$72</f>
        <v>0.38360020661157024</v>
      </c>
    </row>
    <row r="69" spans="2:12" x14ac:dyDescent="0.25">
      <c r="B69" s="38">
        <f>[18]Source!P14</f>
        <v>0.32383232958650132</v>
      </c>
      <c r="C69" s="28"/>
      <c r="D69" s="28" t="s">
        <v>12</v>
      </c>
      <c r="J69" t="s">
        <v>82</v>
      </c>
      <c r="K69">
        <f>SUM([2]NPC!$E$738:$E$745)</f>
        <v>996</v>
      </c>
      <c r="L69" s="5">
        <f t="shared" si="3"/>
        <v>0.25723140495867769</v>
      </c>
    </row>
    <row r="70" spans="2:12" x14ac:dyDescent="0.25">
      <c r="B70" s="38">
        <f>[18]Source!P15</f>
        <v>5.7026426483857875E-2</v>
      </c>
      <c r="C70" s="28"/>
      <c r="D70" s="28" t="s">
        <v>11</v>
      </c>
      <c r="J70" t="s">
        <v>83</v>
      </c>
      <c r="K70" s="19">
        <f>SUM(K74:K77)</f>
        <v>985.6</v>
      </c>
      <c r="L70" s="5">
        <f t="shared" si="3"/>
        <v>0.25454545454545457</v>
      </c>
    </row>
    <row r="71" spans="2:12" x14ac:dyDescent="0.25">
      <c r="B71" s="38">
        <f>[18]Source!P16</f>
        <v>0.8582702978801291</v>
      </c>
      <c r="C71" s="28"/>
      <c r="D71" s="28" t="s">
        <v>10</v>
      </c>
      <c r="J71" t="s">
        <v>84</v>
      </c>
      <c r="K71" s="9">
        <f>B72</f>
        <v>405.09999999999997</v>
      </c>
      <c r="L71" s="5">
        <f t="shared" si="3"/>
        <v>0.10462293388429751</v>
      </c>
    </row>
    <row r="72" spans="2:12" x14ac:dyDescent="0.25">
      <c r="B72" s="39">
        <f>'[19]Nameplate Capacity'!$C$11+'[19]Nameplate Capacity'!$C$15+'[19]Nameplate Capacity'!$C$18+'[19]Nameplate Capacity'!$C$19</f>
        <v>405.09999999999997</v>
      </c>
      <c r="C72" s="28"/>
      <c r="D72" s="28" t="s">
        <v>9</v>
      </c>
      <c r="J72" t="s">
        <v>89</v>
      </c>
      <c r="K72">
        <f>SUM(K68:K71)</f>
        <v>3872</v>
      </c>
      <c r="L72" s="5">
        <f>K72/$K$72</f>
        <v>1</v>
      </c>
    </row>
    <row r="73" spans="2:12" x14ac:dyDescent="0.25">
      <c r="B73" s="39">
        <f>'[19]Nameplate Capacity'!$E$25+'[19]Nameplate Capacity'!$C$38</f>
        <v>74.449999999999989</v>
      </c>
      <c r="C73" s="28"/>
      <c r="D73" s="28" t="s">
        <v>8</v>
      </c>
    </row>
    <row r="74" spans="2:12" x14ac:dyDescent="0.25">
      <c r="B74" s="39">
        <f>'[19]Nameplate Capacity'!$BF$5+'[19]Nameplate Capacity'!$BF$11+'[19]Nameplate Capacity'!$BF$15+'[19]Nameplate Capacity'!$BF$18+'[19]Nameplate Capacity'!$BF$19+'[19]Nameplate Capacity'!$BF$25+'[19]Nameplate Capacity'!$BF$38</f>
        <v>520.54999999999995</v>
      </c>
      <c r="C74" s="28"/>
      <c r="D74" s="28" t="s">
        <v>7</v>
      </c>
      <c r="J74" t="s">
        <v>85</v>
      </c>
      <c r="K74" s="19">
        <f>MAX('[20]LEW Detail'!$F$5:$F$58)+MAX('[20]LEW Detail'!$H$5:$H$58)+MAX('[20]LEW Detail'!$I$5:$I$58)</f>
        <v>575</v>
      </c>
    </row>
    <row r="75" spans="2:12" x14ac:dyDescent="0.25">
      <c r="B75" s="39">
        <f>'[19]Nameplate Capacity'!$BS$5+'[19]Nameplate Capacity'!$BS$12+'[19]Nameplate Capacity'!$BS$16+'[19]Nameplate Capacity'!$BS$18+'[19]Nameplate Capacity'!$BS$19+'[19]Nameplate Capacity'!$BS$25+'[19]Nameplate Capacity'!$BS$38+'[19]Nameplate Capacity'!$BS$14+'[19]Nameplate Capacity'!$BS$17+'[19]Nameplate Capacity'!$BS$23+'[19]Nameplate Capacity'!$BS$26</f>
        <v>560.54999999999995</v>
      </c>
      <c r="C75" s="28"/>
      <c r="D75" s="28" t="s">
        <v>6</v>
      </c>
      <c r="J75" t="s">
        <v>86</v>
      </c>
      <c r="K75" s="19">
        <f>MAX('[20]KLA Detail'!$J$5:$J$58)+MAX('[20]KLA Detail'!$K$5:$K$58)+MAX('[20]KLA Detail'!$L$5:$L$58)+MAX('[20]KLA Detail'!$M$5:$M$58)</f>
        <v>178.1</v>
      </c>
    </row>
    <row r="76" spans="2:12" x14ac:dyDescent="0.25">
      <c r="B76" s="28">
        <f>B77</f>
        <v>484</v>
      </c>
      <c r="C76" s="28"/>
      <c r="D76" s="28" t="s">
        <v>5</v>
      </c>
      <c r="J76" t="s">
        <v>87</v>
      </c>
      <c r="K76" s="4">
        <f>MAX('[20]NUR Detail'!$J$5:$J$57)+MAX('[20]NUR Detail'!$K$5:$K$57)+MAX('[20]NUR Detail'!$L$5:$L$57)+MAX('[20]NUR Detail'!$M$5:$M$57)+MAX('[20]NUR Detail'!$N$5:$N$57)+MAX('[20]NUR Detail'!$O$5:$O$57)+MAX('[20]NUR Detail'!$P$5:$P$57)+MAX('[20]NUR Detail'!$Q$5:$Q$57)</f>
        <v>176.1</v>
      </c>
    </row>
    <row r="77" spans="2:12" x14ac:dyDescent="0.25">
      <c r="B77" s="28">
        <f>[2]NPC!$E$745+[2]NPC!$E$738</f>
        <v>484</v>
      </c>
      <c r="C77" s="28"/>
      <c r="D77" s="28" t="s">
        <v>4</v>
      </c>
      <c r="J77" t="s">
        <v>88</v>
      </c>
      <c r="K77">
        <f>SUM('[20]ROR Detail'!$O$5:$T$5,'[20]ROR Detail'!$V$5,'[20]ROR Detail'!$X$5)</f>
        <v>56.399999999999991</v>
      </c>
    </row>
    <row r="78" spans="2:12" x14ac:dyDescent="0.25">
      <c r="B78" s="28">
        <f>[2]NPC!$E$741</f>
        <v>512</v>
      </c>
      <c r="C78" s="28"/>
      <c r="D78" s="28" t="s">
        <v>3</v>
      </c>
    </row>
    <row r="79" spans="2:12" x14ac:dyDescent="0.25">
      <c r="B79" s="38">
        <f>[18]Source!Q4</f>
        <v>0.28658291456858848</v>
      </c>
      <c r="C79" s="28"/>
      <c r="D79" s="28" t="s">
        <v>77</v>
      </c>
    </row>
    <row r="80" spans="2:12" x14ac:dyDescent="0.25">
      <c r="B80" s="40">
        <f>[18]Source!Q5</f>
        <v>-6.6125336169204438E-3</v>
      </c>
      <c r="C80" s="28"/>
      <c r="D80" s="28" t="s">
        <v>78</v>
      </c>
    </row>
    <row r="81" spans="2:4" x14ac:dyDescent="0.25">
      <c r="B81" s="38">
        <f>[18]Source!Q6</f>
        <v>0.93060871948454615</v>
      </c>
      <c r="C81" s="28"/>
      <c r="D81" s="28" t="s">
        <v>79</v>
      </c>
    </row>
    <row r="82" spans="2:4" x14ac:dyDescent="0.25">
      <c r="B82" s="28"/>
      <c r="C82" s="28"/>
      <c r="D82" s="28"/>
    </row>
    <row r="83" spans="2:4" x14ac:dyDescent="0.25">
      <c r="B83" s="28"/>
      <c r="C83" s="28"/>
      <c r="D83" s="28"/>
    </row>
    <row r="84" spans="2:4" x14ac:dyDescent="0.25">
      <c r="B84" s="28"/>
      <c r="C84" s="28"/>
      <c r="D84" s="28" t="s">
        <v>2</v>
      </c>
    </row>
    <row r="85" spans="2:4" x14ac:dyDescent="0.25">
      <c r="B85" s="38">
        <f>'10 yr Hydro'!E7</f>
        <v>-0.16766493767959817</v>
      </c>
      <c r="C85" s="28"/>
      <c r="D85" s="28" t="s">
        <v>126</v>
      </c>
    </row>
    <row r="86" spans="2:4" x14ac:dyDescent="0.25">
      <c r="B86" s="38">
        <f>'10 yr Hydro'!E9</f>
        <v>0.22333135922731043</v>
      </c>
      <c r="C86" s="28"/>
      <c r="D86" s="28" t="s">
        <v>127</v>
      </c>
    </row>
    <row r="87" spans="2:4" x14ac:dyDescent="0.25">
      <c r="B87" s="7">
        <f>'10 yr Hydro'!F7-'10 yr Hydro'!F9</f>
        <v>34015078.237329364</v>
      </c>
      <c r="C87" s="28"/>
      <c r="D87" s="28" t="s">
        <v>1</v>
      </c>
    </row>
    <row r="88" spans="2:4" x14ac:dyDescent="0.25">
      <c r="B88" s="37">
        <f>-'10 yr Hydro'!G9/B87</f>
        <v>0.55286504161150329</v>
      </c>
      <c r="C88" s="28"/>
      <c r="D88" s="28" t="s">
        <v>0</v>
      </c>
    </row>
    <row r="89" spans="2:4" x14ac:dyDescent="0.25">
      <c r="B89" s="28"/>
      <c r="C89" s="28"/>
      <c r="D89" s="28"/>
    </row>
    <row r="90" spans="2:4" x14ac:dyDescent="0.25">
      <c r="B90" s="28"/>
      <c r="C90" s="28"/>
      <c r="D90" s="28"/>
    </row>
  </sheetData>
  <hyperlinks>
    <hyperlink ref="H25" r:id="rId1"/>
  </hyperlinks>
  <pageMargins left="0.7" right="0.7" top="0.75" bottom="0.75" header="0.3" footer="0.3"/>
  <pageSetup scale="43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36"/>
  <sheetViews>
    <sheetView showGridLines="0" workbookViewId="0">
      <selection activeCell="G9" sqref="G9"/>
    </sheetView>
  </sheetViews>
  <sheetFormatPr defaultRowHeight="15" x14ac:dyDescent="0.25"/>
  <cols>
    <col min="2" max="2" width="14.5703125" bestFit="1" customWidth="1"/>
    <col min="3" max="3" width="18" customWidth="1"/>
    <col min="4" max="4" width="11.85546875" customWidth="1"/>
    <col min="5" max="5" width="13.7109375" customWidth="1"/>
    <col min="6" max="6" width="12.5703125" bestFit="1" customWidth="1"/>
    <col min="7" max="7" width="16.140625" customWidth="1"/>
    <col min="8" max="8" width="13.28515625" customWidth="1"/>
    <col min="12" max="12" width="14.42578125" customWidth="1"/>
    <col min="25" max="25" width="11.5703125" customWidth="1"/>
  </cols>
  <sheetData>
    <row r="2" spans="2:25" x14ac:dyDescent="0.25">
      <c r="B2" t="s">
        <v>101</v>
      </c>
    </row>
    <row r="4" spans="2:25" x14ac:dyDescent="0.25">
      <c r="C4" t="s">
        <v>100</v>
      </c>
      <c r="D4" t="s">
        <v>99</v>
      </c>
      <c r="E4" t="s">
        <v>98</v>
      </c>
      <c r="F4" t="s">
        <v>97</v>
      </c>
      <c r="G4" t="s">
        <v>96</v>
      </c>
      <c r="H4" t="s">
        <v>95</v>
      </c>
      <c r="M4" t="s">
        <v>123</v>
      </c>
      <c r="Y4" t="s">
        <v>124</v>
      </c>
    </row>
    <row r="5" spans="2:25" x14ac:dyDescent="0.25">
      <c r="C5" s="21"/>
      <c r="D5" s="21" t="s">
        <v>94</v>
      </c>
      <c r="E5" s="21"/>
      <c r="F5" s="21"/>
      <c r="G5" s="21" t="s">
        <v>94</v>
      </c>
      <c r="H5" s="21"/>
      <c r="K5" t="s">
        <v>122</v>
      </c>
      <c r="L5" t="s">
        <v>121</v>
      </c>
      <c r="M5">
        <v>1</v>
      </c>
      <c r="N5">
        <v>2</v>
      </c>
      <c r="O5">
        <v>3</v>
      </c>
      <c r="P5">
        <v>4</v>
      </c>
      <c r="Q5">
        <v>5</v>
      </c>
      <c r="R5">
        <v>6</v>
      </c>
      <c r="S5">
        <v>7</v>
      </c>
      <c r="T5">
        <v>8</v>
      </c>
      <c r="U5">
        <v>9</v>
      </c>
      <c r="V5">
        <v>10</v>
      </c>
      <c r="W5">
        <v>11</v>
      </c>
      <c r="X5">
        <v>12</v>
      </c>
      <c r="Y5" t="s">
        <v>89</v>
      </c>
    </row>
    <row r="6" spans="2:25" x14ac:dyDescent="0.25">
      <c r="B6" s="20" t="s">
        <v>93</v>
      </c>
      <c r="C6" s="2">
        <f>[2]NPC!$E$597</f>
        <v>3594351.6493036961</v>
      </c>
      <c r="D6" s="3">
        <f>C6-$C$8</f>
        <v>247022.28122970695</v>
      </c>
      <c r="E6" s="5">
        <f>D6/$C$8</f>
        <v>7.3796825488924148E-2</v>
      </c>
      <c r="F6" s="3">
        <f>[2]NPC!$E$310</f>
        <v>580642562.87359464</v>
      </c>
      <c r="G6" s="3">
        <f>F6-$F$8</f>
        <v>-6539116.0624387264</v>
      </c>
      <c r="H6" s="6">
        <f>G6/$F$8</f>
        <v>-1.1136444301681094E-2</v>
      </c>
      <c r="K6">
        <v>2014</v>
      </c>
      <c r="L6" t="s">
        <v>120</v>
      </c>
      <c r="M6" s="2">
        <f>[2]NPC!F597</f>
        <v>458628.12942960201</v>
      </c>
      <c r="N6" s="2">
        <f>[2]NPC!G597</f>
        <v>369093.67169743805</v>
      </c>
      <c r="O6" s="2">
        <f>[2]NPC!H597</f>
        <v>425126.52064002294</v>
      </c>
      <c r="P6" s="2">
        <f>[2]NPC!I597</f>
        <v>353353.40792880009</v>
      </c>
      <c r="Q6" s="2">
        <f>[2]NPC!J597</f>
        <v>311270.99822112906</v>
      </c>
      <c r="R6" s="2">
        <f>[2]NPC!K597</f>
        <v>285403.18695259001</v>
      </c>
      <c r="S6" s="2">
        <f>[2]NPC!L597</f>
        <v>178976.94414276595</v>
      </c>
      <c r="T6" s="2">
        <f>[2]NPC!M597</f>
        <v>165305.29133158</v>
      </c>
      <c r="U6" s="2">
        <f>[2]NPC!N597</f>
        <v>205579.11901008</v>
      </c>
      <c r="V6" s="2">
        <f>[2]NPC!O597</f>
        <v>159813.09909479003</v>
      </c>
      <c r="W6" s="2">
        <f>[2]NPC!P597</f>
        <v>287496.82901244995</v>
      </c>
      <c r="X6" s="2">
        <f>[2]NPC!Q597</f>
        <v>394304.45184244803</v>
      </c>
      <c r="Y6" s="2">
        <f>SUM(L6:X6)</f>
        <v>3594351.6493036961</v>
      </c>
    </row>
    <row r="7" spans="2:25" x14ac:dyDescent="0.25">
      <c r="B7" s="20" t="s">
        <v>92</v>
      </c>
      <c r="C7" s="2">
        <f>[21]NPC!$E$597</f>
        <v>2786099.5981827751</v>
      </c>
      <c r="D7" s="3">
        <f>C7-$C$8</f>
        <v>-561229.76989121409</v>
      </c>
      <c r="E7" s="5">
        <f>D7/$C$8</f>
        <v>-0.16766493767959817</v>
      </c>
      <c r="F7" s="2">
        <f>[21]NPC!$E$310</f>
        <v>602391009.52826309</v>
      </c>
      <c r="G7" s="3">
        <f>F7-$F$8</f>
        <v>15209330.592229724</v>
      </c>
      <c r="H7" s="6">
        <f>G7/$F$8</f>
        <v>2.5902256725361155E-2</v>
      </c>
      <c r="I7" s="4"/>
      <c r="K7">
        <v>2005</v>
      </c>
      <c r="L7" t="s">
        <v>92</v>
      </c>
      <c r="M7" s="23">
        <v>307835</v>
      </c>
      <c r="N7" s="23">
        <v>201200</v>
      </c>
      <c r="O7" s="23">
        <v>188857</v>
      </c>
      <c r="P7" s="23">
        <v>298390</v>
      </c>
      <c r="Q7" s="23">
        <v>350354</v>
      </c>
      <c r="R7" s="23">
        <v>204095</v>
      </c>
      <c r="S7" s="23">
        <v>154374</v>
      </c>
      <c r="T7" s="23">
        <v>156792</v>
      </c>
      <c r="U7" s="23">
        <v>127845</v>
      </c>
      <c r="V7" s="23">
        <v>174043</v>
      </c>
      <c r="W7" s="23">
        <v>298053</v>
      </c>
      <c r="X7" s="23">
        <v>348978</v>
      </c>
      <c r="Y7" s="2">
        <f>SUM(L7:X7)</f>
        <v>2810816</v>
      </c>
    </row>
    <row r="8" spans="2:25" x14ac:dyDescent="0.25">
      <c r="B8" s="20" t="s">
        <v>91</v>
      </c>
      <c r="C8" s="2">
        <f>[22]NPC!$E$597</f>
        <v>3347329.3680739892</v>
      </c>
      <c r="D8" s="3">
        <f>C8-$C$8</f>
        <v>0</v>
      </c>
      <c r="E8" s="5">
        <f>D8/$C$8</f>
        <v>0</v>
      </c>
      <c r="F8" s="2">
        <f>[22]NPC!$E$310</f>
        <v>587181678.93603337</v>
      </c>
      <c r="G8" s="3">
        <f>F8-$F$8</f>
        <v>0</v>
      </c>
      <c r="H8" s="6">
        <f>G8/$F$8</f>
        <v>0</v>
      </c>
      <c r="K8">
        <v>2006</v>
      </c>
      <c r="L8" t="s">
        <v>90</v>
      </c>
      <c r="M8" s="23">
        <v>636643.23329999996</v>
      </c>
      <c r="N8" s="23">
        <v>506248</v>
      </c>
      <c r="O8" s="23">
        <v>377638</v>
      </c>
      <c r="P8" s="23">
        <v>306442</v>
      </c>
      <c r="Q8" s="23">
        <v>361617</v>
      </c>
      <c r="R8" s="23">
        <v>341173</v>
      </c>
      <c r="S8" s="23">
        <v>178663.834</v>
      </c>
      <c r="T8" s="23">
        <v>138230</v>
      </c>
      <c r="U8" s="23">
        <v>141306</v>
      </c>
      <c r="V8" s="23">
        <v>183399</v>
      </c>
      <c r="W8" s="23">
        <v>453957.03099999996</v>
      </c>
      <c r="X8" s="23">
        <v>466972</v>
      </c>
      <c r="Y8" s="2">
        <f>SUM(L8:X8)</f>
        <v>4092289.0982999997</v>
      </c>
    </row>
    <row r="9" spans="2:25" x14ac:dyDescent="0.25">
      <c r="B9" s="20" t="s">
        <v>90</v>
      </c>
      <c r="C9" s="2">
        <f>[23]NPC!$E$597</f>
        <v>4094892.9856274473</v>
      </c>
      <c r="D9" s="3">
        <f>C9-$C$8</f>
        <v>747563.61755345808</v>
      </c>
      <c r="E9" s="5">
        <f>D9/$C$8</f>
        <v>0.22333135922731043</v>
      </c>
      <c r="F9" s="2">
        <f>[23]NPC!$E$310</f>
        <v>568375931.29093373</v>
      </c>
      <c r="G9" s="3">
        <f>F9-$F$8</f>
        <v>-18805747.64509964</v>
      </c>
      <c r="H9" s="6">
        <f>G9/$F$8</f>
        <v>-3.2027136267561082E-2</v>
      </c>
      <c r="I9" s="4"/>
      <c r="K9" t="s">
        <v>119</v>
      </c>
      <c r="L9" t="s">
        <v>91</v>
      </c>
      <c r="M9" s="23">
        <v>426503</v>
      </c>
      <c r="N9" s="23">
        <v>256507.052</v>
      </c>
      <c r="O9" s="23">
        <v>388527.5</v>
      </c>
      <c r="P9" s="23">
        <v>337854.5</v>
      </c>
      <c r="Q9" s="23">
        <v>284369.5</v>
      </c>
      <c r="R9" s="23">
        <v>280475.34159999999</v>
      </c>
      <c r="S9" s="23">
        <v>164955.57125000001</v>
      </c>
      <c r="T9" s="23">
        <v>135342.02980000002</v>
      </c>
      <c r="U9" s="23">
        <v>153667.78690000001</v>
      </c>
      <c r="V9" s="23">
        <v>205254.13500000001</v>
      </c>
      <c r="W9" s="23">
        <v>290044.62400000001</v>
      </c>
      <c r="X9" s="23">
        <v>434247.1495</v>
      </c>
      <c r="Y9" s="2">
        <f>SUM(L9:X9)</f>
        <v>3357748.1900499999</v>
      </c>
    </row>
    <row r="10" spans="2:25" x14ac:dyDescent="0.25">
      <c r="B10" s="20" t="s">
        <v>125</v>
      </c>
      <c r="G10" s="3"/>
      <c r="H10" s="6"/>
    </row>
    <row r="11" spans="2:25" x14ac:dyDescent="0.25">
      <c r="L11" t="s">
        <v>118</v>
      </c>
    </row>
    <row r="12" spans="2:25" x14ac:dyDescent="0.25">
      <c r="C12" s="26" t="s">
        <v>117</v>
      </c>
      <c r="D12" s="26" t="s">
        <v>116</v>
      </c>
      <c r="E12" s="26" t="s">
        <v>115</v>
      </c>
      <c r="F12" s="21" t="s">
        <v>112</v>
      </c>
      <c r="L12" t="str">
        <f>L6</f>
        <v>WA GRC Filed</v>
      </c>
      <c r="M12" s="5">
        <f t="shared" ref="M12:Y12" si="0">M6/M$6</f>
        <v>1</v>
      </c>
      <c r="N12" s="5">
        <f t="shared" si="0"/>
        <v>1</v>
      </c>
      <c r="O12" s="5">
        <f t="shared" si="0"/>
        <v>1</v>
      </c>
      <c r="P12" s="5">
        <f t="shared" si="0"/>
        <v>1</v>
      </c>
      <c r="Q12" s="5">
        <f t="shared" si="0"/>
        <v>1</v>
      </c>
      <c r="R12" s="5">
        <f t="shared" si="0"/>
        <v>1</v>
      </c>
      <c r="S12" s="5">
        <f t="shared" si="0"/>
        <v>1</v>
      </c>
      <c r="T12" s="5">
        <f t="shared" si="0"/>
        <v>1</v>
      </c>
      <c r="U12" s="5">
        <f t="shared" si="0"/>
        <v>1</v>
      </c>
      <c r="V12" s="5">
        <f t="shared" si="0"/>
        <v>1</v>
      </c>
      <c r="W12" s="5">
        <f t="shared" si="0"/>
        <v>1</v>
      </c>
      <c r="X12" s="5">
        <f t="shared" si="0"/>
        <v>1</v>
      </c>
      <c r="Y12" s="5">
        <f t="shared" si="0"/>
        <v>1</v>
      </c>
    </row>
    <row r="13" spans="2:25" x14ac:dyDescent="0.25">
      <c r="B13" s="20">
        <v>2002</v>
      </c>
      <c r="C13" s="23">
        <v>3324929.7689999999</v>
      </c>
      <c r="D13" s="3">
        <v>164999</v>
      </c>
      <c r="E13" s="2">
        <f>C13-D13</f>
        <v>3159930.7689999999</v>
      </c>
      <c r="F13" s="6">
        <f t="shared" ref="F13:F22" si="1">(E13-$E$26)/$E$26</f>
        <v>-5.8913715339402734E-2</v>
      </c>
      <c r="G13" t="str">
        <f t="shared" ref="G13:G22" si="2">IF(E13=MAX($E$13:$E$22),"Max",IF(E13=MIN($E$13:$E$22),"Min",IF(OR(RANK(E13,$E$13:$E$22,0)=5,RANK(E13,$E$13:$E$22,0)=6),"Median","-")))</f>
        <v>-</v>
      </c>
      <c r="L13" t="str">
        <f>L7</f>
        <v>10 year Min</v>
      </c>
      <c r="M13" s="5">
        <f t="shared" ref="M13:Y13" si="3">M7/M$6</f>
        <v>0.67120828454821524</v>
      </c>
      <c r="N13" s="5">
        <f t="shared" si="3"/>
        <v>0.54511907255059167</v>
      </c>
      <c r="O13" s="5">
        <f t="shared" si="3"/>
        <v>0.44423716430505916</v>
      </c>
      <c r="P13" s="5">
        <f t="shared" si="3"/>
        <v>0.84445202254883844</v>
      </c>
      <c r="Q13" s="5">
        <f t="shared" si="3"/>
        <v>1.1255594064407699</v>
      </c>
      <c r="R13" s="5">
        <f t="shared" si="3"/>
        <v>0.71511114567162637</v>
      </c>
      <c r="S13" s="5">
        <f t="shared" si="3"/>
        <v>0.86253567876798298</v>
      </c>
      <c r="T13" s="5">
        <f t="shared" si="3"/>
        <v>0.94849958363097109</v>
      </c>
      <c r="U13" s="5">
        <f t="shared" si="3"/>
        <v>0.62187736096744084</v>
      </c>
      <c r="V13" s="5">
        <f t="shared" si="3"/>
        <v>1.0890408920533465</v>
      </c>
      <c r="W13" s="5">
        <f t="shared" si="3"/>
        <v>1.0367175214551425</v>
      </c>
      <c r="X13" s="5">
        <f t="shared" si="3"/>
        <v>0.88504707052975629</v>
      </c>
      <c r="Y13" s="5">
        <f t="shared" si="3"/>
        <v>0.78200918392181129</v>
      </c>
    </row>
    <row r="14" spans="2:25" x14ac:dyDescent="0.25">
      <c r="B14" s="20">
        <f t="shared" ref="B14:B22" si="4">B13+1</f>
        <v>2003</v>
      </c>
      <c r="C14" s="23">
        <v>3522941.0709999995</v>
      </c>
      <c r="D14" s="3">
        <v>126050</v>
      </c>
      <c r="E14" s="2">
        <f t="shared" ref="E14:E26" si="5">C14-D14</f>
        <v>3396891.0709999995</v>
      </c>
      <c r="F14" s="6">
        <f t="shared" si="1"/>
        <v>1.1657479576935258E-2</v>
      </c>
      <c r="G14" t="str">
        <f t="shared" si="2"/>
        <v>-</v>
      </c>
      <c r="L14" t="str">
        <f>L8</f>
        <v>10 year Max</v>
      </c>
      <c r="M14" s="5">
        <f t="shared" ref="M14:Y14" si="6">M8/M$6</f>
        <v>1.3881469374584507</v>
      </c>
      <c r="N14" s="5">
        <f t="shared" si="6"/>
        <v>1.3715976155099003</v>
      </c>
      <c r="O14" s="5">
        <f t="shared" si="6"/>
        <v>0.88829555829984563</v>
      </c>
      <c r="P14" s="5">
        <f t="shared" si="6"/>
        <v>0.86723940713130854</v>
      </c>
      <c r="Q14" s="5">
        <f t="shared" si="6"/>
        <v>1.1617433107054349</v>
      </c>
      <c r="R14" s="5">
        <f t="shared" si="6"/>
        <v>1.1954071138549487</v>
      </c>
      <c r="S14" s="5">
        <f t="shared" si="6"/>
        <v>0.99825055599051804</v>
      </c>
      <c r="T14" s="5">
        <f t="shared" si="6"/>
        <v>0.8362103770939151</v>
      </c>
      <c r="U14" s="5">
        <f t="shared" si="6"/>
        <v>0.68735580092193826</v>
      </c>
      <c r="V14" s="5">
        <f t="shared" si="6"/>
        <v>1.1475842783777095</v>
      </c>
      <c r="W14" s="5">
        <f t="shared" si="6"/>
        <v>1.5789983929886806</v>
      </c>
      <c r="X14" s="5">
        <f t="shared" si="6"/>
        <v>1.1842929944564453</v>
      </c>
      <c r="Y14" s="5">
        <f t="shared" si="6"/>
        <v>1.1385333149283723</v>
      </c>
    </row>
    <row r="15" spans="2:25" x14ac:dyDescent="0.25">
      <c r="B15" s="20">
        <f t="shared" si="4"/>
        <v>2004</v>
      </c>
      <c r="C15" s="23">
        <v>3200159</v>
      </c>
      <c r="D15" s="3">
        <v>113070</v>
      </c>
      <c r="E15" s="2">
        <f t="shared" si="5"/>
        <v>3087089</v>
      </c>
      <c r="F15" s="6">
        <f t="shared" si="1"/>
        <v>-8.0607351930690768E-2</v>
      </c>
      <c r="G15" t="str">
        <f t="shared" si="2"/>
        <v>-</v>
      </c>
      <c r="L15" t="str">
        <f>L9</f>
        <v>10 year Median</v>
      </c>
      <c r="M15" s="5">
        <f t="shared" ref="M15:Y15" si="7">M9/M$6</f>
        <v>0.92995386159685367</v>
      </c>
      <c r="N15" s="5">
        <f t="shared" si="7"/>
        <v>0.69496464358313315</v>
      </c>
      <c r="O15" s="5">
        <f t="shared" si="7"/>
        <v>0.91391028584873146</v>
      </c>
      <c r="P15" s="5">
        <f t="shared" si="7"/>
        <v>0.95613765827348951</v>
      </c>
      <c r="Q15" s="5">
        <f t="shared" si="7"/>
        <v>0.91357531419609461</v>
      </c>
      <c r="R15" s="5">
        <f t="shared" si="7"/>
        <v>0.98273374097462818</v>
      </c>
      <c r="S15" s="5">
        <f t="shared" si="7"/>
        <v>0.92165821715236462</v>
      </c>
      <c r="T15" s="5">
        <f t="shared" si="7"/>
        <v>0.81873985224418655</v>
      </c>
      <c r="U15" s="5">
        <f t="shared" si="7"/>
        <v>0.74748733061972761</v>
      </c>
      <c r="V15" s="5">
        <f t="shared" si="7"/>
        <v>1.2843386190656219</v>
      </c>
      <c r="W15" s="5">
        <f t="shared" si="7"/>
        <v>1.0088619933524197</v>
      </c>
      <c r="X15" s="5">
        <f t="shared" si="7"/>
        <v>1.1012991293172409</v>
      </c>
      <c r="Y15" s="5">
        <f t="shared" si="7"/>
        <v>0.93417353605356579</v>
      </c>
    </row>
    <row r="16" spans="2:25" x14ac:dyDescent="0.25">
      <c r="B16" s="20">
        <f t="shared" si="4"/>
        <v>2005</v>
      </c>
      <c r="C16" s="23">
        <v>2886969</v>
      </c>
      <c r="D16" s="3">
        <v>76153</v>
      </c>
      <c r="E16" s="2">
        <f t="shared" si="5"/>
        <v>2810816</v>
      </c>
      <c r="F16" s="6">
        <f t="shared" si="1"/>
        <v>-0.16288660110687334</v>
      </c>
      <c r="G16" t="str">
        <f t="shared" si="2"/>
        <v>Min</v>
      </c>
    </row>
    <row r="17" spans="2:7" x14ac:dyDescent="0.25">
      <c r="B17" s="20">
        <f t="shared" si="4"/>
        <v>2006</v>
      </c>
      <c r="C17" s="23">
        <v>4213641.0982999997</v>
      </c>
      <c r="D17" s="3">
        <v>121352</v>
      </c>
      <c r="E17" s="2">
        <f t="shared" si="5"/>
        <v>4092289.0982999997</v>
      </c>
      <c r="F17" s="6">
        <f t="shared" si="1"/>
        <v>0.21875997444557072</v>
      </c>
      <c r="G17" t="str">
        <f t="shared" si="2"/>
        <v>Max</v>
      </c>
    </row>
    <row r="18" spans="2:7" x14ac:dyDescent="0.25">
      <c r="B18" s="20">
        <f t="shared" si="4"/>
        <v>2007</v>
      </c>
      <c r="C18" s="23">
        <v>3447895.7841000003</v>
      </c>
      <c r="D18" s="3">
        <v>95294</v>
      </c>
      <c r="E18" s="2">
        <f t="shared" si="5"/>
        <v>3352601.7841000003</v>
      </c>
      <c r="F18" s="6">
        <f t="shared" si="1"/>
        <v>-1.5326956218010526E-3</v>
      </c>
      <c r="G18" t="str">
        <f t="shared" si="2"/>
        <v>Median</v>
      </c>
    </row>
    <row r="19" spans="2:7" x14ac:dyDescent="0.25">
      <c r="B19" s="20">
        <f t="shared" si="4"/>
        <v>2008</v>
      </c>
      <c r="C19" s="23">
        <v>3472957.8259999999</v>
      </c>
      <c r="D19" s="3">
        <v>92952.198999999993</v>
      </c>
      <c r="E19" s="2">
        <f t="shared" si="5"/>
        <v>3380005.6269999999</v>
      </c>
      <c r="F19" s="6">
        <f t="shared" si="1"/>
        <v>6.6286796061583468E-3</v>
      </c>
      <c r="G19" t="str">
        <f t="shared" si="2"/>
        <v>-</v>
      </c>
    </row>
    <row r="20" spans="2:7" x14ac:dyDescent="0.25">
      <c r="B20" s="20">
        <f t="shared" si="4"/>
        <v>2009</v>
      </c>
      <c r="C20" s="23">
        <v>3195324.3679999998</v>
      </c>
      <c r="D20" s="3">
        <v>90524</v>
      </c>
      <c r="E20" s="2">
        <f t="shared" si="5"/>
        <v>3104800.3679999998</v>
      </c>
      <c r="F20" s="6">
        <f t="shared" si="1"/>
        <v>-7.5332576397348569E-2</v>
      </c>
      <c r="G20" t="str">
        <f t="shared" si="2"/>
        <v>-</v>
      </c>
    </row>
    <row r="21" spans="2:7" x14ac:dyDescent="0.25">
      <c r="B21" s="20">
        <f t="shared" si="4"/>
        <v>2010</v>
      </c>
      <c r="C21" s="23">
        <v>3462801.5959999999</v>
      </c>
      <c r="D21" s="3">
        <v>99907</v>
      </c>
      <c r="E21" s="2">
        <f t="shared" si="5"/>
        <v>3362894.5959999999</v>
      </c>
      <c r="F21" s="6">
        <f t="shared" si="1"/>
        <v>1.5326956218009139E-3</v>
      </c>
      <c r="G21" t="str">
        <f t="shared" si="2"/>
        <v>Median</v>
      </c>
    </row>
    <row r="22" spans="2:7" x14ac:dyDescent="0.25">
      <c r="B22" s="20">
        <f t="shared" si="4"/>
        <v>2011</v>
      </c>
      <c r="C22" s="2">
        <v>4060597</v>
      </c>
      <c r="D22" s="2">
        <v>90244</v>
      </c>
      <c r="E22" s="2">
        <f t="shared" si="5"/>
        <v>3970353</v>
      </c>
      <c r="F22" s="6">
        <f t="shared" si="1"/>
        <v>0.18244513146201036</v>
      </c>
      <c r="G22" t="str">
        <f t="shared" si="2"/>
        <v>-</v>
      </c>
    </row>
    <row r="23" spans="2:7" x14ac:dyDescent="0.25">
      <c r="C23" s="2"/>
      <c r="D23" s="2"/>
      <c r="E23" s="2"/>
    </row>
    <row r="24" spans="2:7" x14ac:dyDescent="0.25">
      <c r="B24" s="17" t="s">
        <v>114</v>
      </c>
      <c r="C24" s="2">
        <f>[1]NPC!$E$582</f>
        <v>3672270.3546415661</v>
      </c>
      <c r="D24" s="2"/>
      <c r="E24" s="2">
        <f t="shared" si="5"/>
        <v>3672270.3546415661</v>
      </c>
      <c r="F24" s="6">
        <f>(E24-$E$26)/$E$26</f>
        <v>9.3670563362549877E-2</v>
      </c>
      <c r="G24" s="25" t="s">
        <v>112</v>
      </c>
    </row>
    <row r="25" spans="2:7" x14ac:dyDescent="0.25">
      <c r="B25" s="17" t="s">
        <v>113</v>
      </c>
      <c r="C25" s="2">
        <f>[2]NPC!$E$600</f>
        <v>3594351.6493036961</v>
      </c>
      <c r="D25" s="2"/>
      <c r="E25" s="2">
        <f t="shared" si="5"/>
        <v>3594351.6493036961</v>
      </c>
      <c r="F25" s="6">
        <f>(E25-$E$26)/$E$26</f>
        <v>7.0464920494878597E-2</v>
      </c>
      <c r="G25" s="25" t="s">
        <v>112</v>
      </c>
    </row>
    <row r="26" spans="2:7" x14ac:dyDescent="0.25">
      <c r="B26" s="17" t="s">
        <v>91</v>
      </c>
      <c r="C26" s="2">
        <f>MEDIAN(C13:C22)</f>
        <v>3455348.6900500003</v>
      </c>
      <c r="D26" s="2">
        <f>MEDIAN(D13:D22)</f>
        <v>97600.5</v>
      </c>
      <c r="E26" s="2">
        <f t="shared" si="5"/>
        <v>3357748.1900500003</v>
      </c>
    </row>
    <row r="27" spans="2:7" x14ac:dyDescent="0.25">
      <c r="D27" t="s">
        <v>111</v>
      </c>
    </row>
    <row r="28" spans="2:7" x14ac:dyDescent="0.25">
      <c r="D28" s="24" t="s">
        <v>110</v>
      </c>
    </row>
    <row r="29" spans="2:7" x14ac:dyDescent="0.25">
      <c r="D29" s="24" t="s">
        <v>109</v>
      </c>
    </row>
    <row r="30" spans="2:7" x14ac:dyDescent="0.25">
      <c r="D30" s="24" t="s">
        <v>108</v>
      </c>
    </row>
    <row r="31" spans="2:7" x14ac:dyDescent="0.25">
      <c r="D31" s="24" t="s">
        <v>107</v>
      </c>
    </row>
    <row r="32" spans="2:7" x14ac:dyDescent="0.25">
      <c r="D32" s="24" t="s">
        <v>106</v>
      </c>
    </row>
    <row r="33" spans="4:4" x14ac:dyDescent="0.25">
      <c r="D33" s="24" t="s">
        <v>105</v>
      </c>
    </row>
    <row r="34" spans="4:4" x14ac:dyDescent="0.25">
      <c r="D34" s="24" t="s">
        <v>104</v>
      </c>
    </row>
    <row r="35" spans="4:4" x14ac:dyDescent="0.25">
      <c r="D35" s="22" t="s">
        <v>103</v>
      </c>
    </row>
    <row r="36" spans="4:4" x14ac:dyDescent="0.25">
      <c r="D36" s="22" t="s">
        <v>102</v>
      </c>
    </row>
  </sheetData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76616498D7811449987485091DF42B7" ma:contentTypeVersion="135" ma:contentTypeDescription="" ma:contentTypeScope="" ma:versionID="ea582effef2760cff9dab7cbb939c49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Appealed</CaseStatus>
    <OpenedDate xmlns="dc463f71-b30c-4ab2-9473-d307f9d35888">2013-01-11T08:00:00+00:00</OpenedDate>
    <Date1 xmlns="dc463f71-b30c-4ab2-9473-d307f9d35888">2013-07-30T07:00:00+00:00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130043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A1228FE6-1F86-4732-A4FA-634F490200B5}"/>
</file>

<file path=customXml/itemProps2.xml><?xml version="1.0" encoding="utf-8"?>
<ds:datastoreItem xmlns:ds="http://schemas.openxmlformats.org/officeDocument/2006/customXml" ds:itemID="{2B03EEA7-FAFE-4B8B-B2A1-2A9FDC62B783}"/>
</file>

<file path=customXml/itemProps3.xml><?xml version="1.0" encoding="utf-8"?>
<ds:datastoreItem xmlns:ds="http://schemas.openxmlformats.org/officeDocument/2006/customXml" ds:itemID="{0AB382F9-FDB8-4C86-9D92-99BF42F54616}"/>
</file>

<file path=customXml/itemProps4.xml><?xml version="1.0" encoding="utf-8"?>
<ds:datastoreItem xmlns:ds="http://schemas.openxmlformats.org/officeDocument/2006/customXml" ds:itemID="{1B4454B6-5D70-4BB1-A74C-A2D8913E58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Testimony</vt:lpstr>
      <vt:lpstr>10 yr Hydro</vt:lpstr>
    </vt:vector>
  </TitlesOfParts>
  <Company>PacifiCorp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p22455</dc:creator>
  <cp:lastModifiedBy>p22455</cp:lastModifiedBy>
  <cp:lastPrinted>2012-12-24T20:49:16Z</cp:lastPrinted>
  <dcterms:created xsi:type="dcterms:W3CDTF">2012-12-19T17:06:36Z</dcterms:created>
  <dcterms:modified xsi:type="dcterms:W3CDTF">2013-01-09T17:42:26Z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0x0101006E56B4D1795A2E4DB2F0B01679ED314A00A76616498D7811449987485091DF42B7</vt:lpwstr>
  </property>
  <property fmtid="{D5CDD505-2E9C-101B-9397-08002B2CF9AE}" pid="3" name="_docset_NoMedatataSyncRequired">
    <vt:lpwstr>False</vt:lpwstr>
  </property>
</Properties>
</file>