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1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5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mr\Desktop\PSE 2022 GRC (7771-0247)\C or R Versions\Wetherbee\"/>
    </mc:Choice>
  </mc:AlternateContent>
  <xr:revisionPtr revIDLastSave="0" documentId="13_ncr:1_{D54875EC-D7F1-43B8-927A-69284AF2819F}" xr6:coauthVersionLast="46" xr6:coauthVersionMax="46" xr10:uidLastSave="{00000000-0000-0000-0000-000000000000}"/>
  <bookViews>
    <workbookView xWindow="-120" yWindow="-120" windowWidth="24240" windowHeight="13140" firstSheet="13" activeTab="16" xr2:uid="{00000000-000D-0000-FFFF-FFFF00000000}"/>
  </bookViews>
  <sheets>
    <sheet name="Redacted" sheetId="38" r:id="rId1"/>
    <sheet name="4C Power Cost summary (R)" sheetId="1" r:id="rId2"/>
    <sheet name="8C summary by Resource(R)" sheetId="6" r:id="rId3"/>
    <sheet name="9C Aurora total (R(" sheetId="5" r:id="rId4"/>
    <sheet name="10C Not in Aurora (R)" sheetId="10" r:id="rId5"/>
    <sheet name="14 EIM GHG" sheetId="47" r:id="rId6"/>
    <sheet name="16C Gas MTM (R)" sheetId="41" r:id="rId7"/>
    <sheet name="17C Index-price power (R)" sheetId="48" r:id="rId8"/>
    <sheet name="18C Energy prices (R)" sheetId="12" r:id="rId9"/>
    <sheet name="19C Fixed Gas Transport (R)" sheetId="45" r:id="rId10"/>
    <sheet name="22C Day-ahead wind int. (R)" sheetId="34" r:id="rId11"/>
    <sheet name="23C Transmission (R)" sheetId="44" r:id="rId12"/>
    <sheet name="24C Mid C summary (R)" sheetId="29" r:id="rId13"/>
    <sheet name="25C Distillate fuel (R)" sheetId="13" r:id="rId14"/>
    <sheet name="26C Non-fuel start costs (R)" sheetId="24" r:id="rId15"/>
    <sheet name="27C Colstrip fixed fuel (R)" sheetId="11" r:id="rId16"/>
    <sheet name="28 FERC 557 Costs" sheetId="46" r:id="rId17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 localSheetId="8">{"'Sheet1'!$A$1:$J$121"}</definedName>
    <definedName name="HTML_Control" localSheetId="1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8">MATCH(0.01,End_Bal,-1)+1</definedName>
    <definedName name="Number_of_Payments" localSheetId="12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4">'10C Not in Aurora (R)'!$A$1:$Q$41</definedName>
    <definedName name="_xlnm.Print_Area" localSheetId="5">'14 EIM GHG'!$A$1:$G$15</definedName>
    <definedName name="_xlnm.Print_Area" localSheetId="6">'16C Gas MTM (R)'!$A$1:$Q$105</definedName>
    <definedName name="_xlnm.Print_Area" localSheetId="7">'17C Index-price power (R)'!$A$1:$P$21</definedName>
    <definedName name="_xlnm.Print_Area" localSheetId="8">'18C Energy prices (R)'!$A$1:$O$47</definedName>
    <definedName name="_xlnm.Print_Area" localSheetId="9">'19C Fixed Gas Transport (R)'!$A$1:$Y$77</definedName>
    <definedName name="_xlnm.Print_Area" localSheetId="10">'22C Day-ahead wind int. (R)'!$A$1:$Q$49</definedName>
    <definedName name="_xlnm.Print_Area" localSheetId="11">'23C Transmission (R)'!$A$1:$Q$269</definedName>
    <definedName name="_xlnm.Print_Area" localSheetId="12">'24C Mid C summary (R)'!$A$1:$P$40</definedName>
    <definedName name="_xlnm.Print_Area" localSheetId="13">'25C Distillate fuel (R)'!$A$1:$P$68</definedName>
    <definedName name="_xlnm.Print_Area" localSheetId="14">'26C Non-fuel start costs (R)'!$A$1:$P$16</definedName>
    <definedName name="_xlnm.Print_Area" localSheetId="15">'27C Colstrip fixed fuel (R)'!$A$1:$E$23</definedName>
    <definedName name="_xlnm.Print_Area" localSheetId="16">'28 FERC 557 Costs'!$A$1:$D$31</definedName>
    <definedName name="_xlnm.Print_Area" localSheetId="1">'4C Power Cost summary (R)'!$A$1:$Q$22</definedName>
    <definedName name="_xlnm.Print_Area" localSheetId="2">'8C summary by Resource(R)'!$A$1:$Q$90</definedName>
    <definedName name="_xlnm.Print_Area" localSheetId="3">'9C Aurora total (R('!$A$1:$AF$118</definedName>
    <definedName name="Print_Area_Reset">OFFSET(Full_Print,0,0,Last_Row)</definedName>
    <definedName name="_xlnm.Print_Titles" localSheetId="6">'16C Gas MTM (R)'!$4:$6</definedName>
    <definedName name="_xlnm.Print_Titles" localSheetId="8">'18C Energy prices (R)'!$A:$A</definedName>
    <definedName name="_xlnm.Print_Titles" localSheetId="9">'19C Fixed Gas Transport (R)'!$A:$B,'19C Fixed Gas Transport (R)'!$1:$8</definedName>
    <definedName name="_xlnm.Print_Titles" localSheetId="11">'23C Transmission (R)'!$4:$5</definedName>
    <definedName name="_xlnm.Print_Titles" localSheetId="13">'25C Distillate fuel (R)'!$1:$3</definedName>
    <definedName name="_xlnm.Print_Titles" localSheetId="16">'28 FERC 557 Costs'!$4:$5</definedName>
    <definedName name="_xlnm.Print_Titles" localSheetId="2">'8C summary by Resource(R)'!$1:$8</definedName>
    <definedName name="_xlnm.Print_Titles" localSheetId="3">'9C Aurora total (R('!$A:$C,'9C Aurora total (R('!$1:$5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8">IF(Loan_Amount*Interest_Rate*Loan_Years*Loan_Start&gt;0,1,0)</definedName>
    <definedName name="Values_Entered" localSheetId="12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7" l="1"/>
  <c r="D11" i="47"/>
  <c r="C11" i="47"/>
  <c r="B11" i="47"/>
  <c r="F11" i="47" s="1"/>
  <c r="F13" i="47" s="1"/>
  <c r="F10" i="47"/>
  <c r="F9" i="47"/>
  <c r="C23" i="46" l="1"/>
  <c r="P55" i="45" l="1"/>
  <c r="D116" i="44" l="1"/>
  <c r="D117" i="44" s="1"/>
  <c r="E116" i="44"/>
  <c r="E117" i="44" s="1"/>
  <c r="F116" i="44"/>
  <c r="F118" i="44" s="1"/>
  <c r="G116" i="44"/>
  <c r="G117" i="44" s="1"/>
  <c r="H116" i="44"/>
  <c r="H118" i="44" s="1"/>
  <c r="I116" i="44"/>
  <c r="I117" i="44" s="1"/>
  <c r="J116" i="44"/>
  <c r="J117" i="44" s="1"/>
  <c r="K116" i="44"/>
  <c r="K117" i="44" s="1"/>
  <c r="L116" i="44"/>
  <c r="M116" i="44"/>
  <c r="M117" i="44" s="1"/>
  <c r="N116" i="44"/>
  <c r="N118" i="44" s="1"/>
  <c r="F117" i="44"/>
  <c r="L117" i="44"/>
  <c r="N117" i="44"/>
  <c r="L118" i="44"/>
  <c r="C116" i="44"/>
  <c r="C118" i="44" s="1"/>
  <c r="P119" i="44"/>
  <c r="P48" i="44"/>
  <c r="O30" i="44"/>
  <c r="Q30" i="44" s="1"/>
  <c r="O31" i="44"/>
  <c r="Q31" i="44" s="1"/>
  <c r="D48" i="44"/>
  <c r="E48" i="44"/>
  <c r="F48" i="44"/>
  <c r="G48" i="44"/>
  <c r="H48" i="44"/>
  <c r="I48" i="44"/>
  <c r="J48" i="44"/>
  <c r="K48" i="44"/>
  <c r="L48" i="44"/>
  <c r="M48" i="44"/>
  <c r="N48" i="44"/>
  <c r="C48" i="44"/>
  <c r="D10" i="46"/>
  <c r="D22" i="46"/>
  <c r="D20" i="46"/>
  <c r="D16" i="46"/>
  <c r="D15" i="46"/>
  <c r="D14" i="46"/>
  <c r="D13" i="46"/>
  <c r="D12" i="46"/>
  <c r="D11" i="46"/>
  <c r="D9" i="46"/>
  <c r="D8" i="46"/>
  <c r="D7" i="46"/>
  <c r="D6" i="46"/>
  <c r="D21" i="46"/>
  <c r="D19" i="46"/>
  <c r="D18" i="46"/>
  <c r="D17" i="46"/>
  <c r="E118" i="44" l="1"/>
  <c r="E119" i="44" s="1"/>
  <c r="D118" i="44"/>
  <c r="N119" i="44"/>
  <c r="F119" i="44"/>
  <c r="G118" i="44"/>
  <c r="I118" i="44"/>
  <c r="I119" i="44" s="1"/>
  <c r="C117" i="44"/>
  <c r="C119" i="44" s="1"/>
  <c r="G119" i="44"/>
  <c r="H117" i="44"/>
  <c r="H119" i="44" s="1"/>
  <c r="L119" i="44"/>
  <c r="D119" i="44"/>
  <c r="M118" i="44"/>
  <c r="K118" i="44"/>
  <c r="K119" i="44" s="1"/>
  <c r="J118" i="44"/>
  <c r="J119" i="44" s="1"/>
  <c r="O116" i="44"/>
  <c r="Q116" i="44" s="1"/>
  <c r="O118" i="44" l="1"/>
  <c r="Q118" i="44" s="1"/>
  <c r="M119" i="44"/>
  <c r="O117" i="44"/>
  <c r="Q117" i="44" l="1"/>
  <c r="O119" i="44"/>
  <c r="Q119" i="44" s="1"/>
  <c r="B26" i="46" l="1"/>
  <c r="B25" i="46"/>
  <c r="B27" i="46" l="1"/>
  <c r="Q246" i="44" l="1"/>
  <c r="Q244" i="44"/>
  <c r="Q242" i="44"/>
  <c r="Q218" i="44"/>
  <c r="Q57" i="44"/>
  <c r="Q56" i="44"/>
  <c r="O264" i="44"/>
  <c r="Q264" i="44" s="1"/>
  <c r="O263" i="44"/>
  <c r="Q263" i="44" s="1"/>
  <c r="O188" i="44"/>
  <c r="Q188" i="44" s="1"/>
  <c r="O169" i="44"/>
  <c r="Q169" i="44" s="1"/>
  <c r="O62" i="44"/>
  <c r="Q62" i="44" s="1"/>
  <c r="O61" i="44"/>
  <c r="Q61" i="44" s="1"/>
  <c r="O60" i="44"/>
  <c r="Q60" i="44" s="1"/>
  <c r="O59" i="44"/>
  <c r="Q59" i="44" s="1"/>
  <c r="O58" i="44"/>
  <c r="Q58" i="44" s="1"/>
  <c r="O55" i="44"/>
  <c r="Q55" i="44" s="1"/>
  <c r="O54" i="44"/>
  <c r="Q54" i="44" s="1"/>
  <c r="O53" i="44"/>
  <c r="Q53" i="44" s="1"/>
  <c r="O52" i="44"/>
  <c r="Q52" i="44" s="1"/>
  <c r="O51" i="44"/>
  <c r="Q51" i="44" s="1"/>
  <c r="O47" i="44"/>
  <c r="Q47" i="44" s="1"/>
  <c r="O46" i="44"/>
  <c r="Q46" i="44" s="1"/>
  <c r="O45" i="44"/>
  <c r="Q45" i="44" s="1"/>
  <c r="O44" i="44"/>
  <c r="Q44" i="44" s="1"/>
  <c r="O43" i="44"/>
  <c r="Q43" i="44" s="1"/>
  <c r="O42" i="44"/>
  <c r="Q42" i="44" s="1"/>
  <c r="O41" i="44"/>
  <c r="Q41" i="44" s="1"/>
  <c r="O40" i="44"/>
  <c r="Q40" i="44" s="1"/>
  <c r="O39" i="44"/>
  <c r="Q39" i="44" s="1"/>
  <c r="O38" i="44"/>
  <c r="Q38" i="44" s="1"/>
  <c r="O37" i="44"/>
  <c r="Q37" i="44" s="1"/>
  <c r="O36" i="44"/>
  <c r="Q36" i="44" s="1"/>
  <c r="O35" i="44"/>
  <c r="Q35" i="44" s="1"/>
  <c r="O34" i="44"/>
  <c r="Q34" i="44" s="1"/>
  <c r="O33" i="44"/>
  <c r="Q33" i="44" s="1"/>
  <c r="O32" i="44"/>
  <c r="Q32" i="44" s="1"/>
  <c r="O29" i="44"/>
  <c r="Q29" i="44" s="1"/>
  <c r="O28" i="44"/>
  <c r="Q28" i="44" s="1"/>
  <c r="O27" i="44"/>
  <c r="Q27" i="44" s="1"/>
  <c r="O26" i="44"/>
  <c r="Q26" i="44" s="1"/>
  <c r="O25" i="44"/>
  <c r="Q25" i="44" s="1"/>
  <c r="O24" i="44"/>
  <c r="Q24" i="44" s="1"/>
  <c r="O23" i="44"/>
  <c r="Q23" i="44" s="1"/>
  <c r="O22" i="44"/>
  <c r="Q22" i="44" s="1"/>
  <c r="O21" i="44"/>
  <c r="Q21" i="44" s="1"/>
  <c r="O20" i="44"/>
  <c r="Q20" i="44" s="1"/>
  <c r="O19" i="44"/>
  <c r="Q19" i="44" s="1"/>
  <c r="O18" i="44"/>
  <c r="Q18" i="44" s="1"/>
  <c r="O17" i="44"/>
  <c r="Q17" i="44" s="1"/>
  <c r="O16" i="44"/>
  <c r="Q16" i="44" s="1"/>
  <c r="O15" i="44"/>
  <c r="Q15" i="44" s="1"/>
  <c r="O14" i="44"/>
  <c r="Q14" i="44" s="1"/>
  <c r="O13" i="44"/>
  <c r="Q13" i="44" s="1"/>
  <c r="O12" i="44"/>
  <c r="Q12" i="44" s="1"/>
  <c r="O11" i="44"/>
  <c r="Q11" i="44" s="1"/>
  <c r="O10" i="44"/>
  <c r="Q10" i="44" s="1"/>
  <c r="O9" i="44"/>
  <c r="P255" i="44"/>
  <c r="O247" i="44"/>
  <c r="Q247" i="44" s="1"/>
  <c r="O243" i="44"/>
  <c r="Q243" i="44" s="1"/>
  <c r="O241" i="44"/>
  <c r="Q241" i="44" s="1"/>
  <c r="O235" i="44"/>
  <c r="Q235" i="44" s="1"/>
  <c r="O234" i="44"/>
  <c r="Q234" i="44" s="1"/>
  <c r="O233" i="44"/>
  <c r="Q233" i="44" s="1"/>
  <c r="O232" i="44"/>
  <c r="Q232" i="44" s="1"/>
  <c r="O231" i="44"/>
  <c r="Q231" i="44" s="1"/>
  <c r="O230" i="44"/>
  <c r="Q230" i="44" s="1"/>
  <c r="O229" i="44"/>
  <c r="Q229" i="44" s="1"/>
  <c r="O228" i="44"/>
  <c r="Q228" i="44" s="1"/>
  <c r="O227" i="44"/>
  <c r="Q227" i="44" s="1"/>
  <c r="O226" i="44"/>
  <c r="Q226" i="44" s="1"/>
  <c r="O225" i="44"/>
  <c r="Q225" i="44" s="1"/>
  <c r="O224" i="44"/>
  <c r="Q224" i="44" s="1"/>
  <c r="O223" i="44"/>
  <c r="Q223" i="44" s="1"/>
  <c r="O210" i="44"/>
  <c r="Q210" i="44" s="1"/>
  <c r="O194" i="44"/>
  <c r="Q194" i="44" s="1"/>
  <c r="O153" i="44"/>
  <c r="Q153" i="44" s="1"/>
  <c r="O152" i="44"/>
  <c r="Q152" i="44" s="1"/>
  <c r="O151" i="44"/>
  <c r="Q151" i="44" s="1"/>
  <c r="O132" i="44"/>
  <c r="Q132" i="44" s="1"/>
  <c r="O124" i="44"/>
  <c r="Q124" i="44" s="1"/>
  <c r="O8" i="44"/>
  <c r="Q8" i="44" s="1"/>
  <c r="P201" i="44"/>
  <c r="P180" i="44"/>
  <c r="P185" i="44"/>
  <c r="P161" i="44"/>
  <c r="P166" i="44"/>
  <c r="P146" i="44"/>
  <c r="P154" i="44"/>
  <c r="P133" i="44"/>
  <c r="P127" i="44"/>
  <c r="P138" i="44"/>
  <c r="P69" i="44"/>
  <c r="P74" i="44"/>
  <c r="P79" i="44"/>
  <c r="P84" i="44"/>
  <c r="P89" i="44"/>
  <c r="P94" i="44"/>
  <c r="P99" i="44"/>
  <c r="P104" i="44"/>
  <c r="P109" i="44"/>
  <c r="P114" i="44"/>
  <c r="P121" i="44" l="1"/>
  <c r="Q9" i="44"/>
  <c r="O48" i="44"/>
  <c r="P72" i="45" l="1"/>
  <c r="P68" i="45"/>
  <c r="P64" i="45"/>
  <c r="P61" i="45"/>
  <c r="P50" i="45"/>
  <c r="P44" i="45"/>
  <c r="P38" i="45"/>
  <c r="P33" i="45"/>
  <c r="P27" i="45"/>
  <c r="P57" i="45" l="1"/>
  <c r="D236" i="44" l="1"/>
  <c r="E236" i="44"/>
  <c r="F236" i="44"/>
  <c r="G236" i="44"/>
  <c r="H236" i="44"/>
  <c r="I236" i="44"/>
  <c r="J236" i="44"/>
  <c r="K236" i="44"/>
  <c r="L236" i="44"/>
  <c r="M236" i="44"/>
  <c r="N236" i="44"/>
  <c r="C236" i="44"/>
  <c r="D255" i="44"/>
  <c r="E255" i="44"/>
  <c r="F255" i="44"/>
  <c r="G255" i="44"/>
  <c r="H255" i="44"/>
  <c r="I255" i="44"/>
  <c r="J255" i="44"/>
  <c r="K255" i="44"/>
  <c r="L255" i="44"/>
  <c r="M255" i="44"/>
  <c r="N255" i="44"/>
  <c r="D214" i="44"/>
  <c r="E214" i="44"/>
  <c r="F214" i="44"/>
  <c r="G214" i="44"/>
  <c r="H214" i="44"/>
  <c r="I214" i="44"/>
  <c r="J214" i="44"/>
  <c r="K214" i="44"/>
  <c r="L214" i="44"/>
  <c r="M214" i="44"/>
  <c r="C214" i="44"/>
  <c r="C255" i="44" l="1"/>
  <c r="O214" i="44"/>
  <c r="Q214" i="44" s="1"/>
  <c r="O236" i="44"/>
  <c r="Q236" i="44" s="1"/>
  <c r="D26" i="46"/>
  <c r="C25" i="46"/>
  <c r="C27" i="46" l="1"/>
  <c r="D27" i="46" s="1"/>
  <c r="D25" i="46"/>
  <c r="Q219" i="44"/>
  <c r="O255" i="44"/>
  <c r="Q255" i="44" s="1"/>
  <c r="N23" i="45"/>
  <c r="N21" i="45"/>
  <c r="Q215" i="44" l="1"/>
  <c r="C164" i="44"/>
  <c r="D164" i="44"/>
  <c r="E164" i="44"/>
  <c r="F164" i="44"/>
  <c r="C165" i="44"/>
  <c r="D165" i="44"/>
  <c r="E165" i="44"/>
  <c r="F165" i="44"/>
  <c r="G164" i="44"/>
  <c r="H164" i="44"/>
  <c r="I164" i="44"/>
  <c r="J164" i="44"/>
  <c r="K164" i="44"/>
  <c r="L164" i="44"/>
  <c r="M164" i="44"/>
  <c r="N164" i="44"/>
  <c r="G165" i="44"/>
  <c r="H165" i="44"/>
  <c r="I165" i="44"/>
  <c r="J165" i="44"/>
  <c r="K165" i="44"/>
  <c r="L165" i="44"/>
  <c r="M165" i="44"/>
  <c r="N165" i="44"/>
  <c r="C183" i="44"/>
  <c r="D183" i="44"/>
  <c r="E183" i="44"/>
  <c r="F183" i="44"/>
  <c r="G183" i="44"/>
  <c r="H183" i="44"/>
  <c r="I183" i="44"/>
  <c r="J183" i="44"/>
  <c r="K183" i="44"/>
  <c r="L183" i="44"/>
  <c r="M183" i="44"/>
  <c r="N183" i="44"/>
  <c r="C184" i="44"/>
  <c r="D184" i="44"/>
  <c r="E184" i="44"/>
  <c r="F184" i="44"/>
  <c r="G184" i="44"/>
  <c r="H184" i="44"/>
  <c r="I184" i="44"/>
  <c r="J184" i="44"/>
  <c r="K184" i="44"/>
  <c r="L184" i="44"/>
  <c r="M184" i="44"/>
  <c r="N184" i="44"/>
  <c r="O165" i="44" l="1"/>
  <c r="O184" i="44"/>
  <c r="Q184" i="44" s="1"/>
  <c r="O183" i="44"/>
  <c r="Q183" i="44" s="1"/>
  <c r="O164" i="44"/>
  <c r="Q164" i="44" s="1"/>
  <c r="Q165" i="44" l="1"/>
  <c r="P261" i="44" l="1"/>
  <c r="P260" i="44"/>
  <c r="P259" i="44"/>
  <c r="P258" i="44"/>
  <c r="P257" i="44"/>
  <c r="O260" i="44"/>
  <c r="Q260" i="44" s="1"/>
  <c r="O258" i="44"/>
  <c r="P237" i="44"/>
  <c r="P256" i="44" s="1"/>
  <c r="P156" i="44"/>
  <c r="P252" i="44" s="1"/>
  <c r="P140" i="44"/>
  <c r="P251" i="44" s="1"/>
  <c r="P250" i="44"/>
  <c r="Q258" i="44" l="1"/>
  <c r="P254" i="44"/>
  <c r="P212" i="44"/>
  <c r="P253" i="44" s="1"/>
  <c r="P262" i="44" s="1"/>
  <c r="Q48" i="44"/>
  <c r="P265" i="44" l="1"/>
  <c r="P266" i="44" s="1"/>
  <c r="C59" i="45" l="1"/>
  <c r="N71" i="45" l="1"/>
  <c r="M71" i="45"/>
  <c r="L71" i="45"/>
  <c r="K71" i="45"/>
  <c r="J71" i="45"/>
  <c r="I71" i="45"/>
  <c r="H71" i="45"/>
  <c r="G71" i="45"/>
  <c r="F71" i="45"/>
  <c r="E71" i="45"/>
  <c r="D71" i="45"/>
  <c r="C71" i="45"/>
  <c r="N70" i="45"/>
  <c r="M70" i="45"/>
  <c r="L70" i="45"/>
  <c r="L72" i="45" s="1"/>
  <c r="K70" i="45"/>
  <c r="J70" i="45"/>
  <c r="I70" i="45"/>
  <c r="H70" i="45"/>
  <c r="G70" i="45"/>
  <c r="F70" i="45"/>
  <c r="E70" i="45"/>
  <c r="D70" i="45"/>
  <c r="D72" i="45" s="1"/>
  <c r="C70" i="45"/>
  <c r="S70" i="45"/>
  <c r="N67" i="45"/>
  <c r="M67" i="45"/>
  <c r="L67" i="45"/>
  <c r="K67" i="45"/>
  <c r="J67" i="45"/>
  <c r="I67" i="45"/>
  <c r="H67" i="45"/>
  <c r="G67" i="45"/>
  <c r="F67" i="45"/>
  <c r="E67" i="45"/>
  <c r="D67" i="45"/>
  <c r="C67" i="45"/>
  <c r="N66" i="45"/>
  <c r="M66" i="45"/>
  <c r="L66" i="45"/>
  <c r="K66" i="45"/>
  <c r="J66" i="45"/>
  <c r="I66" i="45"/>
  <c r="H66" i="45"/>
  <c r="G66" i="45"/>
  <c r="F66" i="45"/>
  <c r="E66" i="45"/>
  <c r="D66" i="45"/>
  <c r="C66" i="45"/>
  <c r="S66" i="45"/>
  <c r="N63" i="45"/>
  <c r="N64" i="45" s="1"/>
  <c r="M63" i="45"/>
  <c r="M64" i="45" s="1"/>
  <c r="L63" i="45"/>
  <c r="L64" i="45" s="1"/>
  <c r="K63" i="45"/>
  <c r="K64" i="45" s="1"/>
  <c r="J63" i="45"/>
  <c r="J64" i="45" s="1"/>
  <c r="I63" i="45"/>
  <c r="I64" i="45" s="1"/>
  <c r="H63" i="45"/>
  <c r="H64" i="45" s="1"/>
  <c r="G63" i="45"/>
  <c r="G64" i="45" s="1"/>
  <c r="F63" i="45"/>
  <c r="F64" i="45" s="1"/>
  <c r="E63" i="45"/>
  <c r="E64" i="45" s="1"/>
  <c r="D63" i="45"/>
  <c r="D64" i="45" s="1"/>
  <c r="C63" i="45"/>
  <c r="N59" i="45"/>
  <c r="M59" i="45"/>
  <c r="L59" i="45"/>
  <c r="K59" i="45"/>
  <c r="J59" i="45"/>
  <c r="I59" i="45"/>
  <c r="H59" i="45"/>
  <c r="G59" i="45"/>
  <c r="F59" i="45"/>
  <c r="E59" i="45"/>
  <c r="D59" i="45"/>
  <c r="N53" i="45"/>
  <c r="M53" i="45"/>
  <c r="L53" i="45"/>
  <c r="K53" i="45"/>
  <c r="J53" i="45"/>
  <c r="I53" i="45"/>
  <c r="H53" i="45"/>
  <c r="G53" i="45"/>
  <c r="F53" i="45"/>
  <c r="E53" i="45"/>
  <c r="D53" i="45"/>
  <c r="C53" i="45"/>
  <c r="N52" i="45"/>
  <c r="M52" i="45"/>
  <c r="L52" i="45"/>
  <c r="K52" i="45"/>
  <c r="J52" i="45"/>
  <c r="I52" i="45"/>
  <c r="H52" i="45"/>
  <c r="G52" i="45"/>
  <c r="F52" i="45"/>
  <c r="E52" i="45"/>
  <c r="D52" i="45"/>
  <c r="C52" i="45"/>
  <c r="N49" i="45"/>
  <c r="M49" i="45"/>
  <c r="L49" i="45"/>
  <c r="K49" i="45"/>
  <c r="J49" i="45"/>
  <c r="I49" i="45"/>
  <c r="H49" i="45"/>
  <c r="G49" i="45"/>
  <c r="F49" i="45"/>
  <c r="E49" i="45"/>
  <c r="D49" i="45"/>
  <c r="C49" i="45"/>
  <c r="W48" i="45"/>
  <c r="N47" i="45"/>
  <c r="M47" i="45"/>
  <c r="L47" i="45"/>
  <c r="K47" i="45"/>
  <c r="J47" i="45"/>
  <c r="I47" i="45"/>
  <c r="H47" i="45"/>
  <c r="G47" i="45"/>
  <c r="F47" i="45"/>
  <c r="E47" i="45"/>
  <c r="D47" i="45"/>
  <c r="C47" i="45"/>
  <c r="N46" i="45"/>
  <c r="M46" i="45"/>
  <c r="L46" i="45"/>
  <c r="K46" i="45"/>
  <c r="J46" i="45"/>
  <c r="I46" i="45"/>
  <c r="H46" i="45"/>
  <c r="G46" i="45"/>
  <c r="F46" i="45"/>
  <c r="E46" i="45"/>
  <c r="D46" i="45"/>
  <c r="C46" i="45"/>
  <c r="W43" i="45"/>
  <c r="N42" i="45"/>
  <c r="M42" i="45"/>
  <c r="L42" i="45"/>
  <c r="K42" i="45"/>
  <c r="J42" i="45"/>
  <c r="I42" i="45"/>
  <c r="H42" i="45"/>
  <c r="G42" i="45"/>
  <c r="F42" i="45"/>
  <c r="E42" i="45"/>
  <c r="D42" i="45"/>
  <c r="C42" i="45"/>
  <c r="N41" i="45"/>
  <c r="M41" i="45"/>
  <c r="L41" i="45"/>
  <c r="K41" i="45"/>
  <c r="J41" i="45"/>
  <c r="I41" i="45"/>
  <c r="H41" i="45"/>
  <c r="G41" i="45"/>
  <c r="F41" i="45"/>
  <c r="E41" i="45"/>
  <c r="D41" i="45"/>
  <c r="C41" i="45"/>
  <c r="N40" i="45"/>
  <c r="M40" i="45"/>
  <c r="L40" i="45"/>
  <c r="K40" i="45"/>
  <c r="J40" i="45"/>
  <c r="I40" i="45"/>
  <c r="H40" i="45"/>
  <c r="G40" i="45"/>
  <c r="F40" i="45"/>
  <c r="E40" i="45"/>
  <c r="D40" i="45"/>
  <c r="C40" i="45"/>
  <c r="N36" i="45"/>
  <c r="M36" i="45"/>
  <c r="L36" i="45"/>
  <c r="K36" i="45"/>
  <c r="J36" i="45"/>
  <c r="I36" i="45"/>
  <c r="H36" i="45"/>
  <c r="G36" i="45"/>
  <c r="F36" i="45"/>
  <c r="E36" i="45"/>
  <c r="D36" i="45"/>
  <c r="C36" i="45"/>
  <c r="W35" i="45"/>
  <c r="N30" i="45"/>
  <c r="M30" i="45"/>
  <c r="L30" i="45"/>
  <c r="K30" i="45"/>
  <c r="J30" i="45"/>
  <c r="I30" i="45"/>
  <c r="H30" i="45"/>
  <c r="G30" i="45"/>
  <c r="F30" i="45"/>
  <c r="E30" i="45"/>
  <c r="D30" i="45"/>
  <c r="C30" i="45"/>
  <c r="N29" i="45"/>
  <c r="M29" i="45"/>
  <c r="L29" i="45"/>
  <c r="K29" i="45"/>
  <c r="J29" i="45"/>
  <c r="I29" i="45"/>
  <c r="H29" i="45"/>
  <c r="G29" i="45"/>
  <c r="F29" i="45"/>
  <c r="E29" i="45"/>
  <c r="D29" i="45"/>
  <c r="C29" i="45"/>
  <c r="W22" i="45"/>
  <c r="S20" i="45"/>
  <c r="S19" i="45"/>
  <c r="W18" i="45"/>
  <c r="W17" i="45"/>
  <c r="W16" i="45"/>
  <c r="W15" i="45"/>
  <c r="W14" i="45"/>
  <c r="W13" i="45"/>
  <c r="W12" i="45"/>
  <c r="W11" i="45"/>
  <c r="N9" i="45"/>
  <c r="M9" i="45"/>
  <c r="L9" i="45"/>
  <c r="K9" i="45"/>
  <c r="J9" i="45"/>
  <c r="I9" i="45"/>
  <c r="H9" i="45"/>
  <c r="G9" i="45"/>
  <c r="F9" i="45"/>
  <c r="E9" i="45"/>
  <c r="D9" i="45"/>
  <c r="C9" i="45"/>
  <c r="L7" i="45"/>
  <c r="K7" i="45"/>
  <c r="H7" i="45"/>
  <c r="H10" i="45" s="1"/>
  <c r="D7" i="45"/>
  <c r="C7" i="45"/>
  <c r="N24" i="45"/>
  <c r="J7" i="45"/>
  <c r="J16" i="45" s="1"/>
  <c r="I7" i="45"/>
  <c r="G7" i="45"/>
  <c r="F7" i="45"/>
  <c r="D68" i="45" l="1"/>
  <c r="L68" i="45"/>
  <c r="K72" i="45"/>
  <c r="O52" i="45"/>
  <c r="Q52" i="45" s="1"/>
  <c r="O59" i="45"/>
  <c r="Q59" i="45" s="1"/>
  <c r="K68" i="45"/>
  <c r="J72" i="45"/>
  <c r="O66" i="45"/>
  <c r="Q66" i="45" s="1"/>
  <c r="O47" i="45"/>
  <c r="Q47" i="45" s="1"/>
  <c r="O9" i="45"/>
  <c r="Q9" i="45" s="1"/>
  <c r="O36" i="45"/>
  <c r="Q36" i="45" s="1"/>
  <c r="O41" i="45"/>
  <c r="Q41" i="45" s="1"/>
  <c r="C35" i="45"/>
  <c r="O46" i="45"/>
  <c r="Q46" i="45" s="1"/>
  <c r="W54" i="45"/>
  <c r="J54" i="45" s="1"/>
  <c r="J55" i="45" s="1"/>
  <c r="O29" i="45"/>
  <c r="Q29" i="45" s="1"/>
  <c r="O49" i="45"/>
  <c r="Q49" i="45" s="1"/>
  <c r="O40" i="45"/>
  <c r="Q40" i="45" s="1"/>
  <c r="O42" i="45"/>
  <c r="Q42" i="45" s="1"/>
  <c r="O70" i="45"/>
  <c r="Q70" i="45" s="1"/>
  <c r="O71" i="45"/>
  <c r="Q71" i="45" s="1"/>
  <c r="O67" i="45"/>
  <c r="Q67" i="45" s="1"/>
  <c r="O63" i="45"/>
  <c r="O53" i="45"/>
  <c r="Q53" i="45" s="1"/>
  <c r="O30" i="45"/>
  <c r="Q30" i="45" s="1"/>
  <c r="C25" i="45"/>
  <c r="C23" i="45"/>
  <c r="C21" i="45"/>
  <c r="D24" i="45"/>
  <c r="D23" i="45"/>
  <c r="D21" i="45"/>
  <c r="G68" i="45"/>
  <c r="F72" i="45"/>
  <c r="N72" i="45"/>
  <c r="H68" i="45"/>
  <c r="G72" i="45"/>
  <c r="H72" i="45"/>
  <c r="C68" i="45"/>
  <c r="I20" i="45"/>
  <c r="C37" i="45"/>
  <c r="C72" i="45"/>
  <c r="C64" i="45"/>
  <c r="C22" i="45"/>
  <c r="K11" i="45"/>
  <c r="G19" i="45"/>
  <c r="G16" i="45"/>
  <c r="J20" i="45"/>
  <c r="F35" i="45"/>
  <c r="F37" i="45" s="1"/>
  <c r="F38" i="45" s="1"/>
  <c r="C48" i="45"/>
  <c r="C12" i="45"/>
  <c r="C15" i="45"/>
  <c r="K35" i="45"/>
  <c r="K37" i="45" s="1"/>
  <c r="K38" i="45" s="1"/>
  <c r="N35" i="45"/>
  <c r="G11" i="45"/>
  <c r="C11" i="45"/>
  <c r="I10" i="45"/>
  <c r="I22" i="45"/>
  <c r="M7" i="45"/>
  <c r="I17" i="45"/>
  <c r="G25" i="45"/>
  <c r="G15" i="45"/>
  <c r="K25" i="45"/>
  <c r="K16" i="45"/>
  <c r="K19" i="45"/>
  <c r="H11" i="45"/>
  <c r="G12" i="45"/>
  <c r="G26" i="45"/>
  <c r="K20" i="45"/>
  <c r="G48" i="45"/>
  <c r="G50" i="45" s="1"/>
  <c r="J12" i="45"/>
  <c r="H14" i="45"/>
  <c r="K15" i="45"/>
  <c r="N16" i="45"/>
  <c r="D18" i="45"/>
  <c r="C20" i="45"/>
  <c r="H48" i="45"/>
  <c r="H50" i="45" s="1"/>
  <c r="E68" i="45"/>
  <c r="I68" i="45"/>
  <c r="M68" i="45"/>
  <c r="K48" i="45"/>
  <c r="K50" i="45" s="1"/>
  <c r="K12" i="45"/>
  <c r="I14" i="45"/>
  <c r="C16" i="45"/>
  <c r="H18" i="45"/>
  <c r="C19" i="45"/>
  <c r="G20" i="45"/>
  <c r="G35" i="45"/>
  <c r="G37" i="45" s="1"/>
  <c r="D48" i="45"/>
  <c r="D50" i="45" s="1"/>
  <c r="L48" i="45"/>
  <c r="L50" i="45" s="1"/>
  <c r="F68" i="45"/>
  <c r="J68" i="45"/>
  <c r="N68" i="45"/>
  <c r="E72" i="45"/>
  <c r="I72" i="45"/>
  <c r="M72" i="45"/>
  <c r="J35" i="45"/>
  <c r="J37" i="45" s="1"/>
  <c r="F60" i="45"/>
  <c r="F61" i="45" s="1"/>
  <c r="F26" i="45"/>
  <c r="F25" i="45"/>
  <c r="F15" i="45"/>
  <c r="F11" i="45"/>
  <c r="F24" i="45"/>
  <c r="F22" i="45"/>
  <c r="F10" i="45"/>
  <c r="L13" i="45"/>
  <c r="H13" i="45"/>
  <c r="D13" i="45"/>
  <c r="K13" i="45"/>
  <c r="G13" i="45"/>
  <c r="C13" i="45"/>
  <c r="J43" i="45"/>
  <c r="J44" i="45" s="1"/>
  <c r="F13" i="45"/>
  <c r="I60" i="45"/>
  <c r="I61" i="45" s="1"/>
  <c r="I25" i="45"/>
  <c r="I26" i="45"/>
  <c r="N60" i="45"/>
  <c r="N61" i="45" s="1"/>
  <c r="N26" i="45"/>
  <c r="N25" i="45"/>
  <c r="N15" i="45"/>
  <c r="N10" i="45"/>
  <c r="H60" i="45"/>
  <c r="H61" i="45" s="1"/>
  <c r="H26" i="45"/>
  <c r="H25" i="45"/>
  <c r="H24" i="45"/>
  <c r="H19" i="45"/>
  <c r="H20" i="45"/>
  <c r="H16" i="45"/>
  <c r="H15" i="45"/>
  <c r="D10" i="45"/>
  <c r="L10" i="45"/>
  <c r="D11" i="45"/>
  <c r="L11" i="45"/>
  <c r="F12" i="45"/>
  <c r="N12" i="45"/>
  <c r="I13" i="45"/>
  <c r="D14" i="45"/>
  <c r="L14" i="45"/>
  <c r="L17" i="45"/>
  <c r="H17" i="45"/>
  <c r="D17" i="45"/>
  <c r="N17" i="45"/>
  <c r="F17" i="45"/>
  <c r="K17" i="45"/>
  <c r="G17" i="45"/>
  <c r="C17" i="45"/>
  <c r="J17" i="45"/>
  <c r="L18" i="45"/>
  <c r="N22" i="45"/>
  <c r="F16" i="45"/>
  <c r="F43" i="45"/>
  <c r="F44" i="45" s="1"/>
  <c r="N43" i="45"/>
  <c r="N44" i="45" s="1"/>
  <c r="L43" i="45"/>
  <c r="L44" i="45" s="1"/>
  <c r="I43" i="45"/>
  <c r="I44" i="45" s="1"/>
  <c r="D43" i="45"/>
  <c r="D44" i="45" s="1"/>
  <c r="M43" i="45"/>
  <c r="M44" i="45" s="1"/>
  <c r="H43" i="45"/>
  <c r="H44" i="45" s="1"/>
  <c r="N13" i="45"/>
  <c r="D60" i="45"/>
  <c r="D61" i="45" s="1"/>
  <c r="D26" i="45"/>
  <c r="D25" i="45"/>
  <c r="D20" i="45"/>
  <c r="D16" i="45"/>
  <c r="D19" i="45"/>
  <c r="D15" i="45"/>
  <c r="L60" i="45"/>
  <c r="L61" i="45" s="1"/>
  <c r="L26" i="45"/>
  <c r="L25" i="45"/>
  <c r="L15" i="45"/>
  <c r="L24" i="45"/>
  <c r="L20" i="45"/>
  <c r="L16" i="45"/>
  <c r="L19" i="45"/>
  <c r="E7" i="45"/>
  <c r="J60" i="45"/>
  <c r="J61" i="45" s="1"/>
  <c r="J26" i="45"/>
  <c r="J25" i="45"/>
  <c r="J15" i="45"/>
  <c r="J22" i="45"/>
  <c r="J10" i="45"/>
  <c r="J24" i="45"/>
  <c r="J13" i="45"/>
  <c r="K14" i="45"/>
  <c r="G14" i="45"/>
  <c r="C14" i="45"/>
  <c r="N14" i="45"/>
  <c r="J14" i="45"/>
  <c r="F14" i="45"/>
  <c r="F20" i="45"/>
  <c r="N20" i="45"/>
  <c r="I24" i="45"/>
  <c r="C60" i="45"/>
  <c r="C24" i="45"/>
  <c r="K60" i="45"/>
  <c r="K61" i="45" s="1"/>
  <c r="K24" i="45"/>
  <c r="I11" i="45"/>
  <c r="D12" i="45"/>
  <c r="H12" i="45"/>
  <c r="L12" i="45"/>
  <c r="I15" i="45"/>
  <c r="F18" i="45"/>
  <c r="J18" i="45"/>
  <c r="N18" i="45"/>
  <c r="I19" i="45"/>
  <c r="K22" i="45"/>
  <c r="C26" i="45"/>
  <c r="K26" i="45"/>
  <c r="G31" i="45"/>
  <c r="I18" i="45"/>
  <c r="C31" i="45"/>
  <c r="G60" i="45"/>
  <c r="G61" i="45" s="1"/>
  <c r="G24" i="45"/>
  <c r="C10" i="45"/>
  <c r="G10" i="45"/>
  <c r="K10" i="45"/>
  <c r="J11" i="45"/>
  <c r="N11" i="45"/>
  <c r="I12" i="45"/>
  <c r="I16" i="45"/>
  <c r="C18" i="45"/>
  <c r="G18" i="45"/>
  <c r="K18" i="45"/>
  <c r="F19" i="45"/>
  <c r="J19" i="45"/>
  <c r="N19" i="45"/>
  <c r="L22" i="45"/>
  <c r="H22" i="45"/>
  <c r="D22" i="45"/>
  <c r="G22" i="45"/>
  <c r="K31" i="45"/>
  <c r="K32" i="45" s="1"/>
  <c r="D31" i="45"/>
  <c r="D32" i="45" s="1"/>
  <c r="H31" i="45"/>
  <c r="H32" i="45" s="1"/>
  <c r="L31" i="45"/>
  <c r="L32" i="45" s="1"/>
  <c r="C43" i="45"/>
  <c r="G43" i="45"/>
  <c r="G44" i="45" s="1"/>
  <c r="K43" i="45"/>
  <c r="K44" i="45" s="1"/>
  <c r="E31" i="45"/>
  <c r="E32" i="45" s="1"/>
  <c r="I31" i="45"/>
  <c r="I32" i="45" s="1"/>
  <c r="M31" i="45"/>
  <c r="M32" i="45" s="1"/>
  <c r="F31" i="45"/>
  <c r="J31" i="45"/>
  <c r="J32" i="45" s="1"/>
  <c r="J33" i="45" s="1"/>
  <c r="N31" i="45"/>
  <c r="E48" i="45"/>
  <c r="E50" i="45" s="1"/>
  <c r="I48" i="45"/>
  <c r="I50" i="45" s="1"/>
  <c r="M48" i="45"/>
  <c r="M50" i="45" s="1"/>
  <c r="D35" i="45"/>
  <c r="H35" i="45"/>
  <c r="L35" i="45"/>
  <c r="E43" i="45"/>
  <c r="E44" i="45" s="1"/>
  <c r="E35" i="45"/>
  <c r="I35" i="45"/>
  <c r="M35" i="45"/>
  <c r="F48" i="45"/>
  <c r="F50" i="45" s="1"/>
  <c r="J48" i="45"/>
  <c r="J50" i="45" s="1"/>
  <c r="N48" i="45"/>
  <c r="N50" i="45" s="1"/>
  <c r="E54" i="45" l="1"/>
  <c r="E55" i="45" s="1"/>
  <c r="I54" i="45"/>
  <c r="I55" i="45" s="1"/>
  <c r="D54" i="45"/>
  <c r="D55" i="45" s="1"/>
  <c r="C54" i="45"/>
  <c r="G54" i="45"/>
  <c r="G55" i="45" s="1"/>
  <c r="K54" i="45"/>
  <c r="K55" i="45" s="1"/>
  <c r="E13" i="45"/>
  <c r="E21" i="45"/>
  <c r="E23" i="45"/>
  <c r="N54" i="45"/>
  <c r="N55" i="45" s="1"/>
  <c r="F54" i="45"/>
  <c r="F55" i="45" s="1"/>
  <c r="L54" i="45"/>
  <c r="L55" i="45" s="1"/>
  <c r="M54" i="45"/>
  <c r="M55" i="45" s="1"/>
  <c r="H54" i="45"/>
  <c r="H55" i="45" s="1"/>
  <c r="O64" i="45"/>
  <c r="Q64" i="45" s="1"/>
  <c r="Q63" i="45"/>
  <c r="C44" i="45"/>
  <c r="O43" i="45"/>
  <c r="Q43" i="45" s="1"/>
  <c r="O35" i="45"/>
  <c r="Q35" i="45" s="1"/>
  <c r="C61" i="45"/>
  <c r="O48" i="45"/>
  <c r="Q48" i="45" s="1"/>
  <c r="C38" i="45"/>
  <c r="O31" i="45"/>
  <c r="Q31" i="45" s="1"/>
  <c r="E11" i="45"/>
  <c r="M13" i="45"/>
  <c r="M21" i="45"/>
  <c r="M23" i="45"/>
  <c r="O23" i="45" s="1"/>
  <c r="Q23" i="45" s="1"/>
  <c r="E18" i="45"/>
  <c r="E12" i="45"/>
  <c r="I27" i="45"/>
  <c r="M18" i="45"/>
  <c r="J38" i="45"/>
  <c r="J57" i="45" s="1"/>
  <c r="M25" i="45"/>
  <c r="K27" i="45"/>
  <c r="L27" i="45"/>
  <c r="G27" i="45"/>
  <c r="J27" i="45"/>
  <c r="D27" i="45"/>
  <c r="F27" i="45"/>
  <c r="H27" i="45"/>
  <c r="N27" i="45"/>
  <c r="E19" i="45"/>
  <c r="N37" i="45"/>
  <c r="N38" i="45" s="1"/>
  <c r="O72" i="45"/>
  <c r="Q72" i="45" s="1"/>
  <c r="O68" i="45"/>
  <c r="Q68" i="45" s="1"/>
  <c r="C55" i="45"/>
  <c r="E20" i="45"/>
  <c r="E16" i="45"/>
  <c r="E15" i="45"/>
  <c r="C50" i="45"/>
  <c r="C27" i="45"/>
  <c r="E14" i="45"/>
  <c r="M22" i="45"/>
  <c r="M20" i="45"/>
  <c r="M24" i="45"/>
  <c r="M33" i="45"/>
  <c r="C32" i="45"/>
  <c r="L33" i="45"/>
  <c r="M15" i="45"/>
  <c r="M11" i="45"/>
  <c r="M26" i="45"/>
  <c r="M17" i="45"/>
  <c r="G38" i="45"/>
  <c r="I33" i="45"/>
  <c r="M16" i="45"/>
  <c r="M12" i="45"/>
  <c r="M19" i="45"/>
  <c r="M14" i="45"/>
  <c r="M10" i="45"/>
  <c r="M60" i="45"/>
  <c r="M61" i="45" s="1"/>
  <c r="I37" i="45"/>
  <c r="I38" i="45" s="1"/>
  <c r="N32" i="45"/>
  <c r="N33" i="45" s="1"/>
  <c r="F32" i="45"/>
  <c r="F33" i="45" s="1"/>
  <c r="F57" i="45" s="1"/>
  <c r="E33" i="45"/>
  <c r="K33" i="45"/>
  <c r="K57" i="45" s="1"/>
  <c r="L37" i="45"/>
  <c r="L38" i="45" s="1"/>
  <c r="H37" i="45"/>
  <c r="H38" i="45" s="1"/>
  <c r="D33" i="45"/>
  <c r="G32" i="45"/>
  <c r="G33" i="45" s="1"/>
  <c r="M37" i="45"/>
  <c r="M38" i="45" s="1"/>
  <c r="H33" i="45"/>
  <c r="E37" i="45"/>
  <c r="E38" i="45" s="1"/>
  <c r="D37" i="45"/>
  <c r="D38" i="45" s="1"/>
  <c r="E60" i="45"/>
  <c r="E61" i="45" s="1"/>
  <c r="E26" i="45"/>
  <c r="O26" i="45" s="1"/>
  <c r="Q26" i="45" s="1"/>
  <c r="E22" i="45"/>
  <c r="E25" i="45"/>
  <c r="O25" i="45" s="1"/>
  <c r="Q25" i="45" s="1"/>
  <c r="E24" i="45"/>
  <c r="E10" i="45"/>
  <c r="E17" i="45"/>
  <c r="O17" i="45" s="1"/>
  <c r="Q17" i="45" s="1"/>
  <c r="O21" i="45" l="1"/>
  <c r="Q21" i="45" s="1"/>
  <c r="O10" i="45"/>
  <c r="Q10" i="45" s="1"/>
  <c r="O13" i="45"/>
  <c r="Q13" i="45" s="1"/>
  <c r="O54" i="45"/>
  <c r="O55" i="45" s="1"/>
  <c r="Q55" i="45" s="1"/>
  <c r="O24" i="45"/>
  <c r="Q24" i="45" s="1"/>
  <c r="O19" i="45"/>
  <c r="Q19" i="45" s="1"/>
  <c r="O12" i="45"/>
  <c r="Q12" i="45" s="1"/>
  <c r="O14" i="45"/>
  <c r="Q14" i="45" s="1"/>
  <c r="O22" i="45"/>
  <c r="Q22" i="45" s="1"/>
  <c r="O20" i="45"/>
  <c r="Q20" i="45" s="1"/>
  <c r="O18" i="45"/>
  <c r="Q18" i="45" s="1"/>
  <c r="O32" i="45"/>
  <c r="Q32" i="45" s="1"/>
  <c r="O15" i="45"/>
  <c r="Q15" i="45" s="1"/>
  <c r="O37" i="45"/>
  <c r="Q37" i="45" s="1"/>
  <c r="O16" i="45"/>
  <c r="Q16" i="45" s="1"/>
  <c r="O11" i="45"/>
  <c r="Q11" i="45" s="1"/>
  <c r="O60" i="45"/>
  <c r="Q60" i="45" s="1"/>
  <c r="L57" i="45"/>
  <c r="O44" i="45"/>
  <c r="Q44" i="45" s="1"/>
  <c r="O50" i="45"/>
  <c r="Q50" i="45" s="1"/>
  <c r="E27" i="45"/>
  <c r="M57" i="45"/>
  <c r="N57" i="45"/>
  <c r="G57" i="45"/>
  <c r="M27" i="45"/>
  <c r="C33" i="45"/>
  <c r="C57" i="45" s="1"/>
  <c r="I57" i="45"/>
  <c r="E57" i="45"/>
  <c r="H57" i="45"/>
  <c r="D57" i="45"/>
  <c r="Q54" i="45" l="1"/>
  <c r="O57" i="45"/>
  <c r="Q57" i="45" s="1"/>
  <c r="O27" i="45"/>
  <c r="Q27" i="45" s="1"/>
  <c r="O38" i="45"/>
  <c r="Q38" i="45" s="1"/>
  <c r="O61" i="45"/>
  <c r="Q61" i="45" s="1"/>
  <c r="O33" i="45"/>
  <c r="Q33" i="45" s="1"/>
  <c r="K261" i="44"/>
  <c r="N260" i="44"/>
  <c r="M260" i="44"/>
  <c r="L260" i="44"/>
  <c r="K260" i="44"/>
  <c r="J260" i="44"/>
  <c r="I260" i="44"/>
  <c r="H260" i="44"/>
  <c r="G260" i="44"/>
  <c r="F260" i="44"/>
  <c r="E260" i="44"/>
  <c r="D260" i="44"/>
  <c r="C260" i="44"/>
  <c r="N258" i="44"/>
  <c r="M258" i="44"/>
  <c r="L258" i="44"/>
  <c r="K258" i="44"/>
  <c r="J258" i="44"/>
  <c r="I258" i="44"/>
  <c r="H258" i="44"/>
  <c r="G258" i="44"/>
  <c r="F258" i="44"/>
  <c r="E258" i="44"/>
  <c r="D258" i="44"/>
  <c r="C258" i="44"/>
  <c r="C257" i="44"/>
  <c r="B252" i="44"/>
  <c r="N261" i="44"/>
  <c r="M261" i="44"/>
  <c r="L261" i="44"/>
  <c r="J261" i="44"/>
  <c r="I261" i="44"/>
  <c r="H261" i="44"/>
  <c r="G261" i="44"/>
  <c r="F261" i="44"/>
  <c r="E261" i="44"/>
  <c r="D261" i="44"/>
  <c r="N245" i="44"/>
  <c r="N259" i="44" s="1"/>
  <c r="M245" i="44"/>
  <c r="M259" i="44" s="1"/>
  <c r="L245" i="44"/>
  <c r="L259" i="44" s="1"/>
  <c r="K245" i="44"/>
  <c r="K259" i="44" s="1"/>
  <c r="J245" i="44"/>
  <c r="J259" i="44" s="1"/>
  <c r="I245" i="44"/>
  <c r="I259" i="44" s="1"/>
  <c r="H245" i="44"/>
  <c r="H259" i="44" s="1"/>
  <c r="G245" i="44"/>
  <c r="G259" i="44" s="1"/>
  <c r="F245" i="44"/>
  <c r="F259" i="44" s="1"/>
  <c r="E245" i="44"/>
  <c r="D245" i="44"/>
  <c r="C245" i="44"/>
  <c r="I237" i="44"/>
  <c r="I256" i="44" s="1"/>
  <c r="H237" i="44"/>
  <c r="H256" i="44" s="1"/>
  <c r="G237" i="44"/>
  <c r="G256" i="44" s="1"/>
  <c r="F237" i="44"/>
  <c r="F256" i="44" s="1"/>
  <c r="E237" i="44"/>
  <c r="E256" i="44" s="1"/>
  <c r="D237" i="44"/>
  <c r="D256" i="44" s="1"/>
  <c r="C237" i="44"/>
  <c r="C256" i="44" s="1"/>
  <c r="N198" i="44"/>
  <c r="M198" i="44"/>
  <c r="M203" i="44" s="1"/>
  <c r="L198" i="44"/>
  <c r="L203" i="44" s="1"/>
  <c r="K198" i="44"/>
  <c r="K203" i="44" s="1"/>
  <c r="J198" i="44"/>
  <c r="J199" i="44" s="1"/>
  <c r="I198" i="44"/>
  <c r="I199" i="44" s="1"/>
  <c r="H198" i="44"/>
  <c r="H203" i="44" s="1"/>
  <c r="G198" i="44"/>
  <c r="G203" i="44" s="1"/>
  <c r="F198" i="44"/>
  <c r="F203" i="44" s="1"/>
  <c r="E198" i="44"/>
  <c r="E203" i="44" s="1"/>
  <c r="D198" i="44"/>
  <c r="D203" i="44" s="1"/>
  <c r="C198" i="44"/>
  <c r="N182" i="44"/>
  <c r="N185" i="44" s="1"/>
  <c r="M182" i="44"/>
  <c r="M185" i="44" s="1"/>
  <c r="L182" i="44"/>
  <c r="L185" i="44" s="1"/>
  <c r="K182" i="44"/>
  <c r="K185" i="44" s="1"/>
  <c r="J182" i="44"/>
  <c r="J185" i="44" s="1"/>
  <c r="I182" i="44"/>
  <c r="I185" i="44" s="1"/>
  <c r="H182" i="44"/>
  <c r="H185" i="44" s="1"/>
  <c r="G182" i="44"/>
  <c r="G185" i="44" s="1"/>
  <c r="F182" i="44"/>
  <c r="F185" i="44" s="1"/>
  <c r="E182" i="44"/>
  <c r="D182" i="44"/>
  <c r="C182" i="44"/>
  <c r="N177" i="44"/>
  <c r="M177" i="44"/>
  <c r="L177" i="44"/>
  <c r="K177" i="44"/>
  <c r="J177" i="44"/>
  <c r="I177" i="44"/>
  <c r="H177" i="44"/>
  <c r="G177" i="44"/>
  <c r="F177" i="44"/>
  <c r="E177" i="44"/>
  <c r="D177" i="44"/>
  <c r="C177" i="44"/>
  <c r="N163" i="44"/>
  <c r="N166" i="44" s="1"/>
  <c r="M163" i="44"/>
  <c r="M166" i="44" s="1"/>
  <c r="L163" i="44"/>
  <c r="L166" i="44" s="1"/>
  <c r="K163" i="44"/>
  <c r="K166" i="44" s="1"/>
  <c r="J163" i="44"/>
  <c r="J166" i="44" s="1"/>
  <c r="I163" i="44"/>
  <c r="I166" i="44" s="1"/>
  <c r="H163" i="44"/>
  <c r="H166" i="44" s="1"/>
  <c r="G163" i="44"/>
  <c r="G166" i="44" s="1"/>
  <c r="F163" i="44"/>
  <c r="F166" i="44" s="1"/>
  <c r="E163" i="44"/>
  <c r="D163" i="44"/>
  <c r="C163" i="44"/>
  <c r="N158" i="44"/>
  <c r="N160" i="44" s="1"/>
  <c r="M158" i="44"/>
  <c r="M160" i="44" s="1"/>
  <c r="L158" i="44"/>
  <c r="L160" i="44" s="1"/>
  <c r="K158" i="44"/>
  <c r="K160" i="44" s="1"/>
  <c r="J158" i="44"/>
  <c r="J160" i="44" s="1"/>
  <c r="I158" i="44"/>
  <c r="I160" i="44" s="1"/>
  <c r="H158" i="44"/>
  <c r="H160" i="44" s="1"/>
  <c r="G158" i="44"/>
  <c r="G159" i="44" s="1"/>
  <c r="F158" i="44"/>
  <c r="F159" i="44" s="1"/>
  <c r="E158" i="44"/>
  <c r="E160" i="44" s="1"/>
  <c r="D158" i="44"/>
  <c r="D160" i="44" s="1"/>
  <c r="C158" i="44"/>
  <c r="N148" i="44"/>
  <c r="M148" i="44"/>
  <c r="M150" i="44" s="1"/>
  <c r="L148" i="44"/>
  <c r="L150" i="44" s="1"/>
  <c r="K148" i="44"/>
  <c r="K150" i="44" s="1"/>
  <c r="J148" i="44"/>
  <c r="J150" i="44" s="1"/>
  <c r="I148" i="44"/>
  <c r="I150" i="44" s="1"/>
  <c r="H148" i="44"/>
  <c r="H150" i="44" s="1"/>
  <c r="G148" i="44"/>
  <c r="G149" i="44" s="1"/>
  <c r="F148" i="44"/>
  <c r="F149" i="44" s="1"/>
  <c r="E148" i="44"/>
  <c r="E150" i="44" s="1"/>
  <c r="D148" i="44"/>
  <c r="D150" i="44" s="1"/>
  <c r="C148" i="44"/>
  <c r="N143" i="44"/>
  <c r="M143" i="44"/>
  <c r="L143" i="44"/>
  <c r="K143" i="44"/>
  <c r="J143" i="44"/>
  <c r="I143" i="44"/>
  <c r="H143" i="44"/>
  <c r="G143" i="44"/>
  <c r="F143" i="44"/>
  <c r="E143" i="44"/>
  <c r="D143" i="44"/>
  <c r="C143" i="44"/>
  <c r="N142" i="44"/>
  <c r="M142" i="44"/>
  <c r="L142" i="44"/>
  <c r="K142" i="44"/>
  <c r="J142" i="44"/>
  <c r="I142" i="44"/>
  <c r="H142" i="44"/>
  <c r="G142" i="44"/>
  <c r="F142" i="44"/>
  <c r="E142" i="44"/>
  <c r="D142" i="44"/>
  <c r="C142" i="44"/>
  <c r="N135" i="44"/>
  <c r="M135" i="44"/>
  <c r="L135" i="44"/>
  <c r="L137" i="44" s="1"/>
  <c r="K135" i="44"/>
  <c r="K136" i="44" s="1"/>
  <c r="J135" i="44"/>
  <c r="J137" i="44" s="1"/>
  <c r="I135" i="44"/>
  <c r="I137" i="44" s="1"/>
  <c r="H135" i="44"/>
  <c r="H137" i="44" s="1"/>
  <c r="G135" i="44"/>
  <c r="G136" i="44" s="1"/>
  <c r="F135" i="44"/>
  <c r="F137" i="44" s="1"/>
  <c r="E135" i="44"/>
  <c r="E137" i="44" s="1"/>
  <c r="D135" i="44"/>
  <c r="D137" i="44" s="1"/>
  <c r="C135" i="44"/>
  <c r="N129" i="44"/>
  <c r="M129" i="44"/>
  <c r="M131" i="44" s="1"/>
  <c r="L129" i="44"/>
  <c r="L131" i="44" s="1"/>
  <c r="K129" i="44"/>
  <c r="K131" i="44" s="1"/>
  <c r="J129" i="44"/>
  <c r="J131" i="44" s="1"/>
  <c r="I129" i="44"/>
  <c r="I130" i="44" s="1"/>
  <c r="H129" i="44"/>
  <c r="H131" i="44" s="1"/>
  <c r="G129" i="44"/>
  <c r="G131" i="44" s="1"/>
  <c r="F129" i="44"/>
  <c r="F130" i="44" s="1"/>
  <c r="E129" i="44"/>
  <c r="E131" i="44" s="1"/>
  <c r="D129" i="44"/>
  <c r="D131" i="44" s="1"/>
  <c r="C129" i="44"/>
  <c r="N123" i="44"/>
  <c r="N125" i="44" s="1"/>
  <c r="M123" i="44"/>
  <c r="M125" i="44" s="1"/>
  <c r="L123" i="44"/>
  <c r="K123" i="44"/>
  <c r="J123" i="44"/>
  <c r="I123" i="44"/>
  <c r="H123" i="44"/>
  <c r="G123" i="44"/>
  <c r="F123" i="44"/>
  <c r="E123" i="44"/>
  <c r="D123" i="44"/>
  <c r="C123" i="44"/>
  <c r="N111" i="44"/>
  <c r="M111" i="44"/>
  <c r="M113" i="44" s="1"/>
  <c r="L111" i="44"/>
  <c r="L113" i="44" s="1"/>
  <c r="K111" i="44"/>
  <c r="K113" i="44" s="1"/>
  <c r="J111" i="44"/>
  <c r="J113" i="44" s="1"/>
  <c r="I111" i="44"/>
  <c r="I112" i="44" s="1"/>
  <c r="H111" i="44"/>
  <c r="H113" i="44" s="1"/>
  <c r="G111" i="44"/>
  <c r="G113" i="44" s="1"/>
  <c r="F111" i="44"/>
  <c r="F112" i="44" s="1"/>
  <c r="E111" i="44"/>
  <c r="E113" i="44" s="1"/>
  <c r="D111" i="44"/>
  <c r="D113" i="44" s="1"/>
  <c r="C111" i="44"/>
  <c r="N106" i="44"/>
  <c r="M106" i="44"/>
  <c r="M108" i="44" s="1"/>
  <c r="L106" i="44"/>
  <c r="L108" i="44" s="1"/>
  <c r="K106" i="44"/>
  <c r="K108" i="44" s="1"/>
  <c r="J106" i="44"/>
  <c r="J107" i="44" s="1"/>
  <c r="I106" i="44"/>
  <c r="I107" i="44" s="1"/>
  <c r="H106" i="44"/>
  <c r="H108" i="44" s="1"/>
  <c r="G106" i="44"/>
  <c r="G108" i="44" s="1"/>
  <c r="F106" i="44"/>
  <c r="F108" i="44" s="1"/>
  <c r="E106" i="44"/>
  <c r="E108" i="44" s="1"/>
  <c r="D106" i="44"/>
  <c r="D108" i="44" s="1"/>
  <c r="C106" i="44"/>
  <c r="N101" i="44"/>
  <c r="M101" i="44"/>
  <c r="M102" i="44" s="1"/>
  <c r="L101" i="44"/>
  <c r="L103" i="44" s="1"/>
  <c r="K101" i="44"/>
  <c r="K103" i="44" s="1"/>
  <c r="J101" i="44"/>
  <c r="J103" i="44" s="1"/>
  <c r="I101" i="44"/>
  <c r="I103" i="44" s="1"/>
  <c r="H101" i="44"/>
  <c r="H103" i="44" s="1"/>
  <c r="G101" i="44"/>
  <c r="G103" i="44" s="1"/>
  <c r="F101" i="44"/>
  <c r="F102" i="44" s="1"/>
  <c r="E101" i="44"/>
  <c r="E102" i="44" s="1"/>
  <c r="D101" i="44"/>
  <c r="D103" i="44" s="1"/>
  <c r="C101" i="44"/>
  <c r="N96" i="44"/>
  <c r="M96" i="44"/>
  <c r="M98" i="44" s="1"/>
  <c r="L96" i="44"/>
  <c r="L98" i="44" s="1"/>
  <c r="K96" i="44"/>
  <c r="K98" i="44" s="1"/>
  <c r="J96" i="44"/>
  <c r="J97" i="44" s="1"/>
  <c r="I96" i="44"/>
  <c r="I97" i="44" s="1"/>
  <c r="H96" i="44"/>
  <c r="H98" i="44" s="1"/>
  <c r="G96" i="44"/>
  <c r="G98" i="44" s="1"/>
  <c r="F96" i="44"/>
  <c r="F98" i="44" s="1"/>
  <c r="E96" i="44"/>
  <c r="E98" i="44" s="1"/>
  <c r="D96" i="44"/>
  <c r="D98" i="44" s="1"/>
  <c r="C96" i="44"/>
  <c r="N91" i="44"/>
  <c r="M91" i="44"/>
  <c r="M92" i="44" s="1"/>
  <c r="L91" i="44"/>
  <c r="L93" i="44" s="1"/>
  <c r="K91" i="44"/>
  <c r="K93" i="44" s="1"/>
  <c r="J91" i="44"/>
  <c r="J93" i="44" s="1"/>
  <c r="I91" i="44"/>
  <c r="I93" i="44" s="1"/>
  <c r="H91" i="44"/>
  <c r="H93" i="44" s="1"/>
  <c r="G91" i="44"/>
  <c r="G93" i="44" s="1"/>
  <c r="F91" i="44"/>
  <c r="F92" i="44" s="1"/>
  <c r="E91" i="44"/>
  <c r="E92" i="44" s="1"/>
  <c r="D91" i="44"/>
  <c r="D93" i="44" s="1"/>
  <c r="C91" i="44"/>
  <c r="N86" i="44"/>
  <c r="M86" i="44"/>
  <c r="M88" i="44" s="1"/>
  <c r="L86" i="44"/>
  <c r="L88" i="44" s="1"/>
  <c r="K86" i="44"/>
  <c r="K88" i="44" s="1"/>
  <c r="J86" i="44"/>
  <c r="J87" i="44" s="1"/>
  <c r="I86" i="44"/>
  <c r="I87" i="44" s="1"/>
  <c r="H86" i="44"/>
  <c r="H88" i="44" s="1"/>
  <c r="G86" i="44"/>
  <c r="G88" i="44" s="1"/>
  <c r="F86" i="44"/>
  <c r="F88" i="44" s="1"/>
  <c r="E86" i="44"/>
  <c r="E88" i="44" s="1"/>
  <c r="D86" i="44"/>
  <c r="D88" i="44" s="1"/>
  <c r="C86" i="44"/>
  <c r="N81" i="44"/>
  <c r="M81" i="44"/>
  <c r="M82" i="44" s="1"/>
  <c r="L81" i="44"/>
  <c r="L83" i="44" s="1"/>
  <c r="K81" i="44"/>
  <c r="K83" i="44" s="1"/>
  <c r="J81" i="44"/>
  <c r="J83" i="44" s="1"/>
  <c r="I81" i="44"/>
  <c r="I83" i="44" s="1"/>
  <c r="H81" i="44"/>
  <c r="H83" i="44" s="1"/>
  <c r="G81" i="44"/>
  <c r="G83" i="44" s="1"/>
  <c r="F81" i="44"/>
  <c r="F82" i="44" s="1"/>
  <c r="E81" i="44"/>
  <c r="E82" i="44" s="1"/>
  <c r="D81" i="44"/>
  <c r="D83" i="44" s="1"/>
  <c r="C81" i="44"/>
  <c r="N76" i="44"/>
  <c r="M76" i="44"/>
  <c r="M78" i="44" s="1"/>
  <c r="L76" i="44"/>
  <c r="L78" i="44" s="1"/>
  <c r="K76" i="44"/>
  <c r="K78" i="44" s="1"/>
  <c r="J76" i="44"/>
  <c r="J77" i="44" s="1"/>
  <c r="I76" i="44"/>
  <c r="I77" i="44" s="1"/>
  <c r="H76" i="44"/>
  <c r="H78" i="44" s="1"/>
  <c r="G76" i="44"/>
  <c r="G78" i="44" s="1"/>
  <c r="F76" i="44"/>
  <c r="F78" i="44" s="1"/>
  <c r="E76" i="44"/>
  <c r="E78" i="44" s="1"/>
  <c r="D76" i="44"/>
  <c r="D78" i="44" s="1"/>
  <c r="C76" i="44"/>
  <c r="N71" i="44"/>
  <c r="M71" i="44"/>
  <c r="M72" i="44" s="1"/>
  <c r="L71" i="44"/>
  <c r="L73" i="44" s="1"/>
  <c r="K71" i="44"/>
  <c r="K73" i="44" s="1"/>
  <c r="J71" i="44"/>
  <c r="J73" i="44" s="1"/>
  <c r="I71" i="44"/>
  <c r="I73" i="44" s="1"/>
  <c r="H71" i="44"/>
  <c r="H73" i="44" s="1"/>
  <c r="G71" i="44"/>
  <c r="G73" i="44" s="1"/>
  <c r="F71" i="44"/>
  <c r="F72" i="44" s="1"/>
  <c r="E71" i="44"/>
  <c r="E72" i="44" s="1"/>
  <c r="D71" i="44"/>
  <c r="D73" i="44" s="1"/>
  <c r="C71" i="44"/>
  <c r="N66" i="44"/>
  <c r="M66" i="44"/>
  <c r="M68" i="44" s="1"/>
  <c r="L66" i="44"/>
  <c r="L68" i="44" s="1"/>
  <c r="K66" i="44"/>
  <c r="K68" i="44" s="1"/>
  <c r="J66" i="44"/>
  <c r="J67" i="44" s="1"/>
  <c r="I66" i="44"/>
  <c r="I67" i="44" s="1"/>
  <c r="H66" i="44"/>
  <c r="H68" i="44" s="1"/>
  <c r="G66" i="44"/>
  <c r="G68" i="44" s="1"/>
  <c r="F66" i="44"/>
  <c r="F68" i="44" s="1"/>
  <c r="E66" i="44"/>
  <c r="E68" i="44" s="1"/>
  <c r="D66" i="44"/>
  <c r="D68" i="44" s="1"/>
  <c r="C66" i="44"/>
  <c r="H145" i="44" l="1"/>
  <c r="O135" i="44"/>
  <c r="Q135" i="44" s="1"/>
  <c r="C78" i="44"/>
  <c r="O76" i="44"/>
  <c r="Q76" i="44" s="1"/>
  <c r="C98" i="44"/>
  <c r="O96" i="44"/>
  <c r="Q96" i="44" s="1"/>
  <c r="C88" i="44"/>
  <c r="O86" i="44"/>
  <c r="Q86" i="44" s="1"/>
  <c r="O198" i="44"/>
  <c r="Q198" i="44" s="1"/>
  <c r="C108" i="44"/>
  <c r="O106" i="44"/>
  <c r="Q106" i="44" s="1"/>
  <c r="C160" i="44"/>
  <c r="O158" i="44"/>
  <c r="Q158" i="44" s="1"/>
  <c r="J144" i="44"/>
  <c r="O143" i="44"/>
  <c r="Q143" i="44" s="1"/>
  <c r="C73" i="44"/>
  <c r="O71" i="44"/>
  <c r="C83" i="44"/>
  <c r="O81" i="44"/>
  <c r="Q81" i="44" s="1"/>
  <c r="C93" i="44"/>
  <c r="O91" i="44"/>
  <c r="Q91" i="44" s="1"/>
  <c r="C103" i="44"/>
  <c r="O101" i="44"/>
  <c r="Q101" i="44" s="1"/>
  <c r="C113" i="44"/>
  <c r="O111" i="44"/>
  <c r="Q111" i="44" s="1"/>
  <c r="C131" i="44"/>
  <c r="O129" i="44"/>
  <c r="Q129" i="44" s="1"/>
  <c r="O142" i="44"/>
  <c r="Q142" i="44" s="1"/>
  <c r="C150" i="44"/>
  <c r="O148" i="44"/>
  <c r="Q148" i="44" s="1"/>
  <c r="O163" i="44"/>
  <c r="O182" i="44"/>
  <c r="C259" i="44"/>
  <c r="O245" i="44"/>
  <c r="Q245" i="44" s="1"/>
  <c r="C68" i="44"/>
  <c r="O66" i="44"/>
  <c r="Q66" i="44" s="1"/>
  <c r="O123" i="44"/>
  <c r="Q123" i="44" s="1"/>
  <c r="O177" i="44"/>
  <c r="Q177" i="44" s="1"/>
  <c r="C136" i="44"/>
  <c r="C137" i="44"/>
  <c r="C179" i="44"/>
  <c r="C178" i="44"/>
  <c r="K179" i="44"/>
  <c r="K178" i="44"/>
  <c r="D179" i="44"/>
  <c r="D178" i="44"/>
  <c r="L179" i="44"/>
  <c r="L178" i="44"/>
  <c r="E179" i="44"/>
  <c r="E178" i="44"/>
  <c r="M179" i="44"/>
  <c r="M178" i="44"/>
  <c r="F179" i="44"/>
  <c r="F178" i="44"/>
  <c r="N178" i="44"/>
  <c r="C144" i="44"/>
  <c r="G179" i="44"/>
  <c r="G178" i="44"/>
  <c r="L237" i="44"/>
  <c r="L256" i="44" s="1"/>
  <c r="H179" i="44"/>
  <c r="H178" i="44"/>
  <c r="I179" i="44"/>
  <c r="I178" i="44"/>
  <c r="D259" i="44"/>
  <c r="F145" i="44"/>
  <c r="J179" i="44"/>
  <c r="J178" i="44"/>
  <c r="E259" i="44"/>
  <c r="E145" i="44"/>
  <c r="M145" i="44"/>
  <c r="E199" i="44"/>
  <c r="D166" i="44"/>
  <c r="D185" i="44"/>
  <c r="E166" i="44"/>
  <c r="E185" i="44"/>
  <c r="G145" i="44"/>
  <c r="I145" i="44"/>
  <c r="J88" i="44"/>
  <c r="J89" i="44" s="1"/>
  <c r="K144" i="44"/>
  <c r="D145" i="44"/>
  <c r="L145" i="44"/>
  <c r="E126" i="44"/>
  <c r="E125" i="44"/>
  <c r="I126" i="44"/>
  <c r="I125" i="44"/>
  <c r="J108" i="44"/>
  <c r="J109" i="44" s="1"/>
  <c r="F126" i="44"/>
  <c r="F125" i="44"/>
  <c r="J126" i="44"/>
  <c r="J125" i="44"/>
  <c r="C126" i="44"/>
  <c r="C125" i="44"/>
  <c r="G126" i="44"/>
  <c r="G125" i="44"/>
  <c r="K126" i="44"/>
  <c r="K125" i="44"/>
  <c r="M126" i="44"/>
  <c r="M127" i="44" s="1"/>
  <c r="F87" i="44"/>
  <c r="F89" i="44" s="1"/>
  <c r="D126" i="44"/>
  <c r="D125" i="44"/>
  <c r="H126" i="44"/>
  <c r="H125" i="44"/>
  <c r="L126" i="44"/>
  <c r="L125" i="44"/>
  <c r="J159" i="44"/>
  <c r="J161" i="44" s="1"/>
  <c r="J200" i="44"/>
  <c r="J201" i="44" s="1"/>
  <c r="F67" i="44"/>
  <c r="F69" i="44" s="1"/>
  <c r="I98" i="44"/>
  <c r="I99" i="44" s="1"/>
  <c r="F136" i="44"/>
  <c r="F138" i="44" s="1"/>
  <c r="F199" i="44"/>
  <c r="J68" i="44"/>
  <c r="J69" i="44" s="1"/>
  <c r="F107" i="44"/>
  <c r="F109" i="44" s="1"/>
  <c r="C145" i="44"/>
  <c r="I200" i="44"/>
  <c r="N72" i="44"/>
  <c r="N78" i="44"/>
  <c r="N98" i="44"/>
  <c r="N145" i="44"/>
  <c r="M67" i="44"/>
  <c r="M69" i="44" s="1"/>
  <c r="E77" i="44"/>
  <c r="I78" i="44"/>
  <c r="I79" i="44" s="1"/>
  <c r="M87" i="44"/>
  <c r="M89" i="44" s="1"/>
  <c r="E97" i="44"/>
  <c r="M107" i="44"/>
  <c r="M109" i="44" s="1"/>
  <c r="E130" i="44"/>
  <c r="F144" i="44"/>
  <c r="J145" i="44"/>
  <c r="J149" i="44"/>
  <c r="J154" i="44" s="1"/>
  <c r="K159" i="44"/>
  <c r="K161" i="44" s="1"/>
  <c r="C185" i="44"/>
  <c r="C261" i="44"/>
  <c r="N77" i="44"/>
  <c r="N97" i="44"/>
  <c r="N130" i="44"/>
  <c r="K237" i="44"/>
  <c r="K256" i="44" s="1"/>
  <c r="D257" i="44"/>
  <c r="N68" i="44"/>
  <c r="N67" i="44"/>
  <c r="F77" i="44"/>
  <c r="F79" i="44" s="1"/>
  <c r="J78" i="44"/>
  <c r="J79" i="44" s="1"/>
  <c r="N82" i="44"/>
  <c r="N88" i="44"/>
  <c r="N87" i="44"/>
  <c r="F97" i="44"/>
  <c r="F99" i="44" s="1"/>
  <c r="J98" i="44"/>
  <c r="J99" i="44" s="1"/>
  <c r="N102" i="44"/>
  <c r="N108" i="44"/>
  <c r="N107" i="44"/>
  <c r="M130" i="44"/>
  <c r="M133" i="44" s="1"/>
  <c r="G137" i="44"/>
  <c r="G138" i="44" s="1"/>
  <c r="G144" i="44"/>
  <c r="K145" i="44"/>
  <c r="K149" i="44"/>
  <c r="K154" i="44" s="1"/>
  <c r="N179" i="44"/>
  <c r="M199" i="44"/>
  <c r="I203" i="44"/>
  <c r="M237" i="44"/>
  <c r="M256" i="44" s="1"/>
  <c r="N92" i="44"/>
  <c r="N112" i="44"/>
  <c r="N126" i="44"/>
  <c r="N149" i="44"/>
  <c r="E67" i="44"/>
  <c r="I68" i="44"/>
  <c r="I69" i="44" s="1"/>
  <c r="M77" i="44"/>
  <c r="M79" i="44" s="1"/>
  <c r="E87" i="44"/>
  <c r="E89" i="44" s="1"/>
  <c r="I88" i="44"/>
  <c r="I89" i="44" s="1"/>
  <c r="M97" i="44"/>
  <c r="M99" i="44" s="1"/>
  <c r="E107" i="44"/>
  <c r="I108" i="44"/>
  <c r="I131" i="44"/>
  <c r="I133" i="44" s="1"/>
  <c r="N137" i="44"/>
  <c r="K137" i="44"/>
  <c r="K138" i="44" s="1"/>
  <c r="N144" i="44"/>
  <c r="N150" i="44"/>
  <c r="N159" i="44"/>
  <c r="N161" i="44" s="1"/>
  <c r="C166" i="44"/>
  <c r="N203" i="44"/>
  <c r="N199" i="44"/>
  <c r="J203" i="44"/>
  <c r="I72" i="44"/>
  <c r="I74" i="44" s="1"/>
  <c r="E73" i="44"/>
  <c r="M73" i="44"/>
  <c r="M74" i="44" s="1"/>
  <c r="I82" i="44"/>
  <c r="I84" i="44" s="1"/>
  <c r="E83" i="44"/>
  <c r="M83" i="44"/>
  <c r="M84" i="44" s="1"/>
  <c r="I92" i="44"/>
  <c r="I94" i="44" s="1"/>
  <c r="E93" i="44"/>
  <c r="M93" i="44"/>
  <c r="M94" i="44" s="1"/>
  <c r="I102" i="44"/>
  <c r="I104" i="44" s="1"/>
  <c r="E103" i="44"/>
  <c r="M103" i="44"/>
  <c r="J72" i="44"/>
  <c r="J74" i="44" s="1"/>
  <c r="F73" i="44"/>
  <c r="F74" i="44" s="1"/>
  <c r="N73" i="44"/>
  <c r="J82" i="44"/>
  <c r="J84" i="44" s="1"/>
  <c r="F83" i="44"/>
  <c r="F84" i="44" s="1"/>
  <c r="N83" i="44"/>
  <c r="J92" i="44"/>
  <c r="J94" i="44" s="1"/>
  <c r="F93" i="44"/>
  <c r="F94" i="44" s="1"/>
  <c r="N93" i="44"/>
  <c r="J102" i="44"/>
  <c r="J104" i="44" s="1"/>
  <c r="F103" i="44"/>
  <c r="F104" i="44" s="1"/>
  <c r="N103" i="44"/>
  <c r="J112" i="44"/>
  <c r="J114" i="44" s="1"/>
  <c r="F113" i="44"/>
  <c r="F114" i="44" s="1"/>
  <c r="N113" i="44"/>
  <c r="J130" i="44"/>
  <c r="J133" i="44" s="1"/>
  <c r="F131" i="44"/>
  <c r="F133" i="44" s="1"/>
  <c r="N131" i="44"/>
  <c r="E112" i="44"/>
  <c r="M112" i="44"/>
  <c r="M114" i="44" s="1"/>
  <c r="I113" i="44"/>
  <c r="I114" i="44" s="1"/>
  <c r="M137" i="44"/>
  <c r="M136" i="44"/>
  <c r="I136" i="44"/>
  <c r="I138" i="44" s="1"/>
  <c r="J136" i="44"/>
  <c r="J138" i="44" s="1"/>
  <c r="F150" i="44"/>
  <c r="F154" i="44" s="1"/>
  <c r="F160" i="44"/>
  <c r="F161" i="44" s="1"/>
  <c r="E136" i="44"/>
  <c r="N136" i="44"/>
  <c r="C149" i="44"/>
  <c r="G150" i="44"/>
  <c r="G154" i="44" s="1"/>
  <c r="C159" i="44"/>
  <c r="G160" i="44"/>
  <c r="G161" i="44" s="1"/>
  <c r="C203" i="44"/>
  <c r="C200" i="44"/>
  <c r="C199" i="44"/>
  <c r="C67" i="44"/>
  <c r="G67" i="44"/>
  <c r="G69" i="44" s="1"/>
  <c r="K67" i="44"/>
  <c r="K69" i="44" s="1"/>
  <c r="C72" i="44"/>
  <c r="G72" i="44"/>
  <c r="G74" i="44" s="1"/>
  <c r="K72" i="44"/>
  <c r="K74" i="44" s="1"/>
  <c r="C77" i="44"/>
  <c r="G77" i="44"/>
  <c r="G79" i="44" s="1"/>
  <c r="K77" i="44"/>
  <c r="K79" i="44" s="1"/>
  <c r="C82" i="44"/>
  <c r="G82" i="44"/>
  <c r="G84" i="44" s="1"/>
  <c r="K82" i="44"/>
  <c r="K84" i="44" s="1"/>
  <c r="C87" i="44"/>
  <c r="G87" i="44"/>
  <c r="G89" i="44" s="1"/>
  <c r="K87" i="44"/>
  <c r="K89" i="44" s="1"/>
  <c r="C92" i="44"/>
  <c r="G92" i="44"/>
  <c r="G94" i="44" s="1"/>
  <c r="K92" i="44"/>
  <c r="K94" i="44" s="1"/>
  <c r="C97" i="44"/>
  <c r="G97" i="44"/>
  <c r="G99" i="44" s="1"/>
  <c r="K97" i="44"/>
  <c r="K99" i="44" s="1"/>
  <c r="C102" i="44"/>
  <c r="G102" i="44"/>
  <c r="G104" i="44" s="1"/>
  <c r="K102" i="44"/>
  <c r="K104" i="44" s="1"/>
  <c r="C107" i="44"/>
  <c r="G107" i="44"/>
  <c r="G109" i="44" s="1"/>
  <c r="K107" i="44"/>
  <c r="K109" i="44" s="1"/>
  <c r="C112" i="44"/>
  <c r="G112" i="44"/>
  <c r="G114" i="44" s="1"/>
  <c r="K112" i="44"/>
  <c r="K114" i="44" s="1"/>
  <c r="C130" i="44"/>
  <c r="G130" i="44"/>
  <c r="G133" i="44" s="1"/>
  <c r="K130" i="44"/>
  <c r="K133" i="44" s="1"/>
  <c r="D67" i="44"/>
  <c r="H67" i="44"/>
  <c r="H69" i="44" s="1"/>
  <c r="L67" i="44"/>
  <c r="L69" i="44" s="1"/>
  <c r="D72" i="44"/>
  <c r="H72" i="44"/>
  <c r="H74" i="44" s="1"/>
  <c r="L72" i="44"/>
  <c r="L74" i="44" s="1"/>
  <c r="D77" i="44"/>
  <c r="H77" i="44"/>
  <c r="H79" i="44" s="1"/>
  <c r="L77" i="44"/>
  <c r="L79" i="44" s="1"/>
  <c r="D82" i="44"/>
  <c r="H82" i="44"/>
  <c r="H84" i="44" s="1"/>
  <c r="L82" i="44"/>
  <c r="L84" i="44" s="1"/>
  <c r="D87" i="44"/>
  <c r="H87" i="44"/>
  <c r="H89" i="44" s="1"/>
  <c r="L87" i="44"/>
  <c r="L89" i="44" s="1"/>
  <c r="D92" i="44"/>
  <c r="H92" i="44"/>
  <c r="H94" i="44" s="1"/>
  <c r="L92" i="44"/>
  <c r="L94" i="44" s="1"/>
  <c r="D97" i="44"/>
  <c r="H97" i="44"/>
  <c r="H99" i="44" s="1"/>
  <c r="L97" i="44"/>
  <c r="L99" i="44" s="1"/>
  <c r="D102" i="44"/>
  <c r="H102" i="44"/>
  <c r="H104" i="44" s="1"/>
  <c r="L102" i="44"/>
  <c r="L104" i="44" s="1"/>
  <c r="D107" i="44"/>
  <c r="H107" i="44"/>
  <c r="H109" i="44" s="1"/>
  <c r="L107" i="44"/>
  <c r="L109" i="44" s="1"/>
  <c r="D112" i="44"/>
  <c r="H112" i="44"/>
  <c r="H114" i="44" s="1"/>
  <c r="L112" i="44"/>
  <c r="L114" i="44" s="1"/>
  <c r="D130" i="44"/>
  <c r="H130" i="44"/>
  <c r="H133" i="44" s="1"/>
  <c r="L130" i="44"/>
  <c r="L133" i="44" s="1"/>
  <c r="D136" i="44"/>
  <c r="H136" i="44"/>
  <c r="H138" i="44" s="1"/>
  <c r="L136" i="44"/>
  <c r="L138" i="44" s="1"/>
  <c r="I201" i="44"/>
  <c r="D144" i="44"/>
  <c r="H144" i="44"/>
  <c r="H146" i="44" s="1"/>
  <c r="L144" i="44"/>
  <c r="D149" i="44"/>
  <c r="H149" i="44"/>
  <c r="H154" i="44" s="1"/>
  <c r="L149" i="44"/>
  <c r="L154" i="44" s="1"/>
  <c r="D159" i="44"/>
  <c r="H159" i="44"/>
  <c r="H161" i="44" s="1"/>
  <c r="L159" i="44"/>
  <c r="L161" i="44" s="1"/>
  <c r="E200" i="44"/>
  <c r="M200" i="44"/>
  <c r="E144" i="44"/>
  <c r="I144" i="44"/>
  <c r="M144" i="44"/>
  <c r="E149" i="44"/>
  <c r="I149" i="44"/>
  <c r="I154" i="44" s="1"/>
  <c r="M149" i="44"/>
  <c r="M154" i="44" s="1"/>
  <c r="E159" i="44"/>
  <c r="I159" i="44"/>
  <c r="I161" i="44" s="1"/>
  <c r="M159" i="44"/>
  <c r="M161" i="44" s="1"/>
  <c r="F200" i="44"/>
  <c r="N200" i="44"/>
  <c r="G199" i="44"/>
  <c r="K199" i="44"/>
  <c r="G200" i="44"/>
  <c r="K200" i="44"/>
  <c r="N237" i="44"/>
  <c r="N256" i="44" s="1"/>
  <c r="J237" i="44"/>
  <c r="J256" i="44" s="1"/>
  <c r="D199" i="44"/>
  <c r="H199" i="44"/>
  <c r="L199" i="44"/>
  <c r="D200" i="44"/>
  <c r="H200" i="44"/>
  <c r="L200" i="44"/>
  <c r="D180" i="44" l="1"/>
  <c r="J146" i="44"/>
  <c r="H121" i="44"/>
  <c r="K121" i="44"/>
  <c r="K250" i="44" s="1"/>
  <c r="G121" i="44"/>
  <c r="J121" i="44"/>
  <c r="N89" i="44"/>
  <c r="F121" i="44"/>
  <c r="F250" i="44" s="1"/>
  <c r="N180" i="44"/>
  <c r="C180" i="44"/>
  <c r="L121" i="44"/>
  <c r="E180" i="44"/>
  <c r="K146" i="44"/>
  <c r="O125" i="44"/>
  <c r="Q125" i="44" s="1"/>
  <c r="C138" i="44"/>
  <c r="O82" i="44"/>
  <c r="Q82" i="44" s="1"/>
  <c r="N84" i="44"/>
  <c r="H127" i="44"/>
  <c r="H140" i="44" s="1"/>
  <c r="H251" i="44" s="1"/>
  <c r="G127" i="44"/>
  <c r="G140" i="44" s="1"/>
  <c r="G251" i="44" s="1"/>
  <c r="O149" i="44"/>
  <c r="Q149" i="44" s="1"/>
  <c r="O113" i="44"/>
  <c r="Q113" i="44" s="1"/>
  <c r="M201" i="44"/>
  <c r="O126" i="44"/>
  <c r="Q126" i="44" s="1"/>
  <c r="O92" i="44"/>
  <c r="O199" i="44"/>
  <c r="O103" i="44"/>
  <c r="O88" i="44"/>
  <c r="O144" i="44"/>
  <c r="O130" i="44"/>
  <c r="O77" i="44"/>
  <c r="O200" i="44"/>
  <c r="Q200" i="44" s="1"/>
  <c r="C146" i="44"/>
  <c r="O145" i="44"/>
  <c r="Q145" i="44" s="1"/>
  <c r="O150" i="44"/>
  <c r="O107" i="44"/>
  <c r="Q107" i="44" s="1"/>
  <c r="O136" i="44"/>
  <c r="O102" i="44"/>
  <c r="Q102" i="44" s="1"/>
  <c r="O203" i="44"/>
  <c r="Q203" i="44" s="1"/>
  <c r="O93" i="44"/>
  <c r="Q93" i="44" s="1"/>
  <c r="O98" i="44"/>
  <c r="Q98" i="44" s="1"/>
  <c r="O185" i="44"/>
  <c r="Q185" i="44" s="1"/>
  <c r="Q182" i="44"/>
  <c r="O67" i="44"/>
  <c r="O87" i="44"/>
  <c r="Q87" i="44" s="1"/>
  <c r="O68" i="44"/>
  <c r="Q68" i="44" s="1"/>
  <c r="O160" i="44"/>
  <c r="Q160" i="44" s="1"/>
  <c r="O73" i="44"/>
  <c r="Q73" i="44" s="1"/>
  <c r="Q163" i="44"/>
  <c r="O166" i="44"/>
  <c r="Q166" i="44" s="1"/>
  <c r="O112" i="44"/>
  <c r="O72" i="44"/>
  <c r="O159" i="44"/>
  <c r="O178" i="44"/>
  <c r="O131" i="44"/>
  <c r="Q131" i="44" s="1"/>
  <c r="O83" i="44"/>
  <c r="Q83" i="44" s="1"/>
  <c r="O78" i="44"/>
  <c r="Q78" i="44" s="1"/>
  <c r="O137" i="44"/>
  <c r="Q137" i="44" s="1"/>
  <c r="M146" i="44"/>
  <c r="M156" i="44" s="1"/>
  <c r="M252" i="44" s="1"/>
  <c r="O97" i="44"/>
  <c r="O179" i="44"/>
  <c r="Q179" i="44" s="1"/>
  <c r="O108" i="44"/>
  <c r="E257" i="44"/>
  <c r="F180" i="44"/>
  <c r="M180" i="44"/>
  <c r="K180" i="44"/>
  <c r="I180" i="44"/>
  <c r="G180" i="44"/>
  <c r="H180" i="44"/>
  <c r="F146" i="44"/>
  <c r="J180" i="44"/>
  <c r="L180" i="44"/>
  <c r="I146" i="44"/>
  <c r="I156" i="44" s="1"/>
  <c r="I252" i="44" s="1"/>
  <c r="G146" i="44"/>
  <c r="G156" i="44" s="1"/>
  <c r="G252" i="44" s="1"/>
  <c r="F201" i="44"/>
  <c r="F127" i="44"/>
  <c r="F140" i="44" s="1"/>
  <c r="F251" i="44" s="1"/>
  <c r="N104" i="44"/>
  <c r="E154" i="44"/>
  <c r="D161" i="44"/>
  <c r="D89" i="44"/>
  <c r="E114" i="44"/>
  <c r="D114" i="44"/>
  <c r="D74" i="44"/>
  <c r="D99" i="44"/>
  <c r="E84" i="44"/>
  <c r="E79" i="44"/>
  <c r="D154" i="44"/>
  <c r="D138" i="44"/>
  <c r="D84" i="44"/>
  <c r="E146" i="44"/>
  <c r="D109" i="44"/>
  <c r="D69" i="44"/>
  <c r="E104" i="44"/>
  <c r="E69" i="44"/>
  <c r="E161" i="44"/>
  <c r="E201" i="44"/>
  <c r="D94" i="44"/>
  <c r="E74" i="44"/>
  <c r="E133" i="44"/>
  <c r="D146" i="44"/>
  <c r="D133" i="44"/>
  <c r="D79" i="44"/>
  <c r="E138" i="44"/>
  <c r="E109" i="44"/>
  <c r="D104" i="44"/>
  <c r="E94" i="44"/>
  <c r="N154" i="44"/>
  <c r="E99" i="44"/>
  <c r="J127" i="44"/>
  <c r="J140" i="44" s="1"/>
  <c r="J251" i="44" s="1"/>
  <c r="L146" i="44"/>
  <c r="L156" i="44" s="1"/>
  <c r="L252" i="44" s="1"/>
  <c r="M138" i="44"/>
  <c r="M140" i="44" s="1"/>
  <c r="M251" i="44" s="1"/>
  <c r="E127" i="44"/>
  <c r="N94" i="44"/>
  <c r="I127" i="44"/>
  <c r="I140" i="44" s="1"/>
  <c r="I251" i="44" s="1"/>
  <c r="N74" i="44"/>
  <c r="L201" i="44"/>
  <c r="G201" i="44"/>
  <c r="N127" i="44"/>
  <c r="N109" i="44"/>
  <c r="N69" i="44"/>
  <c r="O259" i="44"/>
  <c r="Q259" i="44" s="1"/>
  <c r="L127" i="44"/>
  <c r="L140" i="44" s="1"/>
  <c r="L251" i="44" s="1"/>
  <c r="D127" i="44"/>
  <c r="K127" i="44"/>
  <c r="K140" i="44" s="1"/>
  <c r="K251" i="44" s="1"/>
  <c r="C127" i="44"/>
  <c r="N146" i="44"/>
  <c r="O261" i="44"/>
  <c r="Q261" i="44" s="1"/>
  <c r="I109" i="44"/>
  <c r="I121" i="44" s="1"/>
  <c r="N99" i="44"/>
  <c r="N138" i="44"/>
  <c r="F156" i="44"/>
  <c r="F252" i="44" s="1"/>
  <c r="N133" i="44"/>
  <c r="N114" i="44"/>
  <c r="N201" i="44"/>
  <c r="N79" i="44"/>
  <c r="H201" i="44"/>
  <c r="C133" i="44"/>
  <c r="C104" i="44"/>
  <c r="C84" i="44"/>
  <c r="M104" i="44"/>
  <c r="C79" i="44"/>
  <c r="C161" i="44"/>
  <c r="K156" i="44"/>
  <c r="K252" i="44" s="1"/>
  <c r="C109" i="44"/>
  <c r="C89" i="44"/>
  <c r="C69" i="44"/>
  <c r="C154" i="44"/>
  <c r="C99" i="44"/>
  <c r="K201" i="44"/>
  <c r="C114" i="44"/>
  <c r="C94" i="44"/>
  <c r="C74" i="44"/>
  <c r="C201" i="44"/>
  <c r="J250" i="44"/>
  <c r="J156" i="44"/>
  <c r="J252" i="44" s="1"/>
  <c r="F257" i="44"/>
  <c r="L250" i="44"/>
  <c r="H250" i="44"/>
  <c r="G250" i="44"/>
  <c r="D201" i="44"/>
  <c r="H156" i="44"/>
  <c r="H252" i="44" s="1"/>
  <c r="D121" i="44" l="1"/>
  <c r="D250" i="44" s="1"/>
  <c r="C121" i="44"/>
  <c r="I250" i="44"/>
  <c r="E121" i="44"/>
  <c r="E250" i="44" s="1"/>
  <c r="N121" i="44"/>
  <c r="M121" i="44"/>
  <c r="M250" i="44" s="1"/>
  <c r="O84" i="44"/>
  <c r="Q84" i="44" s="1"/>
  <c r="E156" i="44"/>
  <c r="E252" i="44" s="1"/>
  <c r="O180" i="44"/>
  <c r="Q180" i="44" s="1"/>
  <c r="Q178" i="44"/>
  <c r="Q159" i="44"/>
  <c r="O161" i="44"/>
  <c r="Q161" i="44" s="1"/>
  <c r="O138" i="44"/>
  <c r="Q138" i="44" s="1"/>
  <c r="Q136" i="44"/>
  <c r="Q77" i="44"/>
  <c r="O79" i="44"/>
  <c r="Q79" i="44" s="1"/>
  <c r="O94" i="44"/>
  <c r="Q94" i="44" s="1"/>
  <c r="Q92" i="44"/>
  <c r="Q199" i="44"/>
  <c r="O201" i="44"/>
  <c r="Q201" i="44" s="1"/>
  <c r="Q97" i="44"/>
  <c r="O99" i="44"/>
  <c r="Q99" i="44" s="1"/>
  <c r="O74" i="44"/>
  <c r="Q74" i="44" s="1"/>
  <c r="Q72" i="44"/>
  <c r="Q67" i="44"/>
  <c r="O69" i="44"/>
  <c r="O133" i="44"/>
  <c r="Q133" i="44" s="1"/>
  <c r="Q130" i="44"/>
  <c r="O104" i="44"/>
  <c r="Q104" i="44" s="1"/>
  <c r="Q103" i="44"/>
  <c r="O114" i="44"/>
  <c r="Q114" i="44" s="1"/>
  <c r="Q112" i="44"/>
  <c r="Q144" i="44"/>
  <c r="O146" i="44"/>
  <c r="Q146" i="44" s="1"/>
  <c r="O127" i="44"/>
  <c r="Q127" i="44" s="1"/>
  <c r="O109" i="44"/>
  <c r="Q109" i="44" s="1"/>
  <c r="Q108" i="44"/>
  <c r="O154" i="44"/>
  <c r="Q154" i="44" s="1"/>
  <c r="Q150" i="44"/>
  <c r="O89" i="44"/>
  <c r="Q89" i="44" s="1"/>
  <c r="Q88" i="44"/>
  <c r="E140" i="44"/>
  <c r="E251" i="44" s="1"/>
  <c r="N156" i="44"/>
  <c r="N252" i="44" s="1"/>
  <c r="D156" i="44"/>
  <c r="D252" i="44" s="1"/>
  <c r="D140" i="44"/>
  <c r="D251" i="44" s="1"/>
  <c r="N250" i="44"/>
  <c r="O237" i="44"/>
  <c r="Q237" i="44" s="1"/>
  <c r="C140" i="44"/>
  <c r="C251" i="44" s="1"/>
  <c r="N140" i="44"/>
  <c r="N251" i="44" s="1"/>
  <c r="C250" i="44"/>
  <c r="C156" i="44"/>
  <c r="C252" i="44" s="1"/>
  <c r="G257" i="44"/>
  <c r="Q69" i="44" l="1"/>
  <c r="O121" i="44"/>
  <c r="Q121" i="44" s="1"/>
  <c r="O140" i="44"/>
  <c r="Q140" i="44" s="1"/>
  <c r="O156" i="44"/>
  <c r="O256" i="44"/>
  <c r="Q256" i="44" s="1"/>
  <c r="H257" i="44"/>
  <c r="O252" i="44" l="1"/>
  <c r="Q252" i="44" s="1"/>
  <c r="Q156" i="44"/>
  <c r="O251" i="44"/>
  <c r="Q251" i="44" s="1"/>
  <c r="O250" i="44"/>
  <c r="Q250" i="44" s="1"/>
  <c r="I257" i="44"/>
  <c r="J257" i="44" l="1"/>
  <c r="K257" i="44" l="1"/>
  <c r="L257" i="44" l="1"/>
  <c r="M257" i="44" l="1"/>
  <c r="O239" i="44" l="1"/>
  <c r="Q239" i="44" s="1"/>
  <c r="N257" i="44"/>
  <c r="O257" i="44" l="1"/>
  <c r="Q257" i="44" s="1"/>
  <c r="F254" i="44" l="1"/>
  <c r="J254" i="44"/>
  <c r="N254" i="44"/>
  <c r="F206" i="44"/>
  <c r="J206" i="44"/>
  <c r="N206" i="44"/>
  <c r="H254" i="44"/>
  <c r="L254" i="44"/>
  <c r="D206" i="44"/>
  <c r="H206" i="44"/>
  <c r="L206" i="44"/>
  <c r="M254" i="44"/>
  <c r="E206" i="44"/>
  <c r="M206" i="44"/>
  <c r="I254" i="44"/>
  <c r="I206" i="44"/>
  <c r="Q168" i="44"/>
  <c r="K206" i="44"/>
  <c r="G254" i="44"/>
  <c r="Q187" i="44"/>
  <c r="G206" i="44"/>
  <c r="K254" i="44"/>
  <c r="C206" i="44" l="1"/>
  <c r="O206" i="44" s="1"/>
  <c r="Q206" i="44" s="1"/>
  <c r="Q205" i="44"/>
  <c r="Q217" i="44" l="1"/>
  <c r="Q216" i="44"/>
  <c r="Q190" i="44"/>
  <c r="Q170" i="44"/>
  <c r="Q172" i="44"/>
  <c r="Q171" i="44"/>
  <c r="Q189" i="44"/>
  <c r="Q191" i="44"/>
  <c r="D254" i="44"/>
  <c r="E254" i="44"/>
  <c r="Q208" i="44"/>
  <c r="C254" i="44"/>
  <c r="Q192" i="44" l="1"/>
  <c r="Q173" i="44"/>
  <c r="D212" i="44"/>
  <c r="D253" i="44" s="1"/>
  <c r="D262" i="44" s="1"/>
  <c r="E212" i="44"/>
  <c r="E253" i="44" s="1"/>
  <c r="E262" i="44" s="1"/>
  <c r="H212" i="44"/>
  <c r="H253" i="44" s="1"/>
  <c r="H262" i="44" s="1"/>
  <c r="H265" i="44" s="1"/>
  <c r="K212" i="44"/>
  <c r="K253" i="44" s="1"/>
  <c r="K262" i="44" s="1"/>
  <c r="K265" i="44" s="1"/>
  <c r="I212" i="44"/>
  <c r="I253" i="44" s="1"/>
  <c r="I262" i="44" s="1"/>
  <c r="N212" i="44"/>
  <c r="N253" i="44" s="1"/>
  <c r="N262" i="44" s="1"/>
  <c r="L212" i="44"/>
  <c r="L253" i="44" s="1"/>
  <c r="L262" i="44" s="1"/>
  <c r="F212" i="44"/>
  <c r="F253" i="44" s="1"/>
  <c r="F262" i="44" s="1"/>
  <c r="F265" i="44" s="1"/>
  <c r="M212" i="44"/>
  <c r="M253" i="44" s="1"/>
  <c r="M262" i="44" s="1"/>
  <c r="M265" i="44" s="1"/>
  <c r="J212" i="44"/>
  <c r="J253" i="44" s="1"/>
  <c r="J262" i="44" s="1"/>
  <c r="J265" i="44" s="1"/>
  <c r="G212" i="44"/>
  <c r="G253" i="44" s="1"/>
  <c r="G262" i="44" s="1"/>
  <c r="G265" i="44" s="1"/>
  <c r="O254" i="44"/>
  <c r="Q254" i="44" s="1"/>
  <c r="N265" i="44" l="1"/>
  <c r="E265" i="44"/>
  <c r="C212" i="44"/>
  <c r="C253" i="44" s="1"/>
  <c r="C262" i="44" s="1"/>
  <c r="Q196" i="44"/>
  <c r="Q175" i="44"/>
  <c r="D265" i="44"/>
  <c r="L265" i="44"/>
  <c r="I265" i="44"/>
  <c r="O262" i="44" l="1"/>
  <c r="Q262" i="44" s="1"/>
  <c r="C265" i="44"/>
  <c r="O265" i="44" s="1"/>
  <c r="Q265" i="44" s="1"/>
  <c r="O212" i="44"/>
  <c r="O253" i="44" l="1"/>
  <c r="Q253" i="44" s="1"/>
  <c r="Q212" i="44"/>
  <c r="O266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W6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April 2021 to March 2022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<sst xmlns="http://schemas.openxmlformats.org/spreadsheetml/2006/main" count="6036" uniqueCount="627">
  <si>
    <t>555H</t>
  </si>
  <si>
    <t>Transmission</t>
  </si>
  <si>
    <t>555MP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</si>
  <si>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</si>
  <si>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</si>
  <si>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</si>
  <si>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</si>
  <si>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</si>
  <si>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</si>
  <si>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</si>
  <si>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</si>
  <si>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</si>
  <si>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</si>
  <si>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</si>
  <si>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</si>
  <si>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</si>
  <si>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</si>
  <si>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</si>
  <si>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</si>
  <si>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</si>
  <si>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Stanfield</t>
  </si>
  <si>
    <t>AECO</t>
  </si>
  <si>
    <t>Station 2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</si>
  <si>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</si>
  <si>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</si>
  <si>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</si>
  <si>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</si>
  <si>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</si>
  <si>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</si>
  <si>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</si>
  <si>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</si>
  <si>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</si>
  <si>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</si>
  <si>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</si>
  <si>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</si>
  <si>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</si>
  <si>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</si>
  <si>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</si>
  <si>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</si>
  <si>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</si>
  <si>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</si>
  <si>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</si>
  <si>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</si>
  <si>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</si>
  <si>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</si>
  <si>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</si>
  <si>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</si>
  <si>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</si>
  <si>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</si>
  <si>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</si>
  <si>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</si>
  <si>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</si>
  <si>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</si>
  <si>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</si>
  <si>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</si>
  <si>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</si>
  <si>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</si>
  <si>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</si>
  <si>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</si>
  <si>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</si>
  <si>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</si>
  <si>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</si>
  <si>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</si>
  <si>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</si>
  <si>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</si>
  <si>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</si>
  <si>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</si>
  <si>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</si>
  <si>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</si>
  <si>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</si>
  <si>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</si>
  <si>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</si>
  <si>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</si>
  <si>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</si>
  <si>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</si>
  <si>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</si>
  <si>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</si>
  <si>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</si>
  <si>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</si>
  <si>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</si>
  <si>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</si>
  <si>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</si>
  <si>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</si>
  <si>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</si>
  <si>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</si>
  <si>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</si>
  <si>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</si>
  <si>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</si>
  <si>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</si>
  <si>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</si>
  <si>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</si>
  <si>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</si>
  <si>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</si>
  <si>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</si>
  <si>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</si>
  <si>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</si>
  <si>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</si>
  <si>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</si>
  <si>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</si>
  <si>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</si>
  <si>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</si>
  <si>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</si>
  <si>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</si>
  <si>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</si>
  <si>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</si>
  <si>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</si>
  <si>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</si>
  <si>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</si>
  <si>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</si>
  <si>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</si>
  <si>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</si>
  <si>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</si>
  <si>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</si>
  <si>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</si>
  <si>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</si>
  <si>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</si>
  <si>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</si>
  <si>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</si>
  <si>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</si>
  <si>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</si>
  <si>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</si>
  <si>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</si>
  <si>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</si>
  <si>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</si>
  <si>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</si>
  <si>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</si>
  <si>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</si>
  <si>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</si>
  <si>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</si>
  <si>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</si>
  <si>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</si>
  <si>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</si>
  <si>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</si>
  <si>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</si>
  <si>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</si>
  <si>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</si>
  <si>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</si>
  <si>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</si>
  <si>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</si>
  <si>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</si>
  <si>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</si>
  <si>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</si>
  <si>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</si>
  <si>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</si>
  <si>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</si>
  <si>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</si>
  <si>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</si>
  <si>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</si>
  <si>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</si>
  <si>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</si>
  <si>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</si>
  <si>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</si>
  <si>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</si>
  <si>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</si>
  <si>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</si>
  <si>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</si>
  <si>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</si>
  <si>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</si>
  <si>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</si>
  <si>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</si>
  <si>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</si>
  <si>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</si>
  <si>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</si>
  <si>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</si>
  <si>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</si>
  <si>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</si>
  <si>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</si>
  <si>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</si>
  <si>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</si>
  <si>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</si>
  <si>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</si>
  <si>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</si>
  <si>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</si>
  <si>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</si>
  <si>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</si>
  <si>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</si>
  <si>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</si>
  <si>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</si>
  <si>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</si>
  <si>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</si>
  <si>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</si>
  <si>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</si>
  <si>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</si>
  <si>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</si>
  <si>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</si>
  <si>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</si>
  <si>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</si>
  <si>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</si>
  <si>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</si>
  <si>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</si>
  <si>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</si>
  <si>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</si>
  <si>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</si>
  <si>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</si>
  <si>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</si>
  <si>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</si>
  <si>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</si>
  <si>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</si>
  <si>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</si>
  <si>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</si>
  <si>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</si>
  <si>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</si>
  <si>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</si>
  <si>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</si>
  <si>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</si>
  <si>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</si>
  <si>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</si>
  <si>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</si>
  <si>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</si>
  <si>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</si>
  <si>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Snoqualmie</t>
  </si>
  <si>
    <t>Acct.</t>
  </si>
  <si>
    <t>PSE hedges sales</t>
  </si>
  <si>
    <t>PSE hedges purchases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</si>
  <si>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</si>
  <si>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</si>
  <si>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</si>
  <si>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</si>
  <si>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</si>
  <si>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</si>
  <si>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</si>
  <si>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</si>
  <si>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</si>
  <si>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</si>
  <si>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</si>
  <si>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</si>
  <si>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</si>
  <si>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</si>
  <si>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</si>
  <si>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</si>
  <si>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</si>
  <si>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</si>
  <si>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</si>
  <si>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</si>
  <si>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</si>
  <si>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</si>
  <si>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</si>
  <si>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</si>
  <si>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</si>
  <si>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</si>
  <si>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</si>
  <si>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</si>
  <si>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</si>
  <si>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</si>
  <si>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</si>
  <si>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</si>
  <si>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</si>
  <si>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</si>
  <si>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</si>
  <si>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</si>
  <si>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</si>
  <si>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</si>
  <si>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</si>
  <si>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</si>
  <si>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</si>
  <si>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</si>
  <si>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</si>
  <si>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</si>
  <si>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</si>
  <si>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</si>
  <si>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</si>
  <si>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</si>
  <si>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</si>
  <si>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</si>
  <si>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</si>
  <si>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</si>
  <si>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</si>
  <si>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</si>
  <si>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</si>
  <si>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</si>
  <si>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</si>
  <si>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</si>
  <si>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</si>
  <si>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</si>
  <si>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</si>
  <si>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</si>
  <si>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</si>
  <si>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</si>
  <si>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</si>
  <si>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</si>
  <si>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</si>
  <si>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</si>
  <si>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</si>
  <si>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</si>
  <si>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</si>
  <si>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</si>
  <si>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</si>
  <si>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</si>
  <si>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</si>
  <si>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</si>
  <si>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</si>
  <si>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</si>
  <si>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</si>
  <si>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</si>
  <si>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</si>
  <si>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</si>
  <si>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</si>
  <si>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</si>
  <si>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</si>
  <si>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</si>
  <si>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</si>
  <si>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</si>
  <si>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</si>
  <si>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</si>
  <si>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</si>
  <si>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</si>
  <si>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</si>
  <si>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</si>
  <si>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</si>
  <si>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</si>
  <si>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</si>
  <si>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</si>
  <si>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</si>
  <si>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</si>
  <si>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</si>
  <si>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</si>
  <si>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</si>
  <si>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</si>
  <si>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</si>
  <si>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</si>
  <si>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</si>
  <si>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</si>
  <si>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</si>
  <si>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</si>
  <si>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</si>
  <si>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</si>
  <si>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</si>
  <si>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</si>
  <si>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</si>
  <si>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</si>
  <si>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</si>
  <si>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</si>
  <si>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</si>
  <si>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</si>
  <si>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</si>
  <si>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</si>
  <si>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</si>
  <si>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</si>
  <si>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</si>
  <si>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</si>
  <si>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</si>
  <si>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</si>
  <si>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</si>
  <si>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</si>
  <si>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</si>
  <si>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</si>
  <si>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</si>
  <si>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</si>
  <si>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</si>
  <si>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</si>
  <si>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</si>
  <si>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</si>
  <si>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</si>
  <si>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</si>
  <si>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</si>
  <si>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</si>
  <si>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</si>
  <si>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</si>
  <si>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</si>
  <si>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</si>
  <si>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</si>
  <si>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</si>
  <si>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</si>
  <si>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</si>
  <si>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</si>
  <si>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</si>
  <si>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</si>
  <si>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</si>
  <si>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</si>
  <si>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</si>
  <si>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</si>
  <si>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</si>
  <si>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</si>
  <si>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</si>
  <si>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</si>
  <si>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</si>
  <si>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</si>
  <si>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</si>
  <si>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</si>
  <si>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</si>
  <si>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</si>
  <si>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</si>
  <si>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</si>
  <si>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</si>
  <si>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</si>
  <si>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</si>
  <si>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</si>
  <si>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</si>
  <si>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</si>
  <si>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</si>
  <si>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</si>
  <si>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</si>
  <si>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</si>
  <si>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</si>
  <si>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</si>
  <si>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</si>
  <si>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</si>
  <si>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</si>
  <si>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</si>
  <si>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</si>
  <si>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</si>
  <si>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</si>
  <si>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</si>
  <si>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</si>
  <si>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</si>
  <si>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</si>
  <si>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</si>
  <si>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</si>
  <si>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</si>
  <si>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</si>
  <si>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</si>
  <si>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</si>
  <si>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</si>
  <si>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</si>
  <si>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</si>
  <si>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</si>
  <si>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</si>
  <si>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</si>
  <si>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</si>
  <si>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</si>
  <si>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</si>
  <si>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</si>
  <si>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</si>
  <si>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</si>
  <si>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</si>
  <si>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</si>
  <si>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</si>
  <si>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</si>
  <si>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</si>
  <si>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</si>
  <si>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</si>
  <si>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</si>
  <si>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</si>
  <si>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</si>
  <si>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</si>
  <si>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</si>
  <si>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</si>
  <si>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</si>
  <si>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</si>
  <si>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</si>
  <si>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</si>
  <si>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</si>
  <si>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</si>
  <si>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</si>
  <si>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</si>
  <si>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</si>
  <si>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</si>
  <si>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</si>
  <si>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</si>
  <si>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</si>
  <si>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</si>
  <si>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</si>
  <si>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</si>
  <si>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</si>
  <si>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</si>
  <si>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</si>
  <si>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</si>
  <si>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</si>
  <si>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</si>
  <si>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</si>
  <si>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</si>
  <si>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</si>
  <si>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</si>
  <si>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</si>
  <si>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</si>
  <si>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</si>
  <si>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</si>
  <si>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</si>
  <si>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</si>
  <si>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</si>
  <si>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</si>
  <si>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</si>
  <si>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</si>
  <si>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</si>
  <si>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</si>
  <si>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</si>
  <si>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</si>
  <si>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</si>
  <si>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</si>
  <si>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</si>
  <si>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</si>
  <si>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</si>
  <si>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</si>
  <si>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</si>
  <si>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</si>
  <si>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</si>
  <si>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</si>
  <si>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</si>
  <si>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</si>
  <si>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</si>
  <si>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</si>
  <si>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</si>
  <si>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</si>
  <si>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</si>
  <si>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</si>
  <si>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</si>
  <si>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Other charges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</si>
  <si>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</si>
  <si>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</si>
  <si>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</si>
  <si>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</si>
  <si>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</si>
  <si>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</si>
  <si>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</si>
  <si>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</si>
  <si>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</si>
  <si>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</si>
  <si>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Premiums / (discount) on physical index deals</t>
  </si>
  <si>
    <t>Shaded information is designated as confidential per WAC 480-07-160</t>
  </si>
  <si>
    <t>`</t>
  </si>
  <si>
    <t>Gas Mark-to-Model and Open Transport Value</t>
  </si>
  <si>
    <t>Fixed Gas for Power Transportation Costs</t>
  </si>
  <si>
    <t>Short Distance Discount</t>
  </si>
  <si>
    <t>Days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</si>
  <si>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</si>
  <si>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</si>
  <si>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</si>
  <si>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</si>
  <si>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</si>
  <si>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</si>
  <si>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</si>
  <si>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</si>
  <si>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</si>
  <si>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</si>
  <si>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</si>
  <si>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</si>
  <si>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</si>
  <si>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</si>
  <si>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</si>
  <si>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</si>
  <si>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</si>
  <si>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</si>
  <si>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</si>
  <si>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</si>
  <si>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</si>
  <si>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>2020 PCORC Final Order</t>
  </si>
  <si>
    <t>2020 PCORC - Final Order</t>
  </si>
  <si>
    <t>Clearwater</t>
  </si>
  <si>
    <t>2022 GRC</t>
  </si>
  <si>
    <t>2022 GRC - 2023</t>
  </si>
  <si>
    <t>2023 Average</t>
  </si>
  <si>
    <t>2020 PCORC  - Final Order</t>
  </si>
  <si>
    <t>Totals from 2007 (or start date) to 2020</t>
  </si>
  <si>
    <t>2022 GRC day-ahead wind integration study summary results</t>
  </si>
  <si>
    <t>2022 GRC day ahead study provides a weighted average rate/MWh per project from 2007 to 2020.</t>
  </si>
  <si>
    <t>2023_01</t>
  </si>
  <si>
    <t>2023_02</t>
  </si>
  <si>
    <t>2023_03</t>
  </si>
  <si>
    <t>2023_04</t>
  </si>
  <si>
    <t>2023_05</t>
  </si>
  <si>
    <t>2023_06</t>
  </si>
  <si>
    <t>2023_07</t>
  </si>
  <si>
    <t>2023_08</t>
  </si>
  <si>
    <t>2023_09</t>
  </si>
  <si>
    <t>2023_10</t>
  </si>
  <si>
    <t>2023_11</t>
  </si>
  <si>
    <t>2023_12</t>
  </si>
  <si>
    <t>Oil for Crystal mountain generator - reliability operations over a 3 yr. period (not modeled in Aurora)</t>
  </si>
  <si>
    <t>12 mo end 6.30.20</t>
  </si>
  <si>
    <t>Test year: July 2020 through June 2021</t>
  </si>
  <si>
    <t>Rate year: January 2023 through December 2023</t>
  </si>
  <si>
    <t>Chelan 5% slice</t>
  </si>
  <si>
    <t>Frequency response contract 12/1/2021</t>
  </si>
  <si>
    <t>Total frequency response ($)</t>
  </si>
  <si>
    <t>% increase 2023 - 2020 PCORC Final Order</t>
  </si>
  <si>
    <t>2020 PCORC Final Order, 5/28/21 gas price date</t>
  </si>
  <si>
    <t>EIM Market purchases</t>
  </si>
  <si>
    <t>EIM Market sales</t>
  </si>
  <si>
    <t>Hourly Market sales</t>
  </si>
  <si>
    <t>Hourly Market purchases</t>
  </si>
  <si>
    <t>5329-Energy Delivery</t>
  </si>
  <si>
    <t>3050-EIM Power Costs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</si>
  <si>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</si>
  <si>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</si>
  <si>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</si>
  <si>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</si>
  <si>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</si>
  <si>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</si>
  <si>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</si>
  <si>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</si>
  <si>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4310-Corporate</t>
  </si>
  <si>
    <t>1148-Energy &amp; Derivative Accounting</t>
  </si>
  <si>
    <t>4201-Regulatory Affairs</t>
  </si>
  <si>
    <t>1810-Resource Planning &amp; Analysis</t>
  </si>
  <si>
    <t>5300-Joint Generation</t>
  </si>
  <si>
    <t>12 mo end 12.31.23</t>
  </si>
  <si>
    <t>EIM GHG Benefit</t>
  </si>
  <si>
    <t>Gas price date: 12/01/2021</t>
  </si>
  <si>
    <t>2022 GRC, 12/01/21 gas price date</t>
  </si>
  <si>
    <t>Other Mid-C</t>
  </si>
  <si>
    <t>Forecasted total</t>
  </si>
  <si>
    <t>Forecasted total - less PCA customer portion</t>
  </si>
  <si>
    <t>Qualifying resources (MW)</t>
  </si>
  <si>
    <t>Powerex Summer PPA</t>
  </si>
  <si>
    <t>Settlement adjustment EIM</t>
  </si>
  <si>
    <t>n/a</t>
  </si>
  <si>
    <t>Commodity, British Columbia Motor Fuel &amp; Carbon Taxes</t>
  </si>
  <si>
    <t>EIM market purchases</t>
  </si>
  <si>
    <t>Hourly market sales</t>
  </si>
  <si>
    <t>Hourly market purchases</t>
  </si>
  <si>
    <t>Total Clymer for QFs charges ($)</t>
  </si>
  <si>
    <t>Clymer for Qualifying Facilities (MW)</t>
  </si>
  <si>
    <t>CAISO GHG revenue</t>
  </si>
  <si>
    <t>Cost of California Carbon Allowances</t>
  </si>
  <si>
    <t>Net EIM GHG benefit</t>
  </si>
  <si>
    <t>Rate-year power cost adjustment for EIM GHG benefits:</t>
  </si>
  <si>
    <t>Historical Actual EIM Greenhouse Gas Net Revenue</t>
  </si>
  <si>
    <t>Index Price Physical Power Supply Contracts and Fixed Costs of Contracted Capacity</t>
  </si>
  <si>
    <t>Golden Hills PPA fixed capacity payment</t>
  </si>
  <si>
    <t>BPA capacity contract</t>
  </si>
  <si>
    <t>MW capacity</t>
  </si>
  <si>
    <t>$/kW-month</t>
  </si>
  <si>
    <t>Total cost</t>
  </si>
  <si>
    <t>Physcial power supply premiums/(discounts)</t>
  </si>
  <si>
    <t>MW winter capacity</t>
  </si>
  <si>
    <t>BPA capacity and Golden Hills fixed cost</t>
  </si>
  <si>
    <t>Redacted Version</t>
  </si>
  <si>
    <t>XXXXXXXXX</t>
  </si>
  <si>
    <t>REDACTED VERSION</t>
  </si>
  <si>
    <t>XXXXXXXX</t>
  </si>
  <si>
    <t>XXXXXXXXXXXXXXXXXXXXXXXXXXXXXXXXXXXXXXXXXXXXXXXXXXXXXXXXXXXXXXXXXXXXXXXXXXXXXXXXXXXXXXXXXXXXXXXXXXXXXXXXXXXXXXXXXXXXXXXXXXXXXXX</t>
  </si>
  <si>
    <t>XXXXXX</t>
  </si>
  <si>
    <t>XXXXXXXXXX</t>
  </si>
  <si>
    <t>XXXXXXXXXXXXX</t>
  </si>
  <si>
    <t>Yes</t>
  </si>
  <si>
    <t>No</t>
  </si>
  <si>
    <t>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</si>
</sst>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</cellStyleXfs>
  <cellXfs count="850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2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2" xfId="0" applyNumberFormat="1" applyFont="1" applyFill="1" applyBorder="1"/>
    <xf numFmtId="166" fontId="0" fillId="0" borderId="0" xfId="0" applyNumberFormat="1" applyFont="1"/>
    <xf numFmtId="0" fontId="8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7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18" xfId="0" applyFont="1" applyFill="1" applyBorder="1"/>
    <xf numFmtId="0" fontId="4" fillId="0" borderId="18" xfId="0" applyFont="1" applyBorder="1"/>
    <xf numFmtId="0" fontId="4" fillId="0" borderId="18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7" fillId="0" borderId="0" xfId="0" applyFont="1" applyAlignment="1" applyProtection="1"/>
    <xf numFmtId="0" fontId="17" fillId="0" borderId="0" xfId="0" applyFont="1" applyFill="1" applyBorder="1" applyAlignment="1" applyProtection="1">
      <alignment horizontal="right" vertical="top"/>
      <protection locked="0"/>
    </xf>
    <xf numFmtId="0" fontId="17" fillId="0" borderId="37" xfId="0" applyFont="1" applyFill="1" applyBorder="1" applyAlignment="1" applyProtection="1">
      <alignment horizontal="right" vertical="top"/>
      <protection locked="0"/>
    </xf>
    <xf numFmtId="0" fontId="19" fillId="0" borderId="20" xfId="0" applyFont="1" applyBorder="1" applyAlignment="1" applyProtection="1">
      <alignment horizontal="right"/>
    </xf>
    <xf numFmtId="42" fontId="0" fillId="2" borderId="13" xfId="0" applyNumberFormat="1" applyFont="1" applyFill="1" applyBorder="1"/>
    <xf numFmtId="42" fontId="2" fillId="0" borderId="3" xfId="0" applyNumberFormat="1" applyFont="1" applyBorder="1"/>
    <xf numFmtId="0" fontId="0" fillId="0" borderId="0" xfId="0" applyFont="1"/>
    <xf numFmtId="0" fontId="0" fillId="0" borderId="0" xfId="0" applyFont="1" applyBorder="1"/>
    <xf numFmtId="0" fontId="17" fillId="0" borderId="0" xfId="0" applyNumberFormat="1" applyFont="1" applyAlignment="1"/>
    <xf numFmtId="0" fontId="17" fillId="0" borderId="0" xfId="0" applyNumberFormat="1" applyFont="1" applyFill="1" applyAlignment="1">
      <alignment horizontal="left"/>
    </xf>
    <xf numFmtId="0" fontId="17" fillId="0" borderId="0" xfId="0" applyNumberFormat="1" applyFont="1" applyFill="1" applyAlignment="1"/>
    <xf numFmtId="166" fontId="17" fillId="0" borderId="0" xfId="0" applyNumberFormat="1" applyFont="1" applyFill="1" applyAlignment="1"/>
    <xf numFmtId="166" fontId="17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166" fontId="17" fillId="0" borderId="0" xfId="0" applyNumberFormat="1" applyFont="1" applyFill="1"/>
    <xf numFmtId="0" fontId="17" fillId="0" borderId="0" xfId="0" applyNumberFormat="1" applyFont="1" applyFill="1" applyAlignment="1">
      <alignment horizontal="center"/>
    </xf>
    <xf numFmtId="5" fontId="17" fillId="0" borderId="0" xfId="0" applyNumberFormat="1" applyFont="1" applyFill="1" applyAlignment="1"/>
    <xf numFmtId="0" fontId="17" fillId="0" borderId="0" xfId="0" applyFont="1" applyFill="1"/>
    <xf numFmtId="0" fontId="17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2" fillId="0" borderId="0" xfId="0" applyFont="1" applyAlignment="1">
      <alignment horizontal="centerContinuous"/>
    </xf>
    <xf numFmtId="0" fontId="24" fillId="0" borderId="37" xfId="0" applyFont="1" applyFill="1" applyBorder="1" applyAlignment="1"/>
    <xf numFmtId="0" fontId="17" fillId="0" borderId="0" xfId="0" applyFont="1" applyFill="1" applyBorder="1"/>
    <xf numFmtId="0" fontId="7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1" fillId="0" borderId="0" xfId="0" applyNumberFormat="1" applyFont="1" applyFill="1" applyAlignment="1"/>
    <xf numFmtId="0" fontId="32" fillId="0" borderId="0" xfId="0" applyFont="1" applyFill="1" applyAlignment="1">
      <alignment horizontal="right"/>
    </xf>
    <xf numFmtId="0" fontId="32" fillId="0" borderId="0" xfId="0" applyFont="1" applyFill="1"/>
    <xf numFmtId="0" fontId="17" fillId="0" borderId="0" xfId="0" applyFont="1"/>
    <xf numFmtId="5" fontId="33" fillId="0" borderId="0" xfId="0" applyNumberFormat="1" applyFont="1" applyFill="1" applyAlignment="1">
      <alignment horizontal="center" wrapText="1"/>
    </xf>
    <xf numFmtId="0" fontId="30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Border="1" applyAlignment="1"/>
    <xf numFmtId="37" fontId="0" fillId="0" borderId="0" xfId="0" applyNumberFormat="1" applyFont="1" applyFill="1"/>
    <xf numFmtId="166" fontId="34" fillId="0" borderId="0" xfId="0" applyNumberFormat="1" applyFont="1" applyFill="1" applyAlignment="1"/>
    <xf numFmtId="166" fontId="34" fillId="0" borderId="0" xfId="0" applyNumberFormat="1" applyFont="1" applyFill="1" applyBorder="1" applyAlignment="1"/>
    <xf numFmtId="166" fontId="34" fillId="0" borderId="0" xfId="0" applyNumberFormat="1" applyFont="1" applyFill="1" applyBorder="1"/>
    <xf numFmtId="166" fontId="19" fillId="0" borderId="0" xfId="0" applyNumberFormat="1" applyFont="1" applyFill="1" applyBorder="1" applyAlignment="1">
      <alignment horizontal="right"/>
    </xf>
    <xf numFmtId="169" fontId="34" fillId="0" borderId="0" xfId="0" applyNumberFormat="1" applyFont="1" applyFill="1" applyAlignment="1"/>
    <xf numFmtId="169" fontId="34" fillId="0" borderId="0" xfId="0" applyNumberFormat="1" applyFont="1" applyFill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Continuous"/>
    </xf>
    <xf numFmtId="0" fontId="19" fillId="0" borderId="0" xfId="0" applyFont="1" applyFill="1" applyAlignment="1">
      <alignment horizontal="center"/>
    </xf>
    <xf numFmtId="0" fontId="35" fillId="0" borderId="0" xfId="0" applyFont="1"/>
    <xf numFmtId="0" fontId="28" fillId="0" borderId="0" xfId="0" applyFont="1"/>
    <xf numFmtId="0" fontId="15" fillId="0" borderId="0" xfId="0" applyFont="1" applyAlignment="1">
      <alignment horizontal="left" indent="1"/>
    </xf>
    <xf numFmtId="0" fontId="15" fillId="0" borderId="0" xfId="0" applyFont="1"/>
    <xf numFmtId="0" fontId="37" fillId="0" borderId="33" xfId="0" applyFont="1" applyBorder="1"/>
    <xf numFmtId="0" fontId="19" fillId="0" borderId="0" xfId="0" applyFont="1" applyFill="1"/>
    <xf numFmtId="0" fontId="17" fillId="0" borderId="0" xfId="0" applyFont="1" applyAlignment="1">
      <alignment horizontal="center"/>
    </xf>
    <xf numFmtId="5" fontId="17" fillId="0" borderId="0" xfId="0" applyNumberFormat="1" applyFont="1" applyFill="1" applyBorder="1"/>
    <xf numFmtId="0" fontId="0" fillId="0" borderId="0" xfId="0" applyAlignment="1">
      <alignment horizontal="left"/>
    </xf>
    <xf numFmtId="0" fontId="19" fillId="0" borderId="2" xfId="0" applyFont="1" applyFill="1" applyBorder="1"/>
    <xf numFmtId="0" fontId="0" fillId="0" borderId="0" xfId="0" applyFont="1" applyAlignment="1">
      <alignment wrapText="1"/>
    </xf>
    <xf numFmtId="0" fontId="17" fillId="0" borderId="0" xfId="0" applyFont="1" applyAlignment="1">
      <alignment horizontal="right"/>
    </xf>
    <xf numFmtId="0" fontId="17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3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8" fillId="0" borderId="0" xfId="0" applyNumberFormat="1" applyFont="1" applyBorder="1" applyAlignment="1">
      <alignment horizontal="center"/>
    </xf>
    <xf numFmtId="0" fontId="36" fillId="0" borderId="37" xfId="0" applyFont="1" applyFill="1" applyBorder="1" applyAlignment="1">
      <alignment wrapText="1"/>
    </xf>
    <xf numFmtId="0" fontId="32" fillId="0" borderId="0" xfId="0" applyFont="1" applyFill="1" applyAlignment="1">
      <alignment horizontal="left"/>
    </xf>
    <xf numFmtId="0" fontId="17" fillId="0" borderId="37" xfId="0" applyFont="1" applyFill="1" applyBorder="1"/>
    <xf numFmtId="0" fontId="0" fillId="0" borderId="0" xfId="0" applyFill="1"/>
    <xf numFmtId="0" fontId="40" fillId="0" borderId="0" xfId="0" applyFont="1"/>
    <xf numFmtId="166" fontId="0" fillId="0" borderId="37" xfId="0" applyNumberFormat="1" applyFont="1" applyBorder="1"/>
    <xf numFmtId="166" fontId="0" fillId="0" borderId="41" xfId="0" applyNumberFormat="1" applyFont="1" applyFill="1" applyBorder="1"/>
    <xf numFmtId="166" fontId="0" fillId="0" borderId="41" xfId="0" applyNumberFormat="1" applyFont="1" applyBorder="1"/>
    <xf numFmtId="0" fontId="31" fillId="0" borderId="10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/>
    <xf numFmtId="0" fontId="20" fillId="0" borderId="37" xfId="0" applyNumberFormat="1" applyFont="1" applyFill="1" applyBorder="1" applyAlignment="1"/>
    <xf numFmtId="166" fontId="7" fillId="0" borderId="38" xfId="0" applyNumberFormat="1" applyFont="1" applyBorder="1"/>
    <xf numFmtId="0" fontId="41" fillId="0" borderId="0" xfId="0" applyNumberFormat="1" applyFont="1" applyAlignment="1">
      <alignment horizontal="left"/>
    </xf>
    <xf numFmtId="0" fontId="17" fillId="0" borderId="0" xfId="0" applyNumberFormat="1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/>
    </xf>
    <xf numFmtId="0" fontId="17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/>
    <xf numFmtId="0" fontId="16" fillId="0" borderId="0" xfId="0" applyFont="1" applyBorder="1"/>
    <xf numFmtId="5" fontId="17" fillId="0" borderId="0" xfId="0" applyNumberFormat="1" applyFont="1" applyBorder="1"/>
    <xf numFmtId="0" fontId="15" fillId="0" borderId="0" xfId="0" applyFont="1" applyAlignment="1">
      <alignment horizontal="right"/>
    </xf>
    <xf numFmtId="5" fontId="19" fillId="0" borderId="0" xfId="0" applyNumberFormat="1" applyFont="1" applyFill="1" applyBorder="1"/>
    <xf numFmtId="0" fontId="17" fillId="0" borderId="0" xfId="0" applyFont="1" applyBorder="1"/>
    <xf numFmtId="5" fontId="15" fillId="0" borderId="0" xfId="0" applyNumberFormat="1" applyFont="1" applyBorder="1"/>
    <xf numFmtId="0" fontId="40" fillId="0" borderId="0" xfId="0" applyFont="1" applyAlignment="1">
      <alignment horizontal="right"/>
    </xf>
    <xf numFmtId="166" fontId="17" fillId="0" borderId="0" xfId="0" applyNumberFormat="1" applyFont="1"/>
    <xf numFmtId="5" fontId="17" fillId="0" borderId="0" xfId="0" applyNumberFormat="1" applyFont="1" applyFill="1"/>
    <xf numFmtId="5" fontId="17" fillId="0" borderId="0" xfId="0" applyNumberFormat="1" applyFont="1"/>
    <xf numFmtId="0" fontId="15" fillId="0" borderId="0" xfId="0" applyFont="1" applyFill="1"/>
    <xf numFmtId="0" fontId="41" fillId="0" borderId="38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Continuous"/>
    </xf>
    <xf numFmtId="0" fontId="15" fillId="0" borderId="0" xfId="0" applyFont="1" applyFill="1" applyAlignment="1">
      <alignment horizontal="right"/>
    </xf>
    <xf numFmtId="0" fontId="41" fillId="0" borderId="33" xfId="0" applyFont="1" applyBorder="1"/>
    <xf numFmtId="0" fontId="18" fillId="0" borderId="0" xfId="0" applyFont="1"/>
    <xf numFmtId="0" fontId="15" fillId="0" borderId="0" xfId="0" applyFont="1" applyAlignment="1">
      <alignment horizontal="left" indent="2"/>
    </xf>
    <xf numFmtId="41" fontId="19" fillId="0" borderId="23" xfId="0" applyNumberFormat="1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0" fontId="40" fillId="0" borderId="0" xfId="0" applyFont="1" applyBorder="1" applyAlignment="1">
      <alignment horizontal="centerContinuous"/>
    </xf>
    <xf numFmtId="0" fontId="41" fillId="0" borderId="0" xfId="0" applyFont="1" applyBorder="1"/>
    <xf numFmtId="0" fontId="41" fillId="0" borderId="44" xfId="0" applyFont="1" applyFill="1" applyBorder="1" applyAlignment="1">
      <alignment horizontal="center" wrapText="1"/>
    </xf>
    <xf numFmtId="0" fontId="26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43" fontId="17" fillId="0" borderId="0" xfId="0" applyNumberFormat="1" applyFont="1" applyAlignment="1">
      <alignment horizontal="right"/>
    </xf>
    <xf numFmtId="0" fontId="19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2" fillId="0" borderId="0" xfId="0" applyNumberFormat="1" applyFont="1" applyAlignment="1">
      <alignment horizontal="center"/>
    </xf>
    <xf numFmtId="0" fontId="12" fillId="0" borderId="0" xfId="0" applyNumberFormat="1" applyFont="1" applyBorder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12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19" fillId="0" borderId="42" xfId="0" applyNumberFormat="1" applyFont="1" applyBorder="1" applyAlignment="1">
      <alignment horizontal="center"/>
    </xf>
    <xf numFmtId="17" fontId="19" fillId="0" borderId="42" xfId="0" applyNumberFormat="1" applyFont="1" applyFill="1" applyBorder="1" applyAlignment="1">
      <alignment horizontal="center"/>
    </xf>
    <xf numFmtId="17" fontId="19" fillId="0" borderId="0" xfId="0" applyNumberFormat="1" applyFont="1" applyBorder="1" applyAlignment="1">
      <alignment horizontal="center" wrapText="1"/>
    </xf>
    <xf numFmtId="17" fontId="19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7" fillId="0" borderId="0" xfId="0" applyNumberFormat="1" applyFont="1" applyFill="1" applyBorder="1" applyAlignment="1"/>
    <xf numFmtId="0" fontId="2" fillId="0" borderId="0" xfId="0" applyFont="1"/>
    <xf numFmtId="166" fontId="43" fillId="0" borderId="0" xfId="0" applyNumberFormat="1" applyFont="1" applyBorder="1"/>
    <xf numFmtId="0" fontId="32" fillId="0" borderId="11" xfId="0" applyFont="1" applyFill="1" applyBorder="1" applyAlignment="1">
      <alignment horizontal="left"/>
    </xf>
    <xf numFmtId="166" fontId="29" fillId="0" borderId="0" xfId="0" applyNumberFormat="1" applyFont="1" applyBorder="1"/>
    <xf numFmtId="164" fontId="44" fillId="0" borderId="0" xfId="0" applyNumberFormat="1" applyFont="1" applyFill="1" applyBorder="1" applyAlignment="1"/>
    <xf numFmtId="17" fontId="17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166" fontId="30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 wrapText="1"/>
    </xf>
    <xf numFmtId="166" fontId="43" fillId="0" borderId="0" xfId="0" applyNumberFormat="1" applyFont="1" applyFill="1" applyBorder="1" applyAlignment="1">
      <alignment horizontal="center"/>
    </xf>
    <xf numFmtId="0" fontId="20" fillId="0" borderId="42" xfId="0" applyNumberFormat="1" applyFont="1" applyFill="1" applyBorder="1" applyAlignment="1"/>
    <xf numFmtId="0" fontId="20" fillId="0" borderId="37" xfId="0" applyNumberFormat="1" applyFont="1" applyFill="1" applyBorder="1" applyAlignment="1">
      <alignment horizontal="left"/>
    </xf>
    <xf numFmtId="0" fontId="0" fillId="0" borderId="0" xfId="0" applyBorder="1"/>
    <xf numFmtId="0" fontId="15" fillId="0" borderId="0" xfId="0" applyFont="1" applyBorder="1"/>
    <xf numFmtId="0" fontId="15" fillId="0" borderId="20" xfId="0" applyFont="1" applyBorder="1"/>
    <xf numFmtId="17" fontId="41" fillId="0" borderId="18" xfId="0" applyNumberFormat="1" applyFont="1" applyBorder="1" applyAlignment="1">
      <alignment horizontal="center"/>
    </xf>
    <xf numFmtId="172" fontId="15" fillId="0" borderId="0" xfId="0" applyNumberFormat="1" applyFont="1" applyBorder="1"/>
    <xf numFmtId="172" fontId="15" fillId="0" borderId="37" xfId="0" applyNumberFormat="1" applyFont="1" applyBorder="1"/>
    <xf numFmtId="172" fontId="15" fillId="0" borderId="23" xfId="0" applyNumberFormat="1" applyFont="1" applyBorder="1"/>
    <xf numFmtId="0" fontId="15" fillId="0" borderId="47" xfId="0" applyFont="1" applyBorder="1"/>
    <xf numFmtId="0" fontId="15" fillId="0" borderId="10" xfId="0" applyFont="1" applyBorder="1"/>
    <xf numFmtId="0" fontId="15" fillId="0" borderId="31" xfId="0" applyFont="1" applyBorder="1"/>
    <xf numFmtId="0" fontId="15" fillId="0" borderId="43" xfId="0" applyFont="1" applyBorder="1"/>
    <xf numFmtId="44" fontId="15" fillId="0" borderId="0" xfId="0" applyNumberFormat="1" applyFont="1"/>
    <xf numFmtId="44" fontId="15" fillId="0" borderId="0" xfId="0" applyNumberFormat="1" applyFont="1"/>
    <xf numFmtId="0" fontId="45" fillId="0" borderId="0" xfId="0" applyFont="1"/>
    <xf numFmtId="0" fontId="7" fillId="0" borderId="0" xfId="0" applyFont="1" applyAlignment="1">
      <alignment horizontal="right"/>
    </xf>
    <xf numFmtId="0" fontId="20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9" fillId="0" borderId="0" xfId="0" applyFont="1" applyBorder="1"/>
    <xf numFmtId="177" fontId="15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1" fillId="0" borderId="0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7" xfId="0" applyNumberFormat="1" applyFont="1" applyBorder="1"/>
    <xf numFmtId="37" fontId="2" fillId="0" borderId="8" xfId="0" applyNumberFormat="1" applyFont="1" applyBorder="1"/>
    <xf numFmtId="37" fontId="2" fillId="0" borderId="9" xfId="0" applyNumberFormat="1" applyFont="1" applyBorder="1"/>
    <xf numFmtId="37" fontId="0" fillId="0" borderId="10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7" fillId="0" borderId="11" xfId="0" applyNumberFormat="1" applyFont="1" applyBorder="1"/>
    <xf numFmtId="5" fontId="7" fillId="0" borderId="1" xfId="0" applyNumberFormat="1" applyFont="1" applyBorder="1"/>
    <xf numFmtId="5" fontId="7" fillId="0" borderId="30" xfId="0" applyNumberFormat="1" applyFont="1" applyBorder="1"/>
    <xf numFmtId="5" fontId="7" fillId="0" borderId="0" xfId="0" applyNumberFormat="1" applyFont="1" applyFill="1"/>
    <xf numFmtId="0" fontId="7" fillId="0" borderId="0" xfId="0" applyFont="1" applyFill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27" xfId="0" applyNumberFormat="1" applyFont="1" applyFill="1" applyBorder="1"/>
    <xf numFmtId="37" fontId="0" fillId="0" borderId="27" xfId="0" applyNumberFormat="1" applyFont="1" applyFill="1" applyBorder="1"/>
    <xf numFmtId="0" fontId="9" fillId="0" borderId="0" xfId="0" applyFont="1" applyFill="1" applyBorder="1"/>
    <xf numFmtId="0" fontId="17" fillId="0" borderId="0" xfId="0" applyFont="1" applyBorder="1" applyAlignment="1" applyProtection="1"/>
    <xf numFmtId="0" fontId="12" fillId="0" borderId="0" xfId="0" applyFont="1" applyAlignment="1">
      <alignment horizontal="left"/>
    </xf>
    <xf numFmtId="0" fontId="9" fillId="0" borderId="0" xfId="0" applyFont="1"/>
    <xf numFmtId="0" fontId="24" fillId="0" borderId="0" xfId="0" applyFont="1" applyFill="1" applyAlignment="1">
      <alignment horizontal="left"/>
    </xf>
    <xf numFmtId="0" fontId="21" fillId="0" borderId="4" xfId="0" applyNumberFormat="1" applyFont="1" applyFill="1" applyBorder="1" applyAlignment="1"/>
    <xf numFmtId="0" fontId="32" fillId="0" borderId="42" xfId="0" applyNumberFormat="1" applyFont="1" applyBorder="1" applyAlignment="1">
      <alignment horizontal="center"/>
    </xf>
    <xf numFmtId="0" fontId="38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7" fillId="0" borderId="18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32" fillId="0" borderId="20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37" xfId="0" applyNumberFormat="1" applyFont="1" applyFill="1" applyBorder="1"/>
    <xf numFmtId="0" fontId="38" fillId="0" borderId="0" xfId="0" applyFont="1" applyFill="1" applyBorder="1" applyAlignment="1">
      <alignment horizontal="center" wrapText="1"/>
    </xf>
    <xf numFmtId="0" fontId="25" fillId="0" borderId="18" xfId="0" applyNumberFormat="1" applyFont="1" applyFill="1" applyBorder="1" applyAlignment="1"/>
    <xf numFmtId="166" fontId="7" fillId="0" borderId="18" xfId="0" applyNumberFormat="1" applyFont="1" applyBorder="1"/>
    <xf numFmtId="0" fontId="15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37" xfId="0" applyFont="1" applyBorder="1" applyAlignment="1">
      <alignment horizontal="left" indent="1"/>
    </xf>
    <xf numFmtId="0" fontId="17" fillId="0" borderId="10" xfId="0" applyNumberFormat="1" applyFont="1" applyFill="1" applyBorder="1" applyAlignment="1"/>
    <xf numFmtId="0" fontId="32" fillId="0" borderId="0" xfId="0" applyNumberFormat="1" applyFont="1" applyBorder="1" applyAlignment="1">
      <alignment horizontal="right"/>
    </xf>
    <xf numFmtId="0" fontId="39" fillId="0" borderId="0" xfId="0" applyFont="1" applyBorder="1" applyAlignment="1">
      <alignment horizontal="left"/>
    </xf>
    <xf numFmtId="0" fontId="23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23" fillId="0" borderId="37" xfId="0" applyNumberFormat="1" applyFont="1" applyFill="1" applyBorder="1" applyAlignment="1">
      <alignment horizontal="left"/>
    </xf>
    <xf numFmtId="37" fontId="0" fillId="2" borderId="13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7" xfId="0" applyNumberFormat="1" applyFont="1" applyFill="1" applyBorder="1"/>
    <xf numFmtId="37" fontId="0" fillId="2" borderId="50" xfId="0" applyNumberFormat="1" applyFont="1" applyFill="1" applyBorder="1"/>
    <xf numFmtId="0" fontId="4" fillId="0" borderId="46" xfId="0" applyFont="1" applyFill="1" applyBorder="1" applyAlignment="1">
      <alignment horizontal="center" wrapText="1"/>
    </xf>
    <xf numFmtId="172" fontId="7" fillId="0" borderId="0" xfId="0" applyNumberFormat="1" applyFont="1" applyBorder="1"/>
    <xf numFmtId="37" fontId="7" fillId="0" borderId="0" xfId="0" applyNumberFormat="1" applyFont="1" applyBorder="1"/>
    <xf numFmtId="10" fontId="7" fillId="0" borderId="0" xfId="0" applyNumberFormat="1" applyFont="1" applyBorder="1" applyAlignment="1">
      <alignment horizontal="center"/>
    </xf>
    <xf numFmtId="172" fontId="7" fillId="0" borderId="20" xfId="0" applyNumberFormat="1" applyFont="1" applyBorder="1"/>
    <xf numFmtId="172" fontId="7" fillId="0" borderId="18" xfId="0" applyNumberFormat="1" applyFont="1" applyBorder="1"/>
    <xf numFmtId="172" fontId="7" fillId="0" borderId="19" xfId="0" applyNumberFormat="1" applyFont="1" applyBorder="1"/>
    <xf numFmtId="37" fontId="7" fillId="0" borderId="20" xfId="0" applyNumberFormat="1" applyFont="1" applyBorder="1"/>
    <xf numFmtId="37" fontId="7" fillId="0" borderId="19" xfId="0" applyNumberFormat="1" applyFont="1" applyBorder="1"/>
    <xf numFmtId="7" fontId="7" fillId="0" borderId="19" xfId="0" applyNumberFormat="1" applyFont="1" applyBorder="1" applyAlignment="1">
      <alignment horizontal="center"/>
    </xf>
    <xf numFmtId="7" fontId="7" fillId="0" borderId="2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7" fillId="0" borderId="0" xfId="0" applyNumberFormat="1" applyFont="1" applyBorder="1" applyAlignment="1">
      <alignment horizontal="center"/>
    </xf>
    <xf numFmtId="37" fontId="0" fillId="2" borderId="51" xfId="0" applyNumberFormat="1" applyFont="1" applyFill="1" applyBorder="1"/>
    <xf numFmtId="37" fontId="0" fillId="2" borderId="52" xfId="0" applyNumberFormat="1" applyFont="1" applyFill="1" applyBorder="1"/>
    <xf numFmtId="37" fontId="0" fillId="2" borderId="53" xfId="0" applyNumberFormat="1" applyFont="1" applyFill="1" applyBorder="1"/>
    <xf numFmtId="37" fontId="0" fillId="0" borderId="54" xfId="0" applyNumberFormat="1" applyFont="1" applyFill="1" applyBorder="1"/>
    <xf numFmtId="37" fontId="0" fillId="0" borderId="3" xfId="0" applyNumberFormat="1" applyFont="1" applyFill="1" applyBorder="1"/>
    <xf numFmtId="37" fontId="0" fillId="0" borderId="29" xfId="0" applyNumberFormat="1" applyFont="1" applyFill="1" applyBorder="1"/>
    <xf numFmtId="37" fontId="0" fillId="0" borderId="10" xfId="0" applyNumberFormat="1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10" fontId="7" fillId="0" borderId="20" xfId="0" applyNumberFormat="1" applyFont="1" applyBorder="1" applyAlignment="1">
      <alignment horizontal="right" indent="1"/>
    </xf>
    <xf numFmtId="10" fontId="7" fillId="0" borderId="18" xfId="0" applyNumberFormat="1" applyFont="1" applyBorder="1" applyAlignment="1">
      <alignment horizontal="right" indent="1"/>
    </xf>
    <xf numFmtId="10" fontId="7" fillId="0" borderId="19" xfId="0" applyNumberFormat="1" applyFont="1" applyBorder="1" applyAlignment="1">
      <alignment horizontal="right" indent="1"/>
    </xf>
    <xf numFmtId="0" fontId="32" fillId="0" borderId="10" xfId="0" applyFont="1" applyFill="1" applyBorder="1" applyAlignment="1">
      <alignment horizontal="left"/>
    </xf>
    <xf numFmtId="37" fontId="0" fillId="0" borderId="56" xfId="0" applyNumberFormat="1" applyFont="1" applyFill="1" applyBorder="1"/>
    <xf numFmtId="37" fontId="0" fillId="0" borderId="57" xfId="0" applyNumberFormat="1" applyFont="1" applyFill="1" applyBorder="1"/>
    <xf numFmtId="0" fontId="7" fillId="0" borderId="34" xfId="0" applyNumberFormat="1" applyFont="1" applyFill="1" applyBorder="1" applyAlignment="1">
      <alignment horizontal="center"/>
    </xf>
    <xf numFmtId="0" fontId="7" fillId="0" borderId="34" xfId="0" applyNumberFormat="1" applyFont="1" applyBorder="1" applyAlignment="1">
      <alignment horizontal="center" wrapText="1"/>
    </xf>
    <xf numFmtId="0" fontId="7" fillId="0" borderId="34" xfId="0" applyNumberFormat="1" applyFont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37" fontId="0" fillId="0" borderId="48" xfId="0" applyNumberFormat="1" applyFont="1" applyFill="1" applyBorder="1"/>
    <xf numFmtId="37" fontId="0" fillId="0" borderId="58" xfId="0" applyNumberFormat="1" applyFont="1" applyFill="1" applyBorder="1"/>
    <xf numFmtId="37" fontId="0" fillId="0" borderId="2" xfId="0" applyNumberFormat="1" applyFont="1" applyFill="1" applyBorder="1"/>
    <xf numFmtId="166" fontId="2" fillId="0" borderId="0" xfId="0" applyNumberFormat="1" applyFont="1" applyFill="1" applyBorder="1"/>
    <xf numFmtId="166" fontId="4" fillId="0" borderId="37" xfId="0" applyNumberFormat="1" applyFont="1" applyBorder="1"/>
    <xf numFmtId="166" fontId="4" fillId="0" borderId="41" xfId="0" applyNumberFormat="1" applyFont="1" applyBorder="1"/>
    <xf numFmtId="7" fontId="2" fillId="2" borderId="16" xfId="0" applyNumberFormat="1" applyFont="1" applyFill="1" applyBorder="1"/>
    <xf numFmtId="0" fontId="17" fillId="0" borderId="16" xfId="0" applyFont="1" applyBorder="1"/>
    <xf numFmtId="37" fontId="0" fillId="0" borderId="59" xfId="0" applyNumberFormat="1" applyFont="1" applyFill="1" applyBorder="1"/>
    <xf numFmtId="0" fontId="31" fillId="0" borderId="18" xfId="0" applyNumberFormat="1" applyFont="1" applyFill="1" applyBorder="1" applyAlignment="1">
      <alignment horizontal="left"/>
    </xf>
    <xf numFmtId="0" fontId="15" fillId="0" borderId="37" xfId="0" applyFont="1" applyBorder="1" applyAlignment="1">
      <alignment horizontal="left"/>
    </xf>
    <xf numFmtId="5" fontId="17" fillId="2" borderId="13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left"/>
    </xf>
    <xf numFmtId="0" fontId="49" fillId="0" borderId="0" xfId="0" applyNumberFormat="1" applyFont="1" applyFill="1" applyAlignment="1"/>
    <xf numFmtId="0" fontId="14" fillId="0" borderId="0" xfId="0" applyFont="1" applyAlignment="1">
      <alignment horizontal="left"/>
    </xf>
    <xf numFmtId="0" fontId="42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right"/>
    </xf>
    <xf numFmtId="0" fontId="7" fillId="0" borderId="37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wrapText="1"/>
    </xf>
    <xf numFmtId="0" fontId="2" fillId="0" borderId="8" xfId="0" applyNumberFormat="1" applyFont="1" applyBorder="1" applyAlignment="1">
      <alignment horizontal="right"/>
    </xf>
    <xf numFmtId="0" fontId="4" fillId="0" borderId="21" xfId="0" applyFont="1" applyFill="1" applyBorder="1" applyAlignment="1">
      <alignment horizontal="center" wrapText="1"/>
    </xf>
    <xf numFmtId="166" fontId="15" fillId="2" borderId="13" xfId="0" applyNumberFormat="1" applyFont="1" applyFill="1" applyBorder="1"/>
    <xf numFmtId="0" fontId="17" fillId="0" borderId="4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172" fontId="17" fillId="0" borderId="0" xfId="0" applyNumberFormat="1" applyFont="1" applyBorder="1"/>
    <xf numFmtId="172" fontId="17" fillId="0" borderId="0" xfId="0" applyNumberFormat="1" applyFont="1" applyFill="1" applyBorder="1"/>
    <xf numFmtId="0" fontId="19" fillId="0" borderId="0" xfId="0" applyFont="1" applyFill="1" applyBorder="1" applyAlignment="1"/>
    <xf numFmtId="0" fontId="17" fillId="0" borderId="42" xfId="0" applyFont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17" fontId="17" fillId="0" borderId="37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166" fontId="17" fillId="0" borderId="43" xfId="0" applyNumberFormat="1" applyFont="1" applyBorder="1"/>
    <xf numFmtId="5" fontId="17" fillId="0" borderId="32" xfId="0" applyNumberFormat="1" applyFont="1" applyBorder="1" applyAlignment="1">
      <alignment horizontal="center"/>
    </xf>
    <xf numFmtId="0" fontId="17" fillId="0" borderId="47" xfId="0" applyFont="1" applyBorder="1" applyAlignment="1">
      <alignment vertical="center"/>
    </xf>
    <xf numFmtId="0" fontId="17" fillId="0" borderId="0" xfId="0" applyFont="1" applyBorder="1" applyAlignment="1">
      <alignment horizontal="center" wrapText="1"/>
    </xf>
    <xf numFmtId="0" fontId="17" fillId="0" borderId="10" xfId="0" applyFont="1" applyBorder="1"/>
    <xf numFmtId="0" fontId="17" fillId="0" borderId="47" xfId="0" applyFont="1" applyBorder="1"/>
    <xf numFmtId="166" fontId="17" fillId="0" borderId="0" xfId="0" applyNumberFormat="1" applyFont="1" applyAlignment="1"/>
    <xf numFmtId="166" fontId="17" fillId="0" borderId="0" xfId="0" applyNumberFormat="1" applyFont="1"/>
    <xf numFmtId="5" fontId="17" fillId="0" borderId="48" xfId="0" applyNumberFormat="1" applyFont="1" applyFill="1" applyBorder="1" applyAlignment="1">
      <alignment horizontal="center"/>
    </xf>
    <xf numFmtId="5" fontId="17" fillId="0" borderId="0" xfId="0" applyNumberFormat="1" applyFont="1" applyFill="1" applyBorder="1" applyAlignment="1">
      <alignment horizontal="center"/>
    </xf>
    <xf numFmtId="5" fontId="17" fillId="0" borderId="3" xfId="0" applyNumberFormat="1" applyFont="1" applyFill="1" applyBorder="1" applyAlignment="1">
      <alignment horizontal="center"/>
    </xf>
    <xf numFmtId="0" fontId="17" fillId="0" borderId="11" xfId="0" applyFont="1" applyFill="1" applyBorder="1"/>
    <xf numFmtId="0" fontId="17" fillId="0" borderId="31" xfId="0" applyFont="1" applyBorder="1"/>
    <xf numFmtId="166" fontId="17" fillId="0" borderId="23" xfId="0" applyNumberFormat="1" applyFont="1" applyBorder="1" applyAlignment="1"/>
    <xf numFmtId="166" fontId="17" fillId="0" borderId="43" xfId="0" applyNumberFormat="1" applyFont="1" applyFill="1" applyBorder="1" applyAlignment="1"/>
    <xf numFmtId="166" fontId="17" fillId="0" borderId="23" xfId="0" applyNumberFormat="1" applyFont="1" applyBorder="1"/>
    <xf numFmtId="5" fontId="17" fillId="0" borderId="0" xfId="0" applyNumberFormat="1" applyFont="1" applyBorder="1" applyAlignment="1">
      <alignment horizontal="center"/>
    </xf>
    <xf numFmtId="0" fontId="33" fillId="0" borderId="4" xfId="0" applyFont="1" applyFill="1" applyBorder="1"/>
    <xf numFmtId="0" fontId="17" fillId="0" borderId="0" xfId="0" applyFont="1" applyFill="1" applyBorder="1"/>
    <xf numFmtId="0" fontId="17" fillId="0" borderId="47" xfId="0" applyFont="1" applyBorder="1" applyAlignment="1">
      <alignment vertical="center" wrapText="1"/>
    </xf>
    <xf numFmtId="0" fontId="17" fillId="0" borderId="11" xfId="0" applyFont="1" applyBorder="1"/>
    <xf numFmtId="0" fontId="17" fillId="0" borderId="3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17" fontId="17" fillId="0" borderId="30" xfId="0" applyNumberFormat="1" applyFont="1" applyBorder="1" applyAlignment="1">
      <alignment horizontal="center" vertical="center"/>
    </xf>
    <xf numFmtId="165" fontId="17" fillId="0" borderId="0" xfId="0" applyNumberFormat="1" applyFont="1" applyBorder="1" applyAlignment="1">
      <alignment horizontal="center"/>
    </xf>
    <xf numFmtId="5" fontId="17" fillId="0" borderId="42" xfId="0" applyNumberFormat="1" applyFont="1" applyFill="1" applyBorder="1" applyAlignment="1">
      <alignment horizontal="center"/>
    </xf>
    <xf numFmtId="165" fontId="17" fillId="0" borderId="37" xfId="0" applyNumberFormat="1" applyFont="1" applyBorder="1" applyAlignment="1">
      <alignment horizontal="center"/>
    </xf>
    <xf numFmtId="1" fontId="17" fillId="0" borderId="23" xfId="0" applyNumberFormat="1" applyFont="1" applyBorder="1" applyAlignment="1">
      <alignment horizontal="center"/>
    </xf>
    <xf numFmtId="165" fontId="17" fillId="0" borderId="23" xfId="0" applyNumberFormat="1" applyFont="1" applyBorder="1"/>
    <xf numFmtId="5" fontId="17" fillId="0" borderId="23" xfId="0" applyNumberFormat="1" applyFont="1" applyBorder="1" applyAlignment="1">
      <alignment horizontal="center"/>
    </xf>
    <xf numFmtId="0" fontId="17" fillId="0" borderId="20" xfId="0" applyFont="1" applyBorder="1"/>
    <xf numFmtId="1" fontId="17" fillId="0" borderId="3" xfId="0" applyNumberFormat="1" applyFont="1" applyBorder="1" applyAlignment="1"/>
    <xf numFmtId="166" fontId="17" fillId="0" borderId="32" xfId="0" applyNumberFormat="1" applyFont="1" applyBorder="1"/>
    <xf numFmtId="165" fontId="17" fillId="0" borderId="0" xfId="0" applyNumberFormat="1" applyFont="1" applyBorder="1"/>
    <xf numFmtId="43" fontId="17" fillId="0" borderId="0" xfId="0" applyNumberFormat="1" applyFont="1" applyFill="1" applyBorder="1"/>
    <xf numFmtId="7" fontId="17" fillId="0" borderId="0" xfId="0" applyNumberFormat="1" applyFont="1" applyFill="1" applyBorder="1"/>
    <xf numFmtId="0" fontId="17" fillId="0" borderId="43" xfId="0" applyFont="1" applyFill="1" applyBorder="1"/>
    <xf numFmtId="43" fontId="17" fillId="0" borderId="43" xfId="0" applyNumberFormat="1" applyFont="1" applyFill="1" applyBorder="1"/>
    <xf numFmtId="166" fontId="17" fillId="0" borderId="0" xfId="0" applyNumberFormat="1" applyFont="1" applyFill="1" applyBorder="1"/>
    <xf numFmtId="0" fontId="7" fillId="0" borderId="10" xfId="0" applyFont="1" applyBorder="1"/>
    <xf numFmtId="0" fontId="7" fillId="0" borderId="10" xfId="0" applyFont="1" applyFill="1" applyBorder="1"/>
    <xf numFmtId="0" fontId="7" fillId="0" borderId="11" xfId="0" applyFont="1" applyFill="1" applyBorder="1"/>
    <xf numFmtId="0" fontId="4" fillId="0" borderId="11" xfId="0" applyFont="1" applyBorder="1"/>
    <xf numFmtId="0" fontId="4" fillId="0" borderId="31" xfId="0" applyFont="1" applyBorder="1"/>
    <xf numFmtId="17" fontId="4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37" fontId="2" fillId="2" borderId="13" xfId="0" applyNumberFormat="1" applyFont="1" applyFill="1" applyBorder="1" applyAlignment="1"/>
    <xf numFmtId="0" fontId="17" fillId="0" borderId="64" xfId="0" applyFont="1" applyBorder="1" applyAlignment="1" applyProtection="1">
      <alignment horizontal="right"/>
    </xf>
    <xf numFmtId="166" fontId="2" fillId="2" borderId="13" xfId="0" applyNumberFormat="1" applyFont="1" applyFill="1" applyBorder="1"/>
    <xf numFmtId="42" fontId="26" fillId="0" borderId="0" xfId="0" applyNumberFormat="1" applyFont="1" applyFill="1" applyBorder="1" applyAlignment="1"/>
    <xf numFmtId="166" fontId="15" fillId="0" borderId="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 applyAlignment="1">
      <alignment horizontal="right"/>
    </xf>
    <xf numFmtId="166" fontId="17" fillId="0" borderId="0" xfId="0" applyNumberFormat="1" applyFont="1" applyFill="1" applyBorder="1" applyAlignment="1">
      <alignment horizontal="right"/>
    </xf>
    <xf numFmtId="0" fontId="50" fillId="0" borderId="0" xfId="0" applyNumberFormat="1" applyFont="1" applyFill="1" applyAlignment="1">
      <alignment horizontal="center"/>
    </xf>
    <xf numFmtId="0" fontId="50" fillId="0" borderId="0" xfId="0" applyNumberFormat="1" applyFont="1" applyFill="1" applyAlignment="1">
      <alignment horizontal="left"/>
    </xf>
    <xf numFmtId="166" fontId="50" fillId="0" borderId="0" xfId="0" applyNumberFormat="1" applyFont="1" applyFill="1" applyAlignment="1">
      <alignment horizontal="right"/>
    </xf>
    <xf numFmtId="166" fontId="50" fillId="0" borderId="0" xfId="0" applyNumberFormat="1" applyFont="1" applyFill="1"/>
    <xf numFmtId="37" fontId="50" fillId="0" borderId="0" xfId="0" applyNumberFormat="1" applyFont="1" applyFill="1" applyBorder="1" applyAlignment="1">
      <alignment horizontal="right" wrapText="1"/>
    </xf>
    <xf numFmtId="0" fontId="50" fillId="0" borderId="0" xfId="0" applyNumberFormat="1" applyFont="1" applyFill="1" applyAlignment="1"/>
    <xf numFmtId="166" fontId="51" fillId="0" borderId="0" xfId="0" applyNumberFormat="1" applyFont="1" applyFill="1" applyAlignment="1">
      <alignment horizontal="center"/>
    </xf>
    <xf numFmtId="166" fontId="51" fillId="0" borderId="0" xfId="0" applyNumberFormat="1" applyFont="1" applyFill="1" applyAlignment="1">
      <alignment horizontal="left"/>
    </xf>
    <xf numFmtId="166" fontId="50" fillId="0" borderId="0" xfId="0" applyNumberFormat="1" applyFont="1" applyFill="1" applyBorder="1" applyAlignment="1">
      <alignment horizontal="right" wrapText="1"/>
    </xf>
    <xf numFmtId="166" fontId="50" fillId="0" borderId="0" xfId="0" applyNumberFormat="1" applyFont="1" applyFill="1" applyAlignment="1"/>
    <xf numFmtId="0" fontId="21" fillId="0" borderId="0" xfId="0" applyNumberFormat="1" applyFont="1" applyFill="1" applyAlignment="1">
      <alignment horizontal="right"/>
    </xf>
    <xf numFmtId="0" fontId="47" fillId="0" borderId="0" xfId="0" applyNumberFormat="1" applyFont="1" applyFill="1" applyBorder="1" applyAlignment="1">
      <alignment horizontal="right"/>
    </xf>
    <xf numFmtId="164" fontId="2" fillId="0" borderId="37" xfId="0" applyNumberFormat="1" applyFont="1" applyFill="1" applyBorder="1" applyAlignment="1">
      <alignment horizontal="right" wrapText="1"/>
    </xf>
    <xf numFmtId="0" fontId="23" fillId="0" borderId="0" xfId="0" applyNumberFormat="1" applyFont="1" applyFill="1" applyAlignment="1">
      <alignment horizontal="right"/>
    </xf>
    <xf numFmtId="0" fontId="26" fillId="0" borderId="0" xfId="0" applyNumberFormat="1" applyFont="1" applyFill="1" applyBorder="1" applyAlignment="1">
      <alignment horizontal="center" wrapText="1"/>
    </xf>
    <xf numFmtId="5" fontId="19" fillId="0" borderId="0" xfId="0" applyNumberFormat="1" applyFont="1" applyFill="1" applyBorder="1" applyAlignment="1">
      <alignment horizontal="center" wrapText="1"/>
    </xf>
    <xf numFmtId="168" fontId="26" fillId="0" borderId="10" xfId="0" applyNumberFormat="1" applyFont="1" applyBorder="1" applyAlignment="1">
      <alignment horizontal="center"/>
    </xf>
    <xf numFmtId="168" fontId="26" fillId="0" borderId="0" xfId="0" applyNumberFormat="1" applyFont="1" applyBorder="1" applyAlignment="1">
      <alignment horizontal="center"/>
    </xf>
    <xf numFmtId="0" fontId="34" fillId="0" borderId="10" xfId="0" applyNumberFormat="1" applyFont="1" applyFill="1" applyBorder="1" applyAlignment="1"/>
    <xf numFmtId="0" fontId="52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7" fillId="0" borderId="0" xfId="0" applyNumberFormat="1" applyFont="1" applyFill="1" applyBorder="1"/>
    <xf numFmtId="7" fontId="2" fillId="0" borderId="27" xfId="0" applyNumberFormat="1" applyFont="1" applyFill="1" applyBorder="1"/>
    <xf numFmtId="7" fontId="7" fillId="0" borderId="27" xfId="0" applyNumberFormat="1" applyFont="1" applyFill="1" applyBorder="1"/>
    <xf numFmtId="166" fontId="17" fillId="0" borderId="0" xfId="0" applyNumberFormat="1" applyFont="1" applyBorder="1"/>
    <xf numFmtId="178" fontId="17" fillId="0" borderId="0" xfId="0" applyNumberFormat="1" applyFont="1"/>
    <xf numFmtId="7" fontId="17" fillId="0" borderId="0" xfId="0" applyNumberFormat="1" applyFont="1"/>
    <xf numFmtId="172" fontId="17" fillId="2" borderId="13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Alignment="1">
      <alignment horizontal="center" vertical="center"/>
    </xf>
    <xf numFmtId="5" fontId="4" fillId="0" borderId="0" xfId="0" applyNumberFormat="1" applyFont="1" applyBorder="1"/>
    <xf numFmtId="166" fontId="17" fillId="0" borderId="37" xfId="0" applyNumberFormat="1" applyFont="1" applyFill="1" applyBorder="1"/>
    <xf numFmtId="166" fontId="17" fillId="0" borderId="42" xfId="0" applyNumberFormat="1" applyFont="1" applyFill="1" applyBorder="1"/>
    <xf numFmtId="176" fontId="17" fillId="0" borderId="0" xfId="0" applyNumberFormat="1" applyFont="1" applyFill="1" applyBorder="1"/>
    <xf numFmtId="0" fontId="12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3" fillId="0" borderId="0" xfId="0" applyFont="1" applyFill="1"/>
    <xf numFmtId="0" fontId="53" fillId="0" borderId="0" xfId="0" applyFont="1"/>
    <xf numFmtId="0" fontId="53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4" fillId="0" borderId="0" xfId="0" applyFont="1" applyBorder="1"/>
    <xf numFmtId="166" fontId="2" fillId="0" borderId="0" xfId="2" applyNumberFormat="1" applyFont="1" applyBorder="1"/>
    <xf numFmtId="17" fontId="19" fillId="0" borderId="37" xfId="0" applyNumberFormat="1" applyFont="1" applyFill="1" applyBorder="1" applyAlignment="1">
      <alignment horizontal="center"/>
    </xf>
    <xf numFmtId="0" fontId="17" fillId="0" borderId="0" xfId="0" applyNumberFormat="1" applyFont="1" applyFill="1" applyBorder="1"/>
    <xf numFmtId="166" fontId="19" fillId="0" borderId="23" xfId="0" applyNumberFormat="1" applyFont="1" applyFill="1" applyBorder="1"/>
    <xf numFmtId="166" fontId="19" fillId="0" borderId="0" xfId="0" applyNumberFormat="1" applyFont="1" applyFill="1" applyBorder="1"/>
    <xf numFmtId="10" fontId="17" fillId="0" borderId="0" xfId="0" applyNumberFormat="1" applyFont="1" applyFill="1"/>
    <xf numFmtId="10" fontId="17" fillId="0" borderId="0" xfId="0" applyNumberFormat="1" applyFont="1" applyFill="1" applyBorder="1"/>
    <xf numFmtId="168" fontId="19" fillId="0" borderId="0" xfId="0" applyNumberFormat="1" applyFont="1" applyFill="1" applyBorder="1" applyAlignment="1">
      <alignment horizontal="center"/>
    </xf>
    <xf numFmtId="166" fontId="17" fillId="0" borderId="47" xfId="0" applyNumberFormat="1" applyFont="1" applyFill="1" applyBorder="1" applyAlignment="1">
      <alignment horizontal="right"/>
    </xf>
    <xf numFmtId="171" fontId="17" fillId="0" borderId="42" xfId="0" applyNumberFormat="1" applyFont="1" applyFill="1" applyBorder="1"/>
    <xf numFmtId="171" fontId="17" fillId="0" borderId="0" xfId="0" applyNumberFormat="1" applyFont="1" applyFill="1" applyBorder="1"/>
    <xf numFmtId="166" fontId="15" fillId="0" borderId="10" xfId="0" applyNumberFormat="1" applyFont="1" applyFill="1" applyBorder="1" applyAlignment="1">
      <alignment horizontal="right"/>
    </xf>
    <xf numFmtId="166" fontId="15" fillId="0" borderId="11" xfId="0" applyNumberFormat="1" applyFont="1" applyFill="1" applyBorder="1" applyAlignment="1">
      <alignment horizontal="right"/>
    </xf>
    <xf numFmtId="171" fontId="17" fillId="0" borderId="37" xfId="0" applyNumberFormat="1" applyFont="1" applyFill="1" applyBorder="1"/>
    <xf numFmtId="0" fontId="19" fillId="0" borderId="0" xfId="0" applyNumberFormat="1" applyFont="1" applyBorder="1"/>
    <xf numFmtId="5" fontId="17" fillId="0" borderId="10" xfId="0" applyNumberFormat="1" applyFont="1" applyFill="1" applyBorder="1" applyAlignment="1">
      <alignment horizontal="right"/>
    </xf>
    <xf numFmtId="5" fontId="27" fillId="0" borderId="0" xfId="0" applyNumberFormat="1" applyFont="1" applyFill="1" applyBorder="1"/>
    <xf numFmtId="5" fontId="19" fillId="0" borderId="1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/>
    <xf numFmtId="5" fontId="19" fillId="0" borderId="10" xfId="0" applyNumberFormat="1" applyFont="1" applyFill="1" applyBorder="1"/>
    <xf numFmtId="5" fontId="17" fillId="0" borderId="10" xfId="0" applyNumberFormat="1" applyFont="1" applyFill="1" applyBorder="1"/>
    <xf numFmtId="5" fontId="2" fillId="0" borderId="0" xfId="0" applyNumberFormat="1" applyFont="1" applyFill="1"/>
    <xf numFmtId="166" fontId="17" fillId="0" borderId="10" xfId="0" applyNumberFormat="1" applyFont="1" applyBorder="1" applyAlignment="1">
      <alignment horizontal="right"/>
    </xf>
    <xf numFmtId="166" fontId="19" fillId="0" borderId="10" xfId="0" applyNumberFormat="1" applyFont="1" applyFill="1" applyBorder="1" applyAlignment="1">
      <alignment horizontal="right"/>
    </xf>
    <xf numFmtId="166" fontId="19" fillId="0" borderId="10" xfId="0" applyNumberFormat="1" applyFont="1" applyFill="1" applyBorder="1"/>
    <xf numFmtId="5" fontId="19" fillId="0" borderId="0" xfId="0" applyNumberFormat="1" applyFont="1" applyFill="1"/>
    <xf numFmtId="5" fontId="19" fillId="0" borderId="37" xfId="0" applyNumberFormat="1" applyFont="1" applyFill="1" applyBorder="1"/>
    <xf numFmtId="5" fontId="17" fillId="0" borderId="42" xfId="0" applyNumberFormat="1" applyFont="1" applyFill="1" applyBorder="1"/>
    <xf numFmtId="166" fontId="17" fillId="0" borderId="11" xfId="0" applyNumberFormat="1" applyFont="1" applyFill="1" applyBorder="1" applyAlignment="1">
      <alignment horizontal="right"/>
    </xf>
    <xf numFmtId="5" fontId="19" fillId="0" borderId="18" xfId="0" applyNumberFormat="1" applyFont="1" applyFill="1" applyBorder="1"/>
    <xf numFmtId="5" fontId="19" fillId="0" borderId="42" xfId="0" applyNumberFormat="1" applyFont="1" applyFill="1" applyBorder="1"/>
    <xf numFmtId="0" fontId="17" fillId="0" borderId="0" xfId="0" applyNumberFormat="1" applyFont="1" applyBorder="1"/>
    <xf numFmtId="166" fontId="17" fillId="0" borderId="37" xfId="0" applyNumberFormat="1" applyFont="1" applyFill="1" applyBorder="1" applyAlignment="1">
      <alignment horizontal="right"/>
    </xf>
    <xf numFmtId="166" fontId="41" fillId="0" borderId="37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5" fillId="0" borderId="37" xfId="0" applyNumberFormat="1" applyFont="1" applyFill="1" applyBorder="1" applyAlignment="1">
      <alignment horizontal="right"/>
    </xf>
    <xf numFmtId="166" fontId="41" fillId="0" borderId="23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6" fontId="2" fillId="0" borderId="0" xfId="2" applyNumberFormat="1" applyFont="1"/>
    <xf numFmtId="0" fontId="56" fillId="0" borderId="0" xfId="5" applyFont="1" applyFill="1" applyAlignment="1">
      <alignment horizontal="left"/>
    </xf>
    <xf numFmtId="0" fontId="9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1" fillId="0" borderId="45" xfId="5" applyFont="1" applyFill="1" applyBorder="1" applyAlignment="1">
      <alignment horizontal="center" wrapText="1"/>
    </xf>
    <xf numFmtId="0" fontId="57" fillId="0" borderId="0" xfId="0" applyFont="1"/>
    <xf numFmtId="0" fontId="41" fillId="0" borderId="0" xfId="5" applyFont="1" applyFill="1" applyBorder="1" applyAlignment="1">
      <alignment horizontal="center" wrapText="1"/>
    </xf>
    <xf numFmtId="168" fontId="41" fillId="0" borderId="0" xfId="0" applyNumberFormat="1" applyFont="1"/>
    <xf numFmtId="0" fontId="41" fillId="0" borderId="0" xfId="0" applyFont="1"/>
    <xf numFmtId="0" fontId="41" fillId="0" borderId="42" xfId="0" applyFont="1" applyBorder="1"/>
    <xf numFmtId="0" fontId="41" fillId="0" borderId="42" xfId="0" applyFont="1" applyFill="1" applyBorder="1"/>
    <xf numFmtId="3" fontId="15" fillId="0" borderId="0" xfId="0" applyNumberFormat="1" applyFont="1" applyFill="1"/>
    <xf numFmtId="173" fontId="15" fillId="0" borderId="0" xfId="0" applyNumberFormat="1" applyFont="1" applyFill="1"/>
    <xf numFmtId="7" fontId="15" fillId="0" borderId="0" xfId="0" applyNumberFormat="1" applyFont="1" applyFill="1"/>
    <xf numFmtId="5" fontId="15" fillId="0" borderId="0" xfId="0" applyNumberFormat="1" applyFont="1"/>
    <xf numFmtId="0" fontId="41" fillId="0" borderId="47" xfId="0" applyFont="1" applyBorder="1" applyAlignment="1">
      <alignment horizontal="center" vertical="center"/>
    </xf>
    <xf numFmtId="14" fontId="41" fillId="0" borderId="42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58" fillId="0" borderId="11" xfId="4" applyFont="1" applyBorder="1" applyAlignment="1">
      <alignment vertical="center"/>
    </xf>
    <xf numFmtId="0" fontId="58" fillId="0" borderId="37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1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168" fontId="19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5" fontId="41" fillId="0" borderId="23" xfId="3" applyNumberFormat="1" applyFont="1" applyBorder="1" applyAlignment="1">
      <alignment horizontal="center" vertical="center"/>
    </xf>
    <xf numFmtId="166" fontId="15" fillId="0" borderId="0" xfId="2" applyNumberFormat="1" applyFont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165" fontId="15" fillId="0" borderId="23" xfId="3" applyNumberFormat="1" applyFont="1" applyBorder="1" applyAlignment="1">
      <alignment horizontal="center" vertical="center"/>
    </xf>
    <xf numFmtId="165" fontId="15" fillId="0" borderId="0" xfId="3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165" fontId="15" fillId="0" borderId="43" xfId="3" applyNumberFormat="1" applyFont="1" applyBorder="1" applyAlignment="1">
      <alignment horizontal="center" vertical="center"/>
    </xf>
    <xf numFmtId="165" fontId="15" fillId="0" borderId="0" xfId="3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0" fontId="22" fillId="0" borderId="38" xfId="0" applyFont="1" applyBorder="1" applyAlignment="1">
      <alignment horizontal="center" wrapText="1"/>
    </xf>
    <xf numFmtId="166" fontId="15" fillId="0" borderId="22" xfId="2" applyNumberFormat="1" applyFont="1" applyBorder="1" applyAlignment="1">
      <alignment horizontal="center" vertical="center"/>
    </xf>
    <xf numFmtId="165" fontId="41" fillId="0" borderId="65" xfId="3" applyNumberFormat="1" applyFont="1" applyBorder="1" applyAlignment="1">
      <alignment horizontal="center" vertical="center"/>
    </xf>
    <xf numFmtId="165" fontId="15" fillId="0" borderId="65" xfId="3" applyNumberFormat="1" applyFont="1" applyBorder="1" applyAlignment="1">
      <alignment horizontal="center" vertical="center"/>
    </xf>
    <xf numFmtId="165" fontId="15" fillId="0" borderId="22" xfId="3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8" fontId="17" fillId="0" borderId="37" xfId="0" applyNumberFormat="1" applyFont="1" applyFill="1" applyBorder="1"/>
    <xf numFmtId="168" fontId="17" fillId="0" borderId="0" xfId="0" applyNumberFormat="1" applyFont="1" applyFill="1"/>
    <xf numFmtId="5" fontId="19" fillId="0" borderId="23" xfId="0" applyNumberFormat="1" applyFont="1" applyFill="1" applyBorder="1" applyAlignment="1">
      <alignment horizontal="right"/>
    </xf>
    <xf numFmtId="0" fontId="19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8" fontId="60" fillId="0" borderId="0" xfId="0" applyNumberFormat="1" applyFont="1" applyBorder="1" applyAlignment="1">
      <alignment horizontal="right" vertical="center" wrapText="1"/>
    </xf>
    <xf numFmtId="166" fontId="19" fillId="0" borderId="0" xfId="0" applyNumberFormat="1" applyFont="1" applyBorder="1"/>
    <xf numFmtId="5" fontId="17" fillId="0" borderId="10" xfId="0" applyNumberFormat="1" applyFont="1" applyBorder="1"/>
    <xf numFmtId="170" fontId="17" fillId="0" borderId="0" xfId="0" applyNumberFormat="1" applyFont="1" applyFill="1" applyBorder="1"/>
    <xf numFmtId="5" fontId="19" fillId="0" borderId="11" xfId="0" applyNumberFormat="1" applyFont="1" applyFill="1" applyBorder="1" applyAlignment="1">
      <alignment horizontal="right"/>
    </xf>
    <xf numFmtId="5" fontId="19" fillId="0" borderId="0" xfId="0" applyNumberFormat="1" applyFont="1" applyFill="1" applyBorder="1" applyAlignment="1">
      <alignment horizontal="right"/>
    </xf>
    <xf numFmtId="0" fontId="17" fillId="0" borderId="0" xfId="0" applyNumberFormat="1" applyFont="1" applyBorder="1" applyAlignment="1">
      <alignment horizontal="right"/>
    </xf>
    <xf numFmtId="5" fontId="19" fillId="0" borderId="20" xfId="0" applyNumberFormat="1" applyFont="1" applyFill="1" applyBorder="1" applyAlignment="1">
      <alignment horizontal="right"/>
    </xf>
    <xf numFmtId="5" fontId="19" fillId="0" borderId="47" xfId="0" applyNumberFormat="1" applyFont="1" applyFill="1" applyBorder="1" applyAlignment="1">
      <alignment horizontal="right"/>
    </xf>
    <xf numFmtId="0" fontId="19" fillId="0" borderId="0" xfId="0" applyNumberFormat="1" applyFont="1" applyBorder="1" applyAlignment="1">
      <alignment horizontal="right"/>
    </xf>
    <xf numFmtId="168" fontId="17" fillId="0" borderId="0" xfId="0" applyNumberFormat="1" applyFont="1" applyFill="1" applyBorder="1"/>
    <xf numFmtId="5" fontId="19" fillId="0" borderId="23" xfId="0" applyNumberFormat="1" applyFont="1" applyFill="1" applyBorder="1"/>
    <xf numFmtId="166" fontId="17" fillId="0" borderId="22" xfId="0" applyNumberFormat="1" applyFont="1" applyBorder="1"/>
    <xf numFmtId="166" fontId="17" fillId="0" borderId="22" xfId="0" applyNumberFormat="1" applyFont="1" applyFill="1" applyBorder="1"/>
    <xf numFmtId="166" fontId="19" fillId="0" borderId="65" xfId="0" applyNumberFormat="1" applyFont="1" applyFill="1" applyBorder="1"/>
    <xf numFmtId="10" fontId="17" fillId="0" borderId="22" xfId="0" applyNumberFormat="1" applyFont="1" applyFill="1" applyBorder="1"/>
    <xf numFmtId="171" fontId="17" fillId="0" borderId="25" xfId="0" applyNumberFormat="1" applyFont="1" applyFill="1" applyBorder="1"/>
    <xf numFmtId="171" fontId="17" fillId="0" borderId="22" xfId="0" applyNumberFormat="1" applyFont="1" applyFill="1" applyBorder="1"/>
    <xf numFmtId="176" fontId="17" fillId="0" borderId="22" xfId="0" applyNumberFormat="1" applyFont="1" applyFill="1" applyBorder="1"/>
    <xf numFmtId="171" fontId="17" fillId="0" borderId="41" xfId="0" applyNumberFormat="1" applyFont="1" applyFill="1" applyBorder="1"/>
    <xf numFmtId="5" fontId="17" fillId="0" borderId="22" xfId="0" applyNumberFormat="1" applyFont="1" applyFill="1" applyBorder="1"/>
    <xf numFmtId="168" fontId="19" fillId="0" borderId="22" xfId="0" applyNumberFormat="1" applyFont="1" applyFill="1" applyBorder="1" applyAlignment="1">
      <alignment horizontal="center"/>
    </xf>
    <xf numFmtId="166" fontId="17" fillId="0" borderId="25" xfId="0" applyNumberFormat="1" applyFont="1" applyFill="1" applyBorder="1"/>
    <xf numFmtId="5" fontId="27" fillId="0" borderId="22" xfId="0" applyNumberFormat="1" applyFont="1" applyFill="1" applyBorder="1"/>
    <xf numFmtId="5" fontId="19" fillId="0" borderId="22" xfId="0" applyNumberFormat="1" applyFont="1" applyFill="1" applyBorder="1"/>
    <xf numFmtId="5" fontId="17" fillId="0" borderId="22" xfId="0" applyNumberFormat="1" applyFont="1" applyBorder="1"/>
    <xf numFmtId="7" fontId="17" fillId="0" borderId="22" xfId="0" applyNumberFormat="1" applyFont="1" applyFill="1" applyBorder="1"/>
    <xf numFmtId="5" fontId="19" fillId="0" borderId="41" xfId="0" applyNumberFormat="1" applyFont="1" applyFill="1" applyBorder="1"/>
    <xf numFmtId="5" fontId="17" fillId="0" borderId="25" xfId="0" applyNumberFormat="1" applyFont="1" applyFill="1" applyBorder="1"/>
    <xf numFmtId="166" fontId="17" fillId="0" borderId="41" xfId="0" applyNumberFormat="1" applyFont="1" applyFill="1" applyBorder="1"/>
    <xf numFmtId="5" fontId="19" fillId="0" borderId="67" xfId="0" applyNumberFormat="1" applyFont="1" applyFill="1" applyBorder="1"/>
    <xf numFmtId="5" fontId="19" fillId="0" borderId="25" xfId="0" applyNumberFormat="1" applyFont="1" applyFill="1" applyBorder="1"/>
    <xf numFmtId="5" fontId="19" fillId="0" borderId="24" xfId="0" applyNumberFormat="1" applyFont="1" applyFill="1" applyBorder="1"/>
    <xf numFmtId="17" fontId="19" fillId="0" borderId="66" xfId="0" applyNumberFormat="1" applyFont="1" applyFill="1" applyBorder="1" applyAlignment="1">
      <alignment horizontal="center" wrapText="1"/>
    </xf>
    <xf numFmtId="0" fontId="41" fillId="0" borderId="40" xfId="0" applyFont="1" applyBorder="1" applyAlignment="1">
      <alignment horizontal="right"/>
    </xf>
    <xf numFmtId="5" fontId="15" fillId="0" borderId="0" xfId="2" applyNumberFormat="1" applyFont="1" applyAlignment="1">
      <alignment horizontal="right" vertical="center"/>
    </xf>
    <xf numFmtId="5" fontId="15" fillId="0" borderId="22" xfId="2" applyNumberFormat="1" applyFont="1" applyBorder="1" applyAlignment="1">
      <alignment horizontal="right" vertical="center"/>
    </xf>
    <xf numFmtId="5" fontId="15" fillId="0" borderId="0" xfId="2" applyNumberFormat="1" applyFont="1" applyBorder="1" applyAlignment="1">
      <alignment horizontal="right" vertical="center"/>
    </xf>
    <xf numFmtId="5" fontId="15" fillId="0" borderId="0" xfId="2" applyNumberFormat="1" applyFont="1" applyFill="1" applyBorder="1" applyAlignment="1">
      <alignment horizontal="right" vertical="center"/>
    </xf>
    <xf numFmtId="5" fontId="15" fillId="0" borderId="0" xfId="0" applyNumberFormat="1" applyFont="1" applyAlignment="1">
      <alignment horizontal="right" vertical="center"/>
    </xf>
    <xf numFmtId="5" fontId="15" fillId="0" borderId="37" xfId="2" applyNumberFormat="1" applyFont="1" applyBorder="1" applyAlignment="1">
      <alignment horizontal="right" vertical="center"/>
    </xf>
    <xf numFmtId="165" fontId="15" fillId="0" borderId="0" xfId="0" applyNumberFormat="1" applyFont="1" applyAlignment="1">
      <alignment horizontal="center" vertical="center"/>
    </xf>
    <xf numFmtId="5" fontId="15" fillId="0" borderId="0" xfId="2" applyNumberFormat="1" applyFont="1" applyFill="1" applyAlignment="1">
      <alignment horizontal="right" vertical="center"/>
    </xf>
    <xf numFmtId="5" fontId="15" fillId="0" borderId="22" xfId="2" applyNumberFormat="1" applyFont="1" applyFill="1" applyBorder="1" applyAlignment="1">
      <alignment horizontal="right" vertical="center"/>
    </xf>
    <xf numFmtId="165" fontId="15" fillId="2" borderId="51" xfId="3" applyNumberFormat="1" applyFont="1" applyFill="1" applyBorder="1" applyAlignment="1">
      <alignment horizontal="center" vertical="center"/>
    </xf>
    <xf numFmtId="10" fontId="17" fillId="0" borderId="10" xfId="0" applyNumberFormat="1" applyFont="1" applyFill="1" applyBorder="1" applyAlignment="1">
      <alignment horizontal="right"/>
    </xf>
    <xf numFmtId="37" fontId="17" fillId="0" borderId="0" xfId="0" applyNumberFormat="1" applyFont="1" applyFill="1" applyAlignment="1"/>
    <xf numFmtId="177" fontId="15" fillId="0" borderId="21" xfId="0" applyNumberFormat="1" applyFont="1" applyFill="1" applyBorder="1"/>
    <xf numFmtId="177" fontId="15" fillId="0" borderId="22" xfId="0" applyNumberFormat="1" applyFont="1" applyFill="1" applyBorder="1"/>
    <xf numFmtId="0" fontId="15" fillId="0" borderId="22" xfId="0" applyFont="1" applyFill="1" applyBorder="1"/>
    <xf numFmtId="3" fontId="15" fillId="0" borderId="22" xfId="0" applyNumberFormat="1" applyFont="1" applyFill="1" applyBorder="1"/>
    <xf numFmtId="173" fontId="15" fillId="0" borderId="22" xfId="0" applyNumberFormat="1" applyFont="1" applyFill="1" applyBorder="1"/>
    <xf numFmtId="168" fontId="41" fillId="0" borderId="22" xfId="0" applyNumberFormat="1" applyFont="1" applyFill="1" applyBorder="1" applyAlignment="1">
      <alignment horizontal="right"/>
    </xf>
    <xf numFmtId="166" fontId="17" fillId="2" borderId="13" xfId="2" applyNumberFormat="1" applyFont="1" applyFill="1" applyBorder="1"/>
    <xf numFmtId="37" fontId="15" fillId="2" borderId="13" xfId="0" applyNumberFormat="1" applyFont="1" applyFill="1" applyBorder="1"/>
    <xf numFmtId="37" fontId="15" fillId="2" borderId="14" xfId="0" applyNumberFormat="1" applyFont="1" applyFill="1" applyBorder="1"/>
    <xf numFmtId="7" fontId="15" fillId="2" borderId="16" xfId="0" applyNumberFormat="1" applyFont="1" applyFill="1" applyBorder="1"/>
    <xf numFmtId="7" fontId="15" fillId="2" borderId="0" xfId="0" applyNumberFormat="1" applyFont="1" applyFill="1" applyBorder="1"/>
    <xf numFmtId="5" fontId="41" fillId="2" borderId="61" xfId="0" applyNumberFormat="1" applyFont="1" applyFill="1" applyBorder="1"/>
    <xf numFmtId="5" fontId="41" fillId="2" borderId="62" xfId="0" applyNumberFormat="1" applyFont="1" applyFill="1" applyBorder="1"/>
    <xf numFmtId="5" fontId="41" fillId="2" borderId="51" xfId="0" applyNumberFormat="1" applyFont="1" applyFill="1" applyBorder="1"/>
    <xf numFmtId="0" fontId="61" fillId="0" borderId="0" xfId="0" applyFont="1" applyAlignment="1">
      <alignment horizontal="center" vertical="center"/>
    </xf>
    <xf numFmtId="180" fontId="17" fillId="0" borderId="0" xfId="0" applyNumberFormat="1" applyFont="1" applyFill="1" applyBorder="1"/>
    <xf numFmtId="1" fontId="17" fillId="0" borderId="22" xfId="0" applyNumberFormat="1" applyFont="1" applyFill="1" applyBorder="1"/>
    <xf numFmtId="0" fontId="19" fillId="0" borderId="0" xfId="0" applyFont="1" applyFill="1" applyBorder="1" applyAlignment="1">
      <alignment horizontal="left"/>
    </xf>
    <xf numFmtId="14" fontId="19" fillId="0" borderId="0" xfId="0" applyNumberFormat="1" applyFont="1" applyFill="1" applyBorder="1" applyAlignment="1">
      <alignment horizontal="left"/>
    </xf>
    <xf numFmtId="7" fontId="15" fillId="0" borderId="0" xfId="0" applyNumberFormat="1" applyFont="1"/>
    <xf numFmtId="0" fontId="0" fillId="0" borderId="0" xfId="0" applyAlignment="1"/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179" fontId="41" fillId="0" borderId="42" xfId="0" applyNumberFormat="1" applyFont="1" applyBorder="1" applyAlignment="1">
      <alignment horizontal="right" vertical="center"/>
    </xf>
    <xf numFmtId="0" fontId="58" fillId="0" borderId="37" xfId="4" applyFont="1" applyBorder="1" applyAlignment="1">
      <alignment horizontal="right" vertical="center"/>
    </xf>
    <xf numFmtId="0" fontId="41" fillId="0" borderId="30" xfId="0" applyFont="1" applyBorder="1" applyAlignment="1">
      <alignment horizontal="right" vertical="center"/>
    </xf>
    <xf numFmtId="166" fontId="15" fillId="0" borderId="0" xfId="2" applyNumberFormat="1" applyFont="1" applyAlignment="1">
      <alignment horizontal="right" vertical="center"/>
    </xf>
    <xf numFmtId="174" fontId="15" fillId="0" borderId="0" xfId="0" applyNumberFormat="1" applyFont="1" applyAlignment="1">
      <alignment horizontal="right" vertical="center"/>
    </xf>
    <xf numFmtId="174" fontId="15" fillId="0" borderId="0" xfId="1" applyNumberFormat="1" applyFont="1" applyAlignment="1">
      <alignment horizontal="right" vertical="center"/>
    </xf>
    <xf numFmtId="43" fontId="15" fillId="0" borderId="0" xfId="2" applyFont="1" applyAlignment="1">
      <alignment horizontal="right" vertical="center"/>
    </xf>
    <xf numFmtId="5" fontId="15" fillId="0" borderId="0" xfId="3" applyNumberFormat="1" applyFont="1" applyAlignment="1">
      <alignment horizontal="right" vertical="center"/>
    </xf>
    <xf numFmtId="7" fontId="15" fillId="0" borderId="0" xfId="2" applyNumberFormat="1" applyFont="1" applyAlignment="1">
      <alignment horizontal="right" vertical="center"/>
    </xf>
    <xf numFmtId="0" fontId="59" fillId="0" borderId="0" xfId="4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43" fontId="15" fillId="0" borderId="0" xfId="0" applyNumberFormat="1" applyFont="1" applyAlignment="1">
      <alignment horizontal="right" vertical="center"/>
    </xf>
    <xf numFmtId="7" fontId="15" fillId="0" borderId="0" xfId="0" applyNumberFormat="1" applyFont="1" applyAlignment="1">
      <alignment horizontal="right" vertical="center"/>
    </xf>
    <xf numFmtId="5" fontId="0" fillId="2" borderId="13" xfId="0" applyNumberFormat="1" applyFont="1" applyFill="1" applyBorder="1"/>
    <xf numFmtId="5" fontId="0" fillId="0" borderId="0" xfId="0" applyNumberFormat="1" applyFont="1"/>
    <xf numFmtId="5" fontId="0" fillId="0" borderId="22" xfId="0" applyNumberFormat="1" applyFont="1" applyBorder="1"/>
    <xf numFmtId="5" fontId="0" fillId="0" borderId="0" xfId="0" applyNumberFormat="1" applyFont="1" applyFill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0" fontId="41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center" wrapText="1"/>
    </xf>
    <xf numFmtId="165" fontId="41" fillId="0" borderId="0" xfId="3" applyNumberFormat="1" applyFont="1" applyBorder="1" applyAlignment="1">
      <alignment horizontal="center" vertical="center"/>
    </xf>
    <xf numFmtId="165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5" fontId="41" fillId="0" borderId="0" xfId="3" applyNumberFormat="1" applyFont="1" applyFill="1" applyBorder="1" applyAlignment="1">
      <alignment horizontal="center" vertical="center"/>
    </xf>
    <xf numFmtId="10" fontId="15" fillId="0" borderId="0" xfId="0" applyNumberFormat="1" applyFont="1"/>
    <xf numFmtId="173" fontId="15" fillId="0" borderId="22" xfId="0" applyNumberFormat="1" applyFont="1" applyFill="1" applyBorder="1" applyAlignment="1">
      <alignment horizontal="right"/>
    </xf>
    <xf numFmtId="181" fontId="15" fillId="0" borderId="22" xfId="0" applyNumberFormat="1" applyFont="1" applyFill="1" applyBorder="1"/>
    <xf numFmtId="10" fontId="57" fillId="0" borderId="0" xfId="0" applyNumberFormat="1" applyFont="1"/>
    <xf numFmtId="173" fontId="57" fillId="0" borderId="22" xfId="0" applyNumberFormat="1" applyFont="1" applyFill="1" applyBorder="1"/>
    <xf numFmtId="9" fontId="17" fillId="0" borderId="0" xfId="1" applyFont="1"/>
    <xf numFmtId="0" fontId="20" fillId="0" borderId="42" xfId="0" applyNumberFormat="1" applyFont="1" applyFill="1" applyBorder="1" applyAlignment="1">
      <alignment horizontal="right"/>
    </xf>
    <xf numFmtId="0" fontId="33" fillId="0" borderId="0" xfId="0" applyNumberFormat="1" applyFont="1" applyFill="1" applyAlignment="1">
      <alignment horizontal="center" wrapText="1"/>
    </xf>
    <xf numFmtId="165" fontId="2" fillId="0" borderId="0" xfId="3" applyNumberFormat="1" applyFont="1" applyFill="1" applyBorder="1"/>
    <xf numFmtId="165" fontId="2" fillId="0" borderId="0" xfId="3" applyNumberFormat="1" applyFont="1" applyFill="1" applyBorder="1" applyAlignment="1">
      <alignment horizontal="right" wrapText="1"/>
    </xf>
    <xf numFmtId="165" fontId="2" fillId="0" borderId="10" xfId="3" applyNumberFormat="1" applyFont="1" applyFill="1" applyBorder="1"/>
    <xf numFmtId="165" fontId="2" fillId="0" borderId="27" xfId="3" applyNumberFormat="1" applyFont="1" applyFill="1" applyBorder="1"/>
    <xf numFmtId="165" fontId="2" fillId="0" borderId="59" xfId="3" applyNumberFormat="1" applyFont="1" applyFill="1" applyBorder="1"/>
    <xf numFmtId="165" fontId="2" fillId="2" borderId="16" xfId="3" applyNumberFormat="1" applyFont="1" applyFill="1" applyBorder="1"/>
    <xf numFmtId="165" fontId="2" fillId="2" borderId="0" xfId="3" applyNumberFormat="1" applyFont="1" applyFill="1" applyBorder="1"/>
    <xf numFmtId="165" fontId="2" fillId="2" borderId="28" xfId="3" applyNumberFormat="1" applyFont="1" applyFill="1" applyBorder="1"/>
    <xf numFmtId="165" fontId="2" fillId="2" borderId="27" xfId="3" applyNumberFormat="1" applyFont="1" applyFill="1" applyBorder="1"/>
    <xf numFmtId="165" fontId="2" fillId="2" borderId="51" xfId="3" applyNumberFormat="1" applyFont="1" applyFill="1" applyBorder="1"/>
    <xf numFmtId="165" fontId="2" fillId="2" borderId="52" xfId="3" applyNumberFormat="1" applyFont="1" applyFill="1" applyBorder="1"/>
    <xf numFmtId="165" fontId="2" fillId="0" borderId="57" xfId="3" applyNumberFormat="1" applyFont="1" applyFill="1" applyBorder="1"/>
    <xf numFmtId="165" fontId="2" fillId="2" borderId="13" xfId="3" applyNumberFormat="1" applyFont="1" applyFill="1" applyBorder="1"/>
    <xf numFmtId="165" fontId="2" fillId="2" borderId="14" xfId="3" applyNumberFormat="1" applyFont="1" applyFill="1" applyBorder="1"/>
    <xf numFmtId="165" fontId="2" fillId="2" borderId="60" xfId="3" applyNumberFormat="1" applyFont="1" applyFill="1" applyBorder="1"/>
    <xf numFmtId="165" fontId="2" fillId="2" borderId="37" xfId="3" applyNumberFormat="1" applyFont="1" applyFill="1" applyBorder="1"/>
    <xf numFmtId="165" fontId="7" fillId="2" borderId="37" xfId="3" applyNumberFormat="1" applyFont="1" applyFill="1" applyBorder="1"/>
    <xf numFmtId="165" fontId="2" fillId="2" borderId="61" xfId="3" applyNumberFormat="1" applyFont="1" applyFill="1" applyBorder="1"/>
    <xf numFmtId="165" fontId="2" fillId="2" borderId="62" xfId="3" applyNumberFormat="1" applyFont="1" applyFill="1" applyBorder="1"/>
    <xf numFmtId="164" fontId="21" fillId="0" borderId="18" xfId="0" applyNumberFormat="1" applyFont="1" applyFill="1" applyBorder="1" applyAlignment="1">
      <alignment horizontal="right"/>
    </xf>
    <xf numFmtId="165" fontId="20" fillId="0" borderId="2" xfId="3" applyNumberFormat="1" applyFont="1" applyFill="1" applyBorder="1" applyAlignment="1">
      <alignment horizontal="right"/>
    </xf>
    <xf numFmtId="165" fontId="2" fillId="0" borderId="3" xfId="3" applyNumberFormat="1" applyFont="1" applyFill="1" applyBorder="1" applyAlignment="1">
      <alignment horizontal="right" wrapText="1"/>
    </xf>
    <xf numFmtId="165" fontId="7" fillId="0" borderId="0" xfId="3" applyNumberFormat="1" applyFont="1" applyFill="1" applyBorder="1" applyAlignment="1">
      <alignment horizontal="right" wrapText="1"/>
    </xf>
    <xf numFmtId="166" fontId="50" fillId="0" borderId="0" xfId="0" applyNumberFormat="1" applyFont="1" applyFill="1" applyBorder="1"/>
    <xf numFmtId="165" fontId="7" fillId="2" borderId="60" xfId="3" applyNumberFormat="1" applyFont="1" applyFill="1" applyBorder="1"/>
    <xf numFmtId="0" fontId="7" fillId="0" borderId="18" xfId="0" applyNumberFormat="1" applyFont="1" applyFill="1" applyBorder="1" applyAlignment="1">
      <alignment horizontal="left"/>
    </xf>
    <xf numFmtId="0" fontId="24" fillId="0" borderId="0" xfId="0" applyNumberFormat="1" applyFont="1" applyFill="1" applyBorder="1" applyAlignment="1"/>
    <xf numFmtId="0" fontId="24" fillId="0" borderId="0" xfId="0" applyNumberFormat="1" applyFont="1" applyFill="1" applyAlignment="1"/>
    <xf numFmtId="166" fontId="2" fillId="0" borderId="0" xfId="2" applyNumberFormat="1" applyFont="1" applyFill="1" applyBorder="1" applyAlignment="1">
      <alignment horizontal="right" wrapText="1"/>
    </xf>
    <xf numFmtId="166" fontId="2" fillId="2" borderId="16" xfId="2" applyNumberFormat="1" applyFont="1" applyFill="1" applyBorder="1" applyAlignment="1">
      <alignment horizontal="right"/>
    </xf>
    <xf numFmtId="164" fontId="7" fillId="0" borderId="18" xfId="0" applyNumberFormat="1" applyFont="1" applyFill="1" applyBorder="1" applyAlignment="1">
      <alignment horizontal="right" wrapText="1"/>
    </xf>
    <xf numFmtId="166" fontId="2" fillId="0" borderId="10" xfId="2" applyNumberFormat="1" applyFont="1" applyFill="1" applyBorder="1" applyAlignment="1">
      <alignment horizontal="right" wrapText="1"/>
    </xf>
    <xf numFmtId="166" fontId="2" fillId="0" borderId="2" xfId="2" applyNumberFormat="1" applyFont="1" applyFill="1" applyBorder="1" applyAlignment="1">
      <alignment horizontal="right" wrapText="1"/>
    </xf>
    <xf numFmtId="166" fontId="2" fillId="0" borderId="55" xfId="2" applyNumberFormat="1" applyFont="1" applyFill="1" applyBorder="1" applyAlignment="1">
      <alignment horizontal="right" wrapText="1"/>
    </xf>
    <xf numFmtId="0" fontId="41" fillId="0" borderId="34" xfId="0" applyFont="1" applyFill="1" applyBorder="1" applyAlignment="1">
      <alignment horizontal="center" wrapText="1"/>
    </xf>
    <xf numFmtId="0" fontId="41" fillId="0" borderId="19" xfId="0" applyFont="1" applyFill="1" applyBorder="1" applyAlignment="1">
      <alignment horizontal="center" wrapText="1"/>
    </xf>
    <xf numFmtId="42" fontId="20" fillId="0" borderId="2" xfId="0" applyNumberFormat="1" applyFont="1" applyFill="1" applyBorder="1" applyAlignment="1"/>
    <xf numFmtId="0" fontId="20" fillId="0" borderId="2" xfId="0" applyNumberFormat="1" applyFont="1" applyFill="1" applyBorder="1" applyAlignment="1"/>
    <xf numFmtId="42" fontId="4" fillId="0" borderId="5" xfId="0" applyNumberFormat="1" applyFont="1" applyBorder="1"/>
    <xf numFmtId="0" fontId="41" fillId="0" borderId="20" xfId="0" applyFont="1" applyFill="1" applyBorder="1" applyAlignment="1">
      <alignment horizontal="center" wrapText="1"/>
    </xf>
    <xf numFmtId="166" fontId="0" fillId="0" borderId="10" xfId="0" applyNumberFormat="1" applyFont="1" applyBorder="1"/>
    <xf numFmtId="42" fontId="2" fillId="0" borderId="10" xfId="0" applyNumberFormat="1" applyFont="1" applyBorder="1"/>
    <xf numFmtId="42" fontId="4" fillId="0" borderId="68" xfId="0" applyNumberFormat="1" applyFont="1" applyBorder="1"/>
    <xf numFmtId="166" fontId="17" fillId="0" borderId="3" xfId="0" applyNumberFormat="1" applyFont="1" applyBorder="1"/>
    <xf numFmtId="166" fontId="2" fillId="0" borderId="19" xfId="0" applyNumberFormat="1" applyFont="1" applyFill="1" applyBorder="1"/>
    <xf numFmtId="166" fontId="2" fillId="0" borderId="34" xfId="2" applyNumberFormat="1" applyFont="1" applyBorder="1"/>
    <xf numFmtId="166" fontId="2" fillId="0" borderId="20" xfId="0" applyNumberFormat="1" applyFont="1" applyFill="1" applyBorder="1"/>
    <xf numFmtId="166" fontId="2" fillId="0" borderId="18" xfId="0" applyNumberFormat="1" applyFont="1" applyFill="1" applyBorder="1"/>
    <xf numFmtId="166" fontId="0" fillId="0" borderId="10" xfId="0" applyNumberFormat="1" applyFont="1" applyFill="1" applyBorder="1"/>
    <xf numFmtId="17" fontId="19" fillId="0" borderId="47" xfId="0" applyNumberFormat="1" applyFont="1" applyBorder="1" applyAlignment="1">
      <alignment horizontal="center"/>
    </xf>
    <xf numFmtId="166" fontId="20" fillId="0" borderId="34" xfId="2" applyNumberFormat="1" applyFont="1" applyFill="1" applyBorder="1" applyAlignment="1">
      <alignment horizontal="left"/>
    </xf>
    <xf numFmtId="0" fontId="0" fillId="0" borderId="37" xfId="0" applyFont="1" applyBorder="1"/>
    <xf numFmtId="0" fontId="2" fillId="0" borderId="42" xfId="0" applyNumberFormat="1" applyFont="1" applyFill="1" applyBorder="1" applyAlignment="1">
      <alignment horizontal="center"/>
    </xf>
    <xf numFmtId="164" fontId="2" fillId="0" borderId="42" xfId="0" applyNumberFormat="1" applyFont="1" applyFill="1" applyBorder="1" applyAlignment="1">
      <alignment horizontal="left"/>
    </xf>
    <xf numFmtId="164" fontId="7" fillId="0" borderId="42" xfId="0" applyNumberFormat="1" applyFont="1" applyFill="1" applyBorder="1" applyAlignment="1">
      <alignment horizontal="left"/>
    </xf>
    <xf numFmtId="0" fontId="15" fillId="0" borderId="0" xfId="0" applyFont="1" applyAlignment="1" applyProtection="1"/>
    <xf numFmtId="166" fontId="17" fillId="0" borderId="43" xfId="0" applyNumberFormat="1" applyFont="1" applyBorder="1" applyAlignment="1"/>
    <xf numFmtId="7" fontId="17" fillId="0" borderId="69" xfId="0" applyNumberFormat="1" applyFont="1" applyBorder="1" applyAlignment="1">
      <alignment horizontal="center"/>
    </xf>
    <xf numFmtId="0" fontId="0" fillId="0" borderId="21" xfId="0" applyFont="1" applyBorder="1"/>
    <xf numFmtId="165" fontId="15" fillId="2" borderId="49" xfId="3" applyNumberFormat="1" applyFont="1" applyFill="1" applyBorder="1" applyAlignment="1">
      <alignment horizontal="center" vertical="center"/>
    </xf>
    <xf numFmtId="0" fontId="19" fillId="0" borderId="66" xfId="0" applyNumberFormat="1" applyFont="1" applyFill="1" applyBorder="1" applyAlignment="1">
      <alignment horizontal="center"/>
    </xf>
    <xf numFmtId="166" fontId="0" fillId="0" borderId="42" xfId="0" applyNumberFormat="1" applyFont="1" applyBorder="1"/>
    <xf numFmtId="166" fontId="24" fillId="0" borderId="10" xfId="0" applyNumberFormat="1" applyFont="1" applyFill="1" applyBorder="1" applyAlignment="1">
      <alignment horizontal="right"/>
    </xf>
    <xf numFmtId="165" fontId="17" fillId="0" borderId="37" xfId="3" applyNumberFormat="1" applyFont="1" applyFill="1" applyBorder="1"/>
    <xf numFmtId="165" fontId="17" fillId="0" borderId="0" xfId="3" applyNumberFormat="1" applyFont="1" applyFill="1" applyBorder="1"/>
    <xf numFmtId="37" fontId="2" fillId="0" borderId="47" xfId="0" applyNumberFormat="1" applyFont="1" applyBorder="1"/>
    <xf numFmtId="37" fontId="2" fillId="0" borderId="48" xfId="0" applyNumberFormat="1" applyFont="1" applyBorder="1"/>
    <xf numFmtId="172" fontId="7" fillId="0" borderId="0" xfId="0" applyNumberFormat="1" applyFont="1" applyBorder="1" applyAlignment="1"/>
    <xf numFmtId="42" fontId="7" fillId="0" borderId="6" xfId="0" applyNumberFormat="1" applyFont="1" applyBorder="1"/>
    <xf numFmtId="165" fontId="20" fillId="0" borderId="2" xfId="3" applyNumberFormat="1" applyFont="1" applyFill="1" applyBorder="1" applyAlignment="1"/>
    <xf numFmtId="37" fontId="15" fillId="2" borderId="15" xfId="0" applyNumberFormat="1" applyFont="1" applyFill="1" applyBorder="1"/>
    <xf numFmtId="7" fontId="15" fillId="2" borderId="17" xfId="0" applyNumberFormat="1" applyFont="1" applyFill="1" applyBorder="1"/>
    <xf numFmtId="5" fontId="41" fillId="2" borderId="63" xfId="0" applyNumberFormat="1" applyFont="1" applyFill="1" applyBorder="1"/>
    <xf numFmtId="172" fontId="17" fillId="0" borderId="44" xfId="0" applyNumberFormat="1" applyFont="1" applyFill="1" applyBorder="1" applyAlignment="1" applyProtection="1">
      <alignment horizontal="right"/>
    </xf>
    <xf numFmtId="172" fontId="17" fillId="0" borderId="2" xfId="0" applyNumberFormat="1" applyFont="1" applyFill="1" applyBorder="1" applyAlignment="1" applyProtection="1">
      <alignment horizontal="right"/>
    </xf>
    <xf numFmtId="172" fontId="17" fillId="0" borderId="12" xfId="0" applyNumberFormat="1" applyFont="1" applyFill="1" applyBorder="1" applyAlignment="1" applyProtection="1">
      <alignment horizontal="right"/>
    </xf>
    <xf numFmtId="5" fontId="7" fillId="0" borderId="34" xfId="0" applyNumberFormat="1" applyFont="1" applyFill="1" applyBorder="1" applyAlignment="1" applyProtection="1">
      <alignment horizontal="right"/>
    </xf>
    <xf numFmtId="5" fontId="17" fillId="0" borderId="3" xfId="0" applyNumberFormat="1" applyFont="1" applyBorder="1" applyAlignment="1">
      <alignment horizontal="right"/>
    </xf>
    <xf numFmtId="5" fontId="17" fillId="0" borderId="30" xfId="0" applyNumberFormat="1" applyFont="1" applyBorder="1" applyAlignment="1">
      <alignment horizontal="right"/>
    </xf>
    <xf numFmtId="5" fontId="17" fillId="0" borderId="44" xfId="0" applyNumberFormat="1" applyFont="1" applyFill="1" applyBorder="1" applyAlignment="1">
      <alignment horizontal="right"/>
    </xf>
    <xf numFmtId="5" fontId="17" fillId="0" borderId="2" xfId="0" applyNumberFormat="1" applyFont="1" applyFill="1" applyBorder="1" applyAlignment="1">
      <alignment horizontal="right"/>
    </xf>
    <xf numFmtId="5" fontId="17" fillId="0" borderId="12" xfId="0" applyNumberFormat="1" applyFont="1" applyFill="1" applyBorder="1" applyAlignment="1">
      <alignment horizontal="right"/>
    </xf>
    <xf numFmtId="5" fontId="19" fillId="0" borderId="12" xfId="0" applyNumberFormat="1" applyFont="1" applyFill="1" applyBorder="1" applyAlignment="1">
      <alignment horizontal="right"/>
    </xf>
    <xf numFmtId="5" fontId="2" fillId="0" borderId="0" xfId="0" applyNumberFormat="1" applyFont="1"/>
    <xf numFmtId="166" fontId="2" fillId="2" borderId="13" xfId="2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6" fontId="2" fillId="2" borderId="0" xfId="2" applyNumberFormat="1" applyFont="1" applyFill="1" applyBorder="1" applyAlignment="1">
      <alignment horizontal="right"/>
    </xf>
    <xf numFmtId="166" fontId="2" fillId="2" borderId="28" xfId="2" applyNumberFormat="1" applyFont="1" applyFill="1" applyBorder="1" applyAlignment="1">
      <alignment horizontal="right"/>
    </xf>
    <xf numFmtId="166" fontId="2" fillId="2" borderId="27" xfId="2" applyNumberFormat="1" applyFont="1" applyFill="1" applyBorder="1" applyAlignment="1">
      <alignment horizontal="right"/>
    </xf>
    <xf numFmtId="166" fontId="2" fillId="0" borderId="57" xfId="2" applyNumberFormat="1" applyFont="1" applyFill="1" applyBorder="1" applyAlignment="1">
      <alignment horizontal="right"/>
    </xf>
    <xf numFmtId="166" fontId="2" fillId="0" borderId="0" xfId="2" applyNumberFormat="1" applyFont="1" applyFill="1" applyAlignment="1">
      <alignment horizontal="right"/>
    </xf>
    <xf numFmtId="166" fontId="2" fillId="0" borderId="10" xfId="2" applyNumberFormat="1" applyFont="1" applyFill="1" applyBorder="1" applyAlignment="1">
      <alignment horizontal="right"/>
    </xf>
    <xf numFmtId="166" fontId="2" fillId="0" borderId="55" xfId="2" applyNumberFormat="1" applyFont="1" applyFill="1" applyBorder="1" applyAlignment="1">
      <alignment horizontal="right"/>
    </xf>
    <xf numFmtId="166" fontId="2" fillId="0" borderId="59" xfId="2" applyNumberFormat="1" applyFont="1" applyFill="1" applyBorder="1" applyAlignment="1">
      <alignment horizontal="right"/>
    </xf>
    <xf numFmtId="166" fontId="2" fillId="2" borderId="51" xfId="2" applyNumberFormat="1" applyFont="1" applyFill="1" applyBorder="1" applyAlignment="1">
      <alignment horizontal="right"/>
    </xf>
    <xf numFmtId="166" fontId="2" fillId="2" borderId="52" xfId="2" applyNumberFormat="1" applyFont="1" applyFill="1" applyBorder="1" applyAlignment="1">
      <alignment horizontal="right"/>
    </xf>
    <xf numFmtId="166" fontId="2" fillId="2" borderId="60" xfId="2" applyNumberFormat="1" applyFont="1" applyFill="1" applyBorder="1" applyAlignment="1">
      <alignment horizontal="right"/>
    </xf>
    <xf numFmtId="166" fontId="2" fillId="2" borderId="37" xfId="2" applyNumberFormat="1" applyFont="1" applyFill="1" applyBorder="1" applyAlignment="1">
      <alignment horizontal="right"/>
    </xf>
    <xf numFmtId="166" fontId="15" fillId="0" borderId="0" xfId="2" applyNumberFormat="1" applyFont="1" applyBorder="1"/>
    <xf numFmtId="0" fontId="45" fillId="0" borderId="42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7" fontId="15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wrapText="1"/>
    </xf>
    <xf numFmtId="0" fontId="45" fillId="0" borderId="42" xfId="0" applyFont="1" applyFill="1" applyBorder="1" applyAlignment="1">
      <alignment horizontal="right"/>
    </xf>
    <xf numFmtId="166" fontId="7" fillId="2" borderId="61" xfId="2" applyNumberFormat="1" applyFont="1" applyFill="1" applyBorder="1" applyAlignment="1">
      <alignment horizontal="right"/>
    </xf>
    <xf numFmtId="166" fontId="7" fillId="2" borderId="62" xfId="2" applyNumberFormat="1" applyFont="1" applyFill="1" applyBorder="1" applyAlignment="1">
      <alignment horizontal="right"/>
    </xf>
    <xf numFmtId="42" fontId="4" fillId="0" borderId="0" xfId="0" applyNumberFormat="1" applyFont="1" applyBorder="1"/>
    <xf numFmtId="7" fontId="7" fillId="0" borderId="34" xfId="0" applyNumberFormat="1" applyFont="1" applyBorder="1" applyAlignment="1">
      <alignment horizontal="center"/>
    </xf>
    <xf numFmtId="166" fontId="7" fillId="0" borderId="0" xfId="2" applyNumberFormat="1" applyFont="1" applyFill="1" applyBorder="1" applyAlignment="1">
      <alignment horizontal="right" wrapText="1"/>
    </xf>
    <xf numFmtId="172" fontId="17" fillId="0" borderId="3" xfId="0" applyNumberFormat="1" applyFont="1" applyFill="1" applyBorder="1" applyAlignment="1" applyProtection="1">
      <alignment horizontal="right"/>
    </xf>
    <xf numFmtId="5" fontId="7" fillId="0" borderId="19" xfId="0" applyNumberFormat="1" applyFont="1" applyFill="1" applyBorder="1" applyAlignment="1" applyProtection="1">
      <alignment horizontal="right"/>
    </xf>
    <xf numFmtId="37" fontId="0" fillId="0" borderId="55" xfId="0" applyNumberFormat="1" applyFont="1" applyFill="1" applyBorder="1"/>
    <xf numFmtId="17" fontId="19" fillId="0" borderId="48" xfId="0" applyNumberFormat="1" applyFont="1" applyFill="1" applyBorder="1" applyAlignment="1">
      <alignment horizontal="center"/>
    </xf>
    <xf numFmtId="166" fontId="0" fillId="0" borderId="70" xfId="0" applyNumberFormat="1" applyFont="1" applyFill="1" applyBorder="1"/>
    <xf numFmtId="0" fontId="4" fillId="0" borderId="21" xfId="0" applyFont="1" applyFill="1" applyBorder="1" applyAlignment="1">
      <alignment horizontal="center" wrapText="1"/>
    </xf>
    <xf numFmtId="37" fontId="7" fillId="0" borderId="18" xfId="0" applyNumberFormat="1" applyFont="1" applyBorder="1"/>
    <xf numFmtId="37" fontId="2" fillId="0" borderId="42" xfId="0" applyNumberFormat="1" applyFont="1" applyBorder="1"/>
    <xf numFmtId="0" fontId="26" fillId="0" borderId="46" xfId="0" applyNumberFormat="1" applyFont="1" applyBorder="1" applyAlignment="1">
      <alignment horizontal="center"/>
    </xf>
    <xf numFmtId="168" fontId="26" fillId="0" borderId="46" xfId="0" applyNumberFormat="1" applyFont="1" applyBorder="1" applyAlignment="1">
      <alignment horizontal="center" wrapText="1"/>
    </xf>
    <xf numFmtId="0" fontId="52" fillId="0" borderId="2" xfId="0" applyNumberFormat="1" applyFont="1" applyFill="1" applyBorder="1" applyAlignment="1">
      <alignment horizontal="right"/>
    </xf>
    <xf numFmtId="165" fontId="2" fillId="0" borderId="52" xfId="3" applyNumberFormat="1" applyFont="1" applyFill="1" applyBorder="1"/>
    <xf numFmtId="165" fontId="2" fillId="0" borderId="14" xfId="3" applyNumberFormat="1" applyFont="1" applyFill="1" applyBorder="1"/>
    <xf numFmtId="168" fontId="26" fillId="0" borderId="42" xfId="0" applyNumberFormat="1" applyFont="1" applyBorder="1" applyAlignment="1">
      <alignment horizontal="center"/>
    </xf>
    <xf numFmtId="166" fontId="2" fillId="0" borderId="71" xfId="2" applyNumberFormat="1" applyFont="1" applyFill="1" applyBorder="1" applyAlignment="1">
      <alignment horizontal="right" wrapText="1"/>
    </xf>
    <xf numFmtId="177" fontId="15" fillId="0" borderId="75" xfId="0" applyNumberFormat="1" applyFont="1" applyFill="1" applyBorder="1"/>
    <xf numFmtId="177" fontId="15" fillId="0" borderId="76" xfId="0" applyNumberFormat="1" applyFont="1" applyFill="1" applyBorder="1"/>
    <xf numFmtId="0" fontId="15" fillId="0" borderId="76" xfId="0" applyFont="1" applyFill="1" applyBorder="1"/>
    <xf numFmtId="3" fontId="15" fillId="0" borderId="76" xfId="0" applyNumberFormat="1" applyFont="1" applyFill="1" applyBorder="1"/>
    <xf numFmtId="173" fontId="15" fillId="0" borderId="76" xfId="0" applyNumberFormat="1" applyFont="1" applyFill="1" applyBorder="1"/>
    <xf numFmtId="173" fontId="57" fillId="0" borderId="76" xfId="0" applyNumberFormat="1" applyFont="1" applyFill="1" applyBorder="1"/>
    <xf numFmtId="181" fontId="15" fillId="0" borderId="76" xfId="0" applyNumberFormat="1" applyFont="1" applyFill="1" applyBorder="1"/>
    <xf numFmtId="168" fontId="41" fillId="0" borderId="76" xfId="0" applyNumberFormat="1" applyFont="1" applyFill="1" applyBorder="1" applyAlignment="1">
      <alignment horizontal="right"/>
    </xf>
    <xf numFmtId="173" fontId="15" fillId="0" borderId="76" xfId="0" applyNumberFormat="1" applyFont="1" applyFill="1" applyBorder="1" applyAlignment="1">
      <alignment horizontal="right"/>
    </xf>
    <xf numFmtId="37" fontId="15" fillId="2" borderId="73" xfId="0" applyNumberFormat="1" applyFont="1" applyFill="1" applyBorder="1"/>
    <xf numFmtId="7" fontId="15" fillId="2" borderId="22" xfId="0" applyNumberFormat="1" applyFont="1" applyFill="1" applyBorder="1"/>
    <xf numFmtId="5" fontId="41" fillId="2" borderId="77" xfId="0" applyNumberFormat="1" applyFont="1" applyFill="1" applyBorder="1"/>
    <xf numFmtId="0" fontId="22" fillId="0" borderId="39" xfId="0" applyFont="1" applyFill="1" applyBorder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2" fillId="0" borderId="38" xfId="0" applyFont="1" applyFill="1" applyBorder="1" applyAlignment="1">
      <alignment horizontal="center" wrapText="1"/>
    </xf>
    <xf numFmtId="0" fontId="21" fillId="0" borderId="74" xfId="0" applyFont="1" applyBorder="1" applyAlignment="1">
      <alignment horizontal="center" wrapText="1"/>
    </xf>
    <xf numFmtId="0" fontId="21" fillId="0" borderId="21" xfId="0" applyFont="1" applyBorder="1" applyAlignment="1">
      <alignment horizontal="center" wrapText="1"/>
    </xf>
    <xf numFmtId="166" fontId="17" fillId="0" borderId="76" xfId="0" applyNumberFormat="1" applyFont="1" applyBorder="1"/>
    <xf numFmtId="166" fontId="17" fillId="0" borderId="76" xfId="0" applyNumberFormat="1" applyFont="1" applyFill="1" applyBorder="1"/>
    <xf numFmtId="166" fontId="19" fillId="0" borderId="78" xfId="0" applyNumberFormat="1" applyFont="1" applyFill="1" applyBorder="1"/>
    <xf numFmtId="10" fontId="17" fillId="0" borderId="76" xfId="0" applyNumberFormat="1" applyFont="1" applyFill="1" applyBorder="1"/>
    <xf numFmtId="171" fontId="17" fillId="0" borderId="79" xfId="0" applyNumberFormat="1" applyFont="1" applyFill="1" applyBorder="1"/>
    <xf numFmtId="171" fontId="17" fillId="0" borderId="76" xfId="0" applyNumberFormat="1" applyFont="1" applyFill="1" applyBorder="1"/>
    <xf numFmtId="176" fontId="17" fillId="0" borderId="76" xfId="0" applyNumberFormat="1" applyFont="1" applyFill="1" applyBorder="1"/>
    <xf numFmtId="171" fontId="17" fillId="0" borderId="80" xfId="0" applyNumberFormat="1" applyFont="1" applyFill="1" applyBorder="1"/>
    <xf numFmtId="5" fontId="17" fillId="0" borderId="76" xfId="0" applyNumberFormat="1" applyFont="1" applyFill="1" applyBorder="1"/>
    <xf numFmtId="168" fontId="19" fillId="0" borderId="76" xfId="0" applyNumberFormat="1" applyFont="1" applyFill="1" applyBorder="1" applyAlignment="1">
      <alignment horizontal="center"/>
    </xf>
    <xf numFmtId="166" fontId="17" fillId="0" borderId="79" xfId="0" applyNumberFormat="1" applyFont="1" applyFill="1" applyBorder="1"/>
    <xf numFmtId="5" fontId="27" fillId="0" borderId="76" xfId="0" applyNumberFormat="1" applyFont="1" applyFill="1" applyBorder="1"/>
    <xf numFmtId="5" fontId="19" fillId="0" borderId="76" xfId="0" applyNumberFormat="1" applyFont="1" applyFill="1" applyBorder="1"/>
    <xf numFmtId="5" fontId="17" fillId="0" borderId="76" xfId="0" applyNumberFormat="1" applyFont="1" applyBorder="1"/>
    <xf numFmtId="5" fontId="17" fillId="0" borderId="79" xfId="0" applyNumberFormat="1" applyFont="1" applyFill="1" applyBorder="1"/>
    <xf numFmtId="166" fontId="17" fillId="0" borderId="80" xfId="0" applyNumberFormat="1" applyFont="1" applyFill="1" applyBorder="1"/>
    <xf numFmtId="5" fontId="19" fillId="0" borderId="81" xfId="0" applyNumberFormat="1" applyFont="1" applyFill="1" applyBorder="1"/>
    <xf numFmtId="5" fontId="19" fillId="0" borderId="79" xfId="0" applyNumberFormat="1" applyFont="1" applyFill="1" applyBorder="1"/>
    <xf numFmtId="5" fontId="19" fillId="0" borderId="80" xfId="0" applyNumberFormat="1" applyFont="1" applyFill="1" applyBorder="1"/>
    <xf numFmtId="5" fontId="19" fillId="0" borderId="82" xfId="0" applyNumberFormat="1" applyFont="1" applyFill="1" applyBorder="1"/>
    <xf numFmtId="0" fontId="4" fillId="0" borderId="75" xfId="0" applyFont="1" applyFill="1" applyBorder="1" applyAlignment="1">
      <alignment horizontal="center" wrapText="1"/>
    </xf>
    <xf numFmtId="3" fontId="17" fillId="0" borderId="76" xfId="0" applyNumberFormat="1" applyFont="1" applyFill="1" applyBorder="1"/>
    <xf numFmtId="166" fontId="17" fillId="0" borderId="76" xfId="2" applyNumberFormat="1" applyFont="1" applyFill="1" applyBorder="1"/>
    <xf numFmtId="5" fontId="17" fillId="0" borderId="76" xfId="3" applyNumberFormat="1" applyFont="1" applyFill="1" applyBorder="1"/>
    <xf numFmtId="5" fontId="0" fillId="0" borderId="76" xfId="0" applyNumberFormat="1" applyFont="1" applyBorder="1"/>
    <xf numFmtId="0" fontId="0" fillId="0" borderId="76" xfId="0" applyFont="1" applyBorder="1"/>
    <xf numFmtId="0" fontId="0" fillId="0" borderId="27" xfId="0" applyFont="1" applyBorder="1"/>
    <xf numFmtId="5" fontId="15" fillId="0" borderId="22" xfId="0" applyNumberFormat="1" applyFont="1" applyBorder="1"/>
    <xf numFmtId="5" fontId="15" fillId="0" borderId="41" xfId="0" applyNumberFormat="1" applyFont="1" applyBorder="1"/>
    <xf numFmtId="172" fontId="41" fillId="0" borderId="24" xfId="0" applyNumberFormat="1" applyFont="1" applyBorder="1"/>
    <xf numFmtId="0" fontId="19" fillId="0" borderId="10" xfId="0" applyFont="1" applyFill="1" applyBorder="1"/>
    <xf numFmtId="0" fontId="40" fillId="0" borderId="44" xfId="0" applyFont="1" applyBorder="1" applyAlignment="1">
      <alignment horizontal="centerContinuous"/>
    </xf>
    <xf numFmtId="0" fontId="26" fillId="0" borderId="2" xfId="0" applyFont="1" applyBorder="1" applyAlignment="1">
      <alignment horizontal="right"/>
    </xf>
    <xf numFmtId="0" fontId="26" fillId="0" borderId="72" xfId="0" applyFont="1" applyBorder="1" applyAlignment="1">
      <alignment horizontal="right"/>
    </xf>
    <xf numFmtId="166" fontId="0" fillId="0" borderId="0" xfId="2" applyNumberFormat="1" applyFont="1" applyBorder="1"/>
    <xf numFmtId="165" fontId="15" fillId="0" borderId="0" xfId="3" applyNumberFormat="1" applyFont="1" applyBorder="1" applyAlignment="1">
      <alignment horizontal="right"/>
    </xf>
    <xf numFmtId="165" fontId="15" fillId="0" borderId="0" xfId="3" applyNumberFormat="1" applyFont="1" applyBorder="1"/>
    <xf numFmtId="165" fontId="15" fillId="0" borderId="42" xfId="3" applyNumberFormat="1" applyFont="1" applyBorder="1" applyAlignment="1">
      <alignment horizontal="right"/>
    </xf>
    <xf numFmtId="165" fontId="45" fillId="0" borderId="42" xfId="3" applyNumberFormat="1" applyFont="1" applyBorder="1"/>
    <xf numFmtId="165" fontId="15" fillId="0" borderId="42" xfId="3" applyNumberFormat="1" applyFont="1" applyBorder="1"/>
    <xf numFmtId="165" fontId="15" fillId="0" borderId="0" xfId="3" applyNumberFormat="1" applyFont="1"/>
    <xf numFmtId="165" fontId="45" fillId="0" borderId="42" xfId="3" applyNumberFormat="1" applyFont="1" applyBorder="1" applyAlignment="1">
      <alignment horizontal="right"/>
    </xf>
    <xf numFmtId="165" fontId="15" fillId="0" borderId="0" xfId="3" applyNumberFormat="1" applyFont="1" applyAlignment="1">
      <alignment horizontal="right"/>
    </xf>
    <xf numFmtId="165" fontId="41" fillId="0" borderId="40" xfId="3" applyNumberFormat="1" applyFont="1" applyBorder="1"/>
    <xf numFmtId="0" fontId="4" fillId="0" borderId="21" xfId="0" applyFont="1" applyFill="1" applyBorder="1" applyAlignment="1">
      <alignment horizontal="center" wrapText="1"/>
    </xf>
    <xf numFmtId="0" fontId="5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5" fontId="0" fillId="0" borderId="0" xfId="0" applyNumberFormat="1"/>
    <xf numFmtId="0" fontId="0" fillId="0" borderId="37" xfId="0" applyBorder="1" applyAlignment="1">
      <alignment horizontal="right"/>
    </xf>
    <xf numFmtId="5" fontId="0" fillId="0" borderId="37" xfId="0" applyNumberFormat="1" applyBorder="1"/>
    <xf numFmtId="14" fontId="4" fillId="0" borderId="0" xfId="0" applyNumberFormat="1" applyFont="1"/>
    <xf numFmtId="5" fontId="4" fillId="2" borderId="51" xfId="2" applyNumberFormat="1" applyFont="1" applyFill="1" applyBorder="1"/>
    <xf numFmtId="5" fontId="4" fillId="2" borderId="52" xfId="2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5" fontId="4" fillId="0" borderId="0" xfId="2" applyNumberFormat="1" applyFont="1" applyFill="1" applyBorder="1"/>
    <xf numFmtId="0" fontId="0" fillId="0" borderId="0" xfId="0" applyFont="1" applyFill="1" applyAlignment="1">
      <alignment horizontal="right"/>
    </xf>
    <xf numFmtId="6" fontId="4" fillId="0" borderId="0" xfId="0" applyNumberFormat="1" applyFont="1" applyFill="1" applyBorder="1"/>
    <xf numFmtId="0" fontId="22" fillId="0" borderId="36" xfId="0" applyFont="1" applyFill="1" applyBorder="1" applyAlignment="1">
      <alignment horizontal="center" wrapText="1"/>
    </xf>
    <xf numFmtId="0" fontId="22" fillId="0" borderId="84" xfId="0" applyFont="1" applyFill="1" applyBorder="1" applyAlignment="1">
      <alignment horizontal="center" wrapText="1"/>
    </xf>
    <xf numFmtId="5" fontId="4" fillId="2" borderId="71" xfId="2" applyNumberFormat="1" applyFont="1" applyFill="1" applyBorder="1"/>
    <xf numFmtId="0" fontId="0" fillId="0" borderId="0" xfId="0" applyFont="1" applyAlignment="1">
      <alignment horizontal="left"/>
    </xf>
    <xf numFmtId="5" fontId="0" fillId="0" borderId="0" xfId="0" applyNumberFormat="1" applyBorder="1"/>
    <xf numFmtId="10" fontId="26" fillId="0" borderId="0" xfId="1" applyNumberFormat="1" applyFont="1" applyFill="1" applyBorder="1" applyAlignment="1"/>
    <xf numFmtId="0" fontId="15" fillId="0" borderId="0" xfId="0" applyFont="1" applyAlignment="1">
      <alignment horizontal="center" vertical="center"/>
    </xf>
    <xf numFmtId="0" fontId="46" fillId="2" borderId="51" xfId="0" applyFont="1" applyFill="1" applyBorder="1" applyAlignment="1">
      <alignment horizontal="center" vertical="center"/>
    </xf>
    <xf numFmtId="0" fontId="46" fillId="2" borderId="52" xfId="0" applyFont="1" applyFill="1" applyBorder="1" applyAlignment="1">
      <alignment horizontal="center" vertical="center"/>
    </xf>
    <xf numFmtId="0" fontId="46" fillId="2" borderId="53" xfId="0" applyFont="1" applyFill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172" fontId="7" fillId="0" borderId="20" xfId="0" applyNumberFormat="1" applyFont="1" applyBorder="1" applyAlignment="1">
      <alignment horizontal="center"/>
    </xf>
    <xf numFmtId="172" fontId="7" fillId="0" borderId="18" xfId="0" applyNumberFormat="1" applyFont="1" applyBorder="1" applyAlignment="1">
      <alignment horizontal="center"/>
    </xf>
    <xf numFmtId="0" fontId="24" fillId="0" borderId="20" xfId="0" applyNumberFormat="1" applyFont="1" applyFill="1" applyBorder="1" applyAlignment="1">
      <alignment horizontal="center"/>
    </xf>
    <xf numFmtId="0" fontId="24" fillId="0" borderId="18" xfId="0" applyNumberFormat="1" applyFont="1" applyFill="1" applyBorder="1" applyAlignment="1">
      <alignment horizontal="center"/>
    </xf>
    <xf numFmtId="0" fontId="24" fillId="0" borderId="19" xfId="0" applyNumberFormat="1" applyFont="1" applyFill="1" applyBorder="1" applyAlignment="1">
      <alignment horizontal="center"/>
    </xf>
    <xf numFmtId="172" fontId="7" fillId="0" borderId="19" xfId="0" applyNumberFormat="1" applyFont="1" applyBorder="1" applyAlignment="1">
      <alignment horizontal="center"/>
    </xf>
    <xf numFmtId="0" fontId="4" fillId="0" borderId="21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4" fillId="0" borderId="75" xfId="0" applyFont="1" applyFill="1" applyBorder="1" applyAlignment="1">
      <alignment horizontal="center" wrapText="1"/>
    </xf>
    <xf numFmtId="0" fontId="4" fillId="0" borderId="83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top" wrapText="1"/>
    </xf>
    <xf numFmtId="166" fontId="7" fillId="0" borderId="0" xfId="0" applyNumberFormat="1" applyFont="1" applyFill="1" applyBorder="1" applyAlignment="1"/>
    <xf numFmtId="166" fontId="7" fillId="0" borderId="0" xfId="0" applyNumberFormat="1" applyFont="1" applyFill="1" applyAlignment="1"/>
    <xf numFmtId="0" fontId="3" fillId="0" borderId="0" xfId="0" applyFont="1" applyBorder="1" applyAlignment="1">
      <alignment horizontal="centerContinuous"/>
    </xf>
    <xf numFmtId="0" fontId="3" fillId="0" borderId="0" xfId="0" applyFont="1"/>
    <xf numFmtId="0" fontId="56" fillId="0" borderId="0" xfId="0" applyFont="1" applyBorder="1"/>
    <xf numFmtId="0" fontId="12" fillId="0" borderId="0" xfId="0" applyFont="1" applyFill="1" applyBorder="1"/>
    <xf numFmtId="0" fontId="24" fillId="0" borderId="0" xfId="0" applyFont="1"/>
    <xf numFmtId="0" fontId="24" fillId="0" borderId="0" xfId="0" applyFont="1" applyAlignment="1" applyProtection="1"/>
    <xf numFmtId="0" fontId="4" fillId="0" borderId="0" xfId="0" applyFont="1" applyBorder="1"/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29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272573</xdr:colOff>
      <xdr:row>3</xdr:row>
      <xdr:rowOff>138431</xdr:rowOff>
    </xdr:from>
    <xdr:to>
      <xdr:col>5</xdr:col>
      <xdr:colOff>246063</xdr:colOff>
      <xdr:row>4</xdr:row>
      <xdr:rowOff>39689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2573" y="884556"/>
          <a:ext cx="4386740" cy="25050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160079" y="725261"/>
          <a:ext cx="430938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3BEE871-5BF3-4D8F-99F9-E70E76C9C755}"/>
            </a:ext>
          </a:extLst>
        </xdr:cNvPr>
        <xdr:cNvSpPr txBox="1"/>
      </xdr:nvSpPr>
      <xdr:spPr>
        <a:xfrm>
          <a:off x="6678083" y="727075"/>
          <a:ext cx="420899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619125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767263" y="528638"/>
          <a:ext cx="4262437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590550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4197350" y="381000"/>
          <a:ext cx="4308475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260350</xdr:colOff>
      <xdr:row>2</xdr:row>
      <xdr:rowOff>133350</xdr:rowOff>
    </xdr:from>
    <xdr:to>
      <xdr:col>7</xdr:col>
      <xdr:colOff>114778</xdr:colOff>
      <xdr:row>4</xdr:row>
      <xdr:rowOff>4445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159000" y="622300"/>
          <a:ext cx="4324828" cy="25209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260349</xdr:colOff>
      <xdr:row>2</xdr:row>
      <xdr:rowOff>133350</xdr:rowOff>
    </xdr:from>
    <xdr:to>
      <xdr:col>7</xdr:col>
      <xdr:colOff>447674</xdr:colOff>
      <xdr:row>4</xdr:row>
      <xdr:rowOff>4445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2070099" y="628650"/>
          <a:ext cx="4454525" cy="24257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3</xdr:row>
      <xdr:rowOff>42333</xdr:rowOff>
    </xdr:from>
    <xdr:to>
      <xdr:col>5</xdr:col>
      <xdr:colOff>19049</xdr:colOff>
      <xdr:row>4</xdr:row>
      <xdr:rowOff>119943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714374" y="747183"/>
          <a:ext cx="4295775" cy="27763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2238376</xdr:colOff>
      <xdr:row>3</xdr:row>
      <xdr:rowOff>71438</xdr:rowOff>
    </xdr:from>
    <xdr:to>
      <xdr:col>7</xdr:col>
      <xdr:colOff>781050</xdr:colOff>
      <xdr:row>4</xdr:row>
      <xdr:rowOff>150813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647951" y="776288"/>
          <a:ext cx="4314824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265109</xdr:colOff>
      <xdr:row>0</xdr:row>
      <xdr:rowOff>169862</xdr:rowOff>
    </xdr:from>
    <xdr:to>
      <xdr:col>12</xdr:col>
      <xdr:colOff>345281</xdr:colOff>
      <xdr:row>1</xdr:row>
      <xdr:rowOff>238124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420640" y="169862"/>
          <a:ext cx="4545016" cy="3063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7938</xdr:colOff>
      <xdr:row>1</xdr:row>
      <xdr:rowOff>142876</xdr:rowOff>
    </xdr:from>
    <xdr:to>
      <xdr:col>25</xdr:col>
      <xdr:colOff>413228</xdr:colOff>
      <xdr:row>2</xdr:row>
      <xdr:rowOff>109220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3473688" y="381001"/>
          <a:ext cx="429466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E51AF3C-45B1-4737-985F-6E61C91C1095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193223</xdr:rowOff>
    </xdr:from>
    <xdr:to>
      <xdr:col>6</xdr:col>
      <xdr:colOff>734786</xdr:colOff>
      <xdr:row>3</xdr:row>
      <xdr:rowOff>254001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728357" y="683080"/>
          <a:ext cx="4327072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2461260</xdr:colOff>
      <xdr:row>3</xdr:row>
      <xdr:rowOff>160020</xdr:rowOff>
    </xdr:from>
    <xdr:to>
      <xdr:col>7</xdr:col>
      <xdr:colOff>257175</xdr:colOff>
      <xdr:row>5</xdr:row>
      <xdr:rowOff>49772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461260" y="855345"/>
          <a:ext cx="4358640" cy="27075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</xdr:row>
      <xdr:rowOff>147460</xdr:rowOff>
    </xdr:from>
    <xdr:to>
      <xdr:col>12</xdr:col>
      <xdr:colOff>295274</xdr:colOff>
      <xdr:row>3</xdr:row>
      <xdr:rowOff>161924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3095625" y="652285"/>
          <a:ext cx="4591049" cy="2525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127750" y="261938"/>
          <a:ext cx="4397375" cy="2809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6AD1E38-029B-4C74-BF8A-10193C6805A8}"/>
            </a:ext>
          </a:extLst>
        </xdr:cNvPr>
        <xdr:cNvSpPr txBox="1"/>
      </xdr:nvSpPr>
      <xdr:spPr>
        <a:xfrm>
          <a:off x="5975350" y="271463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32E6CF9-DEEF-4157-820B-1A8FE4FDF77D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82B7DB5-C116-4B3C-AF16-6877D5EA0108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V7"/>
  <sheetViews>
    <sheetView workbookViewId="0">
      <selection activeCell="H13" sqref="H13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826" t="s">
        <v>616</v>
      </c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827"/>
      <c r="O3" s="827"/>
      <c r="P3" s="827"/>
      <c r="Q3" s="827"/>
      <c r="R3" s="827"/>
      <c r="S3" s="827"/>
      <c r="T3" s="827"/>
      <c r="U3" s="827"/>
      <c r="V3" s="828"/>
    </row>
    <row r="4" spans="1:22" x14ac:dyDescent="0.25">
      <c r="A4"/>
      <c r="C4" s="168"/>
    </row>
    <row r="5" spans="1:22" ht="15.75" thickBot="1" x14ac:dyDescent="0.3">
      <c r="A5"/>
    </row>
    <row r="6" spans="1:22" ht="41.85" customHeight="1" thickTop="1" thickBot="1" x14ac:dyDescent="0.3">
      <c r="A6"/>
      <c r="B6" s="823" t="s">
        <v>508</v>
      </c>
      <c r="C6" s="824"/>
      <c r="D6" s="824"/>
      <c r="E6" s="824"/>
      <c r="F6" s="824"/>
      <c r="G6" s="824"/>
      <c r="H6" s="824"/>
      <c r="I6" s="824"/>
      <c r="J6" s="824"/>
      <c r="K6" s="824"/>
      <c r="L6" s="824"/>
      <c r="M6" s="824"/>
      <c r="N6" s="824"/>
      <c r="O6" s="824"/>
      <c r="P6" s="824"/>
      <c r="Q6" s="824"/>
      <c r="R6" s="824"/>
      <c r="S6" s="824"/>
      <c r="T6" s="824"/>
      <c r="U6" s="824"/>
      <c r="V6" s="825"/>
    </row>
    <row r="7" spans="1:22" ht="15.75" thickTop="1" x14ac:dyDescent="0.2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Y93"/>
  <sheetViews>
    <sheetView zoomScaleNormal="100" workbookViewId="0">
      <selection activeCell="I79" sqref="I79"/>
    </sheetView>
  </sheetViews>
  <sheetFormatPr defaultColWidth="9.140625" defaultRowHeight="12.75" x14ac:dyDescent="0.25"/>
  <cols>
    <col min="1" max="1" width="16.85546875" style="822" customWidth="1"/>
    <col min="2" max="2" width="17.85546875" style="822" customWidth="1"/>
    <col min="3" max="3" width="11" style="822" bestFit="1" customWidth="1"/>
    <col min="4" max="4" width="13.42578125" style="822" customWidth="1"/>
    <col min="5" max="5" width="11" style="582" bestFit="1" customWidth="1"/>
    <col min="6" max="7" width="11" style="822" bestFit="1" customWidth="1"/>
    <col min="8" max="8" width="11" style="582" bestFit="1" customWidth="1"/>
    <col min="9" max="14" width="11" style="822" bestFit="1" customWidth="1"/>
    <col min="15" max="15" width="12" style="822" bestFit="1" customWidth="1"/>
    <col min="16" max="17" width="13.140625" style="822" customWidth="1"/>
    <col min="18" max="18" width="3.140625" style="822" customWidth="1"/>
    <col min="19" max="19" width="13.85546875" style="822" customWidth="1"/>
    <col min="20" max="20" width="20.5703125" style="822" customWidth="1"/>
    <col min="21" max="22" width="12" style="822" bestFit="1" customWidth="1"/>
    <col min="23" max="23" width="13" style="822" bestFit="1" customWidth="1"/>
    <col min="24" max="24" width="13.85546875" style="822" bestFit="1" customWidth="1"/>
    <col min="25" max="25" width="17.5703125" style="822" bestFit="1" customWidth="1"/>
    <col min="26" max="26" width="10.140625" style="822" customWidth="1"/>
    <col min="27" max="27" width="16.42578125" style="822" customWidth="1"/>
    <col min="28" max="29" width="12.140625" style="822" customWidth="1"/>
    <col min="30" max="30" width="9.140625" style="822"/>
    <col min="31" max="31" width="12.140625" style="822" customWidth="1"/>
    <col min="32" max="32" width="12.85546875" style="822" customWidth="1"/>
    <col min="33" max="33" width="10.5703125" style="822" customWidth="1"/>
    <col min="34" max="16384" width="9.140625" style="822"/>
  </cols>
  <sheetData>
    <row r="1" spans="1:25" ht="18.75" x14ac:dyDescent="0.3">
      <c r="A1" s="413" t="s">
        <v>199</v>
      </c>
    </row>
    <row r="2" spans="1:25" ht="20.25" x14ac:dyDescent="0.3">
      <c r="A2" s="422" t="s">
        <v>511</v>
      </c>
      <c r="M2" s="479"/>
      <c r="N2" s="479" t="s">
        <v>618</v>
      </c>
      <c r="O2" s="479"/>
    </row>
    <row r="3" spans="1:25" ht="15.75" x14ac:dyDescent="0.25">
      <c r="A3" s="419" t="s">
        <v>538</v>
      </c>
    </row>
    <row r="4" spans="1:25" ht="14.85" customHeight="1" x14ac:dyDescent="0.25">
      <c r="A4" s="580"/>
      <c r="B4" s="579"/>
      <c r="D4" s="476" t="s">
        <v>425</v>
      </c>
      <c r="E4" s="583">
        <v>0.82460599999999995</v>
      </c>
      <c r="F4" s="477">
        <v>44531</v>
      </c>
      <c r="G4" s="478"/>
      <c r="H4" s="602"/>
      <c r="W4" s="479"/>
      <c r="X4" s="479"/>
      <c r="Y4" s="479"/>
    </row>
    <row r="5" spans="1:25" ht="15" x14ac:dyDescent="0.25">
      <c r="A5" s="581"/>
      <c r="B5" s="1"/>
      <c r="D5" s="480" t="s">
        <v>426</v>
      </c>
      <c r="E5" s="584"/>
      <c r="F5" s="481"/>
      <c r="G5" s="482"/>
      <c r="H5" s="592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</row>
    <row r="6" spans="1:25" ht="15" x14ac:dyDescent="0.25">
      <c r="A6" s="581"/>
      <c r="B6" s="1"/>
      <c r="D6" s="483" t="s">
        <v>427</v>
      </c>
      <c r="E6" s="585">
        <v>1.055056</v>
      </c>
      <c r="F6" s="484"/>
      <c r="G6" s="484"/>
      <c r="H6" s="602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</row>
    <row r="7" spans="1:25" ht="13.5" thickBot="1" x14ac:dyDescent="0.3">
      <c r="C7" s="573">
        <f t="shared" ref="C7:M7" si="0">D8-C8</f>
        <v>31</v>
      </c>
      <c r="D7" s="573">
        <f t="shared" si="0"/>
        <v>28</v>
      </c>
      <c r="E7" s="573">
        <f t="shared" si="0"/>
        <v>31</v>
      </c>
      <c r="F7" s="573">
        <f t="shared" si="0"/>
        <v>30</v>
      </c>
      <c r="G7" s="573">
        <f t="shared" si="0"/>
        <v>31</v>
      </c>
      <c r="H7" s="573">
        <f t="shared" si="0"/>
        <v>30</v>
      </c>
      <c r="I7" s="573">
        <f t="shared" si="0"/>
        <v>31</v>
      </c>
      <c r="J7" s="573">
        <f t="shared" si="0"/>
        <v>31</v>
      </c>
      <c r="K7" s="573">
        <f t="shared" si="0"/>
        <v>30</v>
      </c>
      <c r="L7" s="573">
        <f t="shared" si="0"/>
        <v>31</v>
      </c>
      <c r="M7" s="573">
        <f t="shared" si="0"/>
        <v>30</v>
      </c>
      <c r="N7" s="573">
        <v>31</v>
      </c>
      <c r="W7" s="479"/>
      <c r="X7" s="479"/>
      <c r="Y7" s="479"/>
    </row>
    <row r="8" spans="1:25" ht="57.75" customHeight="1" thickBot="1" x14ac:dyDescent="0.25">
      <c r="A8" s="479" t="s">
        <v>428</v>
      </c>
      <c r="B8" s="479" t="s">
        <v>435</v>
      </c>
      <c r="C8" s="487">
        <v>44927</v>
      </c>
      <c r="D8" s="487">
        <v>44958</v>
      </c>
      <c r="E8" s="487">
        <v>44986</v>
      </c>
      <c r="F8" s="487">
        <v>45017</v>
      </c>
      <c r="G8" s="487">
        <v>45047</v>
      </c>
      <c r="H8" s="487">
        <v>45078</v>
      </c>
      <c r="I8" s="487">
        <v>45108</v>
      </c>
      <c r="J8" s="487">
        <v>45139</v>
      </c>
      <c r="K8" s="487">
        <v>45170</v>
      </c>
      <c r="L8" s="487">
        <v>45200</v>
      </c>
      <c r="M8" s="487">
        <v>45231</v>
      </c>
      <c r="N8" s="487">
        <v>45261</v>
      </c>
      <c r="O8" s="118" t="s">
        <v>539</v>
      </c>
      <c r="P8" s="501" t="s">
        <v>536</v>
      </c>
      <c r="Q8" s="501" t="s">
        <v>200</v>
      </c>
      <c r="R8" s="603"/>
      <c r="S8" s="486" t="s">
        <v>517</v>
      </c>
      <c r="T8" s="479" t="s">
        <v>429</v>
      </c>
      <c r="U8" s="479" t="s">
        <v>430</v>
      </c>
      <c r="V8" s="479" t="s">
        <v>431</v>
      </c>
      <c r="W8" s="479" t="s">
        <v>432</v>
      </c>
      <c r="X8" s="486" t="s">
        <v>433</v>
      </c>
      <c r="Y8" s="486" t="s">
        <v>434</v>
      </c>
    </row>
    <row r="9" spans="1:25" x14ac:dyDescent="0.25">
      <c r="A9" s="822" t="s">
        <v>436</v>
      </c>
      <c r="B9" s="822" t="s">
        <v>438</v>
      </c>
      <c r="C9" s="547">
        <f t="shared" ref="C9:N9" si="1">$W$9</f>
        <v>10781</v>
      </c>
      <c r="D9" s="547">
        <f t="shared" si="1"/>
        <v>10781</v>
      </c>
      <c r="E9" s="547">
        <f t="shared" si="1"/>
        <v>10781</v>
      </c>
      <c r="F9" s="547">
        <f t="shared" si="1"/>
        <v>10781</v>
      </c>
      <c r="G9" s="547">
        <f t="shared" si="1"/>
        <v>10781</v>
      </c>
      <c r="H9" s="547">
        <f t="shared" si="1"/>
        <v>10781</v>
      </c>
      <c r="I9" s="547">
        <f t="shared" si="1"/>
        <v>10781</v>
      </c>
      <c r="J9" s="547">
        <f t="shared" si="1"/>
        <v>10781</v>
      </c>
      <c r="K9" s="547">
        <f t="shared" si="1"/>
        <v>10781</v>
      </c>
      <c r="L9" s="547">
        <f t="shared" si="1"/>
        <v>10781</v>
      </c>
      <c r="M9" s="547">
        <f t="shared" si="1"/>
        <v>10781</v>
      </c>
      <c r="N9" s="547">
        <f t="shared" si="1"/>
        <v>10781</v>
      </c>
      <c r="O9" s="548">
        <f t="shared" ref="O9:O26" si="2">SUM(C9:N9)</f>
        <v>129372</v>
      </c>
      <c r="P9" s="548">
        <v>129372</v>
      </c>
      <c r="Q9" s="548">
        <f t="shared" ref="Q9:Q27" si="3">O9-P9</f>
        <v>0</v>
      </c>
      <c r="R9" s="549"/>
      <c r="S9" s="593">
        <v>50350</v>
      </c>
      <c r="T9" s="488">
        <v>127115</v>
      </c>
      <c r="U9" s="489">
        <v>46370</v>
      </c>
      <c r="V9" s="488" t="s">
        <v>437</v>
      </c>
      <c r="W9" s="590">
        <v>10781</v>
      </c>
      <c r="X9" s="822" t="s">
        <v>503</v>
      </c>
    </row>
    <row r="10" spans="1:25" x14ac:dyDescent="0.25">
      <c r="A10" s="822" t="s">
        <v>436</v>
      </c>
      <c r="B10" s="822" t="s">
        <v>441</v>
      </c>
      <c r="C10" s="547">
        <f t="shared" ref="C10:N10" si="4">$S$10*$W$10*C$7</f>
        <v>263143.70181000006</v>
      </c>
      <c r="D10" s="547">
        <f t="shared" si="4"/>
        <v>237678.18228000004</v>
      </c>
      <c r="E10" s="547">
        <f t="shared" si="4"/>
        <v>263143.70181000006</v>
      </c>
      <c r="F10" s="547">
        <f t="shared" si="4"/>
        <v>254655.19530000002</v>
      </c>
      <c r="G10" s="547">
        <f t="shared" si="4"/>
        <v>263143.70181000006</v>
      </c>
      <c r="H10" s="547">
        <f t="shared" si="4"/>
        <v>254655.19530000002</v>
      </c>
      <c r="I10" s="547">
        <f t="shared" si="4"/>
        <v>263143.70181000006</v>
      </c>
      <c r="J10" s="547">
        <f t="shared" si="4"/>
        <v>263143.70181000006</v>
      </c>
      <c r="K10" s="547">
        <f t="shared" si="4"/>
        <v>254655.19530000002</v>
      </c>
      <c r="L10" s="547">
        <f t="shared" si="4"/>
        <v>263143.70181000006</v>
      </c>
      <c r="M10" s="547">
        <f t="shared" si="4"/>
        <v>254655.19530000002</v>
      </c>
      <c r="N10" s="547">
        <f t="shared" si="4"/>
        <v>263143.70181000006</v>
      </c>
      <c r="O10" s="548">
        <f t="shared" si="2"/>
        <v>3098304.8761500004</v>
      </c>
      <c r="P10" s="548">
        <v>3098304.8761500004</v>
      </c>
      <c r="Q10" s="548">
        <f t="shared" si="3"/>
        <v>0</v>
      </c>
      <c r="R10" s="549"/>
      <c r="S10" s="593">
        <v>21747</v>
      </c>
      <c r="T10" s="488">
        <v>132124</v>
      </c>
      <c r="U10" s="489">
        <v>45230</v>
      </c>
      <c r="V10" s="488" t="s">
        <v>439</v>
      </c>
      <c r="W10" s="591">
        <v>0.39033000000000001</v>
      </c>
      <c r="X10" s="822" t="s">
        <v>12</v>
      </c>
      <c r="Y10" s="822" t="s">
        <v>440</v>
      </c>
    </row>
    <row r="11" spans="1:25" x14ac:dyDescent="0.25">
      <c r="A11" s="822" t="s">
        <v>436</v>
      </c>
      <c r="B11" s="822" t="s">
        <v>441</v>
      </c>
      <c r="C11" s="547">
        <f t="shared" ref="C11:N11" si="5">$S$11*$W$11*C$7</f>
        <v>544510.35000000009</v>
      </c>
      <c r="D11" s="547">
        <f t="shared" si="5"/>
        <v>491815.80000000005</v>
      </c>
      <c r="E11" s="547">
        <f t="shared" si="5"/>
        <v>544510.35000000009</v>
      </c>
      <c r="F11" s="547">
        <f t="shared" si="5"/>
        <v>526945.50000000012</v>
      </c>
      <c r="G11" s="547">
        <f t="shared" si="5"/>
        <v>544510.35000000009</v>
      </c>
      <c r="H11" s="547">
        <f t="shared" si="5"/>
        <v>526945.50000000012</v>
      </c>
      <c r="I11" s="547">
        <f t="shared" si="5"/>
        <v>544510.35000000009</v>
      </c>
      <c r="J11" s="547">
        <f t="shared" si="5"/>
        <v>544510.35000000009</v>
      </c>
      <c r="K11" s="547">
        <f t="shared" si="5"/>
        <v>526945.50000000012</v>
      </c>
      <c r="L11" s="547">
        <f t="shared" si="5"/>
        <v>544510.35000000009</v>
      </c>
      <c r="M11" s="547">
        <f t="shared" si="5"/>
        <v>526945.50000000012</v>
      </c>
      <c r="N11" s="547">
        <f t="shared" si="5"/>
        <v>544510.35000000009</v>
      </c>
      <c r="O11" s="548">
        <f t="shared" si="2"/>
        <v>6411170.25</v>
      </c>
      <c r="P11" s="548">
        <v>6411170.25</v>
      </c>
      <c r="Q11" s="548">
        <f t="shared" si="3"/>
        <v>0</v>
      </c>
      <c r="R11" s="549"/>
      <c r="S11" s="593">
        <v>45000</v>
      </c>
      <c r="T11" s="488">
        <v>135602</v>
      </c>
      <c r="U11" s="489">
        <v>45230</v>
      </c>
      <c r="V11" s="488" t="s">
        <v>439</v>
      </c>
      <c r="W11" s="591">
        <f t="shared" ref="W11:W18" si="6">$W$10</f>
        <v>0.39033000000000001</v>
      </c>
      <c r="X11" s="822" t="s">
        <v>12</v>
      </c>
      <c r="Y11" s="822" t="s">
        <v>442</v>
      </c>
    </row>
    <row r="12" spans="1:25" x14ac:dyDescent="0.25">
      <c r="A12" s="822" t="s">
        <v>436</v>
      </c>
      <c r="B12" s="822" t="s">
        <v>441</v>
      </c>
      <c r="C12" s="547">
        <f t="shared" ref="C12:N12" si="7">$S$12*$W$12*C$7</f>
        <v>135643.57829999999</v>
      </c>
      <c r="D12" s="547">
        <f t="shared" si="7"/>
        <v>122516.78039999999</v>
      </c>
      <c r="E12" s="547">
        <f t="shared" si="7"/>
        <v>135643.57829999999</v>
      </c>
      <c r="F12" s="547">
        <f t="shared" si="7"/>
        <v>131267.97899999999</v>
      </c>
      <c r="G12" s="547">
        <f t="shared" si="7"/>
        <v>135643.57829999999</v>
      </c>
      <c r="H12" s="547">
        <f t="shared" si="7"/>
        <v>131267.97899999999</v>
      </c>
      <c r="I12" s="547">
        <f t="shared" si="7"/>
        <v>135643.57829999999</v>
      </c>
      <c r="J12" s="547">
        <f t="shared" si="7"/>
        <v>135643.57829999999</v>
      </c>
      <c r="K12" s="547">
        <f t="shared" si="7"/>
        <v>131267.97899999999</v>
      </c>
      <c r="L12" s="547">
        <f t="shared" si="7"/>
        <v>135643.57829999999</v>
      </c>
      <c r="M12" s="547">
        <f t="shared" si="7"/>
        <v>131267.97899999999</v>
      </c>
      <c r="N12" s="547">
        <f t="shared" si="7"/>
        <v>135643.57829999999</v>
      </c>
      <c r="O12" s="548">
        <f t="shared" si="2"/>
        <v>1597093.7444999998</v>
      </c>
      <c r="P12" s="548">
        <v>1597093.7444999998</v>
      </c>
      <c r="Q12" s="548">
        <f t="shared" si="3"/>
        <v>0</v>
      </c>
      <c r="R12" s="549"/>
      <c r="S12" s="593">
        <v>11210</v>
      </c>
      <c r="T12" s="488">
        <v>136459</v>
      </c>
      <c r="U12" s="489">
        <v>52870</v>
      </c>
      <c r="V12" s="488" t="s">
        <v>443</v>
      </c>
      <c r="W12" s="591">
        <f t="shared" si="6"/>
        <v>0.39033000000000001</v>
      </c>
      <c r="X12" s="822" t="s">
        <v>12</v>
      </c>
      <c r="Y12" s="822" t="s">
        <v>20</v>
      </c>
    </row>
    <row r="13" spans="1:25" x14ac:dyDescent="0.25">
      <c r="A13" s="822" t="s">
        <v>436</v>
      </c>
      <c r="B13" s="822" t="s">
        <v>441</v>
      </c>
      <c r="C13" s="547">
        <f t="shared" ref="C13:N13" si="8">$S$13*$W$13*C$7</f>
        <v>24200.46</v>
      </c>
      <c r="D13" s="547">
        <f t="shared" si="8"/>
        <v>21858.48</v>
      </c>
      <c r="E13" s="547">
        <f t="shared" si="8"/>
        <v>24200.46</v>
      </c>
      <c r="F13" s="547">
        <f t="shared" si="8"/>
        <v>23419.8</v>
      </c>
      <c r="G13" s="547">
        <f t="shared" si="8"/>
        <v>24200.46</v>
      </c>
      <c r="H13" s="547">
        <f t="shared" si="8"/>
        <v>23419.8</v>
      </c>
      <c r="I13" s="547">
        <f t="shared" si="8"/>
        <v>24200.46</v>
      </c>
      <c r="J13" s="547">
        <f t="shared" si="8"/>
        <v>24200.46</v>
      </c>
      <c r="K13" s="547">
        <f t="shared" si="8"/>
        <v>23419.8</v>
      </c>
      <c r="L13" s="547">
        <f t="shared" si="8"/>
        <v>24200.46</v>
      </c>
      <c r="M13" s="547">
        <f t="shared" si="8"/>
        <v>23419.8</v>
      </c>
      <c r="N13" s="547">
        <f t="shared" si="8"/>
        <v>24200.46</v>
      </c>
      <c r="O13" s="548">
        <f t="shared" si="2"/>
        <v>284940.89999999997</v>
      </c>
      <c r="P13" s="548">
        <v>284940.89999999997</v>
      </c>
      <c r="Q13" s="548">
        <f t="shared" si="3"/>
        <v>0</v>
      </c>
      <c r="R13" s="549"/>
      <c r="S13" s="593">
        <v>2000</v>
      </c>
      <c r="T13" s="488">
        <v>138409</v>
      </c>
      <c r="U13" s="489">
        <v>45230</v>
      </c>
      <c r="V13" s="488" t="s">
        <v>443</v>
      </c>
      <c r="W13" s="591">
        <f t="shared" si="6"/>
        <v>0.39033000000000001</v>
      </c>
      <c r="X13" s="822" t="s">
        <v>12</v>
      </c>
      <c r="Y13" s="822" t="s">
        <v>444</v>
      </c>
    </row>
    <row r="14" spans="1:25" x14ac:dyDescent="0.25">
      <c r="A14" s="822" t="s">
        <v>436</v>
      </c>
      <c r="B14" s="822" t="s">
        <v>441</v>
      </c>
      <c r="C14" s="547">
        <f t="shared" ref="C14:N14" si="9">$S$14*$W$14*C$7</f>
        <v>108902.07</v>
      </c>
      <c r="D14" s="547">
        <f t="shared" si="9"/>
        <v>98363.16</v>
      </c>
      <c r="E14" s="547">
        <f t="shared" si="9"/>
        <v>108902.07</v>
      </c>
      <c r="F14" s="547">
        <f t="shared" si="9"/>
        <v>105389.1</v>
      </c>
      <c r="G14" s="547">
        <f t="shared" si="9"/>
        <v>108902.07</v>
      </c>
      <c r="H14" s="547">
        <f t="shared" si="9"/>
        <v>105389.1</v>
      </c>
      <c r="I14" s="547">
        <f t="shared" si="9"/>
        <v>108902.07</v>
      </c>
      <c r="J14" s="547">
        <f t="shared" si="9"/>
        <v>108902.07</v>
      </c>
      <c r="K14" s="547">
        <f t="shared" si="9"/>
        <v>105389.1</v>
      </c>
      <c r="L14" s="547">
        <f t="shared" si="9"/>
        <v>108902.07</v>
      </c>
      <c r="M14" s="547">
        <f t="shared" si="9"/>
        <v>105389.1</v>
      </c>
      <c r="N14" s="547">
        <f t="shared" si="9"/>
        <v>108902.07</v>
      </c>
      <c r="O14" s="548">
        <f t="shared" si="2"/>
        <v>1282234.05</v>
      </c>
      <c r="P14" s="548">
        <v>1282234.05</v>
      </c>
      <c r="Q14" s="548">
        <f t="shared" si="3"/>
        <v>0</v>
      </c>
      <c r="R14" s="549"/>
      <c r="S14" s="593">
        <v>9000</v>
      </c>
      <c r="T14" s="488">
        <v>138412</v>
      </c>
      <c r="U14" s="489">
        <v>45230</v>
      </c>
      <c r="V14" s="488" t="s">
        <v>443</v>
      </c>
      <c r="W14" s="591">
        <f t="shared" si="6"/>
        <v>0.39033000000000001</v>
      </c>
      <c r="X14" s="822" t="s">
        <v>12</v>
      </c>
      <c r="Y14" s="822" t="s">
        <v>445</v>
      </c>
    </row>
    <row r="15" spans="1:25" x14ac:dyDescent="0.25">
      <c r="A15" s="822" t="s">
        <v>436</v>
      </c>
      <c r="B15" s="822" t="s">
        <v>441</v>
      </c>
      <c r="C15" s="547">
        <f t="shared" ref="C15:N15" si="10">$S$15*$W$15*C$7</f>
        <v>605011.5</v>
      </c>
      <c r="D15" s="547">
        <f t="shared" si="10"/>
        <v>546462</v>
      </c>
      <c r="E15" s="547">
        <f t="shared" si="10"/>
        <v>605011.5</v>
      </c>
      <c r="F15" s="547">
        <f t="shared" si="10"/>
        <v>585495</v>
      </c>
      <c r="G15" s="547">
        <f t="shared" si="10"/>
        <v>605011.5</v>
      </c>
      <c r="H15" s="547">
        <f t="shared" si="10"/>
        <v>585495</v>
      </c>
      <c r="I15" s="547">
        <f t="shared" si="10"/>
        <v>605011.5</v>
      </c>
      <c r="J15" s="547">
        <f t="shared" si="10"/>
        <v>605011.5</v>
      </c>
      <c r="K15" s="547">
        <f t="shared" si="10"/>
        <v>585495</v>
      </c>
      <c r="L15" s="547">
        <f t="shared" si="10"/>
        <v>605011.5</v>
      </c>
      <c r="M15" s="547">
        <f t="shared" si="10"/>
        <v>585495</v>
      </c>
      <c r="N15" s="547">
        <f t="shared" si="10"/>
        <v>605011.5</v>
      </c>
      <c r="O15" s="548">
        <f t="shared" si="2"/>
        <v>7123522.5</v>
      </c>
      <c r="P15" s="548">
        <v>7123522.5</v>
      </c>
      <c r="Q15" s="548">
        <f t="shared" si="3"/>
        <v>0</v>
      </c>
      <c r="R15" s="549"/>
      <c r="S15" s="593">
        <v>50000</v>
      </c>
      <c r="T15" s="822">
        <v>138657</v>
      </c>
      <c r="U15" s="489">
        <v>45747</v>
      </c>
      <c r="V15" s="822" t="s">
        <v>443</v>
      </c>
      <c r="W15" s="591">
        <f t="shared" si="6"/>
        <v>0.39033000000000001</v>
      </c>
      <c r="X15" s="822" t="s">
        <v>20</v>
      </c>
      <c r="Y15" s="822" t="s">
        <v>446</v>
      </c>
    </row>
    <row r="16" spans="1:25" x14ac:dyDescent="0.25">
      <c r="A16" s="822" t="s">
        <v>436</v>
      </c>
      <c r="B16" s="822" t="s">
        <v>441</v>
      </c>
      <c r="C16" s="547">
        <f t="shared" ref="C16:N16" si="11">$S$16*$W$16*C$7</f>
        <v>25749.28944</v>
      </c>
      <c r="D16" s="547">
        <f t="shared" si="11"/>
        <v>23257.422720000002</v>
      </c>
      <c r="E16" s="547">
        <f t="shared" si="11"/>
        <v>25749.28944</v>
      </c>
      <c r="F16" s="547">
        <f t="shared" si="11"/>
        <v>24918.6672</v>
      </c>
      <c r="G16" s="547">
        <f t="shared" si="11"/>
        <v>25749.28944</v>
      </c>
      <c r="H16" s="547">
        <f t="shared" si="11"/>
        <v>24918.6672</v>
      </c>
      <c r="I16" s="547">
        <f t="shared" si="11"/>
        <v>25749.28944</v>
      </c>
      <c r="J16" s="547">
        <f t="shared" si="11"/>
        <v>25749.28944</v>
      </c>
      <c r="K16" s="547">
        <f t="shared" si="11"/>
        <v>24918.6672</v>
      </c>
      <c r="L16" s="547">
        <f t="shared" si="11"/>
        <v>25749.28944</v>
      </c>
      <c r="M16" s="547">
        <f t="shared" si="11"/>
        <v>24918.6672</v>
      </c>
      <c r="N16" s="547">
        <f t="shared" si="11"/>
        <v>25749.28944</v>
      </c>
      <c r="O16" s="548">
        <f t="shared" si="2"/>
        <v>303177.1176</v>
      </c>
      <c r="P16" s="548">
        <v>303177.1176</v>
      </c>
      <c r="Q16" s="548">
        <f t="shared" si="3"/>
        <v>0</v>
      </c>
      <c r="R16" s="549"/>
      <c r="S16" s="593">
        <v>2128</v>
      </c>
      <c r="T16" s="490" t="s">
        <v>447</v>
      </c>
      <c r="U16" s="489">
        <v>45747</v>
      </c>
      <c r="V16" s="822" t="s">
        <v>443</v>
      </c>
      <c r="W16" s="591">
        <f t="shared" si="6"/>
        <v>0.39033000000000001</v>
      </c>
      <c r="X16" s="822" t="s">
        <v>20</v>
      </c>
      <c r="Y16" s="822" t="s">
        <v>448</v>
      </c>
    </row>
    <row r="17" spans="1:25" x14ac:dyDescent="0.25">
      <c r="A17" s="822" t="s">
        <v>436</v>
      </c>
      <c r="B17" s="822" t="s">
        <v>441</v>
      </c>
      <c r="C17" s="547">
        <f t="shared" ref="C17:N17" si="12">$S$17*$W$17*C$7</f>
        <v>59629.933440000001</v>
      </c>
      <c r="D17" s="547">
        <f t="shared" si="12"/>
        <v>53859.294720000005</v>
      </c>
      <c r="E17" s="547">
        <f t="shared" si="12"/>
        <v>59629.933440000001</v>
      </c>
      <c r="F17" s="547">
        <f t="shared" si="12"/>
        <v>57706.387200000005</v>
      </c>
      <c r="G17" s="547">
        <f t="shared" si="12"/>
        <v>59629.933440000001</v>
      </c>
      <c r="H17" s="547">
        <f t="shared" si="12"/>
        <v>57706.387200000005</v>
      </c>
      <c r="I17" s="547">
        <f t="shared" si="12"/>
        <v>59629.933440000001</v>
      </c>
      <c r="J17" s="547">
        <f t="shared" si="12"/>
        <v>59629.933440000001</v>
      </c>
      <c r="K17" s="547">
        <f t="shared" si="12"/>
        <v>57706.387200000005</v>
      </c>
      <c r="L17" s="547">
        <f t="shared" si="12"/>
        <v>59629.933440000001</v>
      </c>
      <c r="M17" s="547">
        <f t="shared" si="12"/>
        <v>57706.387200000005</v>
      </c>
      <c r="N17" s="547">
        <f t="shared" si="12"/>
        <v>59629.933440000001</v>
      </c>
      <c r="O17" s="548">
        <f t="shared" si="2"/>
        <v>702094.37760000012</v>
      </c>
      <c r="P17" s="548">
        <v>702094.37760000012</v>
      </c>
      <c r="Q17" s="548">
        <f t="shared" si="3"/>
        <v>0</v>
      </c>
      <c r="R17" s="549"/>
      <c r="S17" s="593">
        <v>4928</v>
      </c>
      <c r="T17" s="490" t="s">
        <v>449</v>
      </c>
      <c r="U17" s="489">
        <v>45747</v>
      </c>
      <c r="V17" s="822" t="s">
        <v>443</v>
      </c>
      <c r="W17" s="591">
        <f t="shared" si="6"/>
        <v>0.39033000000000001</v>
      </c>
      <c r="X17" s="822" t="s">
        <v>20</v>
      </c>
      <c r="Y17" s="822" t="s">
        <v>450</v>
      </c>
    </row>
    <row r="18" spans="1:25" x14ac:dyDescent="0.25">
      <c r="A18" s="822" t="s">
        <v>436</v>
      </c>
      <c r="B18" s="822" t="s">
        <v>441</v>
      </c>
      <c r="C18" s="547">
        <f t="shared" ref="C18:N18" si="13">$S$18*$W$18*C$7</f>
        <v>264656.23056</v>
      </c>
      <c r="D18" s="547">
        <f t="shared" si="13"/>
        <v>239044.33727999998</v>
      </c>
      <c r="E18" s="547">
        <f t="shared" si="13"/>
        <v>264656.23056</v>
      </c>
      <c r="F18" s="547">
        <f t="shared" si="13"/>
        <v>256118.93279999998</v>
      </c>
      <c r="G18" s="547">
        <f t="shared" si="13"/>
        <v>264656.23056</v>
      </c>
      <c r="H18" s="547">
        <f t="shared" si="13"/>
        <v>256118.93279999998</v>
      </c>
      <c r="I18" s="547">
        <f t="shared" si="13"/>
        <v>264656.23056</v>
      </c>
      <c r="J18" s="547">
        <f t="shared" si="13"/>
        <v>264656.23056</v>
      </c>
      <c r="K18" s="547">
        <f t="shared" si="13"/>
        <v>256118.93279999998</v>
      </c>
      <c r="L18" s="547">
        <f t="shared" si="13"/>
        <v>264656.23056</v>
      </c>
      <c r="M18" s="547">
        <f t="shared" si="13"/>
        <v>256118.93279999998</v>
      </c>
      <c r="N18" s="547">
        <f t="shared" si="13"/>
        <v>264656.23056</v>
      </c>
      <c r="O18" s="548">
        <f t="shared" si="2"/>
        <v>3116113.6824000003</v>
      </c>
      <c r="P18" s="548">
        <v>3116113.6824000003</v>
      </c>
      <c r="Q18" s="548">
        <f t="shared" si="3"/>
        <v>0</v>
      </c>
      <c r="R18" s="549"/>
      <c r="S18" s="593">
        <v>21872</v>
      </c>
      <c r="T18" s="490" t="s">
        <v>451</v>
      </c>
      <c r="U18" s="489">
        <v>45747</v>
      </c>
      <c r="V18" s="822" t="s">
        <v>443</v>
      </c>
      <c r="W18" s="591">
        <f t="shared" si="6"/>
        <v>0.39033000000000001</v>
      </c>
      <c r="X18" s="822" t="s">
        <v>20</v>
      </c>
      <c r="Y18" s="822" t="s">
        <v>452</v>
      </c>
    </row>
    <row r="19" spans="1:25" x14ac:dyDescent="0.25">
      <c r="A19" s="822" t="s">
        <v>436</v>
      </c>
      <c r="B19" s="822" t="s">
        <v>441</v>
      </c>
      <c r="C19" s="547">
        <f t="shared" ref="C19:N19" si="14">$S$19*$W$19*C$7</f>
        <v>3237.8979199999999</v>
      </c>
      <c r="D19" s="547">
        <f t="shared" si="14"/>
        <v>2924.55296</v>
      </c>
      <c r="E19" s="547">
        <f t="shared" si="14"/>
        <v>3237.8979199999999</v>
      </c>
      <c r="F19" s="547">
        <f t="shared" si="14"/>
        <v>3133.4495999999999</v>
      </c>
      <c r="G19" s="547">
        <f t="shared" si="14"/>
        <v>3237.8979199999999</v>
      </c>
      <c r="H19" s="547">
        <f t="shared" si="14"/>
        <v>3133.4495999999999</v>
      </c>
      <c r="I19" s="547">
        <f t="shared" si="14"/>
        <v>3237.8979199999999</v>
      </c>
      <c r="J19" s="547">
        <f t="shared" si="14"/>
        <v>3237.8979199999999</v>
      </c>
      <c r="K19" s="547">
        <f t="shared" si="14"/>
        <v>3133.4495999999999</v>
      </c>
      <c r="L19" s="547">
        <f t="shared" si="14"/>
        <v>3237.8979199999999</v>
      </c>
      <c r="M19" s="547">
        <f t="shared" si="14"/>
        <v>3133.4495999999999</v>
      </c>
      <c r="N19" s="547">
        <f t="shared" si="14"/>
        <v>3237.8979199999999</v>
      </c>
      <c r="O19" s="548">
        <f t="shared" si="2"/>
        <v>38123.6368</v>
      </c>
      <c r="P19" s="548">
        <v>38221.515200000002</v>
      </c>
      <c r="Q19" s="548">
        <f t="shared" si="3"/>
        <v>-97.87840000000142</v>
      </c>
      <c r="R19" s="549"/>
      <c r="S19" s="593">
        <f>194416/29</f>
        <v>6704</v>
      </c>
      <c r="T19" s="490">
        <v>139250</v>
      </c>
      <c r="U19" s="489">
        <v>46326</v>
      </c>
      <c r="V19" s="822" t="s">
        <v>453</v>
      </c>
      <c r="W19" s="591">
        <v>1.558E-2</v>
      </c>
      <c r="X19" s="822" t="s">
        <v>454</v>
      </c>
    </row>
    <row r="20" spans="1:25" x14ac:dyDescent="0.25">
      <c r="A20" s="822" t="s">
        <v>436</v>
      </c>
      <c r="B20" s="822" t="s">
        <v>441</v>
      </c>
      <c r="C20" s="547">
        <f t="shared" ref="C20:N20" si="15">$S$20*$W$20*C$7</f>
        <v>2484.7907399999999</v>
      </c>
      <c r="D20" s="547">
        <f t="shared" si="15"/>
        <v>2244.3271199999999</v>
      </c>
      <c r="E20" s="547">
        <f t="shared" si="15"/>
        <v>2484.7907399999999</v>
      </c>
      <c r="F20" s="547">
        <f t="shared" si="15"/>
        <v>2404.6361999999999</v>
      </c>
      <c r="G20" s="547">
        <f t="shared" si="15"/>
        <v>2484.7907399999999</v>
      </c>
      <c r="H20" s="547">
        <f t="shared" si="15"/>
        <v>2404.6361999999999</v>
      </c>
      <c r="I20" s="547">
        <f t="shared" si="15"/>
        <v>2484.7907399999999</v>
      </c>
      <c r="J20" s="547">
        <f t="shared" si="15"/>
        <v>2484.7907399999999</v>
      </c>
      <c r="K20" s="547">
        <f t="shared" si="15"/>
        <v>2404.6361999999999</v>
      </c>
      <c r="L20" s="547">
        <f t="shared" si="15"/>
        <v>2484.7907399999999</v>
      </c>
      <c r="M20" s="547">
        <f t="shared" si="15"/>
        <v>2404.6361999999999</v>
      </c>
      <c r="N20" s="547">
        <f t="shared" si="15"/>
        <v>2484.7907399999999</v>
      </c>
      <c r="O20" s="548">
        <f t="shared" si="2"/>
        <v>29256.407100000004</v>
      </c>
      <c r="P20" s="548">
        <v>29256.407100000004</v>
      </c>
      <c r="Q20" s="548">
        <f t="shared" si="3"/>
        <v>0</v>
      </c>
      <c r="R20" s="549"/>
      <c r="S20" s="593">
        <f>4078038/29</f>
        <v>140622</v>
      </c>
      <c r="T20" s="490">
        <v>139250</v>
      </c>
      <c r="U20" s="489">
        <v>46326</v>
      </c>
      <c r="V20" s="822" t="s">
        <v>453</v>
      </c>
      <c r="W20" s="591">
        <v>5.6999999999999998E-4</v>
      </c>
      <c r="X20" s="822" t="s">
        <v>454</v>
      </c>
    </row>
    <row r="21" spans="1:25" x14ac:dyDescent="0.25">
      <c r="A21" s="822" t="s">
        <v>436</v>
      </c>
      <c r="B21" s="822" t="s">
        <v>441</v>
      </c>
      <c r="C21" s="547">
        <f>$S$21*$W$21*C$7</f>
        <v>48280.329999999994</v>
      </c>
      <c r="D21" s="547">
        <f>$S$21*$W$21*D$7</f>
        <v>43608.039999999994</v>
      </c>
      <c r="E21" s="547">
        <f>$S$21*$W$21*E$7</f>
        <v>48280.329999999994</v>
      </c>
      <c r="F21" s="547"/>
      <c r="G21" s="547"/>
      <c r="H21" s="547"/>
      <c r="I21" s="547"/>
      <c r="J21" s="547"/>
      <c r="K21" s="547"/>
      <c r="L21" s="547"/>
      <c r="M21" s="547">
        <f>$S$21*$W$21*M$7</f>
        <v>46722.899999999994</v>
      </c>
      <c r="N21" s="547">
        <f>$S$21*$W$21*N$7</f>
        <v>48280.329999999994</v>
      </c>
      <c r="O21" s="548">
        <f t="shared" si="2"/>
        <v>235171.92999999996</v>
      </c>
      <c r="P21" s="548">
        <v>234529.274</v>
      </c>
      <c r="Q21" s="548">
        <f t="shared" si="3"/>
        <v>642.65599999995902</v>
      </c>
      <c r="R21" s="549"/>
      <c r="S21" s="593">
        <v>6650</v>
      </c>
      <c r="T21" s="490">
        <v>140766</v>
      </c>
      <c r="U21" s="489">
        <v>48518</v>
      </c>
      <c r="V21" s="822" t="s">
        <v>443</v>
      </c>
      <c r="W21" s="591">
        <v>0.23419999999999999</v>
      </c>
      <c r="X21" s="822" t="s">
        <v>75</v>
      </c>
      <c r="Y21" s="822" t="s">
        <v>445</v>
      </c>
    </row>
    <row r="22" spans="1:25" x14ac:dyDescent="0.25">
      <c r="A22" s="822" t="s">
        <v>436</v>
      </c>
      <c r="B22" s="822" t="s">
        <v>441</v>
      </c>
      <c r="C22" s="547">
        <f t="shared" ref="C22:N22" si="16">$S$22*$W$22*C$7</f>
        <v>242004.6</v>
      </c>
      <c r="D22" s="547">
        <f t="shared" si="16"/>
        <v>218584.80000000002</v>
      </c>
      <c r="E22" s="547">
        <f t="shared" si="16"/>
        <v>242004.6</v>
      </c>
      <c r="F22" s="547">
        <f t="shared" si="16"/>
        <v>234198</v>
      </c>
      <c r="G22" s="547">
        <f t="shared" si="16"/>
        <v>242004.6</v>
      </c>
      <c r="H22" s="547">
        <f t="shared" si="16"/>
        <v>234198</v>
      </c>
      <c r="I22" s="547">
        <f t="shared" si="16"/>
        <v>242004.6</v>
      </c>
      <c r="J22" s="547">
        <f t="shared" si="16"/>
        <v>242004.6</v>
      </c>
      <c r="K22" s="547">
        <f t="shared" si="16"/>
        <v>234198</v>
      </c>
      <c r="L22" s="547">
        <f t="shared" si="16"/>
        <v>242004.6</v>
      </c>
      <c r="M22" s="547">
        <f t="shared" si="16"/>
        <v>234198</v>
      </c>
      <c r="N22" s="547">
        <f t="shared" si="16"/>
        <v>242004.6</v>
      </c>
      <c r="O22" s="548">
        <f t="shared" si="2"/>
        <v>2849409.0000000005</v>
      </c>
      <c r="P22" s="548">
        <v>2849409.0000000005</v>
      </c>
      <c r="Q22" s="548">
        <f t="shared" si="3"/>
        <v>0</v>
      </c>
      <c r="R22" s="549"/>
      <c r="S22" s="593">
        <v>20000</v>
      </c>
      <c r="T22" s="490">
        <v>140907</v>
      </c>
      <c r="U22" s="489">
        <v>48883</v>
      </c>
      <c r="V22" s="822" t="s">
        <v>443</v>
      </c>
      <c r="W22" s="591">
        <f>$W$10</f>
        <v>0.39033000000000001</v>
      </c>
      <c r="X22" s="822" t="s">
        <v>12</v>
      </c>
      <c r="Y22" s="822" t="s">
        <v>452</v>
      </c>
    </row>
    <row r="23" spans="1:25" x14ac:dyDescent="0.25">
      <c r="A23" s="822" t="s">
        <v>436</v>
      </c>
      <c r="B23" s="822" t="s">
        <v>441</v>
      </c>
      <c r="C23" s="547">
        <f>$S$23*$W$23*C$7</f>
        <v>199996.72939999998</v>
      </c>
      <c r="D23" s="547">
        <f>$S$23*$W$23*D$7</f>
        <v>180642.20719999998</v>
      </c>
      <c r="E23" s="547">
        <f>$S$23*$W$23*E$7</f>
        <v>199996.72939999998</v>
      </c>
      <c r="F23" s="547"/>
      <c r="G23" s="547"/>
      <c r="H23" s="547"/>
      <c r="I23" s="547"/>
      <c r="J23" s="547"/>
      <c r="K23" s="547"/>
      <c r="L23" s="547"/>
      <c r="M23" s="547">
        <f>$S$23*$W$23*M$7</f>
        <v>193545.22199999998</v>
      </c>
      <c r="N23" s="547">
        <f>$S$23*$W$23*N$7</f>
        <v>199996.72939999998</v>
      </c>
      <c r="O23" s="548">
        <f t="shared" si="2"/>
        <v>974177.61739999987</v>
      </c>
      <c r="P23" s="548">
        <v>971515.47531999997</v>
      </c>
      <c r="Q23" s="548">
        <f t="shared" si="3"/>
        <v>2662.1420799999032</v>
      </c>
      <c r="R23" s="549"/>
      <c r="S23" s="593">
        <v>27547</v>
      </c>
      <c r="T23" s="490">
        <v>140910</v>
      </c>
      <c r="U23" s="489">
        <v>48518</v>
      </c>
      <c r="V23" s="822" t="s">
        <v>443</v>
      </c>
      <c r="W23" s="591">
        <v>0.23419999999999999</v>
      </c>
      <c r="X23" s="822" t="s">
        <v>75</v>
      </c>
      <c r="Y23" s="822" t="s">
        <v>455</v>
      </c>
    </row>
    <row r="24" spans="1:25" x14ac:dyDescent="0.25">
      <c r="A24" s="822" t="s">
        <v>436</v>
      </c>
      <c r="B24" s="822" t="s">
        <v>441</v>
      </c>
      <c r="C24" s="547">
        <f t="shared" ref="C24:N24" si="17">$S$24*$W$24*C$7</f>
        <v>44928.299999999996</v>
      </c>
      <c r="D24" s="547">
        <f t="shared" si="17"/>
        <v>40580.400000000001</v>
      </c>
      <c r="E24" s="547">
        <f t="shared" si="17"/>
        <v>44928.299999999996</v>
      </c>
      <c r="F24" s="547">
        <f t="shared" si="17"/>
        <v>43479</v>
      </c>
      <c r="G24" s="547">
        <f t="shared" si="17"/>
        <v>44928.299999999996</v>
      </c>
      <c r="H24" s="547">
        <f t="shared" si="17"/>
        <v>43479</v>
      </c>
      <c r="I24" s="547">
        <f t="shared" si="17"/>
        <v>44928.299999999996</v>
      </c>
      <c r="J24" s="547">
        <f t="shared" si="17"/>
        <v>44928.299999999996</v>
      </c>
      <c r="K24" s="547">
        <f t="shared" si="17"/>
        <v>43479</v>
      </c>
      <c r="L24" s="547">
        <f t="shared" si="17"/>
        <v>44928.299999999996</v>
      </c>
      <c r="M24" s="547">
        <f t="shared" si="17"/>
        <v>43479</v>
      </c>
      <c r="N24" s="547">
        <f t="shared" si="17"/>
        <v>44928.299999999996</v>
      </c>
      <c r="O24" s="548">
        <f t="shared" si="2"/>
        <v>528994.5</v>
      </c>
      <c r="P24" s="555">
        <v>528994.5</v>
      </c>
      <c r="Q24" s="548">
        <f t="shared" si="3"/>
        <v>0</v>
      </c>
      <c r="R24" s="549"/>
      <c r="S24" s="593">
        <v>15000</v>
      </c>
      <c r="T24" s="490">
        <v>140915</v>
      </c>
      <c r="U24" s="489">
        <v>45016</v>
      </c>
      <c r="V24" s="822" t="s">
        <v>443</v>
      </c>
      <c r="W24" s="591">
        <v>9.6619999999999998E-2</v>
      </c>
      <c r="X24" s="822" t="s">
        <v>452</v>
      </c>
      <c r="Y24" s="822" t="s">
        <v>455</v>
      </c>
    </row>
    <row r="25" spans="1:25" x14ac:dyDescent="0.25">
      <c r="A25" s="822" t="s">
        <v>436</v>
      </c>
      <c r="B25" s="822" t="s">
        <v>441</v>
      </c>
      <c r="C25" s="547">
        <f t="shared" ref="C25:N25" si="18">$S$25*$W$25*C$7</f>
        <v>24800.837</v>
      </c>
      <c r="D25" s="547">
        <f t="shared" si="18"/>
        <v>22400.756000000001</v>
      </c>
      <c r="E25" s="547">
        <f t="shared" si="18"/>
        <v>24800.837</v>
      </c>
      <c r="F25" s="547">
        <f t="shared" si="18"/>
        <v>24000.81</v>
      </c>
      <c r="G25" s="547">
        <f t="shared" si="18"/>
        <v>24800.837</v>
      </c>
      <c r="H25" s="547">
        <f t="shared" si="18"/>
        <v>24000.81</v>
      </c>
      <c r="I25" s="547">
        <f t="shared" si="18"/>
        <v>24800.837</v>
      </c>
      <c r="J25" s="547">
        <f t="shared" si="18"/>
        <v>24800.837</v>
      </c>
      <c r="K25" s="547">
        <f t="shared" si="18"/>
        <v>24000.81</v>
      </c>
      <c r="L25" s="547">
        <f t="shared" si="18"/>
        <v>24800.837</v>
      </c>
      <c r="M25" s="547">
        <f t="shared" si="18"/>
        <v>24000.81</v>
      </c>
      <c r="N25" s="547">
        <f t="shared" si="18"/>
        <v>24800.837</v>
      </c>
      <c r="O25" s="548">
        <f t="shared" si="2"/>
        <v>292009.85499999998</v>
      </c>
      <c r="P25" s="548">
        <v>292009.85499999998</v>
      </c>
      <c r="Q25" s="548">
        <f t="shared" si="3"/>
        <v>0</v>
      </c>
      <c r="R25" s="549"/>
      <c r="S25" s="593">
        <v>241700</v>
      </c>
      <c r="T25" s="490">
        <v>140975</v>
      </c>
      <c r="U25" s="489">
        <v>45016</v>
      </c>
      <c r="V25" s="822" t="s">
        <v>456</v>
      </c>
      <c r="W25" s="591">
        <v>3.31E-3</v>
      </c>
      <c r="X25" s="822" t="s">
        <v>502</v>
      </c>
    </row>
    <row r="26" spans="1:25" x14ac:dyDescent="0.25">
      <c r="A26" s="822" t="s">
        <v>436</v>
      </c>
      <c r="B26" s="822" t="s">
        <v>441</v>
      </c>
      <c r="C26" s="554">
        <f t="shared" ref="C26:N26" si="19">$S$26*$W$26*C$7</f>
        <v>56538.885000000002</v>
      </c>
      <c r="D26" s="554">
        <f t="shared" si="19"/>
        <v>51067.380000000005</v>
      </c>
      <c r="E26" s="554">
        <f t="shared" si="19"/>
        <v>56538.885000000002</v>
      </c>
      <c r="F26" s="554">
        <f t="shared" si="19"/>
        <v>54715.05</v>
      </c>
      <c r="G26" s="554">
        <f t="shared" si="19"/>
        <v>56538.885000000002</v>
      </c>
      <c r="H26" s="554">
        <f t="shared" si="19"/>
        <v>54715.05</v>
      </c>
      <c r="I26" s="554">
        <f t="shared" si="19"/>
        <v>56538.885000000002</v>
      </c>
      <c r="J26" s="554">
        <f t="shared" si="19"/>
        <v>56538.885000000002</v>
      </c>
      <c r="K26" s="554">
        <f t="shared" si="19"/>
        <v>54715.05</v>
      </c>
      <c r="L26" s="554">
        <f t="shared" si="19"/>
        <v>56538.885000000002</v>
      </c>
      <c r="M26" s="554">
        <f t="shared" si="19"/>
        <v>54715.05</v>
      </c>
      <c r="N26" s="554">
        <f t="shared" si="19"/>
        <v>56538.885000000002</v>
      </c>
      <c r="O26" s="548">
        <f t="shared" si="2"/>
        <v>665699.77500000002</v>
      </c>
      <c r="P26" s="548">
        <v>665699.77500000002</v>
      </c>
      <c r="Q26" s="548">
        <f t="shared" si="3"/>
        <v>0</v>
      </c>
      <c r="R26" s="549"/>
      <c r="S26" s="593">
        <v>70500</v>
      </c>
      <c r="T26" s="490">
        <v>140975</v>
      </c>
      <c r="U26" s="489">
        <v>45016</v>
      </c>
      <c r="V26" s="822" t="s">
        <v>456</v>
      </c>
      <c r="W26" s="591">
        <v>2.5870000000000001E-2</v>
      </c>
      <c r="X26" s="822" t="s">
        <v>502</v>
      </c>
    </row>
    <row r="27" spans="1:25" ht="13.5" thickBot="1" x14ac:dyDescent="0.3">
      <c r="A27" s="479"/>
      <c r="B27" s="479" t="s">
        <v>457</v>
      </c>
      <c r="C27" s="491">
        <f t="shared" ref="C27:O27" si="20">SUM(C9:C26)</f>
        <v>2664500.4836099995</v>
      </c>
      <c r="D27" s="491">
        <f t="shared" si="20"/>
        <v>2407688.92068</v>
      </c>
      <c r="E27" s="491">
        <f t="shared" si="20"/>
        <v>2664500.4836099995</v>
      </c>
      <c r="F27" s="491">
        <f t="shared" si="20"/>
        <v>2338628.5073000002</v>
      </c>
      <c r="G27" s="491">
        <f t="shared" si="20"/>
        <v>2416223.4242099994</v>
      </c>
      <c r="H27" s="491">
        <f t="shared" si="20"/>
        <v>2338628.5073000002</v>
      </c>
      <c r="I27" s="491">
        <f t="shared" si="20"/>
        <v>2416223.4242099994</v>
      </c>
      <c r="J27" s="491">
        <f t="shared" si="20"/>
        <v>2416223.4242099994</v>
      </c>
      <c r="K27" s="491">
        <f t="shared" si="20"/>
        <v>2338628.5073000002</v>
      </c>
      <c r="L27" s="491">
        <f t="shared" si="20"/>
        <v>2416223.4242099994</v>
      </c>
      <c r="M27" s="491">
        <f t="shared" si="20"/>
        <v>2578896.6293000001</v>
      </c>
      <c r="N27" s="491">
        <f t="shared" si="20"/>
        <v>2664500.4836099995</v>
      </c>
      <c r="O27" s="503">
        <f t="shared" si="20"/>
        <v>29660866.219550002</v>
      </c>
      <c r="P27" s="503">
        <f t="shared" ref="P27" si="21">SUM(P9:P26)</f>
        <v>29657659.299870003</v>
      </c>
      <c r="Q27" s="503">
        <f t="shared" si="3"/>
        <v>3206.9196799993515</v>
      </c>
      <c r="R27" s="604"/>
      <c r="S27" s="593"/>
      <c r="T27" s="479"/>
      <c r="U27" s="479"/>
      <c r="V27" s="479"/>
      <c r="W27" s="602"/>
      <c r="X27" s="479"/>
      <c r="Y27" s="479"/>
    </row>
    <row r="28" spans="1:25" ht="13.5" thickTop="1" x14ac:dyDescent="0.25">
      <c r="C28" s="492"/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502"/>
      <c r="P28" s="502"/>
      <c r="Q28" s="502"/>
      <c r="R28" s="492"/>
      <c r="S28" s="593"/>
      <c r="W28" s="582"/>
    </row>
    <row r="29" spans="1:25" s="479" customFormat="1" x14ac:dyDescent="0.25">
      <c r="A29" s="822" t="s">
        <v>77</v>
      </c>
      <c r="B29" s="822" t="s">
        <v>460</v>
      </c>
      <c r="C29" s="549">
        <f t="shared" ref="C29:N29" si="22">$W$29</f>
        <v>625</v>
      </c>
      <c r="D29" s="549">
        <f t="shared" si="22"/>
        <v>625</v>
      </c>
      <c r="E29" s="549">
        <f t="shared" si="22"/>
        <v>625</v>
      </c>
      <c r="F29" s="549">
        <f t="shared" si="22"/>
        <v>625</v>
      </c>
      <c r="G29" s="549">
        <f t="shared" si="22"/>
        <v>625</v>
      </c>
      <c r="H29" s="549">
        <f t="shared" si="22"/>
        <v>625</v>
      </c>
      <c r="I29" s="549">
        <f t="shared" si="22"/>
        <v>625</v>
      </c>
      <c r="J29" s="549">
        <f t="shared" si="22"/>
        <v>625</v>
      </c>
      <c r="K29" s="549">
        <f t="shared" si="22"/>
        <v>625</v>
      </c>
      <c r="L29" s="549">
        <f t="shared" si="22"/>
        <v>625</v>
      </c>
      <c r="M29" s="549">
        <f t="shared" si="22"/>
        <v>625</v>
      </c>
      <c r="N29" s="549">
        <f t="shared" si="22"/>
        <v>625</v>
      </c>
      <c r="O29" s="548">
        <f>SUM(C29:N29)</f>
        <v>7500</v>
      </c>
      <c r="P29" s="548">
        <v>7500</v>
      </c>
      <c r="Q29" s="548">
        <f>O29-P29</f>
        <v>0</v>
      </c>
      <c r="R29" s="549"/>
      <c r="S29" s="593">
        <v>37000</v>
      </c>
      <c r="T29" s="822" t="s">
        <v>458</v>
      </c>
      <c r="U29" s="489">
        <v>44286</v>
      </c>
      <c r="V29" s="822" t="s">
        <v>459</v>
      </c>
      <c r="W29" s="551">
        <v>625</v>
      </c>
      <c r="X29" s="822"/>
      <c r="Y29" s="822"/>
    </row>
    <row r="30" spans="1:25" x14ac:dyDescent="0.25">
      <c r="A30" s="822" t="s">
        <v>77</v>
      </c>
      <c r="B30" s="822" t="s">
        <v>441</v>
      </c>
      <c r="C30" s="549">
        <f t="shared" ref="C30:N30" si="23">$S$29*$W$30</f>
        <v>14789.492</v>
      </c>
      <c r="D30" s="549">
        <f t="shared" si="23"/>
        <v>14789.492</v>
      </c>
      <c r="E30" s="549">
        <f t="shared" si="23"/>
        <v>14789.492</v>
      </c>
      <c r="F30" s="549">
        <f t="shared" si="23"/>
        <v>14789.492</v>
      </c>
      <c r="G30" s="549">
        <f t="shared" si="23"/>
        <v>14789.492</v>
      </c>
      <c r="H30" s="549">
        <f t="shared" si="23"/>
        <v>14789.492</v>
      </c>
      <c r="I30" s="549">
        <f t="shared" si="23"/>
        <v>14789.492</v>
      </c>
      <c r="J30" s="549">
        <f t="shared" si="23"/>
        <v>14789.492</v>
      </c>
      <c r="K30" s="549">
        <f t="shared" si="23"/>
        <v>14789.492</v>
      </c>
      <c r="L30" s="549">
        <f t="shared" si="23"/>
        <v>14789.492</v>
      </c>
      <c r="M30" s="549">
        <f t="shared" si="23"/>
        <v>14789.492</v>
      </c>
      <c r="N30" s="549">
        <f t="shared" si="23"/>
        <v>14789.492</v>
      </c>
      <c r="O30" s="548">
        <f>SUM(C30:N30)</f>
        <v>177473.90400000001</v>
      </c>
      <c r="P30" s="548">
        <v>177473.90400000001</v>
      </c>
      <c r="Q30" s="548">
        <f>O30-P30</f>
        <v>0</v>
      </c>
      <c r="R30" s="549"/>
      <c r="U30" s="489"/>
      <c r="W30" s="595">
        <v>0.39971600000000002</v>
      </c>
    </row>
    <row r="31" spans="1:25" x14ac:dyDescent="0.25">
      <c r="A31" s="822" t="s">
        <v>77</v>
      </c>
      <c r="B31" s="822" t="s">
        <v>461</v>
      </c>
      <c r="C31" s="549">
        <f t="shared" ref="C31:N31" si="24">(C29+C30)*$W$31</f>
        <v>686.56147368000006</v>
      </c>
      <c r="D31" s="549">
        <f t="shared" si="24"/>
        <v>686.56147368000006</v>
      </c>
      <c r="E31" s="549">
        <f t="shared" si="24"/>
        <v>686.56147368000006</v>
      </c>
      <c r="F31" s="549">
        <f t="shared" si="24"/>
        <v>686.56147368000006</v>
      </c>
      <c r="G31" s="549">
        <f t="shared" si="24"/>
        <v>686.56147368000006</v>
      </c>
      <c r="H31" s="549">
        <f t="shared" si="24"/>
        <v>686.56147368000006</v>
      </c>
      <c r="I31" s="549">
        <f t="shared" si="24"/>
        <v>686.56147368000006</v>
      </c>
      <c r="J31" s="549">
        <f t="shared" si="24"/>
        <v>686.56147368000006</v>
      </c>
      <c r="K31" s="549">
        <f t="shared" si="24"/>
        <v>686.56147368000006</v>
      </c>
      <c r="L31" s="549">
        <f t="shared" si="24"/>
        <v>686.56147368000006</v>
      </c>
      <c r="M31" s="549">
        <f t="shared" si="24"/>
        <v>686.56147368000006</v>
      </c>
      <c r="N31" s="549">
        <f t="shared" si="24"/>
        <v>686.56147368000006</v>
      </c>
      <c r="O31" s="548">
        <f>SUM(C31:N31)</f>
        <v>8238.7376841599998</v>
      </c>
      <c r="P31" s="548">
        <v>8068.5616924800006</v>
      </c>
      <c r="Q31" s="548">
        <f>O31-P31</f>
        <v>170.17599167999924</v>
      </c>
      <c r="R31" s="549"/>
      <c r="S31" s="593"/>
      <c r="U31" s="489"/>
      <c r="W31" s="587">
        <v>4.4540000000000003E-2</v>
      </c>
      <c r="Y31" s="493"/>
    </row>
    <row r="32" spans="1:25" x14ac:dyDescent="0.25">
      <c r="A32" s="822" t="s">
        <v>77</v>
      </c>
      <c r="B32" s="822" t="s">
        <v>462</v>
      </c>
      <c r="C32" s="549">
        <f t="shared" ref="C32:N32" si="25">(C29+C30+C31)*$W$32</f>
        <v>1027.7302432249944</v>
      </c>
      <c r="D32" s="549">
        <f t="shared" si="25"/>
        <v>1027.7302432249944</v>
      </c>
      <c r="E32" s="549">
        <f t="shared" si="25"/>
        <v>1027.7302432249944</v>
      </c>
      <c r="F32" s="549">
        <f t="shared" si="25"/>
        <v>1027.7302432249944</v>
      </c>
      <c r="G32" s="549">
        <f t="shared" si="25"/>
        <v>1027.7302432249944</v>
      </c>
      <c r="H32" s="549">
        <f t="shared" si="25"/>
        <v>1027.7302432249944</v>
      </c>
      <c r="I32" s="549">
        <f t="shared" si="25"/>
        <v>1027.7302432249944</v>
      </c>
      <c r="J32" s="549">
        <f t="shared" si="25"/>
        <v>1027.7302432249944</v>
      </c>
      <c r="K32" s="549">
        <f t="shared" si="25"/>
        <v>1027.7302432249944</v>
      </c>
      <c r="L32" s="549">
        <f t="shared" si="25"/>
        <v>1027.7302432249944</v>
      </c>
      <c r="M32" s="549">
        <f t="shared" si="25"/>
        <v>1027.7302432249944</v>
      </c>
      <c r="N32" s="549">
        <f t="shared" si="25"/>
        <v>1027.7302432249944</v>
      </c>
      <c r="O32" s="548">
        <f>SUM(C32:N32)</f>
        <v>12332.762918699933</v>
      </c>
      <c r="P32" s="548">
        <v>12321.900585150996</v>
      </c>
      <c r="Q32" s="548">
        <f>O32-P32</f>
        <v>10.862333548937386</v>
      </c>
      <c r="R32" s="549"/>
      <c r="S32" s="593"/>
      <c r="U32" s="489"/>
      <c r="W32" s="587">
        <v>6.3829999999999998E-2</v>
      </c>
    </row>
    <row r="33" spans="1:25" ht="13.5" thickBot="1" x14ac:dyDescent="0.3">
      <c r="B33" s="822" t="s">
        <v>463</v>
      </c>
      <c r="C33" s="494">
        <f t="shared" ref="C33:N33" si="26">SUM(C29:C32)</f>
        <v>17128.783716904996</v>
      </c>
      <c r="D33" s="494">
        <f t="shared" si="26"/>
        <v>17128.783716904996</v>
      </c>
      <c r="E33" s="494">
        <f t="shared" si="26"/>
        <v>17128.783716904996</v>
      </c>
      <c r="F33" s="494">
        <f t="shared" si="26"/>
        <v>17128.783716904996</v>
      </c>
      <c r="G33" s="494">
        <f t="shared" si="26"/>
        <v>17128.783716904996</v>
      </c>
      <c r="H33" s="494">
        <f t="shared" si="26"/>
        <v>17128.783716904996</v>
      </c>
      <c r="I33" s="494">
        <f t="shared" si="26"/>
        <v>17128.783716904996</v>
      </c>
      <c r="J33" s="494">
        <f t="shared" si="26"/>
        <v>17128.783716904996</v>
      </c>
      <c r="K33" s="494">
        <f t="shared" si="26"/>
        <v>17128.783716904996</v>
      </c>
      <c r="L33" s="494">
        <f t="shared" si="26"/>
        <v>17128.783716904996</v>
      </c>
      <c r="M33" s="494">
        <f t="shared" si="26"/>
        <v>17128.783716904996</v>
      </c>
      <c r="N33" s="494">
        <f t="shared" si="26"/>
        <v>17128.783716904996</v>
      </c>
      <c r="O33" s="504">
        <f>SUM(O29:O32)</f>
        <v>205545.40460285996</v>
      </c>
      <c r="P33" s="504">
        <f t="shared" ref="P33" si="27">SUM(P29:P32)</f>
        <v>205364.36627763099</v>
      </c>
      <c r="Q33" s="504">
        <f>O33-P33</f>
        <v>181.03832522896118</v>
      </c>
      <c r="R33" s="495"/>
      <c r="S33" s="593"/>
      <c r="U33" s="489"/>
      <c r="W33" s="587"/>
    </row>
    <row r="34" spans="1:25" ht="13.5" thickTop="1" x14ac:dyDescent="0.25">
      <c r="C34" s="492"/>
      <c r="D34" s="492"/>
      <c r="E34" s="492"/>
      <c r="F34" s="492"/>
      <c r="G34" s="492"/>
      <c r="H34" s="492"/>
      <c r="I34" s="492"/>
      <c r="J34" s="492"/>
      <c r="K34" s="492"/>
      <c r="L34" s="492"/>
      <c r="M34" s="492"/>
      <c r="N34" s="492"/>
      <c r="O34" s="502"/>
      <c r="P34" s="502"/>
      <c r="Q34" s="502"/>
      <c r="R34" s="492"/>
      <c r="S34" s="593"/>
      <c r="W34" s="582"/>
    </row>
    <row r="35" spans="1:25" x14ac:dyDescent="0.25">
      <c r="A35" s="822" t="s">
        <v>77</v>
      </c>
      <c r="B35" s="822" t="s">
        <v>460</v>
      </c>
      <c r="C35" s="549">
        <f t="shared" ref="C35:N35" si="28">$W$35</f>
        <v>625</v>
      </c>
      <c r="D35" s="549">
        <f t="shared" si="28"/>
        <v>625</v>
      </c>
      <c r="E35" s="549">
        <f t="shared" si="28"/>
        <v>625</v>
      </c>
      <c r="F35" s="549">
        <f t="shared" si="28"/>
        <v>625</v>
      </c>
      <c r="G35" s="549">
        <f t="shared" si="28"/>
        <v>625</v>
      </c>
      <c r="H35" s="549">
        <f t="shared" si="28"/>
        <v>625</v>
      </c>
      <c r="I35" s="549">
        <f t="shared" si="28"/>
        <v>625</v>
      </c>
      <c r="J35" s="549">
        <f t="shared" si="28"/>
        <v>625</v>
      </c>
      <c r="K35" s="549">
        <f t="shared" si="28"/>
        <v>625</v>
      </c>
      <c r="L35" s="549">
        <f t="shared" si="28"/>
        <v>625</v>
      </c>
      <c r="M35" s="549">
        <f t="shared" si="28"/>
        <v>625</v>
      </c>
      <c r="N35" s="549">
        <f t="shared" si="28"/>
        <v>625</v>
      </c>
      <c r="O35" s="548">
        <f>SUM(C35:N35)</f>
        <v>7500</v>
      </c>
      <c r="P35" s="548">
        <v>7500</v>
      </c>
      <c r="Q35" s="548">
        <f>O35-P35</f>
        <v>0</v>
      </c>
      <c r="R35" s="549"/>
      <c r="S35" s="593">
        <v>52000</v>
      </c>
      <c r="T35" s="822" t="s">
        <v>464</v>
      </c>
      <c r="U35" s="489">
        <v>44286</v>
      </c>
      <c r="V35" s="822" t="s">
        <v>459</v>
      </c>
      <c r="W35" s="551">
        <f>W29</f>
        <v>625</v>
      </c>
    </row>
    <row r="36" spans="1:25" x14ac:dyDescent="0.25">
      <c r="A36" s="822" t="s">
        <v>77</v>
      </c>
      <c r="B36" s="822" t="s">
        <v>441</v>
      </c>
      <c r="C36" s="550">
        <f t="shared" ref="C36:N36" si="29">$S$35*$W$36</f>
        <v>104000</v>
      </c>
      <c r="D36" s="550">
        <f t="shared" si="29"/>
        <v>104000</v>
      </c>
      <c r="E36" s="550">
        <f t="shared" si="29"/>
        <v>104000</v>
      </c>
      <c r="F36" s="550">
        <f t="shared" si="29"/>
        <v>104000</v>
      </c>
      <c r="G36" s="550">
        <f t="shared" si="29"/>
        <v>104000</v>
      </c>
      <c r="H36" s="550">
        <f t="shared" si="29"/>
        <v>104000</v>
      </c>
      <c r="I36" s="550">
        <f t="shared" si="29"/>
        <v>104000</v>
      </c>
      <c r="J36" s="550">
        <f t="shared" si="29"/>
        <v>104000</v>
      </c>
      <c r="K36" s="550">
        <f t="shared" si="29"/>
        <v>104000</v>
      </c>
      <c r="L36" s="550">
        <f t="shared" si="29"/>
        <v>104000</v>
      </c>
      <c r="M36" s="550">
        <f t="shared" si="29"/>
        <v>104000</v>
      </c>
      <c r="N36" s="550">
        <f t="shared" si="29"/>
        <v>104000</v>
      </c>
      <c r="O36" s="548">
        <f>SUM(C36:N36)</f>
        <v>1248000</v>
      </c>
      <c r="P36" s="548">
        <v>1248000</v>
      </c>
      <c r="Q36" s="548">
        <f>O36-P36</f>
        <v>0</v>
      </c>
      <c r="R36" s="549"/>
      <c r="U36" s="489"/>
      <c r="W36" s="595">
        <v>2</v>
      </c>
    </row>
    <row r="37" spans="1:25" x14ac:dyDescent="0.25">
      <c r="A37" s="822" t="s">
        <v>77</v>
      </c>
      <c r="B37" s="822" t="s">
        <v>461</v>
      </c>
      <c r="C37" s="549">
        <f t="shared" ref="C37:N37" si="30">(C35+C36)*$W$37</f>
        <v>4659.9975000000004</v>
      </c>
      <c r="D37" s="549">
        <f t="shared" si="30"/>
        <v>4659.9975000000004</v>
      </c>
      <c r="E37" s="549">
        <f t="shared" si="30"/>
        <v>4659.9975000000004</v>
      </c>
      <c r="F37" s="549">
        <f t="shared" si="30"/>
        <v>4659.9975000000004</v>
      </c>
      <c r="G37" s="549">
        <f t="shared" si="30"/>
        <v>4659.9975000000004</v>
      </c>
      <c r="H37" s="549">
        <f t="shared" si="30"/>
        <v>4659.9975000000004</v>
      </c>
      <c r="I37" s="549">
        <f t="shared" si="30"/>
        <v>4659.9975000000004</v>
      </c>
      <c r="J37" s="549">
        <f t="shared" si="30"/>
        <v>4659.9975000000004</v>
      </c>
      <c r="K37" s="549">
        <f t="shared" si="30"/>
        <v>4659.9975000000004</v>
      </c>
      <c r="L37" s="549">
        <f t="shared" si="30"/>
        <v>4659.9975000000004</v>
      </c>
      <c r="M37" s="549">
        <f t="shared" si="30"/>
        <v>4659.9975000000004</v>
      </c>
      <c r="N37" s="549">
        <f t="shared" si="30"/>
        <v>4659.9975000000004</v>
      </c>
      <c r="O37" s="548">
        <f>SUM(C37:N37)</f>
        <v>55919.969999999994</v>
      </c>
      <c r="P37" s="548">
        <v>54764.91</v>
      </c>
      <c r="Q37" s="548">
        <f>O37-P37</f>
        <v>1155.0599999999904</v>
      </c>
      <c r="R37" s="549"/>
      <c r="S37" s="593"/>
      <c r="U37" s="489"/>
      <c r="W37" s="587">
        <v>4.4540000000000003E-2</v>
      </c>
    </row>
    <row r="38" spans="1:25" ht="13.5" thickBot="1" x14ac:dyDescent="0.3">
      <c r="A38" s="822" t="s">
        <v>77</v>
      </c>
      <c r="B38" s="822" t="s">
        <v>463</v>
      </c>
      <c r="C38" s="494">
        <f t="shared" ref="C38:N38" si="31">SUM(C35:C37)</f>
        <v>109284.9975</v>
      </c>
      <c r="D38" s="494">
        <f t="shared" si="31"/>
        <v>109284.9975</v>
      </c>
      <c r="E38" s="494">
        <f t="shared" si="31"/>
        <v>109284.9975</v>
      </c>
      <c r="F38" s="494">
        <f t="shared" si="31"/>
        <v>109284.9975</v>
      </c>
      <c r="G38" s="494">
        <f t="shared" si="31"/>
        <v>109284.9975</v>
      </c>
      <c r="H38" s="494">
        <f t="shared" si="31"/>
        <v>109284.9975</v>
      </c>
      <c r="I38" s="494">
        <f t="shared" si="31"/>
        <v>109284.9975</v>
      </c>
      <c r="J38" s="494">
        <f t="shared" si="31"/>
        <v>109284.9975</v>
      </c>
      <c r="K38" s="494">
        <f t="shared" si="31"/>
        <v>109284.9975</v>
      </c>
      <c r="L38" s="494">
        <f t="shared" si="31"/>
        <v>109284.9975</v>
      </c>
      <c r="M38" s="494">
        <f t="shared" si="31"/>
        <v>109284.9975</v>
      </c>
      <c r="N38" s="494">
        <f t="shared" si="31"/>
        <v>109284.9975</v>
      </c>
      <c r="O38" s="504">
        <f>SUM(O35:O37)</f>
        <v>1311419.97</v>
      </c>
      <c r="P38" s="504">
        <f t="shared" ref="P38" si="32">SUM(P35:P37)</f>
        <v>1310264.9099999999</v>
      </c>
      <c r="Q38" s="504">
        <f>O38-P38</f>
        <v>1155.0600000000559</v>
      </c>
      <c r="R38" s="495"/>
      <c r="S38" s="593"/>
      <c r="U38" s="489"/>
      <c r="W38" s="582"/>
    </row>
    <row r="39" spans="1:25" ht="13.5" thickTop="1" x14ac:dyDescent="0.25">
      <c r="C39" s="495"/>
      <c r="D39" s="495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505"/>
      <c r="P39" s="505"/>
      <c r="Q39" s="505"/>
      <c r="R39" s="495"/>
      <c r="S39" s="593"/>
      <c r="U39" s="489"/>
      <c r="W39" s="582"/>
    </row>
    <row r="40" spans="1:25" x14ac:dyDescent="0.25">
      <c r="A40" s="822" t="s">
        <v>77</v>
      </c>
      <c r="B40" s="822" t="s">
        <v>460</v>
      </c>
      <c r="C40" s="549">
        <f t="shared" ref="C40:N40" si="33">$W$40</f>
        <v>625</v>
      </c>
      <c r="D40" s="549">
        <f t="shared" si="33"/>
        <v>625</v>
      </c>
      <c r="E40" s="549">
        <f t="shared" si="33"/>
        <v>625</v>
      </c>
      <c r="F40" s="549">
        <f t="shared" si="33"/>
        <v>625</v>
      </c>
      <c r="G40" s="549">
        <f t="shared" si="33"/>
        <v>625</v>
      </c>
      <c r="H40" s="549">
        <f t="shared" si="33"/>
        <v>625</v>
      </c>
      <c r="I40" s="549">
        <f t="shared" si="33"/>
        <v>625</v>
      </c>
      <c r="J40" s="549">
        <f t="shared" si="33"/>
        <v>625</v>
      </c>
      <c r="K40" s="549">
        <f t="shared" si="33"/>
        <v>625</v>
      </c>
      <c r="L40" s="549">
        <f t="shared" si="33"/>
        <v>625</v>
      </c>
      <c r="M40" s="549">
        <f t="shared" si="33"/>
        <v>625</v>
      </c>
      <c r="N40" s="549">
        <f t="shared" si="33"/>
        <v>625</v>
      </c>
      <c r="O40" s="548">
        <f>SUM(C40:N40)</f>
        <v>7500</v>
      </c>
      <c r="P40" s="548">
        <v>7500</v>
      </c>
      <c r="Q40" s="548">
        <f>O40-P40</f>
        <v>0</v>
      </c>
      <c r="R40" s="549"/>
      <c r="S40" s="593"/>
      <c r="T40" s="822" t="s">
        <v>465</v>
      </c>
      <c r="U40" s="489">
        <v>44381</v>
      </c>
      <c r="V40" s="822" t="s">
        <v>459</v>
      </c>
      <c r="W40" s="547">
        <v>625</v>
      </c>
    </row>
    <row r="41" spans="1:25" x14ac:dyDescent="0.25">
      <c r="A41" s="822" t="s">
        <v>77</v>
      </c>
      <c r="B41" s="822" t="s">
        <v>466</v>
      </c>
      <c r="C41" s="551">
        <f t="shared" ref="C41:N41" si="34">$W$41</f>
        <v>120485</v>
      </c>
      <c r="D41" s="551">
        <f t="shared" si="34"/>
        <v>120485</v>
      </c>
      <c r="E41" s="551">
        <f t="shared" si="34"/>
        <v>120485</v>
      </c>
      <c r="F41" s="551">
        <f t="shared" si="34"/>
        <v>120485</v>
      </c>
      <c r="G41" s="551">
        <f t="shared" si="34"/>
        <v>120485</v>
      </c>
      <c r="H41" s="551">
        <f t="shared" si="34"/>
        <v>120485</v>
      </c>
      <c r="I41" s="551">
        <f t="shared" si="34"/>
        <v>120485</v>
      </c>
      <c r="J41" s="551">
        <f t="shared" si="34"/>
        <v>120485</v>
      </c>
      <c r="K41" s="551">
        <f t="shared" si="34"/>
        <v>120485</v>
      </c>
      <c r="L41" s="551">
        <f t="shared" si="34"/>
        <v>120485</v>
      </c>
      <c r="M41" s="551">
        <f t="shared" si="34"/>
        <v>120485</v>
      </c>
      <c r="N41" s="551">
        <f t="shared" si="34"/>
        <v>120485</v>
      </c>
      <c r="O41" s="548">
        <f>SUM(C41:N41)</f>
        <v>1445820</v>
      </c>
      <c r="P41" s="548">
        <v>1445820</v>
      </c>
      <c r="Q41" s="548">
        <f>O41-P41</f>
        <v>0</v>
      </c>
      <c r="R41" s="549"/>
      <c r="S41" s="593"/>
      <c r="U41" s="489"/>
      <c r="W41" s="547">
        <v>120485</v>
      </c>
    </row>
    <row r="42" spans="1:25" x14ac:dyDescent="0.25">
      <c r="A42" s="822" t="s">
        <v>77</v>
      </c>
      <c r="B42" s="822" t="s">
        <v>467</v>
      </c>
      <c r="C42" s="549">
        <f t="shared" ref="C42:N42" si="35">$W$42</f>
        <v>514.02</v>
      </c>
      <c r="D42" s="549">
        <f t="shared" si="35"/>
        <v>514.02</v>
      </c>
      <c r="E42" s="549">
        <f t="shared" si="35"/>
        <v>514.02</v>
      </c>
      <c r="F42" s="549">
        <f t="shared" si="35"/>
        <v>514.02</v>
      </c>
      <c r="G42" s="549">
        <f t="shared" si="35"/>
        <v>514.02</v>
      </c>
      <c r="H42" s="549">
        <f t="shared" si="35"/>
        <v>514.02</v>
      </c>
      <c r="I42" s="549">
        <f t="shared" si="35"/>
        <v>514.02</v>
      </c>
      <c r="J42" s="549">
        <f t="shared" si="35"/>
        <v>514.02</v>
      </c>
      <c r="K42" s="549">
        <f t="shared" si="35"/>
        <v>514.02</v>
      </c>
      <c r="L42" s="549">
        <f t="shared" si="35"/>
        <v>514.02</v>
      </c>
      <c r="M42" s="549">
        <f t="shared" si="35"/>
        <v>514.02</v>
      </c>
      <c r="N42" s="549">
        <f t="shared" si="35"/>
        <v>514.02</v>
      </c>
      <c r="O42" s="548">
        <f>SUM(C42:N42)</f>
        <v>6168.2400000000016</v>
      </c>
      <c r="P42" s="548">
        <v>-33037.80000000001</v>
      </c>
      <c r="Q42" s="548">
        <f>O42-P42</f>
        <v>39206.040000000008</v>
      </c>
      <c r="R42" s="549"/>
      <c r="S42" s="593"/>
      <c r="U42" s="489"/>
      <c r="W42" s="547">
        <v>514.02</v>
      </c>
    </row>
    <row r="43" spans="1:25" x14ac:dyDescent="0.25">
      <c r="A43" s="822" t="s">
        <v>77</v>
      </c>
      <c r="B43" s="822" t="s">
        <v>461</v>
      </c>
      <c r="C43" s="549">
        <f t="shared" ref="C43:N43" si="36">(C40+C41+C42)*$W$43</f>
        <v>5417.1338508000008</v>
      </c>
      <c r="D43" s="549">
        <f t="shared" si="36"/>
        <v>5417.1338508000008</v>
      </c>
      <c r="E43" s="549">
        <f t="shared" si="36"/>
        <v>5417.1338508000008</v>
      </c>
      <c r="F43" s="549">
        <f t="shared" si="36"/>
        <v>5417.1338508000008</v>
      </c>
      <c r="G43" s="549">
        <f t="shared" si="36"/>
        <v>5417.1338508000008</v>
      </c>
      <c r="H43" s="549">
        <f t="shared" si="36"/>
        <v>5417.1338508000008</v>
      </c>
      <c r="I43" s="549">
        <f t="shared" si="36"/>
        <v>5417.1338508000008</v>
      </c>
      <c r="J43" s="549">
        <f t="shared" si="36"/>
        <v>5417.1338508000008</v>
      </c>
      <c r="K43" s="549">
        <f t="shared" si="36"/>
        <v>5417.1338508000008</v>
      </c>
      <c r="L43" s="549">
        <f t="shared" si="36"/>
        <v>5417.1338508000008</v>
      </c>
      <c r="M43" s="549">
        <f t="shared" si="36"/>
        <v>5417.1338508000008</v>
      </c>
      <c r="N43" s="549">
        <f t="shared" si="36"/>
        <v>5417.1338508000008</v>
      </c>
      <c r="O43" s="548">
        <f>SUM(C43:N43)</f>
        <v>65005.606209600024</v>
      </c>
      <c r="P43" s="548">
        <v>61952.709563999997</v>
      </c>
      <c r="Q43" s="548">
        <f>O43-P43</f>
        <v>3052.8966456000271</v>
      </c>
      <c r="R43" s="549"/>
      <c r="S43" s="593"/>
      <c r="U43" s="489"/>
      <c r="W43" s="588">
        <f>W37</f>
        <v>4.4540000000000003E-2</v>
      </c>
    </row>
    <row r="44" spans="1:25" ht="13.5" thickBot="1" x14ac:dyDescent="0.3">
      <c r="A44" s="822" t="s">
        <v>77</v>
      </c>
      <c r="B44" s="822" t="s">
        <v>463</v>
      </c>
      <c r="C44" s="494">
        <f>SUM(C40:C43)</f>
        <v>127041.15385080001</v>
      </c>
      <c r="D44" s="494">
        <f t="shared" ref="D44:N44" si="37">SUM(D40:D43)</f>
        <v>127041.15385080001</v>
      </c>
      <c r="E44" s="494">
        <f t="shared" si="37"/>
        <v>127041.15385080001</v>
      </c>
      <c r="F44" s="494">
        <f t="shared" si="37"/>
        <v>127041.15385080001</v>
      </c>
      <c r="G44" s="494">
        <f t="shared" si="37"/>
        <v>127041.15385080001</v>
      </c>
      <c r="H44" s="494">
        <f t="shared" si="37"/>
        <v>127041.15385080001</v>
      </c>
      <c r="I44" s="494">
        <f t="shared" si="37"/>
        <v>127041.15385080001</v>
      </c>
      <c r="J44" s="494">
        <f t="shared" si="37"/>
        <v>127041.15385080001</v>
      </c>
      <c r="K44" s="494">
        <f t="shared" si="37"/>
        <v>127041.15385080001</v>
      </c>
      <c r="L44" s="494">
        <f t="shared" si="37"/>
        <v>127041.15385080001</v>
      </c>
      <c r="M44" s="494">
        <f t="shared" si="37"/>
        <v>127041.15385080001</v>
      </c>
      <c r="N44" s="494">
        <f t="shared" si="37"/>
        <v>127041.15385080001</v>
      </c>
      <c r="O44" s="504">
        <f>SUM(O40:O43)</f>
        <v>1524493.8462096001</v>
      </c>
      <c r="P44" s="504">
        <f t="shared" ref="P44" si="38">SUM(P40:P43)</f>
        <v>1482234.9095639999</v>
      </c>
      <c r="Q44" s="504">
        <f>O44-P44</f>
        <v>42258.936645600246</v>
      </c>
      <c r="R44" s="495"/>
      <c r="S44" s="593"/>
      <c r="U44" s="489"/>
      <c r="W44" s="582"/>
    </row>
    <row r="45" spans="1:25" ht="13.5" thickTop="1" x14ac:dyDescent="0.25">
      <c r="C45" s="492"/>
      <c r="D45" s="492"/>
      <c r="E45" s="492"/>
      <c r="F45" s="492"/>
      <c r="G45" s="492"/>
      <c r="H45" s="492"/>
      <c r="I45" s="492"/>
      <c r="J45" s="492"/>
      <c r="K45" s="492"/>
      <c r="L45" s="492"/>
      <c r="M45" s="492"/>
      <c r="N45" s="492"/>
      <c r="O45" s="502"/>
      <c r="P45" s="502"/>
      <c r="Q45" s="502"/>
      <c r="R45" s="492"/>
      <c r="S45" s="593"/>
      <c r="U45" s="489"/>
      <c r="W45" s="582"/>
    </row>
    <row r="46" spans="1:25" x14ac:dyDescent="0.25">
      <c r="A46" s="822" t="s">
        <v>77</v>
      </c>
      <c r="B46" s="822" t="s">
        <v>460</v>
      </c>
      <c r="C46" s="549">
        <f t="shared" ref="C46:N46" si="39">$W$46</f>
        <v>625</v>
      </c>
      <c r="D46" s="549">
        <f t="shared" si="39"/>
        <v>625</v>
      </c>
      <c r="E46" s="549">
        <f t="shared" si="39"/>
        <v>625</v>
      </c>
      <c r="F46" s="549">
        <f t="shared" si="39"/>
        <v>625</v>
      </c>
      <c r="G46" s="549">
        <f t="shared" si="39"/>
        <v>625</v>
      </c>
      <c r="H46" s="549">
        <f t="shared" si="39"/>
        <v>625</v>
      </c>
      <c r="I46" s="549">
        <f t="shared" si="39"/>
        <v>625</v>
      </c>
      <c r="J46" s="549">
        <f t="shared" si="39"/>
        <v>625</v>
      </c>
      <c r="K46" s="549">
        <f t="shared" si="39"/>
        <v>625</v>
      </c>
      <c r="L46" s="549">
        <f t="shared" si="39"/>
        <v>625</v>
      </c>
      <c r="M46" s="549">
        <f t="shared" si="39"/>
        <v>625</v>
      </c>
      <c r="N46" s="549">
        <f t="shared" si="39"/>
        <v>625</v>
      </c>
      <c r="O46" s="548">
        <f>SUM(C46:N46)</f>
        <v>7500</v>
      </c>
      <c r="P46" s="548">
        <v>7500</v>
      </c>
      <c r="Q46" s="548">
        <f>O46-P46</f>
        <v>0</v>
      </c>
      <c r="R46" s="549"/>
      <c r="S46" s="593">
        <v>52000</v>
      </c>
      <c r="T46" s="822" t="s">
        <v>468</v>
      </c>
      <c r="U46" s="489">
        <v>44286</v>
      </c>
      <c r="V46" s="822" t="s">
        <v>459</v>
      </c>
      <c r="W46" s="551">
        <v>625</v>
      </c>
      <c r="Y46" s="485"/>
    </row>
    <row r="47" spans="1:25" x14ac:dyDescent="0.25">
      <c r="A47" s="822" t="s">
        <v>77</v>
      </c>
      <c r="B47" s="822" t="s">
        <v>441</v>
      </c>
      <c r="C47" s="549">
        <f t="shared" ref="C47:N47" si="40">$W$47*$S$46</f>
        <v>104000</v>
      </c>
      <c r="D47" s="549">
        <f t="shared" si="40"/>
        <v>104000</v>
      </c>
      <c r="E47" s="549">
        <f t="shared" si="40"/>
        <v>104000</v>
      </c>
      <c r="F47" s="549">
        <f t="shared" si="40"/>
        <v>104000</v>
      </c>
      <c r="G47" s="549">
        <f t="shared" si="40"/>
        <v>104000</v>
      </c>
      <c r="H47" s="549">
        <f t="shared" si="40"/>
        <v>104000</v>
      </c>
      <c r="I47" s="549">
        <f t="shared" si="40"/>
        <v>104000</v>
      </c>
      <c r="J47" s="549">
        <f t="shared" si="40"/>
        <v>104000</v>
      </c>
      <c r="K47" s="549">
        <f t="shared" si="40"/>
        <v>104000</v>
      </c>
      <c r="L47" s="549">
        <f t="shared" si="40"/>
        <v>104000</v>
      </c>
      <c r="M47" s="549">
        <f t="shared" si="40"/>
        <v>104000</v>
      </c>
      <c r="N47" s="549">
        <f t="shared" si="40"/>
        <v>104000</v>
      </c>
      <c r="O47" s="548">
        <f>SUM(C47:N47)</f>
        <v>1248000</v>
      </c>
      <c r="P47" s="548">
        <v>1248000</v>
      </c>
      <c r="Q47" s="548">
        <f>O47-P47</f>
        <v>0</v>
      </c>
      <c r="R47" s="549"/>
      <c r="U47" s="489"/>
      <c r="W47" s="595">
        <v>2</v>
      </c>
    </row>
    <row r="48" spans="1:25" x14ac:dyDescent="0.25">
      <c r="A48" s="822" t="s">
        <v>77</v>
      </c>
      <c r="B48" s="822" t="s">
        <v>461</v>
      </c>
      <c r="C48" s="549">
        <f t="shared" ref="C48:N48" si="41">(C46+C47)*$W$48</f>
        <v>4659.9975000000004</v>
      </c>
      <c r="D48" s="549">
        <f t="shared" si="41"/>
        <v>4659.9975000000004</v>
      </c>
      <c r="E48" s="549">
        <f t="shared" si="41"/>
        <v>4659.9975000000004</v>
      </c>
      <c r="F48" s="549">
        <f t="shared" si="41"/>
        <v>4659.9975000000004</v>
      </c>
      <c r="G48" s="549">
        <f t="shared" si="41"/>
        <v>4659.9975000000004</v>
      </c>
      <c r="H48" s="549">
        <f t="shared" si="41"/>
        <v>4659.9975000000004</v>
      </c>
      <c r="I48" s="549">
        <f t="shared" si="41"/>
        <v>4659.9975000000004</v>
      </c>
      <c r="J48" s="549">
        <f t="shared" si="41"/>
        <v>4659.9975000000004</v>
      </c>
      <c r="K48" s="549">
        <f t="shared" si="41"/>
        <v>4659.9975000000004</v>
      </c>
      <c r="L48" s="549">
        <f t="shared" si="41"/>
        <v>4659.9975000000004</v>
      </c>
      <c r="M48" s="549">
        <f t="shared" si="41"/>
        <v>4659.9975000000004</v>
      </c>
      <c r="N48" s="549">
        <f t="shared" si="41"/>
        <v>4659.9975000000004</v>
      </c>
      <c r="O48" s="548">
        <f>SUM(C48:N48)</f>
        <v>55919.969999999994</v>
      </c>
      <c r="P48" s="548">
        <v>54764.91</v>
      </c>
      <c r="Q48" s="548">
        <f>O48-P48</f>
        <v>1155.0599999999904</v>
      </c>
      <c r="R48" s="549"/>
      <c r="S48" s="593"/>
      <c r="U48" s="489"/>
      <c r="W48" s="588">
        <f>W37</f>
        <v>4.4540000000000003E-2</v>
      </c>
      <c r="Y48" s="485"/>
    </row>
    <row r="49" spans="1:25" x14ac:dyDescent="0.25">
      <c r="A49" s="822" t="s">
        <v>77</v>
      </c>
      <c r="B49" s="822" t="s">
        <v>462</v>
      </c>
      <c r="C49" s="549">
        <f t="shared" ref="C49:N49" si="42">$W$49</f>
        <v>60</v>
      </c>
      <c r="D49" s="549">
        <f t="shared" si="42"/>
        <v>60</v>
      </c>
      <c r="E49" s="549">
        <f t="shared" si="42"/>
        <v>60</v>
      </c>
      <c r="F49" s="549">
        <f t="shared" si="42"/>
        <v>60</v>
      </c>
      <c r="G49" s="549">
        <f t="shared" si="42"/>
        <v>60</v>
      </c>
      <c r="H49" s="549">
        <f t="shared" si="42"/>
        <v>60</v>
      </c>
      <c r="I49" s="549">
        <f t="shared" si="42"/>
        <v>60</v>
      </c>
      <c r="J49" s="549">
        <f t="shared" si="42"/>
        <v>60</v>
      </c>
      <c r="K49" s="549">
        <f t="shared" si="42"/>
        <v>60</v>
      </c>
      <c r="L49" s="549">
        <f t="shared" si="42"/>
        <v>60</v>
      </c>
      <c r="M49" s="549">
        <f t="shared" si="42"/>
        <v>60</v>
      </c>
      <c r="N49" s="549">
        <f t="shared" si="42"/>
        <v>60</v>
      </c>
      <c r="O49" s="548">
        <f>SUM(C49:N49)</f>
        <v>720</v>
      </c>
      <c r="P49" s="548">
        <v>720</v>
      </c>
      <c r="Q49" s="548">
        <f>O49-P49</f>
        <v>0</v>
      </c>
      <c r="R49" s="549"/>
      <c r="S49" s="593"/>
      <c r="U49" s="489"/>
      <c r="W49" s="547">
        <v>60</v>
      </c>
      <c r="Y49" s="485"/>
    </row>
    <row r="50" spans="1:25" ht="13.5" thickBot="1" x14ac:dyDescent="0.3">
      <c r="A50" s="822" t="s">
        <v>77</v>
      </c>
      <c r="B50" s="822" t="s">
        <v>463</v>
      </c>
      <c r="C50" s="494">
        <f t="shared" ref="C50:N50" si="43">SUM(C46:C49)</f>
        <v>109344.9975</v>
      </c>
      <c r="D50" s="494">
        <f t="shared" si="43"/>
        <v>109344.9975</v>
      </c>
      <c r="E50" s="494">
        <f t="shared" si="43"/>
        <v>109344.9975</v>
      </c>
      <c r="F50" s="494">
        <f t="shared" si="43"/>
        <v>109344.9975</v>
      </c>
      <c r="G50" s="494">
        <f t="shared" si="43"/>
        <v>109344.9975</v>
      </c>
      <c r="H50" s="494">
        <f t="shared" si="43"/>
        <v>109344.9975</v>
      </c>
      <c r="I50" s="494">
        <f t="shared" si="43"/>
        <v>109344.9975</v>
      </c>
      <c r="J50" s="494">
        <f t="shared" si="43"/>
        <v>109344.9975</v>
      </c>
      <c r="K50" s="494">
        <f t="shared" si="43"/>
        <v>109344.9975</v>
      </c>
      <c r="L50" s="494">
        <f t="shared" si="43"/>
        <v>109344.9975</v>
      </c>
      <c r="M50" s="494">
        <f t="shared" si="43"/>
        <v>109344.9975</v>
      </c>
      <c r="N50" s="494">
        <f t="shared" si="43"/>
        <v>109344.9975</v>
      </c>
      <c r="O50" s="504">
        <f>SUM(O46:O49)</f>
        <v>1312139.97</v>
      </c>
      <c r="P50" s="504">
        <f t="shared" ref="P50" si="44">SUM(P46:P49)</f>
        <v>1310984.9099999999</v>
      </c>
      <c r="Q50" s="504">
        <f>O50-P50</f>
        <v>1155.0600000000559</v>
      </c>
      <c r="R50" s="495"/>
      <c r="S50" s="593"/>
      <c r="U50" s="489"/>
      <c r="W50" s="588"/>
      <c r="Y50" s="485"/>
    </row>
    <row r="51" spans="1:25" ht="13.5" thickTop="1" x14ac:dyDescent="0.25">
      <c r="C51" s="495"/>
      <c r="D51" s="495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505"/>
      <c r="P51" s="505"/>
      <c r="Q51" s="505"/>
      <c r="R51" s="495"/>
      <c r="S51" s="593"/>
      <c r="U51" s="489"/>
      <c r="W51" s="588"/>
      <c r="Y51" s="497"/>
    </row>
    <row r="52" spans="1:25" x14ac:dyDescent="0.25">
      <c r="A52" s="822" t="s">
        <v>77</v>
      </c>
      <c r="B52" s="822" t="s">
        <v>460</v>
      </c>
      <c r="C52" s="549">
        <f t="shared" ref="C52:N52" si="45">$W$52</f>
        <v>625</v>
      </c>
      <c r="D52" s="549">
        <f t="shared" si="45"/>
        <v>625</v>
      </c>
      <c r="E52" s="549">
        <f t="shared" si="45"/>
        <v>625</v>
      </c>
      <c r="F52" s="549">
        <f t="shared" si="45"/>
        <v>625</v>
      </c>
      <c r="G52" s="549">
        <f t="shared" si="45"/>
        <v>625</v>
      </c>
      <c r="H52" s="549">
        <f t="shared" si="45"/>
        <v>625</v>
      </c>
      <c r="I52" s="549">
        <f t="shared" si="45"/>
        <v>625</v>
      </c>
      <c r="J52" s="549">
        <f t="shared" si="45"/>
        <v>625</v>
      </c>
      <c r="K52" s="549">
        <f t="shared" si="45"/>
        <v>625</v>
      </c>
      <c r="L52" s="549">
        <f t="shared" si="45"/>
        <v>625</v>
      </c>
      <c r="M52" s="549">
        <f t="shared" si="45"/>
        <v>625</v>
      </c>
      <c r="N52" s="549">
        <f t="shared" si="45"/>
        <v>625</v>
      </c>
      <c r="O52" s="548">
        <f>SUM(C52:N52)</f>
        <v>7500</v>
      </c>
      <c r="P52" s="548">
        <v>7500</v>
      </c>
      <c r="Q52" s="548">
        <f>O52-P52</f>
        <v>0</v>
      </c>
      <c r="R52" s="549"/>
      <c r="S52" s="593"/>
      <c r="T52" s="822" t="s">
        <v>469</v>
      </c>
      <c r="U52" s="489">
        <v>44196</v>
      </c>
      <c r="V52" s="822" t="s">
        <v>459</v>
      </c>
      <c r="W52" s="551">
        <v>625</v>
      </c>
    </row>
    <row r="53" spans="1:25" x14ac:dyDescent="0.25">
      <c r="A53" s="822" t="s">
        <v>77</v>
      </c>
      <c r="B53" s="822" t="s">
        <v>470</v>
      </c>
      <c r="C53" s="549">
        <f t="shared" ref="C53:N53" si="46">$W$53</f>
        <v>13900</v>
      </c>
      <c r="D53" s="549">
        <f t="shared" si="46"/>
        <v>13900</v>
      </c>
      <c r="E53" s="549">
        <f t="shared" si="46"/>
        <v>13900</v>
      </c>
      <c r="F53" s="549">
        <f t="shared" si="46"/>
        <v>13900</v>
      </c>
      <c r="G53" s="549">
        <f t="shared" si="46"/>
        <v>13900</v>
      </c>
      <c r="H53" s="549">
        <f t="shared" si="46"/>
        <v>13900</v>
      </c>
      <c r="I53" s="549">
        <f t="shared" si="46"/>
        <v>13900</v>
      </c>
      <c r="J53" s="549">
        <f t="shared" si="46"/>
        <v>13900</v>
      </c>
      <c r="K53" s="549">
        <f t="shared" si="46"/>
        <v>13900</v>
      </c>
      <c r="L53" s="549">
        <f t="shared" si="46"/>
        <v>13900</v>
      </c>
      <c r="M53" s="549">
        <f t="shared" si="46"/>
        <v>13900</v>
      </c>
      <c r="N53" s="549">
        <f t="shared" si="46"/>
        <v>13900</v>
      </c>
      <c r="O53" s="548">
        <f>SUM(C53:N53)</f>
        <v>166800</v>
      </c>
      <c r="P53" s="548">
        <v>166800</v>
      </c>
      <c r="Q53" s="548">
        <f>O53-P53</f>
        <v>0</v>
      </c>
      <c r="R53" s="549"/>
      <c r="S53" s="593"/>
      <c r="U53" s="489"/>
      <c r="W53" s="551">
        <v>13900</v>
      </c>
    </row>
    <row r="54" spans="1:25" x14ac:dyDescent="0.25">
      <c r="A54" s="822" t="s">
        <v>77</v>
      </c>
      <c r="B54" s="822" t="s">
        <v>461</v>
      </c>
      <c r="C54" s="549">
        <f t="shared" ref="C54:N54" si="47">(C52+C53)*$W$54</f>
        <v>646.94350000000009</v>
      </c>
      <c r="D54" s="549">
        <f t="shared" si="47"/>
        <v>646.94350000000009</v>
      </c>
      <c r="E54" s="549">
        <f t="shared" si="47"/>
        <v>646.94350000000009</v>
      </c>
      <c r="F54" s="549">
        <f t="shared" si="47"/>
        <v>646.94350000000009</v>
      </c>
      <c r="G54" s="549">
        <f t="shared" si="47"/>
        <v>646.94350000000009</v>
      </c>
      <c r="H54" s="549">
        <f t="shared" si="47"/>
        <v>646.94350000000009</v>
      </c>
      <c r="I54" s="549">
        <f t="shared" si="47"/>
        <v>646.94350000000009</v>
      </c>
      <c r="J54" s="549">
        <f t="shared" si="47"/>
        <v>646.94350000000009</v>
      </c>
      <c r="K54" s="549">
        <f t="shared" si="47"/>
        <v>646.94350000000009</v>
      </c>
      <c r="L54" s="549">
        <f t="shared" si="47"/>
        <v>646.94350000000009</v>
      </c>
      <c r="M54" s="549">
        <f t="shared" si="47"/>
        <v>646.94350000000009</v>
      </c>
      <c r="N54" s="549">
        <f t="shared" si="47"/>
        <v>646.94350000000009</v>
      </c>
      <c r="O54" s="548">
        <f>SUM(C54:N54)</f>
        <v>7763.3220000000028</v>
      </c>
      <c r="P54" s="548">
        <v>6550.9461357142209</v>
      </c>
      <c r="Q54" s="548">
        <f>O54-P54</f>
        <v>1212.375864285782</v>
      </c>
      <c r="R54" s="549"/>
      <c r="S54" s="593"/>
      <c r="W54" s="587">
        <f>W48</f>
        <v>4.4540000000000003E-2</v>
      </c>
    </row>
    <row r="55" spans="1:25" ht="13.5" thickBot="1" x14ac:dyDescent="0.3">
      <c r="A55" s="822" t="s">
        <v>77</v>
      </c>
      <c r="B55" s="822" t="s">
        <v>463</v>
      </c>
      <c r="C55" s="494">
        <f t="shared" ref="C55:N55" si="48">SUM(C52:C54)</f>
        <v>15171.943499999999</v>
      </c>
      <c r="D55" s="494">
        <f t="shared" si="48"/>
        <v>15171.943499999999</v>
      </c>
      <c r="E55" s="494">
        <f t="shared" si="48"/>
        <v>15171.943499999999</v>
      </c>
      <c r="F55" s="494">
        <f t="shared" si="48"/>
        <v>15171.943499999999</v>
      </c>
      <c r="G55" s="494">
        <f t="shared" si="48"/>
        <v>15171.943499999999</v>
      </c>
      <c r="H55" s="494">
        <f t="shared" si="48"/>
        <v>15171.943499999999</v>
      </c>
      <c r="I55" s="494">
        <f t="shared" si="48"/>
        <v>15171.943499999999</v>
      </c>
      <c r="J55" s="494">
        <f t="shared" si="48"/>
        <v>15171.943499999999</v>
      </c>
      <c r="K55" s="494">
        <f t="shared" si="48"/>
        <v>15171.943499999999</v>
      </c>
      <c r="L55" s="494">
        <f t="shared" si="48"/>
        <v>15171.943499999999</v>
      </c>
      <c r="M55" s="494">
        <f t="shared" si="48"/>
        <v>15171.943499999999</v>
      </c>
      <c r="N55" s="494">
        <f t="shared" si="48"/>
        <v>15171.943499999999</v>
      </c>
      <c r="O55" s="504">
        <f>SUM(O51:O54)</f>
        <v>182063.32200000001</v>
      </c>
      <c r="P55" s="504">
        <f>SUM(P52:P54)+241178.33-24117.83</f>
        <v>397911.44613571418</v>
      </c>
      <c r="Q55" s="504">
        <f>O55-P55</f>
        <v>-215848.12413571417</v>
      </c>
      <c r="R55" s="495"/>
      <c r="S55" s="593"/>
      <c r="W55" s="582"/>
    </row>
    <row r="56" spans="1:25" ht="13.5" thickTop="1" x14ac:dyDescent="0.25">
      <c r="C56" s="492"/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502"/>
      <c r="P56" s="502"/>
      <c r="Q56" s="502"/>
      <c r="R56" s="492"/>
      <c r="S56" s="593"/>
      <c r="W56" s="582"/>
    </row>
    <row r="57" spans="1:25" ht="13.5" thickBot="1" x14ac:dyDescent="0.3">
      <c r="A57" s="822" t="s">
        <v>77</v>
      </c>
      <c r="B57" s="479" t="s">
        <v>471</v>
      </c>
      <c r="C57" s="494">
        <f t="shared" ref="C57:N57" si="49">C33+C38+C44+C50+C55</f>
        <v>377971.87606770499</v>
      </c>
      <c r="D57" s="494">
        <f t="shared" si="49"/>
        <v>377971.87606770499</v>
      </c>
      <c r="E57" s="494">
        <f t="shared" si="49"/>
        <v>377971.87606770499</v>
      </c>
      <c r="F57" s="494">
        <f t="shared" si="49"/>
        <v>377971.87606770499</v>
      </c>
      <c r="G57" s="494">
        <f t="shared" si="49"/>
        <v>377971.87606770499</v>
      </c>
      <c r="H57" s="494">
        <f t="shared" si="49"/>
        <v>377971.87606770499</v>
      </c>
      <c r="I57" s="494">
        <f t="shared" si="49"/>
        <v>377971.87606770499</v>
      </c>
      <c r="J57" s="494">
        <f t="shared" si="49"/>
        <v>377971.87606770499</v>
      </c>
      <c r="K57" s="494">
        <f t="shared" si="49"/>
        <v>377971.87606770499</v>
      </c>
      <c r="L57" s="494">
        <f t="shared" si="49"/>
        <v>377971.87606770499</v>
      </c>
      <c r="M57" s="494">
        <f t="shared" si="49"/>
        <v>377971.87606770499</v>
      </c>
      <c r="N57" s="494">
        <f t="shared" si="49"/>
        <v>377971.87606770499</v>
      </c>
      <c r="O57" s="504">
        <f>SUM(C57:N57)</f>
        <v>4535662.5128124598</v>
      </c>
      <c r="P57" s="504">
        <f>P33+P38+P44+P50+P55</f>
        <v>4706760.5419773441</v>
      </c>
      <c r="Q57" s="504">
        <f>O57-P57</f>
        <v>-171098.02916488424</v>
      </c>
      <c r="R57" s="495"/>
      <c r="S57" s="593"/>
      <c r="W57" s="582"/>
    </row>
    <row r="58" spans="1:25" ht="13.5" thickTop="1" x14ac:dyDescent="0.25">
      <c r="C58" s="492"/>
      <c r="D58" s="492"/>
      <c r="E58" s="492"/>
      <c r="F58" s="492"/>
      <c r="G58" s="492"/>
      <c r="H58" s="492"/>
      <c r="I58" s="492"/>
      <c r="J58" s="492"/>
      <c r="K58" s="492"/>
      <c r="L58" s="492"/>
      <c r="M58" s="492"/>
      <c r="N58" s="492"/>
      <c r="O58" s="502"/>
      <c r="P58" s="502"/>
      <c r="Q58" s="502"/>
      <c r="R58" s="492"/>
      <c r="S58" s="593"/>
      <c r="W58" s="582"/>
    </row>
    <row r="59" spans="1:25" x14ac:dyDescent="0.25">
      <c r="A59" s="822" t="s">
        <v>78</v>
      </c>
      <c r="B59" s="822" t="s">
        <v>441</v>
      </c>
      <c r="C59" s="549">
        <f t="shared" ref="C59:N59" si="50">$S$59*$W$59</f>
        <v>123894.660525</v>
      </c>
      <c r="D59" s="549">
        <f t="shared" si="50"/>
        <v>123894.660525</v>
      </c>
      <c r="E59" s="549">
        <f t="shared" si="50"/>
        <v>123894.660525</v>
      </c>
      <c r="F59" s="549">
        <f t="shared" si="50"/>
        <v>123894.660525</v>
      </c>
      <c r="G59" s="549">
        <f t="shared" si="50"/>
        <v>123894.660525</v>
      </c>
      <c r="H59" s="549">
        <f t="shared" si="50"/>
        <v>123894.660525</v>
      </c>
      <c r="I59" s="549">
        <f t="shared" si="50"/>
        <v>123894.660525</v>
      </c>
      <c r="J59" s="549">
        <f t="shared" si="50"/>
        <v>123894.660525</v>
      </c>
      <c r="K59" s="549">
        <f t="shared" si="50"/>
        <v>123894.660525</v>
      </c>
      <c r="L59" s="549">
        <f t="shared" si="50"/>
        <v>123894.660525</v>
      </c>
      <c r="M59" s="549">
        <f t="shared" si="50"/>
        <v>123894.660525</v>
      </c>
      <c r="N59" s="549">
        <f t="shared" si="50"/>
        <v>123894.660525</v>
      </c>
      <c r="O59" s="548">
        <f>SUM(C59:N59)</f>
        <v>1486735.9262999997</v>
      </c>
      <c r="P59" s="548">
        <v>1515248.5233839999</v>
      </c>
      <c r="Q59" s="548">
        <f>O59-P59</f>
        <v>-28512.597084000241</v>
      </c>
      <c r="R59" s="549"/>
      <c r="S59" s="593">
        <v>40567</v>
      </c>
      <c r="T59" s="822">
        <v>17012</v>
      </c>
      <c r="U59" s="489">
        <v>45230</v>
      </c>
      <c r="V59" s="822" t="s">
        <v>472</v>
      </c>
      <c r="W59" s="595">
        <v>3.0540750000000001</v>
      </c>
      <c r="X59" s="822" t="s">
        <v>473</v>
      </c>
      <c r="Y59" s="822" t="s">
        <v>474</v>
      </c>
    </row>
    <row r="60" spans="1:25" x14ac:dyDescent="0.25">
      <c r="A60" s="822" t="s">
        <v>78</v>
      </c>
      <c r="B60" s="822" t="s">
        <v>441</v>
      </c>
      <c r="C60" s="549">
        <f t="shared" ref="C60:N60" si="51">$S$59*$W$60*C$7</f>
        <v>35981.793123999996</v>
      </c>
      <c r="D60" s="549">
        <f t="shared" si="51"/>
        <v>32499.684111999999</v>
      </c>
      <c r="E60" s="549">
        <f t="shared" si="51"/>
        <v>35981.793123999996</v>
      </c>
      <c r="F60" s="549">
        <f t="shared" si="51"/>
        <v>34821.090120000001</v>
      </c>
      <c r="G60" s="549">
        <f t="shared" si="51"/>
        <v>35981.793123999996</v>
      </c>
      <c r="H60" s="549">
        <f t="shared" si="51"/>
        <v>34821.090120000001</v>
      </c>
      <c r="I60" s="549">
        <f t="shared" si="51"/>
        <v>35981.793123999996</v>
      </c>
      <c r="J60" s="549">
        <f t="shared" si="51"/>
        <v>35981.793123999996</v>
      </c>
      <c r="K60" s="549">
        <f t="shared" si="51"/>
        <v>34821.090120000001</v>
      </c>
      <c r="L60" s="549">
        <f t="shared" si="51"/>
        <v>35981.793123999996</v>
      </c>
      <c r="M60" s="549">
        <f t="shared" si="51"/>
        <v>34821.090120000001</v>
      </c>
      <c r="N60" s="549">
        <f t="shared" si="51"/>
        <v>35981.793123999996</v>
      </c>
      <c r="O60" s="548">
        <f>SUM(C60:N60)</f>
        <v>423656.59646000003</v>
      </c>
      <c r="P60" s="548">
        <v>423656.59646000003</v>
      </c>
      <c r="Q60" s="548">
        <f>O60-P60</f>
        <v>0</v>
      </c>
      <c r="R60" s="549"/>
      <c r="S60" s="593"/>
      <c r="W60" s="595">
        <v>2.8611999999999999E-2</v>
      </c>
    </row>
    <row r="61" spans="1:25" ht="13.5" thickBot="1" x14ac:dyDescent="0.3">
      <c r="A61" s="822" t="s">
        <v>78</v>
      </c>
      <c r="B61" s="479" t="s">
        <v>475</v>
      </c>
      <c r="C61" s="494">
        <f t="shared" ref="C61:N61" si="52">SUM(C59:C60)</f>
        <v>159876.453649</v>
      </c>
      <c r="D61" s="494">
        <f t="shared" si="52"/>
        <v>156394.344637</v>
      </c>
      <c r="E61" s="494">
        <f t="shared" si="52"/>
        <v>159876.453649</v>
      </c>
      <c r="F61" s="494">
        <f t="shared" si="52"/>
        <v>158715.75064499999</v>
      </c>
      <c r="G61" s="494">
        <f t="shared" si="52"/>
        <v>159876.453649</v>
      </c>
      <c r="H61" s="494">
        <f t="shared" si="52"/>
        <v>158715.75064499999</v>
      </c>
      <c r="I61" s="494">
        <f t="shared" si="52"/>
        <v>159876.453649</v>
      </c>
      <c r="J61" s="494">
        <f t="shared" si="52"/>
        <v>159876.453649</v>
      </c>
      <c r="K61" s="494">
        <f t="shared" si="52"/>
        <v>158715.75064499999</v>
      </c>
      <c r="L61" s="494">
        <f t="shared" si="52"/>
        <v>159876.453649</v>
      </c>
      <c r="M61" s="494">
        <f t="shared" si="52"/>
        <v>158715.75064499999</v>
      </c>
      <c r="N61" s="494">
        <f t="shared" si="52"/>
        <v>159876.453649</v>
      </c>
      <c r="O61" s="504">
        <f>SUM(O59:O60)</f>
        <v>1910392.5227599996</v>
      </c>
      <c r="P61" s="504">
        <f t="shared" ref="P61" si="53">SUM(P59:P60)</f>
        <v>1938905.1198439999</v>
      </c>
      <c r="Q61" s="504">
        <f>O61-P61</f>
        <v>-28512.597084000241</v>
      </c>
      <c r="R61" s="495"/>
      <c r="S61" s="593"/>
      <c r="W61" s="582"/>
    </row>
    <row r="62" spans="1:25" ht="13.5" thickTop="1" x14ac:dyDescent="0.25">
      <c r="C62" s="492"/>
      <c r="D62" s="492"/>
      <c r="E62" s="492"/>
      <c r="F62" s="492"/>
      <c r="G62" s="492"/>
      <c r="H62" s="492"/>
      <c r="I62" s="492"/>
      <c r="J62" s="492"/>
      <c r="K62" s="492"/>
      <c r="L62" s="492"/>
      <c r="M62" s="492"/>
      <c r="N62" s="492"/>
      <c r="O62" s="502"/>
      <c r="P62" s="502"/>
      <c r="Q62" s="502"/>
      <c r="R62" s="492"/>
      <c r="S62" s="593"/>
      <c r="W62" s="582"/>
    </row>
    <row r="63" spans="1:25" x14ac:dyDescent="0.25">
      <c r="A63" s="822" t="s">
        <v>476</v>
      </c>
      <c r="B63" s="822" t="s">
        <v>480</v>
      </c>
      <c r="C63" s="495">
        <f t="shared" ref="C63:N63" si="54">($W$63*2330+95.87)*$E$4</f>
        <v>1447937.19514582</v>
      </c>
      <c r="D63" s="495">
        <f t="shared" si="54"/>
        <v>1447937.19514582</v>
      </c>
      <c r="E63" s="495">
        <f t="shared" si="54"/>
        <v>1447937.19514582</v>
      </c>
      <c r="F63" s="495">
        <f t="shared" si="54"/>
        <v>1447937.19514582</v>
      </c>
      <c r="G63" s="495">
        <f t="shared" si="54"/>
        <v>1447937.19514582</v>
      </c>
      <c r="H63" s="495">
        <f t="shared" si="54"/>
        <v>1447937.19514582</v>
      </c>
      <c r="I63" s="495">
        <f t="shared" si="54"/>
        <v>1447937.19514582</v>
      </c>
      <c r="J63" s="495">
        <f t="shared" si="54"/>
        <v>1447937.19514582</v>
      </c>
      <c r="K63" s="495">
        <f t="shared" si="54"/>
        <v>1447937.19514582</v>
      </c>
      <c r="L63" s="495">
        <f t="shared" si="54"/>
        <v>1447937.19514582</v>
      </c>
      <c r="M63" s="495">
        <f t="shared" si="54"/>
        <v>1447937.19514582</v>
      </c>
      <c r="N63" s="495">
        <f t="shared" si="54"/>
        <v>1447937.19514582</v>
      </c>
      <c r="O63" s="548">
        <f>SUM(C63:N63)</f>
        <v>17375246.341749836</v>
      </c>
      <c r="P63" s="548">
        <v>14299194.555640804</v>
      </c>
      <c r="Q63" s="548">
        <f>O63-P63</f>
        <v>3076051.7861090321</v>
      </c>
      <c r="R63" s="549"/>
      <c r="S63" s="593">
        <v>88351.616255999994</v>
      </c>
      <c r="T63" s="822" t="s">
        <v>477</v>
      </c>
      <c r="U63" s="489">
        <v>45961</v>
      </c>
      <c r="V63" s="822" t="s">
        <v>478</v>
      </c>
      <c r="W63" s="717">
        <v>753.57</v>
      </c>
      <c r="X63" s="822" t="s">
        <v>22</v>
      </c>
      <c r="Y63" s="822" t="s">
        <v>479</v>
      </c>
    </row>
    <row r="64" spans="1:25" ht="13.5" thickBot="1" x14ac:dyDescent="0.3">
      <c r="A64" s="822" t="s">
        <v>476</v>
      </c>
      <c r="B64" s="479" t="s">
        <v>481</v>
      </c>
      <c r="C64" s="494">
        <f t="shared" ref="C64:P64" si="55">C63</f>
        <v>1447937.19514582</v>
      </c>
      <c r="D64" s="494">
        <f t="shared" si="55"/>
        <v>1447937.19514582</v>
      </c>
      <c r="E64" s="494">
        <f t="shared" si="55"/>
        <v>1447937.19514582</v>
      </c>
      <c r="F64" s="494">
        <f t="shared" si="55"/>
        <v>1447937.19514582</v>
      </c>
      <c r="G64" s="494">
        <f t="shared" si="55"/>
        <v>1447937.19514582</v>
      </c>
      <c r="H64" s="494">
        <f t="shared" si="55"/>
        <v>1447937.19514582</v>
      </c>
      <c r="I64" s="494">
        <f t="shared" si="55"/>
        <v>1447937.19514582</v>
      </c>
      <c r="J64" s="494">
        <f t="shared" si="55"/>
        <v>1447937.19514582</v>
      </c>
      <c r="K64" s="494">
        <f t="shared" si="55"/>
        <v>1447937.19514582</v>
      </c>
      <c r="L64" s="494">
        <f t="shared" si="55"/>
        <v>1447937.19514582</v>
      </c>
      <c r="M64" s="494">
        <f t="shared" si="55"/>
        <v>1447937.19514582</v>
      </c>
      <c r="N64" s="494">
        <f t="shared" si="55"/>
        <v>1447937.19514582</v>
      </c>
      <c r="O64" s="504">
        <f>O63</f>
        <v>17375246.341749836</v>
      </c>
      <c r="P64" s="504">
        <f t="shared" si="55"/>
        <v>14299194.555640804</v>
      </c>
      <c r="Q64" s="504">
        <f>O64-P64</f>
        <v>3076051.7861090321</v>
      </c>
      <c r="R64" s="495"/>
      <c r="S64" s="593"/>
      <c r="U64" s="489"/>
      <c r="W64" s="595"/>
    </row>
    <row r="65" spans="1:25" ht="13.5" thickTop="1" x14ac:dyDescent="0.25">
      <c r="B65" s="485"/>
      <c r="C65" s="485"/>
      <c r="D65" s="485"/>
      <c r="E65" s="485"/>
      <c r="F65" s="485"/>
      <c r="G65" s="485"/>
      <c r="H65" s="485"/>
      <c r="I65" s="485"/>
      <c r="J65" s="485"/>
      <c r="K65" s="485"/>
      <c r="L65" s="485"/>
      <c r="M65" s="485"/>
      <c r="N65" s="485"/>
      <c r="O65" s="502"/>
      <c r="P65" s="502"/>
      <c r="Q65" s="502"/>
      <c r="R65" s="492"/>
      <c r="S65" s="593"/>
      <c r="U65" s="489"/>
      <c r="W65" s="595"/>
    </row>
    <row r="66" spans="1:25" x14ac:dyDescent="0.25">
      <c r="A66" s="822" t="s">
        <v>76</v>
      </c>
      <c r="B66" s="822" t="s">
        <v>441</v>
      </c>
      <c r="C66" s="547">
        <f t="shared" ref="C66:N66" si="56">$W$66*43200*$E$4</f>
        <v>63336.481459286399</v>
      </c>
      <c r="D66" s="547">
        <f t="shared" si="56"/>
        <v>63336.481459286399</v>
      </c>
      <c r="E66" s="547">
        <f t="shared" si="56"/>
        <v>63336.481459286399</v>
      </c>
      <c r="F66" s="547">
        <f t="shared" si="56"/>
        <v>63336.481459286399</v>
      </c>
      <c r="G66" s="547">
        <f t="shared" si="56"/>
        <v>63336.481459286399</v>
      </c>
      <c r="H66" s="547">
        <f t="shared" si="56"/>
        <v>63336.481459286399</v>
      </c>
      <c r="I66" s="547">
        <f t="shared" si="56"/>
        <v>63336.481459286399</v>
      </c>
      <c r="J66" s="547">
        <f t="shared" si="56"/>
        <v>63336.481459286399</v>
      </c>
      <c r="K66" s="547">
        <f t="shared" si="56"/>
        <v>63336.481459286399</v>
      </c>
      <c r="L66" s="547">
        <f t="shared" si="56"/>
        <v>63336.481459286399</v>
      </c>
      <c r="M66" s="547">
        <f t="shared" si="56"/>
        <v>63336.481459286399</v>
      </c>
      <c r="N66" s="547">
        <f t="shared" si="56"/>
        <v>63336.481459286399</v>
      </c>
      <c r="O66" s="548">
        <f>SUM(C66:N66)</f>
        <v>760037.77751143684</v>
      </c>
      <c r="P66" s="548">
        <v>768530.30373849615</v>
      </c>
      <c r="Q66" s="548">
        <f>O66-P66</f>
        <v>-8492.5262270593084</v>
      </c>
      <c r="R66" s="549"/>
      <c r="S66" s="593">
        <f>43200*1/1.055056</f>
        <v>40945.693877860511</v>
      </c>
      <c r="T66" s="822" t="s">
        <v>482</v>
      </c>
      <c r="U66" s="489">
        <v>45260</v>
      </c>
      <c r="V66" s="822" t="s">
        <v>483</v>
      </c>
      <c r="W66" s="595">
        <v>1.7779670000000001</v>
      </c>
      <c r="X66" s="822" t="s">
        <v>484</v>
      </c>
      <c r="Y66" s="822" t="s">
        <v>484</v>
      </c>
    </row>
    <row r="67" spans="1:25" x14ac:dyDescent="0.25">
      <c r="A67" s="822" t="s">
        <v>76</v>
      </c>
      <c r="B67" s="822" t="s">
        <v>485</v>
      </c>
      <c r="C67" s="552">
        <f t="shared" ref="C67:N67" si="57">$W$67*43200*$E$4</f>
        <v>3065.1792452639997</v>
      </c>
      <c r="D67" s="552">
        <f t="shared" si="57"/>
        <v>3065.1792452639997</v>
      </c>
      <c r="E67" s="552">
        <f t="shared" si="57"/>
        <v>3065.1792452639997</v>
      </c>
      <c r="F67" s="552">
        <f t="shared" si="57"/>
        <v>3065.1792452639997</v>
      </c>
      <c r="G67" s="552">
        <f t="shared" si="57"/>
        <v>3065.1792452639997</v>
      </c>
      <c r="H67" s="552">
        <f t="shared" si="57"/>
        <v>3065.1792452639997</v>
      </c>
      <c r="I67" s="552">
        <f t="shared" si="57"/>
        <v>3065.1792452639997</v>
      </c>
      <c r="J67" s="552">
        <f t="shared" si="57"/>
        <v>3065.1792452639997</v>
      </c>
      <c r="K67" s="552">
        <f t="shared" si="57"/>
        <v>3065.1792452639997</v>
      </c>
      <c r="L67" s="552">
        <f t="shared" si="57"/>
        <v>3065.1792452639997</v>
      </c>
      <c r="M67" s="552">
        <f t="shared" si="57"/>
        <v>3065.1792452639997</v>
      </c>
      <c r="N67" s="552">
        <f t="shared" si="57"/>
        <v>3065.1792452639997</v>
      </c>
      <c r="O67" s="548">
        <f>SUM(C67:N67)</f>
        <v>36782.150943167995</v>
      </c>
      <c r="P67" s="548">
        <v>37193.148120959995</v>
      </c>
      <c r="Q67" s="548">
        <f>O67-P67</f>
        <v>-410.997177792</v>
      </c>
      <c r="R67" s="549"/>
      <c r="S67" s="593"/>
      <c r="U67" s="489"/>
      <c r="W67" s="717">
        <v>8.6044999999999996E-2</v>
      </c>
    </row>
    <row r="68" spans="1:25" ht="13.5" thickBot="1" x14ac:dyDescent="0.3">
      <c r="A68" s="822" t="s">
        <v>76</v>
      </c>
      <c r="B68" s="479" t="s">
        <v>486</v>
      </c>
      <c r="C68" s="498">
        <f t="shared" ref="C68:N68" si="58">SUM(C66:C67)</f>
        <v>66401.660704550392</v>
      </c>
      <c r="D68" s="498">
        <f t="shared" si="58"/>
        <v>66401.660704550392</v>
      </c>
      <c r="E68" s="498">
        <f t="shared" si="58"/>
        <v>66401.660704550392</v>
      </c>
      <c r="F68" s="498">
        <f t="shared" si="58"/>
        <v>66401.660704550392</v>
      </c>
      <c r="G68" s="498">
        <f t="shared" si="58"/>
        <v>66401.660704550392</v>
      </c>
      <c r="H68" s="498">
        <f t="shared" si="58"/>
        <v>66401.660704550392</v>
      </c>
      <c r="I68" s="498">
        <f t="shared" si="58"/>
        <v>66401.660704550392</v>
      </c>
      <c r="J68" s="498">
        <f t="shared" si="58"/>
        <v>66401.660704550392</v>
      </c>
      <c r="K68" s="498">
        <f t="shared" si="58"/>
        <v>66401.660704550392</v>
      </c>
      <c r="L68" s="498">
        <f t="shared" si="58"/>
        <v>66401.660704550392</v>
      </c>
      <c r="M68" s="498">
        <f t="shared" si="58"/>
        <v>66401.660704550392</v>
      </c>
      <c r="N68" s="498">
        <f t="shared" si="58"/>
        <v>66401.660704550392</v>
      </c>
      <c r="O68" s="504">
        <f>SUM(O66:O67)</f>
        <v>796819.92845460481</v>
      </c>
      <c r="P68" s="504">
        <f t="shared" ref="P68" si="59">SUM(P66:P67)</f>
        <v>805723.45185945614</v>
      </c>
      <c r="Q68" s="504">
        <f>O68-P68</f>
        <v>-8903.523404851323</v>
      </c>
      <c r="R68" s="495"/>
      <c r="S68" s="593"/>
      <c r="U68" s="489"/>
      <c r="W68" s="717"/>
    </row>
    <row r="69" spans="1:25" ht="13.5" thickTop="1" x14ac:dyDescent="0.25">
      <c r="C69" s="485"/>
      <c r="D69" s="485"/>
      <c r="E69" s="485"/>
      <c r="F69" s="485"/>
      <c r="G69" s="485"/>
      <c r="H69" s="485"/>
      <c r="I69" s="485"/>
      <c r="J69" s="485"/>
      <c r="K69" s="485"/>
      <c r="L69" s="485"/>
      <c r="M69" s="485"/>
      <c r="N69" s="485"/>
      <c r="O69" s="502"/>
      <c r="P69" s="502"/>
      <c r="Q69" s="502"/>
      <c r="R69" s="492"/>
      <c r="S69" s="593"/>
      <c r="W69" s="717"/>
    </row>
    <row r="70" spans="1:25" s="499" customFormat="1" x14ac:dyDescent="0.25">
      <c r="A70" s="822" t="s">
        <v>487</v>
      </c>
      <c r="B70" s="822" t="s">
        <v>441</v>
      </c>
      <c r="C70" s="547">
        <f t="shared" ref="C70:N70" si="60">$W$70*43700*$E$4</f>
        <v>182698.88075399998</v>
      </c>
      <c r="D70" s="547">
        <f t="shared" si="60"/>
        <v>182698.88075399998</v>
      </c>
      <c r="E70" s="547">
        <f t="shared" si="60"/>
        <v>182698.88075399998</v>
      </c>
      <c r="F70" s="547">
        <f t="shared" si="60"/>
        <v>182698.88075399998</v>
      </c>
      <c r="G70" s="547">
        <f t="shared" si="60"/>
        <v>182698.88075399998</v>
      </c>
      <c r="H70" s="547">
        <f t="shared" si="60"/>
        <v>182698.88075399998</v>
      </c>
      <c r="I70" s="547">
        <f t="shared" si="60"/>
        <v>182698.88075399998</v>
      </c>
      <c r="J70" s="547">
        <f t="shared" si="60"/>
        <v>182698.88075399998</v>
      </c>
      <c r="K70" s="547">
        <f t="shared" si="60"/>
        <v>182698.88075399998</v>
      </c>
      <c r="L70" s="547">
        <f t="shared" si="60"/>
        <v>182698.88075399998</v>
      </c>
      <c r="M70" s="547">
        <f t="shared" si="60"/>
        <v>182698.88075399998</v>
      </c>
      <c r="N70" s="547">
        <f t="shared" si="60"/>
        <v>182698.88075399998</v>
      </c>
      <c r="O70" s="548">
        <f>SUM(C70:N70)</f>
        <v>2192386.569048</v>
      </c>
      <c r="P70" s="548">
        <v>2093577.9359039997</v>
      </c>
      <c r="Q70" s="548">
        <f>O70-P70</f>
        <v>98808.633144000312</v>
      </c>
      <c r="R70" s="549"/>
      <c r="S70" s="593">
        <f>43700/1/E6</f>
        <v>41419.602371817229</v>
      </c>
      <c r="T70" s="822" t="s">
        <v>488</v>
      </c>
      <c r="U70" s="489">
        <v>45291</v>
      </c>
      <c r="V70" s="822" t="s">
        <v>489</v>
      </c>
      <c r="W70" s="717">
        <v>5.07</v>
      </c>
      <c r="X70" s="822" t="s">
        <v>21</v>
      </c>
      <c r="Y70" s="822" t="s">
        <v>490</v>
      </c>
    </row>
    <row r="71" spans="1:25" x14ac:dyDescent="0.25">
      <c r="A71" s="822" t="s">
        <v>487</v>
      </c>
      <c r="B71" s="822" t="s">
        <v>485</v>
      </c>
      <c r="C71" s="547">
        <f t="shared" ref="C71:N71" si="61">$W$71*43700*$E$4</f>
        <v>6846.7036179999996</v>
      </c>
      <c r="D71" s="547">
        <f t="shared" si="61"/>
        <v>6846.7036179999996</v>
      </c>
      <c r="E71" s="547">
        <f t="shared" si="61"/>
        <v>6846.7036179999996</v>
      </c>
      <c r="F71" s="547">
        <f t="shared" si="61"/>
        <v>6846.7036179999996</v>
      </c>
      <c r="G71" s="547">
        <f t="shared" si="61"/>
        <v>6846.7036179999996</v>
      </c>
      <c r="H71" s="547">
        <f t="shared" si="61"/>
        <v>6846.7036179999996</v>
      </c>
      <c r="I71" s="547">
        <f t="shared" si="61"/>
        <v>6846.7036179999996</v>
      </c>
      <c r="J71" s="547">
        <f t="shared" si="61"/>
        <v>6846.7036179999996</v>
      </c>
      <c r="K71" s="547">
        <f t="shared" si="61"/>
        <v>6846.7036179999996</v>
      </c>
      <c r="L71" s="547">
        <f t="shared" si="61"/>
        <v>6846.7036179999996</v>
      </c>
      <c r="M71" s="547">
        <f t="shared" si="61"/>
        <v>6846.7036179999996</v>
      </c>
      <c r="N71" s="547">
        <f t="shared" si="61"/>
        <v>6846.7036179999996</v>
      </c>
      <c r="O71" s="548">
        <f>SUM(C71:N71)</f>
        <v>82160.443415999995</v>
      </c>
      <c r="P71" s="548">
        <v>83078.489520000003</v>
      </c>
      <c r="Q71" s="548">
        <f>O71-P71</f>
        <v>-918.0461040000082</v>
      </c>
      <c r="R71" s="549"/>
      <c r="S71" s="593"/>
      <c r="W71" s="717">
        <v>0.19</v>
      </c>
    </row>
    <row r="72" spans="1:25" ht="13.5" thickBot="1" x14ac:dyDescent="0.3">
      <c r="A72" s="822" t="s">
        <v>487</v>
      </c>
      <c r="B72" s="479" t="s">
        <v>491</v>
      </c>
      <c r="C72" s="494">
        <f t="shared" ref="C72:N72" si="62">SUM(C70:C71)</f>
        <v>189545.58437199998</v>
      </c>
      <c r="D72" s="494">
        <f t="shared" si="62"/>
        <v>189545.58437199998</v>
      </c>
      <c r="E72" s="494">
        <f t="shared" si="62"/>
        <v>189545.58437199998</v>
      </c>
      <c r="F72" s="494">
        <f t="shared" si="62"/>
        <v>189545.58437199998</v>
      </c>
      <c r="G72" s="494">
        <f t="shared" si="62"/>
        <v>189545.58437199998</v>
      </c>
      <c r="H72" s="494">
        <f t="shared" si="62"/>
        <v>189545.58437199998</v>
      </c>
      <c r="I72" s="494">
        <f t="shared" si="62"/>
        <v>189545.58437199998</v>
      </c>
      <c r="J72" s="494">
        <f t="shared" si="62"/>
        <v>189545.58437199998</v>
      </c>
      <c r="K72" s="494">
        <f t="shared" si="62"/>
        <v>189545.58437199998</v>
      </c>
      <c r="L72" s="494">
        <f t="shared" si="62"/>
        <v>189545.58437199998</v>
      </c>
      <c r="M72" s="494">
        <f t="shared" si="62"/>
        <v>189545.58437199998</v>
      </c>
      <c r="N72" s="494">
        <f t="shared" si="62"/>
        <v>189545.58437199998</v>
      </c>
      <c r="O72" s="504">
        <f>SUM(O70:O71)</f>
        <v>2274547.0124639999</v>
      </c>
      <c r="P72" s="504">
        <f t="shared" ref="P72" si="63">SUM(P70:P71)</f>
        <v>2176656.4254239998</v>
      </c>
      <c r="Q72" s="504">
        <f>O72-P72</f>
        <v>97890.587040000129</v>
      </c>
      <c r="R72" s="495"/>
      <c r="S72" s="593"/>
      <c r="W72" s="582"/>
    </row>
    <row r="73" spans="1:25" ht="13.5" thickTop="1" x14ac:dyDescent="0.25">
      <c r="C73" s="495"/>
      <c r="D73" s="495"/>
      <c r="E73" s="495"/>
      <c r="F73" s="495"/>
      <c r="G73" s="495"/>
      <c r="H73" s="495"/>
      <c r="I73" s="495"/>
      <c r="J73" s="495"/>
      <c r="K73" s="495"/>
      <c r="L73" s="495"/>
      <c r="M73" s="495"/>
      <c r="N73" s="495"/>
      <c r="O73" s="505"/>
      <c r="P73" s="505"/>
      <c r="Q73" s="505"/>
      <c r="R73" s="495"/>
      <c r="S73" s="593"/>
      <c r="W73" s="582"/>
    </row>
    <row r="74" spans="1:25" ht="13.5" thickBot="1" x14ac:dyDescent="0.3">
      <c r="C74" s="495"/>
      <c r="D74" s="495"/>
      <c r="E74" s="495"/>
      <c r="F74" s="495"/>
      <c r="G74" s="495"/>
      <c r="H74" s="495"/>
      <c r="I74" s="495"/>
      <c r="J74" s="495"/>
      <c r="K74" s="495"/>
      <c r="L74" s="495"/>
      <c r="M74" s="495"/>
      <c r="N74" s="495"/>
      <c r="O74" s="505"/>
      <c r="P74" s="505"/>
      <c r="Q74" s="505"/>
      <c r="R74" s="495"/>
      <c r="S74" s="593"/>
      <c r="W74" s="582"/>
    </row>
    <row r="75" spans="1:25" ht="14.25" thickTop="1" thickBot="1" x14ac:dyDescent="0.3">
      <c r="A75" s="822" t="s">
        <v>492</v>
      </c>
      <c r="B75" s="479" t="s">
        <v>494</v>
      </c>
      <c r="C75" s="556" t="s">
        <v>622</v>
      </c>
      <c r="D75" s="556" t="s">
        <v>622</v>
      </c>
      <c r="E75" s="556" t="s">
        <v>622</v>
      </c>
      <c r="F75" s="556" t="s">
        <v>622</v>
      </c>
      <c r="G75" s="556" t="s">
        <v>622</v>
      </c>
      <c r="H75" s="556" t="s">
        <v>622</v>
      </c>
      <c r="I75" s="556" t="s">
        <v>622</v>
      </c>
      <c r="J75" s="556" t="s">
        <v>622</v>
      </c>
      <c r="K75" s="556" t="s">
        <v>622</v>
      </c>
      <c r="L75" s="556" t="s">
        <v>622</v>
      </c>
      <c r="M75" s="556" t="s">
        <v>622</v>
      </c>
      <c r="N75" s="556" t="s">
        <v>622</v>
      </c>
      <c r="O75" s="556" t="s">
        <v>622</v>
      </c>
      <c r="P75" s="556" t="s">
        <v>622</v>
      </c>
      <c r="Q75" s="556" t="s">
        <v>622</v>
      </c>
      <c r="R75" s="605"/>
      <c r="S75" s="593">
        <v>500000</v>
      </c>
      <c r="T75" s="822" t="s">
        <v>521</v>
      </c>
      <c r="U75" s="489">
        <v>44286</v>
      </c>
      <c r="V75" s="822" t="s">
        <v>437</v>
      </c>
      <c r="W75" s="675">
        <v>159439</v>
      </c>
      <c r="X75" s="822" t="s">
        <v>493</v>
      </c>
    </row>
    <row r="76" spans="1:25" ht="14.25" thickTop="1" thickBot="1" x14ac:dyDescent="0.3">
      <c r="E76" s="822"/>
      <c r="H76" s="822"/>
      <c r="O76" s="506"/>
      <c r="P76" s="506"/>
      <c r="Q76" s="506"/>
      <c r="R76" s="606"/>
    </row>
    <row r="77" spans="1:25" ht="14.25" thickTop="1" thickBot="1" x14ac:dyDescent="0.3">
      <c r="B77" s="602" t="s">
        <v>495</v>
      </c>
      <c r="C77" s="556" t="s">
        <v>622</v>
      </c>
      <c r="D77" s="556" t="s">
        <v>622</v>
      </c>
      <c r="E77" s="556" t="s">
        <v>622</v>
      </c>
      <c r="F77" s="556" t="s">
        <v>622</v>
      </c>
      <c r="G77" s="556" t="s">
        <v>622</v>
      </c>
      <c r="H77" s="556" t="s">
        <v>622</v>
      </c>
      <c r="I77" s="556" t="s">
        <v>622</v>
      </c>
      <c r="J77" s="556" t="s">
        <v>622</v>
      </c>
      <c r="K77" s="556" t="s">
        <v>622</v>
      </c>
      <c r="L77" s="556" t="s">
        <v>622</v>
      </c>
      <c r="M77" s="556" t="s">
        <v>622</v>
      </c>
      <c r="N77" s="556" t="s">
        <v>622</v>
      </c>
      <c r="O77" s="556" t="s">
        <v>622</v>
      </c>
      <c r="P77" s="556" t="s">
        <v>622</v>
      </c>
      <c r="Q77" s="556" t="s">
        <v>622</v>
      </c>
      <c r="R77" s="607"/>
    </row>
    <row r="78" spans="1:25" ht="13.5" thickTop="1" x14ac:dyDescent="0.25">
      <c r="X78" s="499"/>
      <c r="Y78" s="499"/>
    </row>
    <row r="79" spans="1:25" x14ac:dyDescent="0.25">
      <c r="X79" s="553"/>
      <c r="Y79" s="553"/>
    </row>
    <row r="80" spans="1:25" x14ac:dyDescent="0.25">
      <c r="B80" s="485"/>
      <c r="G80" s="496"/>
    </row>
    <row r="81" spans="1:20" x14ac:dyDescent="0.25">
      <c r="A81" s="500"/>
      <c r="B81" s="485"/>
      <c r="H81" s="594"/>
      <c r="I81" s="493"/>
    </row>
    <row r="82" spans="1:20" x14ac:dyDescent="0.25">
      <c r="B82" s="485"/>
      <c r="E82" s="589"/>
      <c r="H82" s="586"/>
      <c r="I82" s="485"/>
    </row>
    <row r="83" spans="1:20" x14ac:dyDescent="0.25">
      <c r="B83" s="485"/>
    </row>
    <row r="84" spans="1:20" x14ac:dyDescent="0.25">
      <c r="B84" s="485"/>
    </row>
    <row r="85" spans="1:20" x14ac:dyDescent="0.25">
      <c r="B85" s="496"/>
      <c r="H85" s="586"/>
      <c r="I85" s="485"/>
    </row>
    <row r="86" spans="1:20" x14ac:dyDescent="0.25">
      <c r="T86" s="484"/>
    </row>
    <row r="90" spans="1:20" x14ac:dyDescent="0.25">
      <c r="P90" s="490"/>
    </row>
    <row r="92" spans="1:20" x14ac:dyDescent="0.25">
      <c r="B92" s="485"/>
    </row>
    <row r="93" spans="1:20" x14ac:dyDescent="0.25">
      <c r="B93" s="485"/>
      <c r="C93" s="493"/>
    </row>
  </sheetData>
  <hyperlinks>
    <hyperlink ref="D5" r:id="rId1" xr:uid="{00000000-0004-0000-0900-000000000000}"/>
  </hyperlinks>
  <printOptions horizontalCentered="1"/>
  <pageMargins left="0.7" right="0.7" top="0.75" bottom="0.75" header="0.3" footer="0.3"/>
  <pageSetup scale="50" fitToHeight="0" orientation="landscape" r:id="rId2"/>
  <rowBreaks count="1" manualBreakCount="1">
    <brk id="58" max="16383" man="1"/>
  </rowBreaks>
  <colBreaks count="1" manualBreakCount="1">
    <brk id="17" max="76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Q49"/>
  <sheetViews>
    <sheetView topLeftCell="A25" workbookViewId="0">
      <selection activeCell="L45" sqref="L45"/>
    </sheetView>
  </sheetViews>
  <sheetFormatPr defaultColWidth="8.85546875" defaultRowHeight="12.75" x14ac:dyDescent="0.2"/>
  <cols>
    <col min="1" max="1" width="8.140625" style="84" customWidth="1"/>
    <col min="2" max="2" width="27.140625" style="84" bestFit="1" customWidth="1"/>
    <col min="3" max="3" width="10.5703125" style="84" bestFit="1" customWidth="1"/>
    <col min="4" max="4" width="11.85546875" style="84" bestFit="1" customWidth="1"/>
    <col min="5" max="14" width="9.42578125" style="84" bestFit="1" customWidth="1"/>
    <col min="15" max="15" width="11" style="84" bestFit="1" customWidth="1"/>
    <col min="16" max="16" width="12.5703125" style="84" bestFit="1" customWidth="1"/>
    <col min="17" max="17" width="11" style="84" bestFit="1" customWidth="1"/>
    <col min="18" max="16384" width="8.85546875" style="84"/>
  </cols>
  <sheetData>
    <row r="1" spans="1:17" ht="18.75" x14ac:dyDescent="0.3">
      <c r="A1" s="214" t="s">
        <v>199</v>
      </c>
    </row>
    <row r="2" spans="1:17" ht="21" x14ac:dyDescent="0.35">
      <c r="A2" s="188" t="s">
        <v>193</v>
      </c>
      <c r="B2" s="188"/>
      <c r="C2" s="188"/>
      <c r="D2" s="188"/>
      <c r="E2" s="188"/>
      <c r="F2" s="188"/>
      <c r="G2" s="188"/>
      <c r="H2" s="845" t="s">
        <v>618</v>
      </c>
      <c r="I2" s="845"/>
      <c r="J2" s="845"/>
      <c r="K2" s="188"/>
      <c r="L2" s="188"/>
      <c r="M2" s="188"/>
      <c r="N2" s="188"/>
      <c r="O2" s="188"/>
      <c r="P2" s="188"/>
      <c r="Q2" s="188"/>
    </row>
    <row r="3" spans="1:17" ht="21" x14ac:dyDescent="0.35">
      <c r="A3" s="216" t="s">
        <v>538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ht="13.5" thickBot="1" x14ac:dyDescent="0.25">
      <c r="A4" s="101"/>
    </row>
    <row r="5" spans="1:17" ht="30.75" thickBot="1" x14ac:dyDescent="0.3">
      <c r="A5" s="304" t="s">
        <v>194</v>
      </c>
      <c r="B5" s="225"/>
      <c r="C5" s="371">
        <v>44927</v>
      </c>
      <c r="D5" s="371">
        <v>44958</v>
      </c>
      <c r="E5" s="371">
        <v>44986</v>
      </c>
      <c r="F5" s="371">
        <v>45017</v>
      </c>
      <c r="G5" s="371">
        <v>45047</v>
      </c>
      <c r="H5" s="371">
        <v>45078</v>
      </c>
      <c r="I5" s="371">
        <v>45108</v>
      </c>
      <c r="J5" s="371">
        <v>45139</v>
      </c>
      <c r="K5" s="371">
        <v>45170</v>
      </c>
      <c r="L5" s="371">
        <v>45200</v>
      </c>
      <c r="M5" s="371">
        <v>45231</v>
      </c>
      <c r="N5" s="371">
        <v>45261</v>
      </c>
      <c r="O5" s="755" t="s">
        <v>539</v>
      </c>
      <c r="P5" s="756" t="s">
        <v>536</v>
      </c>
      <c r="Q5" s="730" t="s">
        <v>200</v>
      </c>
    </row>
    <row r="6" spans="1:17" ht="16.5" thickTop="1" thickBot="1" x14ac:dyDescent="0.3">
      <c r="A6" s="220" t="s">
        <v>7</v>
      </c>
      <c r="B6" s="305" t="s">
        <v>349</v>
      </c>
      <c r="C6" s="373" t="s">
        <v>619</v>
      </c>
      <c r="D6" s="373" t="s">
        <v>619</v>
      </c>
      <c r="E6" s="373" t="s">
        <v>619</v>
      </c>
      <c r="F6" s="373" t="s">
        <v>619</v>
      </c>
      <c r="G6" s="373" t="s">
        <v>619</v>
      </c>
      <c r="H6" s="373" t="s">
        <v>619</v>
      </c>
      <c r="I6" s="373" t="s">
        <v>619</v>
      </c>
      <c r="J6" s="373" t="s">
        <v>619</v>
      </c>
      <c r="K6" s="373" t="s">
        <v>619</v>
      </c>
      <c r="L6" s="373" t="s">
        <v>619</v>
      </c>
      <c r="M6" s="373" t="s">
        <v>619</v>
      </c>
      <c r="N6" s="373" t="s">
        <v>619</v>
      </c>
      <c r="O6" s="373" t="s">
        <v>619</v>
      </c>
      <c r="P6" s="373" t="s">
        <v>619</v>
      </c>
      <c r="Q6" s="373" t="s">
        <v>619</v>
      </c>
    </row>
    <row r="7" spans="1:17" ht="16.5" thickTop="1" thickBot="1" x14ac:dyDescent="0.3">
      <c r="A7" s="220" t="s">
        <v>7</v>
      </c>
      <c r="B7" s="305" t="s">
        <v>128</v>
      </c>
      <c r="C7" s="373" t="s">
        <v>619</v>
      </c>
      <c r="D7" s="373" t="s">
        <v>619</v>
      </c>
      <c r="E7" s="373" t="s">
        <v>619</v>
      </c>
      <c r="F7" s="373" t="s">
        <v>619</v>
      </c>
      <c r="G7" s="373" t="s">
        <v>619</v>
      </c>
      <c r="H7" s="373" t="s">
        <v>619</v>
      </c>
      <c r="I7" s="373" t="s">
        <v>619</v>
      </c>
      <c r="J7" s="373" t="s">
        <v>619</v>
      </c>
      <c r="K7" s="373" t="s">
        <v>619</v>
      </c>
      <c r="L7" s="373" t="s">
        <v>619</v>
      </c>
      <c r="M7" s="373" t="s">
        <v>619</v>
      </c>
      <c r="N7" s="373" t="s">
        <v>619</v>
      </c>
      <c r="O7" s="373" t="s">
        <v>619</v>
      </c>
      <c r="P7" s="373" t="s">
        <v>619</v>
      </c>
      <c r="Q7" s="373" t="s">
        <v>619</v>
      </c>
    </row>
    <row r="8" spans="1:17" ht="16.5" thickTop="1" thickBot="1" x14ac:dyDescent="0.3">
      <c r="A8" s="220" t="s">
        <v>7</v>
      </c>
      <c r="B8" s="305" t="s">
        <v>361</v>
      </c>
      <c r="C8" s="373" t="s">
        <v>619</v>
      </c>
      <c r="D8" s="373" t="s">
        <v>619</v>
      </c>
      <c r="E8" s="373" t="s">
        <v>619</v>
      </c>
      <c r="F8" s="373" t="s">
        <v>619</v>
      </c>
      <c r="G8" s="373" t="s">
        <v>619</v>
      </c>
      <c r="H8" s="373" t="s">
        <v>619</v>
      </c>
      <c r="I8" s="373" t="s">
        <v>619</v>
      </c>
      <c r="J8" s="373" t="s">
        <v>619</v>
      </c>
      <c r="K8" s="373" t="s">
        <v>619</v>
      </c>
      <c r="L8" s="373" t="s">
        <v>619</v>
      </c>
      <c r="M8" s="373" t="s">
        <v>619</v>
      </c>
      <c r="N8" s="373" t="s">
        <v>619</v>
      </c>
      <c r="O8" s="373" t="s">
        <v>619</v>
      </c>
      <c r="P8" s="373" t="s">
        <v>619</v>
      </c>
      <c r="Q8" s="373" t="s">
        <v>619</v>
      </c>
    </row>
    <row r="9" spans="1:17" ht="16.5" thickTop="1" thickBot="1" x14ac:dyDescent="0.3">
      <c r="A9" s="220" t="s">
        <v>7</v>
      </c>
      <c r="B9" s="305" t="s">
        <v>354</v>
      </c>
      <c r="C9" s="373" t="s">
        <v>619</v>
      </c>
      <c r="D9" s="373" t="s">
        <v>619</v>
      </c>
      <c r="E9" s="373" t="s">
        <v>619</v>
      </c>
      <c r="F9" s="373" t="s">
        <v>619</v>
      </c>
      <c r="G9" s="373" t="s">
        <v>619</v>
      </c>
      <c r="H9" s="373" t="s">
        <v>619</v>
      </c>
      <c r="I9" s="373" t="s">
        <v>619</v>
      </c>
      <c r="J9" s="373" t="s">
        <v>619</v>
      </c>
      <c r="K9" s="373" t="s">
        <v>619</v>
      </c>
      <c r="L9" s="373" t="s">
        <v>619</v>
      </c>
      <c r="M9" s="373" t="s">
        <v>619</v>
      </c>
      <c r="N9" s="373" t="s">
        <v>619</v>
      </c>
      <c r="O9" s="373" t="s">
        <v>619</v>
      </c>
      <c r="P9" s="373" t="s">
        <v>619</v>
      </c>
      <c r="Q9" s="373" t="s">
        <v>619</v>
      </c>
    </row>
    <row r="10" spans="1:17" ht="16.5" thickTop="1" thickBot="1" x14ac:dyDescent="0.3">
      <c r="A10" s="220" t="s">
        <v>7</v>
      </c>
      <c r="B10" s="305" t="s">
        <v>351</v>
      </c>
      <c r="C10" s="373" t="s">
        <v>619</v>
      </c>
      <c r="D10" s="373" t="s">
        <v>619</v>
      </c>
      <c r="E10" s="373" t="s">
        <v>619</v>
      </c>
      <c r="F10" s="373" t="s">
        <v>619</v>
      </c>
      <c r="G10" s="373" t="s">
        <v>619</v>
      </c>
      <c r="H10" s="373" t="s">
        <v>619</v>
      </c>
      <c r="I10" s="373" t="s">
        <v>619</v>
      </c>
      <c r="J10" s="373" t="s">
        <v>619</v>
      </c>
      <c r="K10" s="373" t="s">
        <v>619</v>
      </c>
      <c r="L10" s="373" t="s">
        <v>619</v>
      </c>
      <c r="M10" s="373" t="s">
        <v>619</v>
      </c>
      <c r="N10" s="373" t="s">
        <v>619</v>
      </c>
      <c r="O10" s="373" t="s">
        <v>619</v>
      </c>
      <c r="P10" s="373" t="s">
        <v>619</v>
      </c>
      <c r="Q10" s="373" t="s">
        <v>619</v>
      </c>
    </row>
    <row r="11" spans="1:17" ht="16.5" thickTop="1" thickBot="1" x14ac:dyDescent="0.3">
      <c r="A11" s="220" t="s">
        <v>7</v>
      </c>
      <c r="B11" s="305" t="s">
        <v>348</v>
      </c>
      <c r="C11" s="373" t="s">
        <v>619</v>
      </c>
      <c r="D11" s="373" t="s">
        <v>619</v>
      </c>
      <c r="E11" s="373" t="s">
        <v>619</v>
      </c>
      <c r="F11" s="373" t="s">
        <v>619</v>
      </c>
      <c r="G11" s="373" t="s">
        <v>619</v>
      </c>
      <c r="H11" s="373" t="s">
        <v>619</v>
      </c>
      <c r="I11" s="373" t="s">
        <v>619</v>
      </c>
      <c r="J11" s="373" t="s">
        <v>619</v>
      </c>
      <c r="K11" s="373" t="s">
        <v>619</v>
      </c>
      <c r="L11" s="373" t="s">
        <v>619</v>
      </c>
      <c r="M11" s="373" t="s">
        <v>619</v>
      </c>
      <c r="N11" s="373" t="s">
        <v>619</v>
      </c>
      <c r="O11" s="373" t="s">
        <v>619</v>
      </c>
      <c r="P11" s="373" t="s">
        <v>619</v>
      </c>
      <c r="Q11" s="373" t="s">
        <v>619</v>
      </c>
    </row>
    <row r="12" spans="1:17" ht="16.5" thickTop="1" thickBot="1" x14ac:dyDescent="0.3">
      <c r="A12" s="220" t="s">
        <v>7</v>
      </c>
      <c r="B12" s="305" t="s">
        <v>537</v>
      </c>
      <c r="C12" s="373" t="s">
        <v>619</v>
      </c>
      <c r="D12" s="373" t="s">
        <v>619</v>
      </c>
      <c r="E12" s="373" t="s">
        <v>619</v>
      </c>
      <c r="F12" s="373" t="s">
        <v>619</v>
      </c>
      <c r="G12" s="373" t="s">
        <v>619</v>
      </c>
      <c r="H12" s="373" t="s">
        <v>619</v>
      </c>
      <c r="I12" s="373" t="s">
        <v>619</v>
      </c>
      <c r="J12" s="373" t="s">
        <v>619</v>
      </c>
      <c r="K12" s="373" t="s">
        <v>619</v>
      </c>
      <c r="L12" s="373" t="s">
        <v>619</v>
      </c>
      <c r="M12" s="373" t="s">
        <v>619</v>
      </c>
      <c r="N12" s="373" t="s">
        <v>619</v>
      </c>
      <c r="O12" s="373" t="s">
        <v>619</v>
      </c>
      <c r="P12" s="373" t="s">
        <v>619</v>
      </c>
      <c r="Q12" s="373" t="s">
        <v>619</v>
      </c>
    </row>
    <row r="13" spans="1:17" s="106" customFormat="1" ht="15.75" thickTop="1" x14ac:dyDescent="0.25">
      <c r="A13" s="668" t="s">
        <v>7</v>
      </c>
      <c r="B13" s="670" t="s">
        <v>137</v>
      </c>
      <c r="C13" s="373" t="s">
        <v>619</v>
      </c>
      <c r="D13" s="373" t="s">
        <v>619</v>
      </c>
      <c r="E13" s="373" t="s">
        <v>619</v>
      </c>
      <c r="F13" s="373" t="s">
        <v>619</v>
      </c>
      <c r="G13" s="373" t="s">
        <v>619</v>
      </c>
      <c r="H13" s="373" t="s">
        <v>619</v>
      </c>
      <c r="I13" s="373" t="s">
        <v>619</v>
      </c>
      <c r="J13" s="373" t="s">
        <v>619</v>
      </c>
      <c r="K13" s="373" t="s">
        <v>619</v>
      </c>
      <c r="L13" s="373" t="s">
        <v>619</v>
      </c>
      <c r="M13" s="373" t="s">
        <v>619</v>
      </c>
      <c r="N13" s="373" t="s">
        <v>619</v>
      </c>
      <c r="O13" s="373" t="s">
        <v>619</v>
      </c>
      <c r="P13" s="373" t="s">
        <v>619</v>
      </c>
      <c r="Q13" s="373" t="s">
        <v>619</v>
      </c>
    </row>
    <row r="14" spans="1:17" ht="15" x14ac:dyDescent="0.25">
      <c r="A14" s="220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8"/>
      <c r="P14" s="186"/>
      <c r="Q14" s="186"/>
    </row>
    <row r="15" spans="1:17" ht="15.75" thickBot="1" x14ac:dyDescent="0.3">
      <c r="A15" s="225" t="s">
        <v>131</v>
      </c>
      <c r="B15" s="225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</row>
    <row r="16" spans="1:17" ht="16.5" thickTop="1" thickBot="1" x14ac:dyDescent="0.3">
      <c r="A16" s="220" t="s">
        <v>225</v>
      </c>
      <c r="B16" s="305" t="s">
        <v>349</v>
      </c>
      <c r="C16" s="373" t="s">
        <v>619</v>
      </c>
      <c r="D16" s="373" t="s">
        <v>619</v>
      </c>
      <c r="E16" s="373" t="s">
        <v>619</v>
      </c>
      <c r="F16" s="373" t="s">
        <v>619</v>
      </c>
      <c r="G16" s="373" t="s">
        <v>619</v>
      </c>
      <c r="H16" s="373" t="s">
        <v>619</v>
      </c>
      <c r="I16" s="373" t="s">
        <v>619</v>
      </c>
      <c r="J16" s="373" t="s">
        <v>619</v>
      </c>
      <c r="K16" s="373" t="s">
        <v>619</v>
      </c>
      <c r="L16" s="373" t="s">
        <v>619</v>
      </c>
      <c r="M16" s="373" t="s">
        <v>619</v>
      </c>
      <c r="N16" s="373" t="s">
        <v>619</v>
      </c>
      <c r="O16" s="373" t="s">
        <v>619</v>
      </c>
      <c r="P16" s="373" t="s">
        <v>619</v>
      </c>
      <c r="Q16" s="373" t="s">
        <v>619</v>
      </c>
    </row>
    <row r="17" spans="1:17" ht="16.5" thickTop="1" thickBot="1" x14ac:dyDescent="0.3">
      <c r="A17" s="220" t="s">
        <v>225</v>
      </c>
      <c r="B17" s="305" t="s">
        <v>128</v>
      </c>
      <c r="C17" s="373" t="s">
        <v>619</v>
      </c>
      <c r="D17" s="373" t="s">
        <v>619</v>
      </c>
      <c r="E17" s="373" t="s">
        <v>619</v>
      </c>
      <c r="F17" s="373" t="s">
        <v>619</v>
      </c>
      <c r="G17" s="373" t="s">
        <v>619</v>
      </c>
      <c r="H17" s="373" t="s">
        <v>619</v>
      </c>
      <c r="I17" s="373" t="s">
        <v>619</v>
      </c>
      <c r="J17" s="373" t="s">
        <v>619</v>
      </c>
      <c r="K17" s="373" t="s">
        <v>619</v>
      </c>
      <c r="L17" s="373" t="s">
        <v>619</v>
      </c>
      <c r="M17" s="373" t="s">
        <v>619</v>
      </c>
      <c r="N17" s="373" t="s">
        <v>619</v>
      </c>
      <c r="O17" s="373" t="s">
        <v>619</v>
      </c>
      <c r="P17" s="373" t="s">
        <v>619</v>
      </c>
      <c r="Q17" s="373" t="s">
        <v>619</v>
      </c>
    </row>
    <row r="18" spans="1:17" ht="16.5" thickTop="1" thickBot="1" x14ac:dyDescent="0.3">
      <c r="A18" s="220" t="s">
        <v>225</v>
      </c>
      <c r="B18" s="305" t="s">
        <v>361</v>
      </c>
      <c r="C18" s="373" t="s">
        <v>619</v>
      </c>
      <c r="D18" s="373" t="s">
        <v>619</v>
      </c>
      <c r="E18" s="373" t="s">
        <v>619</v>
      </c>
      <c r="F18" s="373" t="s">
        <v>619</v>
      </c>
      <c r="G18" s="373" t="s">
        <v>619</v>
      </c>
      <c r="H18" s="373" t="s">
        <v>619</v>
      </c>
      <c r="I18" s="373" t="s">
        <v>619</v>
      </c>
      <c r="J18" s="373" t="s">
        <v>619</v>
      </c>
      <c r="K18" s="373" t="s">
        <v>619</v>
      </c>
      <c r="L18" s="373" t="s">
        <v>619</v>
      </c>
      <c r="M18" s="373" t="s">
        <v>619</v>
      </c>
      <c r="N18" s="373" t="s">
        <v>619</v>
      </c>
      <c r="O18" s="373" t="s">
        <v>619</v>
      </c>
      <c r="P18" s="373" t="s">
        <v>619</v>
      </c>
      <c r="Q18" s="373" t="s">
        <v>619</v>
      </c>
    </row>
    <row r="19" spans="1:17" ht="16.5" thickTop="1" thickBot="1" x14ac:dyDescent="0.3">
      <c r="A19" s="220" t="s">
        <v>225</v>
      </c>
      <c r="B19" s="305" t="s">
        <v>354</v>
      </c>
      <c r="C19" s="373" t="s">
        <v>619</v>
      </c>
      <c r="D19" s="373" t="s">
        <v>619</v>
      </c>
      <c r="E19" s="373" t="s">
        <v>619</v>
      </c>
      <c r="F19" s="373" t="s">
        <v>619</v>
      </c>
      <c r="G19" s="373" t="s">
        <v>619</v>
      </c>
      <c r="H19" s="373" t="s">
        <v>619</v>
      </c>
      <c r="I19" s="373" t="s">
        <v>619</v>
      </c>
      <c r="J19" s="373" t="s">
        <v>619</v>
      </c>
      <c r="K19" s="373" t="s">
        <v>619</v>
      </c>
      <c r="L19" s="373" t="s">
        <v>619</v>
      </c>
      <c r="M19" s="373" t="s">
        <v>619</v>
      </c>
      <c r="N19" s="373" t="s">
        <v>619</v>
      </c>
      <c r="O19" s="373" t="s">
        <v>619</v>
      </c>
      <c r="P19" s="373" t="s">
        <v>619</v>
      </c>
      <c r="Q19" s="373" t="s">
        <v>619</v>
      </c>
    </row>
    <row r="20" spans="1:17" ht="16.5" thickTop="1" thickBot="1" x14ac:dyDescent="0.3">
      <c r="A20" s="220" t="s">
        <v>225</v>
      </c>
      <c r="B20" s="305" t="s">
        <v>351</v>
      </c>
      <c r="C20" s="373" t="s">
        <v>619</v>
      </c>
      <c r="D20" s="373" t="s">
        <v>619</v>
      </c>
      <c r="E20" s="373" t="s">
        <v>619</v>
      </c>
      <c r="F20" s="373" t="s">
        <v>619</v>
      </c>
      <c r="G20" s="373" t="s">
        <v>619</v>
      </c>
      <c r="H20" s="373" t="s">
        <v>619</v>
      </c>
      <c r="I20" s="373" t="s">
        <v>619</v>
      </c>
      <c r="J20" s="373" t="s">
        <v>619</v>
      </c>
      <c r="K20" s="373" t="s">
        <v>619</v>
      </c>
      <c r="L20" s="373" t="s">
        <v>619</v>
      </c>
      <c r="M20" s="373" t="s">
        <v>619</v>
      </c>
      <c r="N20" s="373" t="s">
        <v>619</v>
      </c>
      <c r="O20" s="373" t="s">
        <v>619</v>
      </c>
      <c r="P20" s="373" t="s">
        <v>619</v>
      </c>
      <c r="Q20" s="373" t="s">
        <v>619</v>
      </c>
    </row>
    <row r="21" spans="1:17" ht="16.5" thickTop="1" thickBot="1" x14ac:dyDescent="0.3">
      <c r="A21" s="220" t="s">
        <v>225</v>
      </c>
      <c r="B21" s="305" t="s">
        <v>348</v>
      </c>
      <c r="C21" s="373" t="s">
        <v>619</v>
      </c>
      <c r="D21" s="373" t="s">
        <v>619</v>
      </c>
      <c r="E21" s="373" t="s">
        <v>619</v>
      </c>
      <c r="F21" s="373" t="s">
        <v>619</v>
      </c>
      <c r="G21" s="373" t="s">
        <v>619</v>
      </c>
      <c r="H21" s="373" t="s">
        <v>619</v>
      </c>
      <c r="I21" s="373" t="s">
        <v>619</v>
      </c>
      <c r="J21" s="373" t="s">
        <v>619</v>
      </c>
      <c r="K21" s="373" t="s">
        <v>619</v>
      </c>
      <c r="L21" s="373" t="s">
        <v>619</v>
      </c>
      <c r="M21" s="373" t="s">
        <v>619</v>
      </c>
      <c r="N21" s="373" t="s">
        <v>619</v>
      </c>
      <c r="O21" s="373" t="s">
        <v>619</v>
      </c>
      <c r="P21" s="373" t="s">
        <v>619</v>
      </c>
      <c r="Q21" s="373" t="s">
        <v>619</v>
      </c>
    </row>
    <row r="22" spans="1:17" ht="16.5" thickTop="1" thickBot="1" x14ac:dyDescent="0.3">
      <c r="A22" s="220" t="s">
        <v>225</v>
      </c>
      <c r="B22" s="305" t="s">
        <v>537</v>
      </c>
      <c r="C22" s="373" t="s">
        <v>619</v>
      </c>
      <c r="D22" s="373" t="s">
        <v>619</v>
      </c>
      <c r="E22" s="373" t="s">
        <v>619</v>
      </c>
      <c r="F22" s="373" t="s">
        <v>619</v>
      </c>
      <c r="G22" s="373" t="s">
        <v>619</v>
      </c>
      <c r="H22" s="373" t="s">
        <v>619</v>
      </c>
      <c r="I22" s="373" t="s">
        <v>619</v>
      </c>
      <c r="J22" s="373" t="s">
        <v>619</v>
      </c>
      <c r="K22" s="373" t="s">
        <v>619</v>
      </c>
      <c r="L22" s="373" t="s">
        <v>619</v>
      </c>
      <c r="M22" s="373" t="s">
        <v>619</v>
      </c>
      <c r="N22" s="373" t="s">
        <v>619</v>
      </c>
      <c r="O22" s="373" t="s">
        <v>619</v>
      </c>
      <c r="P22" s="373" t="s">
        <v>619</v>
      </c>
      <c r="Q22" s="373" t="s">
        <v>619</v>
      </c>
    </row>
    <row r="23" spans="1:17" ht="15.75" thickTop="1" x14ac:dyDescent="0.25">
      <c r="A23" s="668" t="s">
        <v>225</v>
      </c>
      <c r="B23" s="669" t="s">
        <v>132</v>
      </c>
      <c r="C23" s="373" t="s">
        <v>619</v>
      </c>
      <c r="D23" s="373" t="s">
        <v>619</v>
      </c>
      <c r="E23" s="373" t="s">
        <v>619</v>
      </c>
      <c r="F23" s="373" t="s">
        <v>619</v>
      </c>
      <c r="G23" s="373" t="s">
        <v>619</v>
      </c>
      <c r="H23" s="373" t="s">
        <v>619</v>
      </c>
      <c r="I23" s="373" t="s">
        <v>619</v>
      </c>
      <c r="J23" s="373" t="s">
        <v>619</v>
      </c>
      <c r="K23" s="373" t="s">
        <v>619</v>
      </c>
      <c r="L23" s="373" t="s">
        <v>619</v>
      </c>
      <c r="M23" s="373" t="s">
        <v>619</v>
      </c>
      <c r="N23" s="373" t="s">
        <v>619</v>
      </c>
      <c r="O23" s="373" t="s">
        <v>619</v>
      </c>
      <c r="P23" s="373" t="s">
        <v>619</v>
      </c>
      <c r="Q23" s="373" t="s">
        <v>619</v>
      </c>
    </row>
    <row r="24" spans="1:17" ht="15" x14ac:dyDescent="0.25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1:17" ht="15.75" thickBot="1" x14ac:dyDescent="0.3">
      <c r="A25" s="225" t="s">
        <v>230</v>
      </c>
      <c r="B25" s="225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2"/>
      <c r="P25" s="372"/>
      <c r="Q25" s="372"/>
    </row>
    <row r="26" spans="1:17" ht="16.5" thickTop="1" thickBot="1" x14ac:dyDescent="0.3">
      <c r="A26" s="220" t="s">
        <v>231</v>
      </c>
      <c r="B26" s="305" t="s">
        <v>349</v>
      </c>
      <c r="C26" s="373" t="s">
        <v>619</v>
      </c>
      <c r="D26" s="373" t="s">
        <v>619</v>
      </c>
      <c r="E26" s="373" t="s">
        <v>619</v>
      </c>
      <c r="F26" s="373" t="s">
        <v>619</v>
      </c>
      <c r="G26" s="373" t="s">
        <v>619</v>
      </c>
      <c r="H26" s="373" t="s">
        <v>619</v>
      </c>
      <c r="I26" s="373" t="s">
        <v>619</v>
      </c>
      <c r="J26" s="373" t="s">
        <v>619</v>
      </c>
      <c r="K26" s="373" t="s">
        <v>619</v>
      </c>
      <c r="L26" s="373" t="s">
        <v>619</v>
      </c>
      <c r="M26" s="373" t="s">
        <v>619</v>
      </c>
      <c r="N26" s="373" t="s">
        <v>619</v>
      </c>
      <c r="O26" s="373" t="s">
        <v>619</v>
      </c>
      <c r="P26" s="373" t="s">
        <v>619</v>
      </c>
      <c r="Q26" s="373" t="s">
        <v>619</v>
      </c>
    </row>
    <row r="27" spans="1:17" ht="16.5" thickTop="1" thickBot="1" x14ac:dyDescent="0.3">
      <c r="A27" s="220" t="s">
        <v>231</v>
      </c>
      <c r="B27" s="305" t="s">
        <v>128</v>
      </c>
      <c r="C27" s="373" t="s">
        <v>619</v>
      </c>
      <c r="D27" s="373" t="s">
        <v>619</v>
      </c>
      <c r="E27" s="373" t="s">
        <v>619</v>
      </c>
      <c r="F27" s="373" t="s">
        <v>619</v>
      </c>
      <c r="G27" s="373" t="s">
        <v>619</v>
      </c>
      <c r="H27" s="373" t="s">
        <v>619</v>
      </c>
      <c r="I27" s="373" t="s">
        <v>619</v>
      </c>
      <c r="J27" s="373" t="s">
        <v>619</v>
      </c>
      <c r="K27" s="373" t="s">
        <v>619</v>
      </c>
      <c r="L27" s="373" t="s">
        <v>619</v>
      </c>
      <c r="M27" s="373" t="s">
        <v>619</v>
      </c>
      <c r="N27" s="373" t="s">
        <v>619</v>
      </c>
      <c r="O27" s="373" t="s">
        <v>619</v>
      </c>
      <c r="P27" s="373" t="s">
        <v>619</v>
      </c>
      <c r="Q27" s="373" t="s">
        <v>619</v>
      </c>
    </row>
    <row r="28" spans="1:17" ht="16.5" thickTop="1" thickBot="1" x14ac:dyDescent="0.3">
      <c r="A28" s="220" t="s">
        <v>231</v>
      </c>
      <c r="B28" s="305" t="s">
        <v>361</v>
      </c>
      <c r="C28" s="373" t="s">
        <v>619</v>
      </c>
      <c r="D28" s="373" t="s">
        <v>619</v>
      </c>
      <c r="E28" s="373" t="s">
        <v>619</v>
      </c>
      <c r="F28" s="373" t="s">
        <v>619</v>
      </c>
      <c r="G28" s="373" t="s">
        <v>619</v>
      </c>
      <c r="H28" s="373" t="s">
        <v>619</v>
      </c>
      <c r="I28" s="373" t="s">
        <v>619</v>
      </c>
      <c r="J28" s="373" t="s">
        <v>619</v>
      </c>
      <c r="K28" s="373" t="s">
        <v>619</v>
      </c>
      <c r="L28" s="373" t="s">
        <v>619</v>
      </c>
      <c r="M28" s="373" t="s">
        <v>619</v>
      </c>
      <c r="N28" s="373" t="s">
        <v>619</v>
      </c>
      <c r="O28" s="373" t="s">
        <v>619</v>
      </c>
      <c r="P28" s="373" t="s">
        <v>619</v>
      </c>
      <c r="Q28" s="373" t="s">
        <v>619</v>
      </c>
    </row>
    <row r="29" spans="1:17" ht="16.5" thickTop="1" thickBot="1" x14ac:dyDescent="0.3">
      <c r="A29" s="220" t="s">
        <v>231</v>
      </c>
      <c r="B29" s="305" t="s">
        <v>354</v>
      </c>
      <c r="C29" s="373" t="s">
        <v>619</v>
      </c>
      <c r="D29" s="373" t="s">
        <v>619</v>
      </c>
      <c r="E29" s="373" t="s">
        <v>619</v>
      </c>
      <c r="F29" s="373" t="s">
        <v>619</v>
      </c>
      <c r="G29" s="373" t="s">
        <v>619</v>
      </c>
      <c r="H29" s="373" t="s">
        <v>619</v>
      </c>
      <c r="I29" s="373" t="s">
        <v>619</v>
      </c>
      <c r="J29" s="373" t="s">
        <v>619</v>
      </c>
      <c r="K29" s="373" t="s">
        <v>619</v>
      </c>
      <c r="L29" s="373" t="s">
        <v>619</v>
      </c>
      <c r="M29" s="373" t="s">
        <v>619</v>
      </c>
      <c r="N29" s="373" t="s">
        <v>619</v>
      </c>
      <c r="O29" s="373" t="s">
        <v>619</v>
      </c>
      <c r="P29" s="373" t="s">
        <v>619</v>
      </c>
      <c r="Q29" s="373" t="s">
        <v>619</v>
      </c>
    </row>
    <row r="30" spans="1:17" ht="16.5" thickTop="1" thickBot="1" x14ac:dyDescent="0.3">
      <c r="A30" s="220" t="s">
        <v>231</v>
      </c>
      <c r="B30" s="305" t="s">
        <v>351</v>
      </c>
      <c r="C30" s="373" t="s">
        <v>619</v>
      </c>
      <c r="D30" s="373" t="s">
        <v>619</v>
      </c>
      <c r="E30" s="373" t="s">
        <v>619</v>
      </c>
      <c r="F30" s="373" t="s">
        <v>619</v>
      </c>
      <c r="G30" s="373" t="s">
        <v>619</v>
      </c>
      <c r="H30" s="373" t="s">
        <v>619</v>
      </c>
      <c r="I30" s="373" t="s">
        <v>619</v>
      </c>
      <c r="J30" s="373" t="s">
        <v>619</v>
      </c>
      <c r="K30" s="373" t="s">
        <v>619</v>
      </c>
      <c r="L30" s="373" t="s">
        <v>619</v>
      </c>
      <c r="M30" s="373" t="s">
        <v>619</v>
      </c>
      <c r="N30" s="373" t="s">
        <v>619</v>
      </c>
      <c r="O30" s="373" t="s">
        <v>619</v>
      </c>
      <c r="P30" s="373" t="s">
        <v>619</v>
      </c>
      <c r="Q30" s="373" t="s">
        <v>619</v>
      </c>
    </row>
    <row r="31" spans="1:17" ht="16.5" thickTop="1" thickBot="1" x14ac:dyDescent="0.3">
      <c r="A31" s="220" t="s">
        <v>231</v>
      </c>
      <c r="B31" s="305" t="s">
        <v>348</v>
      </c>
      <c r="C31" s="373" t="s">
        <v>619</v>
      </c>
      <c r="D31" s="373" t="s">
        <v>619</v>
      </c>
      <c r="E31" s="373" t="s">
        <v>619</v>
      </c>
      <c r="F31" s="373" t="s">
        <v>619</v>
      </c>
      <c r="G31" s="373" t="s">
        <v>619</v>
      </c>
      <c r="H31" s="373" t="s">
        <v>619</v>
      </c>
      <c r="I31" s="373" t="s">
        <v>619</v>
      </c>
      <c r="J31" s="373" t="s">
        <v>619</v>
      </c>
      <c r="K31" s="373" t="s">
        <v>619</v>
      </c>
      <c r="L31" s="373" t="s">
        <v>619</v>
      </c>
      <c r="M31" s="373" t="s">
        <v>619</v>
      </c>
      <c r="N31" s="373" t="s">
        <v>619</v>
      </c>
      <c r="O31" s="373" t="s">
        <v>619</v>
      </c>
      <c r="P31" s="373" t="s">
        <v>619</v>
      </c>
      <c r="Q31" s="373" t="s">
        <v>619</v>
      </c>
    </row>
    <row r="32" spans="1:17" ht="16.5" thickTop="1" thickBot="1" x14ac:dyDescent="0.3">
      <c r="A32" s="220" t="s">
        <v>231</v>
      </c>
      <c r="B32" s="305" t="s">
        <v>537</v>
      </c>
      <c r="C32" s="373" t="s">
        <v>619</v>
      </c>
      <c r="D32" s="373" t="s">
        <v>619</v>
      </c>
      <c r="E32" s="373" t="s">
        <v>619</v>
      </c>
      <c r="F32" s="373" t="s">
        <v>619</v>
      </c>
      <c r="G32" s="373" t="s">
        <v>619</v>
      </c>
      <c r="H32" s="373" t="s">
        <v>619</v>
      </c>
      <c r="I32" s="373" t="s">
        <v>619</v>
      </c>
      <c r="J32" s="373" t="s">
        <v>619</v>
      </c>
      <c r="K32" s="373" t="s">
        <v>619</v>
      </c>
      <c r="L32" s="373" t="s">
        <v>619</v>
      </c>
      <c r="M32" s="373" t="s">
        <v>619</v>
      </c>
      <c r="N32" s="373" t="s">
        <v>619</v>
      </c>
      <c r="O32" s="373" t="s">
        <v>619</v>
      </c>
      <c r="P32" s="373" t="s">
        <v>619</v>
      </c>
      <c r="Q32" s="373" t="s">
        <v>619</v>
      </c>
    </row>
    <row r="33" spans="1:17" ht="15.75" thickTop="1" x14ac:dyDescent="0.25">
      <c r="A33" s="668" t="s">
        <v>231</v>
      </c>
      <c r="B33" s="669" t="s">
        <v>133</v>
      </c>
      <c r="C33" s="373" t="s">
        <v>619</v>
      </c>
      <c r="D33" s="373" t="s">
        <v>619</v>
      </c>
      <c r="E33" s="373" t="s">
        <v>619</v>
      </c>
      <c r="F33" s="373" t="s">
        <v>619</v>
      </c>
      <c r="G33" s="373" t="s">
        <v>619</v>
      </c>
      <c r="H33" s="373" t="s">
        <v>619</v>
      </c>
      <c r="I33" s="373" t="s">
        <v>619</v>
      </c>
      <c r="J33" s="373" t="s">
        <v>619</v>
      </c>
      <c r="K33" s="373" t="s">
        <v>619</v>
      </c>
      <c r="L33" s="373" t="s">
        <v>619</v>
      </c>
      <c r="M33" s="373" t="s">
        <v>619</v>
      </c>
      <c r="N33" s="373" t="s">
        <v>619</v>
      </c>
      <c r="O33" s="373" t="s">
        <v>619</v>
      </c>
      <c r="P33" s="373" t="s">
        <v>619</v>
      </c>
      <c r="Q33" s="373" t="s">
        <v>619</v>
      </c>
    </row>
    <row r="36" spans="1:17" x14ac:dyDescent="0.2">
      <c r="A36" s="105" t="s">
        <v>125</v>
      </c>
    </row>
    <row r="37" spans="1:17" x14ac:dyDescent="0.2">
      <c r="A37" s="44" t="s">
        <v>544</v>
      </c>
    </row>
    <row r="38" spans="1:17" x14ac:dyDescent="0.2">
      <c r="A38" s="104"/>
    </row>
    <row r="39" spans="1:17" x14ac:dyDescent="0.2">
      <c r="A39" s="105" t="s">
        <v>543</v>
      </c>
    </row>
    <row r="40" spans="1:17" x14ac:dyDescent="0.2">
      <c r="A40" s="104" t="s">
        <v>542</v>
      </c>
    </row>
    <row r="41" spans="1:17" ht="45.75" thickBot="1" x14ac:dyDescent="0.3">
      <c r="B41" s="303" t="s">
        <v>126</v>
      </c>
      <c r="C41" s="302" t="s">
        <v>229</v>
      </c>
      <c r="D41" s="302" t="s">
        <v>130</v>
      </c>
      <c r="E41" s="301" t="s">
        <v>228</v>
      </c>
    </row>
    <row r="42" spans="1:17" ht="16.5" thickTop="1" thickBot="1" x14ac:dyDescent="0.3">
      <c r="A42" s="102"/>
      <c r="B42" s="85" t="s">
        <v>35</v>
      </c>
      <c r="C42" s="373" t="s">
        <v>619</v>
      </c>
      <c r="D42" s="373" t="s">
        <v>619</v>
      </c>
      <c r="E42" s="373" t="s">
        <v>619</v>
      </c>
    </row>
    <row r="43" spans="1:17" ht="16.5" thickTop="1" thickBot="1" x14ac:dyDescent="0.3">
      <c r="B43" s="85" t="s">
        <v>36</v>
      </c>
      <c r="C43" s="373" t="s">
        <v>619</v>
      </c>
      <c r="D43" s="373" t="s">
        <v>619</v>
      </c>
      <c r="E43" s="373" t="s">
        <v>619</v>
      </c>
    </row>
    <row r="44" spans="1:17" ht="16.5" thickTop="1" thickBot="1" x14ac:dyDescent="0.3">
      <c r="A44" s="102"/>
      <c r="B44" s="85" t="s">
        <v>127</v>
      </c>
      <c r="C44" s="373" t="s">
        <v>619</v>
      </c>
      <c r="D44" s="373" t="s">
        <v>619</v>
      </c>
      <c r="E44" s="373" t="s">
        <v>619</v>
      </c>
    </row>
    <row r="45" spans="1:17" ht="16.5" thickTop="1" thickBot="1" x14ac:dyDescent="0.3">
      <c r="A45" s="102"/>
      <c r="B45" s="85" t="s">
        <v>128</v>
      </c>
      <c r="C45" s="373" t="s">
        <v>619</v>
      </c>
      <c r="D45" s="373" t="s">
        <v>619</v>
      </c>
      <c r="E45" s="373" t="s">
        <v>619</v>
      </c>
    </row>
    <row r="46" spans="1:17" ht="15.75" thickTop="1" x14ac:dyDescent="0.25">
      <c r="B46" s="309" t="s">
        <v>129</v>
      </c>
      <c r="C46" s="373" t="s">
        <v>619</v>
      </c>
      <c r="D46" s="373" t="s">
        <v>619</v>
      </c>
      <c r="E46" s="373" t="s">
        <v>619</v>
      </c>
    </row>
    <row r="49" spans="1:1" x14ac:dyDescent="0.2">
      <c r="A49" s="39" t="s">
        <v>560</v>
      </c>
    </row>
  </sheetData>
  <pageMargins left="0.7" right="0.7" top="0.75" bottom="0.75" header="0.3" footer="0.3"/>
  <pageSetup scale="65" orientation="landscape" r:id="rId1"/>
  <headerFooter>
    <oddFooter>&amp;L&amp;P of &amp;N&amp;C&amp;A&amp;R&amp;D</oddFooter>
  </headerFooter>
  <rowBreaks count="1" manualBreakCount="1">
    <brk id="14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S269"/>
  <sheetViews>
    <sheetView topLeftCell="C182" zoomScale="90" zoomScaleNormal="90" zoomScaleSheetLayoutView="100" workbookViewId="0">
      <selection activeCell="G19" sqref="G19"/>
    </sheetView>
  </sheetViews>
  <sheetFormatPr defaultColWidth="8.85546875" defaultRowHeight="15" x14ac:dyDescent="0.25"/>
  <cols>
    <col min="1" max="1" width="6.140625" style="460" customWidth="1"/>
    <col min="2" max="2" width="47.140625" style="414" bestFit="1" customWidth="1"/>
    <col min="3" max="3" width="19" style="12" bestFit="1" customWidth="1"/>
    <col min="4" max="9" width="13.140625" style="12" bestFit="1" customWidth="1"/>
    <col min="10" max="10" width="13.140625" style="150" bestFit="1" customWidth="1"/>
    <col min="11" max="11" width="13.140625" style="420" bestFit="1" customWidth="1"/>
    <col min="12" max="13" width="13.140625" style="150" bestFit="1" customWidth="1"/>
    <col min="14" max="14" width="13.140625" style="150" customWidth="1"/>
    <col min="15" max="17" width="13.140625" style="150" bestFit="1" customWidth="1"/>
    <col min="18" max="18" width="9.5703125" style="150" bestFit="1" customWidth="1"/>
    <col min="19" max="21" width="10.140625" style="150" bestFit="1" customWidth="1"/>
    <col min="22" max="16384" width="8.85546875" style="150"/>
  </cols>
  <sheetData>
    <row r="1" spans="1:17" ht="18.75" x14ac:dyDescent="0.3">
      <c r="A1" s="413" t="s">
        <v>199</v>
      </c>
      <c r="C1" s="421"/>
      <c r="E1" s="415"/>
      <c r="H1" s="416"/>
      <c r="I1" s="416"/>
      <c r="J1" s="417"/>
      <c r="K1" s="418"/>
    </row>
    <row r="2" spans="1:17" ht="20.25" x14ac:dyDescent="0.3">
      <c r="A2" s="422" t="s">
        <v>404</v>
      </c>
      <c r="B2" s="420"/>
      <c r="C2" s="415"/>
      <c r="D2" s="414"/>
      <c r="E2" s="421"/>
      <c r="F2" s="421"/>
      <c r="I2" s="414"/>
    </row>
    <row r="3" spans="1:17" ht="18.75" x14ac:dyDescent="0.3">
      <c r="A3" s="419" t="s">
        <v>538</v>
      </c>
      <c r="C3" s="846" t="s">
        <v>618</v>
      </c>
      <c r="D3" s="287"/>
      <c r="E3" s="420"/>
      <c r="F3" s="420"/>
      <c r="H3" s="287"/>
      <c r="I3" s="287"/>
      <c r="J3" s="420"/>
      <c r="M3" s="423"/>
      <c r="N3" s="420"/>
      <c r="O3" s="420"/>
      <c r="P3" s="420"/>
      <c r="Q3" s="420"/>
    </row>
    <row r="4" spans="1:17" s="56" customFormat="1" ht="29.45" customHeight="1" thickBot="1" x14ac:dyDescent="0.3">
      <c r="B4" s="345"/>
      <c r="C4" s="43"/>
      <c r="D4" s="345"/>
      <c r="E4" s="111"/>
      <c r="F4" s="111"/>
      <c r="G4" s="111"/>
      <c r="H4" s="345"/>
      <c r="I4" s="345"/>
      <c r="J4" s="111"/>
      <c r="K4" s="111"/>
      <c r="L4" s="150"/>
      <c r="M4" s="111"/>
      <c r="N4" s="111"/>
      <c r="O4" s="111"/>
      <c r="P4" s="111"/>
      <c r="Q4" s="111"/>
    </row>
    <row r="5" spans="1:17" s="508" customFormat="1" ht="30" x14ac:dyDescent="0.25">
      <c r="A5" s="507"/>
      <c r="B5" s="507"/>
      <c r="C5" s="424">
        <v>44927</v>
      </c>
      <c r="D5" s="424">
        <v>44958</v>
      </c>
      <c r="E5" s="424">
        <v>44986</v>
      </c>
      <c r="F5" s="424">
        <v>45017</v>
      </c>
      <c r="G5" s="424">
        <v>45047</v>
      </c>
      <c r="H5" s="424">
        <v>45078</v>
      </c>
      <c r="I5" s="424">
        <v>45108</v>
      </c>
      <c r="J5" s="424">
        <v>45139</v>
      </c>
      <c r="K5" s="424">
        <v>45170</v>
      </c>
      <c r="L5" s="424">
        <v>45200</v>
      </c>
      <c r="M5" s="424">
        <v>45231</v>
      </c>
      <c r="N5" s="424">
        <v>45261</v>
      </c>
      <c r="O5" s="676" t="s">
        <v>539</v>
      </c>
      <c r="P5" s="545" t="s">
        <v>536</v>
      </c>
      <c r="Q5" s="777" t="s">
        <v>200</v>
      </c>
    </row>
    <row r="6" spans="1:17" s="334" customFormat="1" ht="12.75" x14ac:dyDescent="0.2">
      <c r="A6" s="437" t="s">
        <v>208</v>
      </c>
      <c r="B6" s="365"/>
      <c r="C6" s="430"/>
      <c r="D6" s="430"/>
      <c r="E6" s="430"/>
      <c r="F6" s="430"/>
      <c r="G6" s="430"/>
      <c r="H6" s="430"/>
      <c r="I6" s="430"/>
      <c r="J6" s="404"/>
      <c r="K6" s="404"/>
      <c r="L6" s="404"/>
      <c r="M6" s="404"/>
      <c r="N6" s="404"/>
      <c r="O6" s="524"/>
      <c r="P6" s="524"/>
      <c r="Q6" s="757"/>
    </row>
    <row r="7" spans="1:17" s="40" customFormat="1" ht="12.75" x14ac:dyDescent="0.2">
      <c r="A7" s="425"/>
      <c r="B7" s="66" t="s">
        <v>238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525"/>
      <c r="P7" s="525"/>
      <c r="Q7" s="758"/>
    </row>
    <row r="8" spans="1:17" s="40" customFormat="1" ht="12.75" x14ac:dyDescent="0.2">
      <c r="A8" s="425"/>
      <c r="B8" s="379" t="s">
        <v>241</v>
      </c>
      <c r="C8" s="365">
        <v>5</v>
      </c>
      <c r="D8" s="365">
        <v>160</v>
      </c>
      <c r="E8" s="365">
        <v>5</v>
      </c>
      <c r="F8" s="365">
        <v>5</v>
      </c>
      <c r="G8" s="365">
        <v>5</v>
      </c>
      <c r="H8" s="365">
        <v>5</v>
      </c>
      <c r="I8" s="365">
        <v>5</v>
      </c>
      <c r="J8" s="365">
        <v>5</v>
      </c>
      <c r="K8" s="365">
        <v>5</v>
      </c>
      <c r="L8" s="365">
        <v>5</v>
      </c>
      <c r="M8" s="365">
        <v>5</v>
      </c>
      <c r="N8" s="365">
        <v>5</v>
      </c>
      <c r="O8" s="525">
        <f t="shared" ref="O8:O47" si="0">AVERAGE(C8:N8)</f>
        <v>17.916666666666668</v>
      </c>
      <c r="P8" s="525">
        <v>5</v>
      </c>
      <c r="Q8" s="758">
        <f t="shared" ref="Q8:Q48" si="1">O8-P8</f>
        <v>12.916666666666668</v>
      </c>
    </row>
    <row r="9" spans="1:17" s="40" customFormat="1" ht="12.75" x14ac:dyDescent="0.2">
      <c r="A9" s="425"/>
      <c r="B9" s="379" t="s">
        <v>241</v>
      </c>
      <c r="C9" s="365">
        <v>100</v>
      </c>
      <c r="D9" s="365">
        <v>100</v>
      </c>
      <c r="E9" s="365">
        <v>100</v>
      </c>
      <c r="F9" s="365">
        <v>100</v>
      </c>
      <c r="G9" s="365">
        <v>100</v>
      </c>
      <c r="H9" s="365">
        <v>100</v>
      </c>
      <c r="I9" s="365">
        <v>100</v>
      </c>
      <c r="J9" s="365">
        <v>100</v>
      </c>
      <c r="K9" s="365">
        <v>100</v>
      </c>
      <c r="L9" s="365">
        <v>100</v>
      </c>
      <c r="M9" s="365">
        <v>100</v>
      </c>
      <c r="N9" s="365">
        <v>100</v>
      </c>
      <c r="O9" s="525">
        <f t="shared" si="0"/>
        <v>100</v>
      </c>
      <c r="P9" s="525">
        <v>100</v>
      </c>
      <c r="Q9" s="758">
        <f t="shared" si="1"/>
        <v>0</v>
      </c>
    </row>
    <row r="10" spans="1:17" s="40" customFormat="1" ht="12.75" x14ac:dyDescent="0.2">
      <c r="A10" s="425"/>
      <c r="B10" s="379" t="s">
        <v>241</v>
      </c>
      <c r="C10" s="365">
        <v>150</v>
      </c>
      <c r="D10" s="365">
        <v>150</v>
      </c>
      <c r="E10" s="365">
        <v>150</v>
      </c>
      <c r="F10" s="365">
        <v>150</v>
      </c>
      <c r="G10" s="365">
        <v>150</v>
      </c>
      <c r="H10" s="365">
        <v>150</v>
      </c>
      <c r="I10" s="365">
        <v>150</v>
      </c>
      <c r="J10" s="365">
        <v>150</v>
      </c>
      <c r="K10" s="365">
        <v>150</v>
      </c>
      <c r="L10" s="365">
        <v>150</v>
      </c>
      <c r="M10" s="365">
        <v>150</v>
      </c>
      <c r="N10" s="365">
        <v>150</v>
      </c>
      <c r="O10" s="525">
        <f t="shared" si="0"/>
        <v>150</v>
      </c>
      <c r="P10" s="525">
        <v>150</v>
      </c>
      <c r="Q10" s="758">
        <f t="shared" si="1"/>
        <v>0</v>
      </c>
    </row>
    <row r="11" spans="1:17" s="40" customFormat="1" ht="12.75" x14ac:dyDescent="0.2">
      <c r="A11" s="425"/>
      <c r="B11" s="379" t="s">
        <v>239</v>
      </c>
      <c r="C11" s="365">
        <v>400</v>
      </c>
      <c r="D11" s="365">
        <v>400</v>
      </c>
      <c r="E11" s="365">
        <v>400</v>
      </c>
      <c r="F11" s="365">
        <v>400</v>
      </c>
      <c r="G11" s="365">
        <v>400</v>
      </c>
      <c r="H11" s="365">
        <v>400</v>
      </c>
      <c r="I11" s="365">
        <v>400</v>
      </c>
      <c r="J11" s="365">
        <v>400</v>
      </c>
      <c r="K11" s="365">
        <v>400</v>
      </c>
      <c r="L11" s="365">
        <v>400</v>
      </c>
      <c r="M11" s="365">
        <v>400</v>
      </c>
      <c r="N11" s="365">
        <v>400</v>
      </c>
      <c r="O11" s="525">
        <f t="shared" si="0"/>
        <v>400</v>
      </c>
      <c r="P11" s="525">
        <v>400</v>
      </c>
      <c r="Q11" s="758">
        <f t="shared" si="1"/>
        <v>0</v>
      </c>
    </row>
    <row r="12" spans="1:17" s="40" customFormat="1" ht="12.75" x14ac:dyDescent="0.2">
      <c r="A12" s="425"/>
      <c r="B12" s="379" t="s">
        <v>243</v>
      </c>
      <c r="C12" s="365">
        <v>160</v>
      </c>
      <c r="D12" s="365">
        <v>160</v>
      </c>
      <c r="E12" s="365">
        <v>160</v>
      </c>
      <c r="F12" s="365">
        <v>160</v>
      </c>
      <c r="G12" s="365">
        <v>160</v>
      </c>
      <c r="H12" s="365">
        <v>160</v>
      </c>
      <c r="I12" s="365">
        <v>160</v>
      </c>
      <c r="J12" s="365">
        <v>160</v>
      </c>
      <c r="K12" s="365">
        <v>160</v>
      </c>
      <c r="L12" s="365">
        <v>160</v>
      </c>
      <c r="M12" s="365">
        <v>160</v>
      </c>
      <c r="N12" s="365">
        <v>160</v>
      </c>
      <c r="O12" s="525">
        <f t="shared" si="0"/>
        <v>160</v>
      </c>
      <c r="P12" s="525">
        <v>160</v>
      </c>
      <c r="Q12" s="758">
        <f t="shared" si="1"/>
        <v>0</v>
      </c>
    </row>
    <row r="13" spans="1:17" s="40" customFormat="1" ht="12.75" x14ac:dyDescent="0.2">
      <c r="A13" s="425"/>
      <c r="B13" s="379" t="s">
        <v>243</v>
      </c>
      <c r="C13" s="365">
        <v>200</v>
      </c>
      <c r="D13" s="365">
        <v>200</v>
      </c>
      <c r="E13" s="365">
        <v>200</v>
      </c>
      <c r="F13" s="365">
        <v>200</v>
      </c>
      <c r="G13" s="365">
        <v>200</v>
      </c>
      <c r="H13" s="365">
        <v>200</v>
      </c>
      <c r="I13" s="365">
        <v>200</v>
      </c>
      <c r="J13" s="365">
        <v>200</v>
      </c>
      <c r="K13" s="365">
        <v>200</v>
      </c>
      <c r="L13" s="365">
        <v>200</v>
      </c>
      <c r="M13" s="365">
        <v>200</v>
      </c>
      <c r="N13" s="365">
        <v>200</v>
      </c>
      <c r="O13" s="525">
        <f t="shared" si="0"/>
        <v>200</v>
      </c>
      <c r="P13" s="525">
        <v>200</v>
      </c>
      <c r="Q13" s="758">
        <f t="shared" si="1"/>
        <v>0</v>
      </c>
    </row>
    <row r="14" spans="1:17" s="40" customFormat="1" ht="12.75" x14ac:dyDescent="0.2">
      <c r="A14" s="425"/>
      <c r="B14" s="379" t="s">
        <v>243</v>
      </c>
      <c r="C14" s="365">
        <v>180</v>
      </c>
      <c r="D14" s="365">
        <v>180</v>
      </c>
      <c r="E14" s="365">
        <v>180</v>
      </c>
      <c r="F14" s="365">
        <v>180</v>
      </c>
      <c r="G14" s="365">
        <v>180</v>
      </c>
      <c r="H14" s="365">
        <v>180</v>
      </c>
      <c r="I14" s="365">
        <v>180</v>
      </c>
      <c r="J14" s="365">
        <v>180</v>
      </c>
      <c r="K14" s="365">
        <v>180</v>
      </c>
      <c r="L14" s="365">
        <v>180</v>
      </c>
      <c r="M14" s="365">
        <v>180</v>
      </c>
      <c r="N14" s="365">
        <v>180</v>
      </c>
      <c r="O14" s="525">
        <f t="shared" si="0"/>
        <v>180</v>
      </c>
      <c r="P14" s="525">
        <v>180</v>
      </c>
      <c r="Q14" s="758">
        <f t="shared" si="1"/>
        <v>0</v>
      </c>
    </row>
    <row r="15" spans="1:17" s="40" customFormat="1" ht="12.75" x14ac:dyDescent="0.2">
      <c r="A15" s="425"/>
      <c r="B15" s="379" t="s">
        <v>240</v>
      </c>
      <c r="C15" s="365">
        <v>120</v>
      </c>
      <c r="D15" s="365">
        <v>120</v>
      </c>
      <c r="E15" s="365">
        <v>120</v>
      </c>
      <c r="F15" s="365">
        <v>120</v>
      </c>
      <c r="G15" s="365">
        <v>120</v>
      </c>
      <c r="H15" s="365">
        <v>120</v>
      </c>
      <c r="I15" s="365">
        <v>120</v>
      </c>
      <c r="J15" s="365">
        <v>120</v>
      </c>
      <c r="K15" s="365">
        <v>120</v>
      </c>
      <c r="L15" s="365">
        <v>120</v>
      </c>
      <c r="M15" s="365">
        <v>120</v>
      </c>
      <c r="N15" s="365">
        <v>120</v>
      </c>
      <c r="O15" s="525">
        <f t="shared" si="0"/>
        <v>120</v>
      </c>
      <c r="P15" s="525">
        <v>120</v>
      </c>
      <c r="Q15" s="758">
        <f t="shared" si="1"/>
        <v>0</v>
      </c>
    </row>
    <row r="16" spans="1:17" s="40" customFormat="1" ht="12.75" x14ac:dyDescent="0.2">
      <c r="A16" s="425"/>
      <c r="B16" s="379" t="s">
        <v>240</v>
      </c>
      <c r="C16" s="365">
        <v>5</v>
      </c>
      <c r="D16" s="365">
        <v>5</v>
      </c>
      <c r="E16" s="365">
        <v>5</v>
      </c>
      <c r="F16" s="365">
        <v>5</v>
      </c>
      <c r="G16" s="365">
        <v>5</v>
      </c>
      <c r="H16" s="365">
        <v>5</v>
      </c>
      <c r="I16" s="365">
        <v>5</v>
      </c>
      <c r="J16" s="365">
        <v>5</v>
      </c>
      <c r="K16" s="365">
        <v>5</v>
      </c>
      <c r="L16" s="365">
        <v>5</v>
      </c>
      <c r="M16" s="365">
        <v>5</v>
      </c>
      <c r="N16" s="365">
        <v>5</v>
      </c>
      <c r="O16" s="525">
        <f t="shared" si="0"/>
        <v>5</v>
      </c>
      <c r="P16" s="525">
        <v>5</v>
      </c>
      <c r="Q16" s="758">
        <f t="shared" si="1"/>
        <v>0</v>
      </c>
    </row>
    <row r="17" spans="1:17" s="40" customFormat="1" ht="12.75" x14ac:dyDescent="0.2">
      <c r="A17" s="425"/>
      <c r="B17" s="379" t="s">
        <v>240</v>
      </c>
      <c r="C17" s="365">
        <v>100</v>
      </c>
      <c r="D17" s="365">
        <v>100</v>
      </c>
      <c r="E17" s="365">
        <v>100</v>
      </c>
      <c r="F17" s="365">
        <v>100</v>
      </c>
      <c r="G17" s="365">
        <v>100</v>
      </c>
      <c r="H17" s="365">
        <v>100</v>
      </c>
      <c r="I17" s="365">
        <v>100</v>
      </c>
      <c r="J17" s="365">
        <v>100</v>
      </c>
      <c r="K17" s="365">
        <v>100</v>
      </c>
      <c r="L17" s="365">
        <v>100</v>
      </c>
      <c r="M17" s="365">
        <v>100</v>
      </c>
      <c r="N17" s="365">
        <v>100</v>
      </c>
      <c r="O17" s="525">
        <f t="shared" si="0"/>
        <v>100</v>
      </c>
      <c r="P17" s="525">
        <v>100</v>
      </c>
      <c r="Q17" s="758">
        <f t="shared" si="1"/>
        <v>0</v>
      </c>
    </row>
    <row r="18" spans="1:17" s="40" customFormat="1" ht="12.75" x14ac:dyDescent="0.2">
      <c r="A18" s="425"/>
      <c r="B18" s="379" t="s">
        <v>240</v>
      </c>
      <c r="C18" s="365">
        <v>169</v>
      </c>
      <c r="D18" s="365">
        <v>169</v>
      </c>
      <c r="E18" s="365">
        <v>169</v>
      </c>
      <c r="F18" s="365">
        <v>169</v>
      </c>
      <c r="G18" s="365">
        <v>169</v>
      </c>
      <c r="H18" s="365">
        <v>169</v>
      </c>
      <c r="I18" s="365">
        <v>169</v>
      </c>
      <c r="J18" s="365">
        <v>169</v>
      </c>
      <c r="K18" s="365">
        <v>169</v>
      </c>
      <c r="L18" s="365">
        <v>169</v>
      </c>
      <c r="M18" s="365">
        <v>169</v>
      </c>
      <c r="N18" s="365">
        <v>169</v>
      </c>
      <c r="O18" s="525">
        <f t="shared" si="0"/>
        <v>169</v>
      </c>
      <c r="P18" s="525">
        <v>169</v>
      </c>
      <c r="Q18" s="758">
        <f t="shared" si="1"/>
        <v>0</v>
      </c>
    </row>
    <row r="19" spans="1:17" s="40" customFormat="1" ht="12.75" x14ac:dyDescent="0.2">
      <c r="A19" s="425"/>
      <c r="B19" s="379" t="s">
        <v>244</v>
      </c>
      <c r="C19" s="365">
        <v>23</v>
      </c>
      <c r="D19" s="365">
        <v>23</v>
      </c>
      <c r="E19" s="365">
        <v>23</v>
      </c>
      <c r="F19" s="365">
        <v>23</v>
      </c>
      <c r="G19" s="365">
        <v>23</v>
      </c>
      <c r="H19" s="365">
        <v>23</v>
      </c>
      <c r="I19" s="365">
        <v>23</v>
      </c>
      <c r="J19" s="365">
        <v>23</v>
      </c>
      <c r="K19" s="365">
        <v>23</v>
      </c>
      <c r="L19" s="365">
        <v>23</v>
      </c>
      <c r="M19" s="365">
        <v>23</v>
      </c>
      <c r="N19" s="365">
        <v>23</v>
      </c>
      <c r="O19" s="525">
        <f t="shared" si="0"/>
        <v>23</v>
      </c>
      <c r="P19" s="525">
        <v>23</v>
      </c>
      <c r="Q19" s="758">
        <f t="shared" si="1"/>
        <v>0</v>
      </c>
    </row>
    <row r="20" spans="1:17" s="40" customFormat="1" ht="12.75" x14ac:dyDescent="0.2">
      <c r="A20" s="425"/>
      <c r="B20" s="379" t="s">
        <v>245</v>
      </c>
      <c r="C20" s="365">
        <v>3</v>
      </c>
      <c r="D20" s="365">
        <v>3</v>
      </c>
      <c r="E20" s="365">
        <v>3</v>
      </c>
      <c r="F20" s="365">
        <v>3</v>
      </c>
      <c r="G20" s="365">
        <v>3</v>
      </c>
      <c r="H20" s="365">
        <v>3</v>
      </c>
      <c r="I20" s="365">
        <v>3</v>
      </c>
      <c r="J20" s="365">
        <v>3</v>
      </c>
      <c r="K20" s="365">
        <v>3</v>
      </c>
      <c r="L20" s="365">
        <v>3</v>
      </c>
      <c r="M20" s="365">
        <v>3</v>
      </c>
      <c r="N20" s="365">
        <v>3</v>
      </c>
      <c r="O20" s="525">
        <f t="shared" si="0"/>
        <v>3</v>
      </c>
      <c r="P20" s="525">
        <v>3</v>
      </c>
      <c r="Q20" s="758">
        <f t="shared" si="1"/>
        <v>0</v>
      </c>
    </row>
    <row r="21" spans="1:17" s="40" customFormat="1" ht="12.75" x14ac:dyDescent="0.2">
      <c r="A21" s="425"/>
      <c r="B21" s="379" t="s">
        <v>250</v>
      </c>
      <c r="C21" s="365">
        <v>50</v>
      </c>
      <c r="D21" s="365">
        <v>50</v>
      </c>
      <c r="E21" s="365">
        <v>50</v>
      </c>
      <c r="F21" s="365">
        <v>50</v>
      </c>
      <c r="G21" s="365">
        <v>50</v>
      </c>
      <c r="H21" s="365">
        <v>50</v>
      </c>
      <c r="I21" s="365">
        <v>50</v>
      </c>
      <c r="J21" s="365">
        <v>50</v>
      </c>
      <c r="K21" s="365">
        <v>50</v>
      </c>
      <c r="L21" s="365">
        <v>50</v>
      </c>
      <c r="M21" s="365">
        <v>50</v>
      </c>
      <c r="N21" s="365">
        <v>50</v>
      </c>
      <c r="O21" s="525">
        <f t="shared" si="0"/>
        <v>50</v>
      </c>
      <c r="P21" s="525">
        <v>50</v>
      </c>
      <c r="Q21" s="758">
        <f t="shared" si="1"/>
        <v>0</v>
      </c>
    </row>
    <row r="22" spans="1:17" s="40" customFormat="1" ht="12.75" x14ac:dyDescent="0.2">
      <c r="A22" s="425"/>
      <c r="B22" s="379" t="s">
        <v>251</v>
      </c>
      <c r="C22" s="365">
        <v>50</v>
      </c>
      <c r="D22" s="365">
        <v>50</v>
      </c>
      <c r="E22" s="365">
        <v>50</v>
      </c>
      <c r="F22" s="365">
        <v>50</v>
      </c>
      <c r="G22" s="365">
        <v>50</v>
      </c>
      <c r="H22" s="365">
        <v>50</v>
      </c>
      <c r="I22" s="365">
        <v>50</v>
      </c>
      <c r="J22" s="365">
        <v>50</v>
      </c>
      <c r="K22" s="365">
        <v>50</v>
      </c>
      <c r="L22" s="365">
        <v>50</v>
      </c>
      <c r="M22" s="365">
        <v>50</v>
      </c>
      <c r="N22" s="365">
        <v>50</v>
      </c>
      <c r="O22" s="525">
        <f t="shared" si="0"/>
        <v>50</v>
      </c>
      <c r="P22" s="525">
        <v>50</v>
      </c>
      <c r="Q22" s="758">
        <f t="shared" si="1"/>
        <v>0</v>
      </c>
    </row>
    <row r="23" spans="1:17" s="40" customFormat="1" ht="12.75" x14ac:dyDescent="0.2">
      <c r="A23" s="425"/>
      <c r="B23" s="379" t="s">
        <v>242</v>
      </c>
      <c r="C23" s="365">
        <v>266</v>
      </c>
      <c r="D23" s="365">
        <v>266</v>
      </c>
      <c r="E23" s="365">
        <v>266</v>
      </c>
      <c r="F23" s="365">
        <v>266</v>
      </c>
      <c r="G23" s="365">
        <v>266</v>
      </c>
      <c r="H23" s="365">
        <v>266</v>
      </c>
      <c r="I23" s="365">
        <v>266</v>
      </c>
      <c r="J23" s="365">
        <v>266</v>
      </c>
      <c r="K23" s="365">
        <v>266</v>
      </c>
      <c r="L23" s="365">
        <v>266</v>
      </c>
      <c r="M23" s="365">
        <v>266</v>
      </c>
      <c r="N23" s="365">
        <v>266</v>
      </c>
      <c r="O23" s="525">
        <f t="shared" si="0"/>
        <v>266</v>
      </c>
      <c r="P23" s="525">
        <v>266</v>
      </c>
      <c r="Q23" s="758">
        <f t="shared" si="1"/>
        <v>0</v>
      </c>
    </row>
    <row r="24" spans="1:17" s="40" customFormat="1" ht="12.75" x14ac:dyDescent="0.2">
      <c r="A24" s="425"/>
      <c r="B24" s="379" t="s">
        <v>249</v>
      </c>
      <c r="C24" s="365">
        <v>50</v>
      </c>
      <c r="D24" s="365">
        <v>50</v>
      </c>
      <c r="E24" s="365">
        <v>50</v>
      </c>
      <c r="F24" s="365">
        <v>50</v>
      </c>
      <c r="G24" s="365">
        <v>50</v>
      </c>
      <c r="H24" s="365">
        <v>50</v>
      </c>
      <c r="I24" s="365">
        <v>50</v>
      </c>
      <c r="J24" s="365">
        <v>50</v>
      </c>
      <c r="K24" s="365">
        <v>50</v>
      </c>
      <c r="L24" s="365">
        <v>50</v>
      </c>
      <c r="M24" s="365">
        <v>50</v>
      </c>
      <c r="N24" s="365">
        <v>50</v>
      </c>
      <c r="O24" s="525">
        <f t="shared" si="0"/>
        <v>50</v>
      </c>
      <c r="P24" s="525">
        <v>50</v>
      </c>
      <c r="Q24" s="758">
        <f t="shared" si="1"/>
        <v>0</v>
      </c>
    </row>
    <row r="25" spans="1:17" s="40" customFormat="1" ht="12.75" x14ac:dyDescent="0.2">
      <c r="A25" s="425"/>
      <c r="B25" s="379" t="s">
        <v>246</v>
      </c>
      <c r="C25" s="365">
        <v>30</v>
      </c>
      <c r="D25" s="365">
        <v>30</v>
      </c>
      <c r="E25" s="365">
        <v>30</v>
      </c>
      <c r="F25" s="365">
        <v>30</v>
      </c>
      <c r="G25" s="365">
        <v>30</v>
      </c>
      <c r="H25" s="365">
        <v>30</v>
      </c>
      <c r="I25" s="365">
        <v>30</v>
      </c>
      <c r="J25" s="365">
        <v>30</v>
      </c>
      <c r="K25" s="365">
        <v>30</v>
      </c>
      <c r="L25" s="365">
        <v>30</v>
      </c>
      <c r="M25" s="365">
        <v>30</v>
      </c>
      <c r="N25" s="365">
        <v>30</v>
      </c>
      <c r="O25" s="525">
        <f t="shared" si="0"/>
        <v>30</v>
      </c>
      <c r="P25" s="525">
        <v>30</v>
      </c>
      <c r="Q25" s="758">
        <f t="shared" si="1"/>
        <v>0</v>
      </c>
    </row>
    <row r="26" spans="1:17" s="40" customFormat="1" ht="12.75" x14ac:dyDescent="0.2">
      <c r="A26" s="425"/>
      <c r="B26" s="379" t="s">
        <v>405</v>
      </c>
      <c r="C26" s="365">
        <v>50</v>
      </c>
      <c r="D26" s="365">
        <v>50</v>
      </c>
      <c r="E26" s="365">
        <v>50</v>
      </c>
      <c r="F26" s="365">
        <v>50</v>
      </c>
      <c r="G26" s="365">
        <v>50</v>
      </c>
      <c r="H26" s="365">
        <v>50</v>
      </c>
      <c r="I26" s="365">
        <v>50</v>
      </c>
      <c r="J26" s="365">
        <v>50</v>
      </c>
      <c r="K26" s="365">
        <v>50</v>
      </c>
      <c r="L26" s="365">
        <v>50</v>
      </c>
      <c r="M26" s="365">
        <v>50</v>
      </c>
      <c r="N26" s="365">
        <v>50</v>
      </c>
      <c r="O26" s="525">
        <f t="shared" si="0"/>
        <v>50</v>
      </c>
      <c r="P26" s="525">
        <v>50</v>
      </c>
      <c r="Q26" s="758">
        <f t="shared" si="1"/>
        <v>0</v>
      </c>
    </row>
    <row r="27" spans="1:17" s="40" customFormat="1" ht="12.75" x14ac:dyDescent="0.2">
      <c r="A27" s="425"/>
      <c r="B27" s="379" t="s">
        <v>247</v>
      </c>
      <c r="C27" s="365">
        <v>94</v>
      </c>
      <c r="D27" s="365">
        <v>94</v>
      </c>
      <c r="E27" s="365">
        <v>94</v>
      </c>
      <c r="F27" s="365">
        <v>94</v>
      </c>
      <c r="G27" s="365">
        <v>94</v>
      </c>
      <c r="H27" s="365">
        <v>94</v>
      </c>
      <c r="I27" s="365">
        <v>94</v>
      </c>
      <c r="J27" s="365">
        <v>94</v>
      </c>
      <c r="K27" s="365">
        <v>94</v>
      </c>
      <c r="L27" s="365">
        <v>94</v>
      </c>
      <c r="M27" s="365">
        <v>94</v>
      </c>
      <c r="N27" s="365">
        <v>94</v>
      </c>
      <c r="O27" s="525">
        <f t="shared" si="0"/>
        <v>94</v>
      </c>
      <c r="P27" s="525">
        <v>94</v>
      </c>
      <c r="Q27" s="758">
        <f t="shared" si="1"/>
        <v>0</v>
      </c>
    </row>
    <row r="28" spans="1:17" s="40" customFormat="1" ht="12.75" x14ac:dyDescent="0.2">
      <c r="A28" s="425"/>
      <c r="B28" s="379" t="s">
        <v>248</v>
      </c>
      <c r="C28" s="365">
        <v>5</v>
      </c>
      <c r="D28" s="365">
        <v>5</v>
      </c>
      <c r="E28" s="365">
        <v>5</v>
      </c>
      <c r="F28" s="365">
        <v>5</v>
      </c>
      <c r="G28" s="365">
        <v>5</v>
      </c>
      <c r="H28" s="365">
        <v>5</v>
      </c>
      <c r="I28" s="365">
        <v>5</v>
      </c>
      <c r="J28" s="365">
        <v>5</v>
      </c>
      <c r="K28" s="365">
        <v>5</v>
      </c>
      <c r="L28" s="365">
        <v>5</v>
      </c>
      <c r="M28" s="365">
        <v>5</v>
      </c>
      <c r="N28" s="365">
        <v>5</v>
      </c>
      <c r="O28" s="525">
        <f t="shared" si="0"/>
        <v>5</v>
      </c>
      <c r="P28" s="525">
        <v>5</v>
      </c>
      <c r="Q28" s="758">
        <f t="shared" si="1"/>
        <v>0</v>
      </c>
    </row>
    <row r="29" spans="1:17" s="40" customFormat="1" ht="12.75" x14ac:dyDescent="0.2">
      <c r="A29" s="425"/>
      <c r="B29" s="379" t="s">
        <v>275</v>
      </c>
      <c r="C29" s="365">
        <v>100</v>
      </c>
      <c r="D29" s="365">
        <v>100</v>
      </c>
      <c r="E29" s="365">
        <v>100</v>
      </c>
      <c r="F29" s="365">
        <v>100</v>
      </c>
      <c r="G29" s="365">
        <v>100</v>
      </c>
      <c r="H29" s="365">
        <v>100</v>
      </c>
      <c r="I29" s="365">
        <v>100</v>
      </c>
      <c r="J29" s="365">
        <v>100</v>
      </c>
      <c r="K29" s="365">
        <v>100</v>
      </c>
      <c r="L29" s="365">
        <v>100</v>
      </c>
      <c r="M29" s="365">
        <v>100</v>
      </c>
      <c r="N29" s="365">
        <v>100</v>
      </c>
      <c r="O29" s="525">
        <f t="shared" si="0"/>
        <v>100</v>
      </c>
      <c r="P29" s="525">
        <v>100</v>
      </c>
      <c r="Q29" s="758">
        <f t="shared" si="1"/>
        <v>0</v>
      </c>
    </row>
    <row r="30" spans="1:17" s="40" customFormat="1" ht="12.75" x14ac:dyDescent="0.2">
      <c r="A30" s="425"/>
      <c r="B30" s="379" t="s">
        <v>592</v>
      </c>
      <c r="C30" s="365">
        <v>5</v>
      </c>
      <c r="D30" s="365">
        <v>5</v>
      </c>
      <c r="E30" s="365">
        <v>5</v>
      </c>
      <c r="F30" s="365">
        <v>5</v>
      </c>
      <c r="G30" s="365">
        <v>5</v>
      </c>
      <c r="H30" s="365">
        <v>5</v>
      </c>
      <c r="I30" s="365">
        <v>5</v>
      </c>
      <c r="J30" s="365">
        <v>5</v>
      </c>
      <c r="K30" s="365">
        <v>5</v>
      </c>
      <c r="L30" s="365">
        <v>5</v>
      </c>
      <c r="M30" s="365">
        <v>5</v>
      </c>
      <c r="N30" s="365">
        <v>5</v>
      </c>
      <c r="O30" s="525">
        <f t="shared" si="0"/>
        <v>5</v>
      </c>
      <c r="P30" s="525">
        <v>0</v>
      </c>
      <c r="Q30" s="758">
        <f t="shared" si="1"/>
        <v>5</v>
      </c>
    </row>
    <row r="31" spans="1:17" s="40" customFormat="1" ht="12.75" x14ac:dyDescent="0.2">
      <c r="A31" s="425"/>
      <c r="B31" s="379" t="s">
        <v>592</v>
      </c>
      <c r="C31" s="365">
        <v>5</v>
      </c>
      <c r="D31" s="365">
        <v>5</v>
      </c>
      <c r="E31" s="365">
        <v>5</v>
      </c>
      <c r="F31" s="365">
        <v>5</v>
      </c>
      <c r="G31" s="365">
        <v>5</v>
      </c>
      <c r="H31" s="365">
        <v>5</v>
      </c>
      <c r="I31" s="365">
        <v>5</v>
      </c>
      <c r="J31" s="365">
        <v>5</v>
      </c>
      <c r="K31" s="365">
        <v>5</v>
      </c>
      <c r="L31" s="365">
        <v>5</v>
      </c>
      <c r="M31" s="365">
        <v>5</v>
      </c>
      <c r="N31" s="365">
        <v>5</v>
      </c>
      <c r="O31" s="525">
        <f t="shared" si="0"/>
        <v>5</v>
      </c>
      <c r="P31" s="525">
        <v>0</v>
      </c>
      <c r="Q31" s="758">
        <f t="shared" si="1"/>
        <v>5</v>
      </c>
    </row>
    <row r="32" spans="1:17" s="40" customFormat="1" ht="12.75" x14ac:dyDescent="0.2">
      <c r="A32" s="425"/>
      <c r="B32" s="379" t="s">
        <v>260</v>
      </c>
      <c r="C32" s="365">
        <v>137</v>
      </c>
      <c r="D32" s="365">
        <v>137</v>
      </c>
      <c r="E32" s="365">
        <v>137</v>
      </c>
      <c r="F32" s="365">
        <v>137</v>
      </c>
      <c r="G32" s="365">
        <v>137</v>
      </c>
      <c r="H32" s="365">
        <v>137</v>
      </c>
      <c r="I32" s="365">
        <v>137</v>
      </c>
      <c r="J32" s="365">
        <v>137</v>
      </c>
      <c r="K32" s="365">
        <v>137</v>
      </c>
      <c r="L32" s="365">
        <v>137</v>
      </c>
      <c r="M32" s="365">
        <v>137</v>
      </c>
      <c r="N32" s="365">
        <v>137</v>
      </c>
      <c r="O32" s="525">
        <f t="shared" si="0"/>
        <v>137</v>
      </c>
      <c r="P32" s="525">
        <v>137</v>
      </c>
      <c r="Q32" s="758">
        <f t="shared" si="1"/>
        <v>0</v>
      </c>
    </row>
    <row r="33" spans="1:17" s="40" customFormat="1" ht="12.75" x14ac:dyDescent="0.2">
      <c r="A33" s="425"/>
      <c r="B33" s="379" t="s">
        <v>259</v>
      </c>
      <c r="C33" s="365">
        <v>154</v>
      </c>
      <c r="D33" s="365">
        <v>154</v>
      </c>
      <c r="E33" s="365">
        <v>154</v>
      </c>
      <c r="F33" s="365">
        <v>154</v>
      </c>
      <c r="G33" s="365">
        <v>154</v>
      </c>
      <c r="H33" s="365">
        <v>154</v>
      </c>
      <c r="I33" s="365">
        <v>154</v>
      </c>
      <c r="J33" s="365">
        <v>154</v>
      </c>
      <c r="K33" s="365">
        <v>154</v>
      </c>
      <c r="L33" s="365">
        <v>154</v>
      </c>
      <c r="M33" s="365">
        <v>154</v>
      </c>
      <c r="N33" s="365">
        <v>154</v>
      </c>
      <c r="O33" s="525">
        <f t="shared" si="0"/>
        <v>154</v>
      </c>
      <c r="P33" s="525">
        <v>154</v>
      </c>
      <c r="Q33" s="758">
        <f t="shared" si="1"/>
        <v>0</v>
      </c>
    </row>
    <row r="34" spans="1:17" s="40" customFormat="1" ht="12.75" x14ac:dyDescent="0.2">
      <c r="A34" s="425"/>
      <c r="B34" s="379" t="s">
        <v>256</v>
      </c>
      <c r="C34" s="365">
        <v>200</v>
      </c>
      <c r="D34" s="365">
        <v>200</v>
      </c>
      <c r="E34" s="365">
        <v>200</v>
      </c>
      <c r="F34" s="365">
        <v>200</v>
      </c>
      <c r="G34" s="365">
        <v>200</v>
      </c>
      <c r="H34" s="365">
        <v>200</v>
      </c>
      <c r="I34" s="365">
        <v>200</v>
      </c>
      <c r="J34" s="365">
        <v>200</v>
      </c>
      <c r="K34" s="365">
        <v>200</v>
      </c>
      <c r="L34" s="365">
        <v>200</v>
      </c>
      <c r="M34" s="365">
        <v>200</v>
      </c>
      <c r="N34" s="365">
        <v>200</v>
      </c>
      <c r="O34" s="525">
        <f t="shared" si="0"/>
        <v>200</v>
      </c>
      <c r="P34" s="525">
        <v>200</v>
      </c>
      <c r="Q34" s="758">
        <f t="shared" si="1"/>
        <v>0</v>
      </c>
    </row>
    <row r="35" spans="1:17" s="40" customFormat="1" ht="12.75" x14ac:dyDescent="0.2">
      <c r="A35" s="425"/>
      <c r="B35" s="379" t="s">
        <v>257</v>
      </c>
      <c r="C35" s="365">
        <v>50</v>
      </c>
      <c r="D35" s="365">
        <v>50</v>
      </c>
      <c r="E35" s="365">
        <v>50</v>
      </c>
      <c r="F35" s="365">
        <v>50</v>
      </c>
      <c r="G35" s="365">
        <v>50</v>
      </c>
      <c r="H35" s="365">
        <v>50</v>
      </c>
      <c r="I35" s="365">
        <v>50</v>
      </c>
      <c r="J35" s="365">
        <v>50</v>
      </c>
      <c r="K35" s="365">
        <v>50</v>
      </c>
      <c r="L35" s="365">
        <v>50</v>
      </c>
      <c r="M35" s="365">
        <v>50</v>
      </c>
      <c r="N35" s="365">
        <v>50</v>
      </c>
      <c r="O35" s="525">
        <f t="shared" si="0"/>
        <v>50</v>
      </c>
      <c r="P35" s="525">
        <v>50</v>
      </c>
      <c r="Q35" s="758">
        <f t="shared" si="1"/>
        <v>0</v>
      </c>
    </row>
    <row r="36" spans="1:17" s="40" customFormat="1" ht="12.75" x14ac:dyDescent="0.2">
      <c r="A36" s="425"/>
      <c r="B36" s="379" t="s">
        <v>258</v>
      </c>
      <c r="C36" s="365">
        <v>90</v>
      </c>
      <c r="D36" s="365">
        <v>90</v>
      </c>
      <c r="E36" s="365">
        <v>90</v>
      </c>
      <c r="F36" s="365">
        <v>90</v>
      </c>
      <c r="G36" s="365">
        <v>90</v>
      </c>
      <c r="H36" s="365">
        <v>90</v>
      </c>
      <c r="I36" s="365">
        <v>90</v>
      </c>
      <c r="J36" s="365">
        <v>90</v>
      </c>
      <c r="K36" s="365">
        <v>90</v>
      </c>
      <c r="L36" s="365">
        <v>90</v>
      </c>
      <c r="M36" s="365">
        <v>90</v>
      </c>
      <c r="N36" s="365">
        <v>90</v>
      </c>
      <c r="O36" s="525">
        <f t="shared" si="0"/>
        <v>90</v>
      </c>
      <c r="P36" s="525">
        <v>90</v>
      </c>
      <c r="Q36" s="758">
        <f t="shared" si="1"/>
        <v>0</v>
      </c>
    </row>
    <row r="37" spans="1:17" s="40" customFormat="1" ht="12.75" x14ac:dyDescent="0.2">
      <c r="A37" s="425"/>
      <c r="B37" s="379" t="s">
        <v>255</v>
      </c>
      <c r="C37" s="365">
        <v>50</v>
      </c>
      <c r="D37" s="365">
        <v>50</v>
      </c>
      <c r="E37" s="365">
        <v>50</v>
      </c>
      <c r="F37" s="365">
        <v>50</v>
      </c>
      <c r="G37" s="365">
        <v>50</v>
      </c>
      <c r="H37" s="365">
        <v>50</v>
      </c>
      <c r="I37" s="365">
        <v>50</v>
      </c>
      <c r="J37" s="365">
        <v>50</v>
      </c>
      <c r="K37" s="365">
        <v>50</v>
      </c>
      <c r="L37" s="365">
        <v>50</v>
      </c>
      <c r="M37" s="365">
        <v>50</v>
      </c>
      <c r="N37" s="365">
        <v>50</v>
      </c>
      <c r="O37" s="525">
        <f t="shared" si="0"/>
        <v>50</v>
      </c>
      <c r="P37" s="525">
        <v>50</v>
      </c>
      <c r="Q37" s="758">
        <f t="shared" si="1"/>
        <v>0</v>
      </c>
    </row>
    <row r="38" spans="1:17" s="40" customFormat="1" ht="12.75" x14ac:dyDescent="0.2">
      <c r="A38" s="425"/>
      <c r="B38" s="379" t="s">
        <v>254</v>
      </c>
      <c r="C38" s="365">
        <v>250</v>
      </c>
      <c r="D38" s="365">
        <v>250</v>
      </c>
      <c r="E38" s="365">
        <v>250</v>
      </c>
      <c r="F38" s="365">
        <v>250</v>
      </c>
      <c r="G38" s="365">
        <v>250</v>
      </c>
      <c r="H38" s="365">
        <v>250</v>
      </c>
      <c r="I38" s="365">
        <v>250</v>
      </c>
      <c r="J38" s="365">
        <v>250</v>
      </c>
      <c r="K38" s="365">
        <v>250</v>
      </c>
      <c r="L38" s="365">
        <v>250</v>
      </c>
      <c r="M38" s="365">
        <v>250</v>
      </c>
      <c r="N38" s="365">
        <v>250</v>
      </c>
      <c r="O38" s="525">
        <f t="shared" si="0"/>
        <v>250</v>
      </c>
      <c r="P38" s="525">
        <v>250</v>
      </c>
      <c r="Q38" s="758">
        <f t="shared" si="1"/>
        <v>0</v>
      </c>
    </row>
    <row r="39" spans="1:17" s="40" customFormat="1" ht="12.75" x14ac:dyDescent="0.2">
      <c r="A39" s="425"/>
      <c r="B39" s="379" t="s">
        <v>254</v>
      </c>
      <c r="C39" s="365">
        <v>20</v>
      </c>
      <c r="D39" s="365">
        <v>20</v>
      </c>
      <c r="E39" s="365">
        <v>20</v>
      </c>
      <c r="F39" s="365">
        <v>20</v>
      </c>
      <c r="G39" s="365">
        <v>20</v>
      </c>
      <c r="H39" s="365">
        <v>20</v>
      </c>
      <c r="I39" s="365">
        <v>20</v>
      </c>
      <c r="J39" s="365">
        <v>20</v>
      </c>
      <c r="K39" s="365">
        <v>20</v>
      </c>
      <c r="L39" s="365">
        <v>20</v>
      </c>
      <c r="M39" s="365">
        <v>20</v>
      </c>
      <c r="N39" s="365">
        <v>20</v>
      </c>
      <c r="O39" s="525">
        <f t="shared" si="0"/>
        <v>20</v>
      </c>
      <c r="P39" s="525">
        <v>20</v>
      </c>
      <c r="Q39" s="758">
        <f t="shared" si="1"/>
        <v>0</v>
      </c>
    </row>
    <row r="40" spans="1:17" s="40" customFormat="1" ht="12.75" x14ac:dyDescent="0.2">
      <c r="A40" s="425"/>
      <c r="B40" s="379" t="s">
        <v>254</v>
      </c>
      <c r="C40" s="365">
        <v>27</v>
      </c>
      <c r="D40" s="365">
        <v>27</v>
      </c>
      <c r="E40" s="365">
        <v>27</v>
      </c>
      <c r="F40" s="365">
        <v>27</v>
      </c>
      <c r="G40" s="365">
        <v>27</v>
      </c>
      <c r="H40" s="365">
        <v>27</v>
      </c>
      <c r="I40" s="365">
        <v>27</v>
      </c>
      <c r="J40" s="365">
        <v>27</v>
      </c>
      <c r="K40" s="365">
        <v>27</v>
      </c>
      <c r="L40" s="365">
        <v>27</v>
      </c>
      <c r="M40" s="365">
        <v>27</v>
      </c>
      <c r="N40" s="365">
        <v>27</v>
      </c>
      <c r="O40" s="525">
        <f t="shared" si="0"/>
        <v>27</v>
      </c>
      <c r="P40" s="525">
        <v>27</v>
      </c>
      <c r="Q40" s="758">
        <f t="shared" si="1"/>
        <v>0</v>
      </c>
    </row>
    <row r="41" spans="1:17" s="40" customFormat="1" ht="12.75" x14ac:dyDescent="0.2">
      <c r="A41" s="425"/>
      <c r="B41" s="379" t="s">
        <v>254</v>
      </c>
      <c r="C41" s="365">
        <v>18</v>
      </c>
      <c r="D41" s="365">
        <v>18</v>
      </c>
      <c r="E41" s="365">
        <v>18</v>
      </c>
      <c r="F41" s="365">
        <v>18</v>
      </c>
      <c r="G41" s="365">
        <v>18</v>
      </c>
      <c r="H41" s="365">
        <v>18</v>
      </c>
      <c r="I41" s="365">
        <v>18</v>
      </c>
      <c r="J41" s="365">
        <v>18</v>
      </c>
      <c r="K41" s="365">
        <v>18</v>
      </c>
      <c r="L41" s="365">
        <v>18</v>
      </c>
      <c r="M41" s="365">
        <v>18</v>
      </c>
      <c r="N41" s="365">
        <v>18</v>
      </c>
      <c r="O41" s="525">
        <f t="shared" si="0"/>
        <v>18</v>
      </c>
      <c r="P41" s="525">
        <v>18</v>
      </c>
      <c r="Q41" s="758">
        <f t="shared" si="1"/>
        <v>0</v>
      </c>
    </row>
    <row r="42" spans="1:17" s="40" customFormat="1" ht="12.75" x14ac:dyDescent="0.2">
      <c r="A42" s="425"/>
      <c r="B42" s="379" t="s">
        <v>253</v>
      </c>
      <c r="C42" s="365">
        <v>293</v>
      </c>
      <c r="D42" s="365">
        <v>293</v>
      </c>
      <c r="E42" s="365">
        <v>293</v>
      </c>
      <c r="F42" s="365">
        <v>293</v>
      </c>
      <c r="G42" s="365">
        <v>293</v>
      </c>
      <c r="H42" s="365">
        <v>293</v>
      </c>
      <c r="I42" s="365">
        <v>293</v>
      </c>
      <c r="J42" s="365">
        <v>293</v>
      </c>
      <c r="K42" s="365">
        <v>293</v>
      </c>
      <c r="L42" s="365">
        <v>293</v>
      </c>
      <c r="M42" s="365">
        <v>293</v>
      </c>
      <c r="N42" s="365">
        <v>293</v>
      </c>
      <c r="O42" s="525">
        <f t="shared" si="0"/>
        <v>293</v>
      </c>
      <c r="P42" s="525">
        <v>293</v>
      </c>
      <c r="Q42" s="758">
        <f t="shared" si="1"/>
        <v>0</v>
      </c>
    </row>
    <row r="43" spans="1:17" s="40" customFormat="1" ht="12.75" x14ac:dyDescent="0.2">
      <c r="A43" s="425"/>
      <c r="B43" s="379" t="s">
        <v>253</v>
      </c>
      <c r="C43" s="365">
        <v>27</v>
      </c>
      <c r="D43" s="365">
        <v>27</v>
      </c>
      <c r="E43" s="365">
        <v>27</v>
      </c>
      <c r="F43" s="365">
        <v>27</v>
      </c>
      <c r="G43" s="365">
        <v>27</v>
      </c>
      <c r="H43" s="365">
        <v>27</v>
      </c>
      <c r="I43" s="365">
        <v>27</v>
      </c>
      <c r="J43" s="365">
        <v>27</v>
      </c>
      <c r="K43" s="365">
        <v>27</v>
      </c>
      <c r="L43" s="365">
        <v>27</v>
      </c>
      <c r="M43" s="365">
        <v>27</v>
      </c>
      <c r="N43" s="365">
        <v>27</v>
      </c>
      <c r="O43" s="525">
        <f t="shared" si="0"/>
        <v>27</v>
      </c>
      <c r="P43" s="525">
        <v>27</v>
      </c>
      <c r="Q43" s="758">
        <f t="shared" si="1"/>
        <v>0</v>
      </c>
    </row>
    <row r="44" spans="1:17" s="40" customFormat="1" ht="12.75" x14ac:dyDescent="0.2">
      <c r="A44" s="425"/>
      <c r="B44" s="379" t="s">
        <v>252</v>
      </c>
      <c r="C44" s="365">
        <v>8</v>
      </c>
      <c r="D44" s="365">
        <v>8</v>
      </c>
      <c r="E44" s="365">
        <v>8</v>
      </c>
      <c r="F44" s="365">
        <v>8</v>
      </c>
      <c r="G44" s="365">
        <v>8</v>
      </c>
      <c r="H44" s="365">
        <v>8</v>
      </c>
      <c r="I44" s="365">
        <v>8</v>
      </c>
      <c r="J44" s="365">
        <v>8</v>
      </c>
      <c r="K44" s="365">
        <v>8</v>
      </c>
      <c r="L44" s="365">
        <v>8</v>
      </c>
      <c r="M44" s="365">
        <v>8</v>
      </c>
      <c r="N44" s="365">
        <v>8</v>
      </c>
      <c r="O44" s="525">
        <f t="shared" si="0"/>
        <v>8</v>
      </c>
      <c r="P44" s="525">
        <v>8</v>
      </c>
      <c r="Q44" s="758">
        <f t="shared" si="1"/>
        <v>0</v>
      </c>
    </row>
    <row r="45" spans="1:17" s="40" customFormat="1" ht="12.75" x14ac:dyDescent="0.2">
      <c r="A45" s="425"/>
      <c r="B45" s="379" t="s">
        <v>406</v>
      </c>
      <c r="C45" s="365">
        <v>300</v>
      </c>
      <c r="D45" s="365">
        <v>300</v>
      </c>
      <c r="E45" s="365">
        <v>300</v>
      </c>
      <c r="F45" s="365">
        <v>300</v>
      </c>
      <c r="G45" s="365">
        <v>300</v>
      </c>
      <c r="H45" s="365">
        <v>300</v>
      </c>
      <c r="I45" s="365">
        <v>300</v>
      </c>
      <c r="J45" s="365">
        <v>300</v>
      </c>
      <c r="K45" s="365">
        <v>300</v>
      </c>
      <c r="L45" s="365">
        <v>300</v>
      </c>
      <c r="M45" s="365">
        <v>300</v>
      </c>
      <c r="N45" s="365">
        <v>300</v>
      </c>
      <c r="O45" s="525">
        <f t="shared" si="0"/>
        <v>300</v>
      </c>
      <c r="P45" s="525">
        <v>300</v>
      </c>
      <c r="Q45" s="758">
        <f t="shared" si="1"/>
        <v>0</v>
      </c>
    </row>
    <row r="46" spans="1:17" s="40" customFormat="1" ht="12.75" x14ac:dyDescent="0.2">
      <c r="A46" s="425"/>
      <c r="B46" s="379" t="s">
        <v>407</v>
      </c>
      <c r="C46" s="365">
        <v>300</v>
      </c>
      <c r="D46" s="365">
        <v>300</v>
      </c>
      <c r="E46" s="365">
        <v>300</v>
      </c>
      <c r="F46" s="365">
        <v>300</v>
      </c>
      <c r="G46" s="365">
        <v>300</v>
      </c>
      <c r="H46" s="365">
        <v>300</v>
      </c>
      <c r="I46" s="365">
        <v>300</v>
      </c>
      <c r="J46" s="365">
        <v>300</v>
      </c>
      <c r="K46" s="365">
        <v>300</v>
      </c>
      <c r="L46" s="365">
        <v>300</v>
      </c>
      <c r="M46" s="365">
        <v>300</v>
      </c>
      <c r="N46" s="365">
        <v>300</v>
      </c>
      <c r="O46" s="525">
        <f t="shared" si="0"/>
        <v>300</v>
      </c>
      <c r="P46" s="525">
        <v>300</v>
      </c>
      <c r="Q46" s="758">
        <f t="shared" si="1"/>
        <v>0</v>
      </c>
    </row>
    <row r="47" spans="1:17" s="40" customFormat="1" ht="12.75" x14ac:dyDescent="0.2">
      <c r="A47" s="425"/>
      <c r="B47" s="379" t="s">
        <v>283</v>
      </c>
      <c r="C47" s="365">
        <v>663</v>
      </c>
      <c r="D47" s="365">
        <v>663</v>
      </c>
      <c r="E47" s="365">
        <v>663</v>
      </c>
      <c r="F47" s="365">
        <v>663</v>
      </c>
      <c r="G47" s="365">
        <v>663</v>
      </c>
      <c r="H47" s="365">
        <v>663</v>
      </c>
      <c r="I47" s="365">
        <v>663</v>
      </c>
      <c r="J47" s="365">
        <v>663</v>
      </c>
      <c r="K47" s="365">
        <v>663</v>
      </c>
      <c r="L47" s="365">
        <v>663</v>
      </c>
      <c r="M47" s="365">
        <v>663</v>
      </c>
      <c r="N47" s="365">
        <v>663</v>
      </c>
      <c r="O47" s="525">
        <f t="shared" si="0"/>
        <v>663</v>
      </c>
      <c r="P47" s="525">
        <v>663</v>
      </c>
      <c r="Q47" s="758">
        <f t="shared" si="1"/>
        <v>0</v>
      </c>
    </row>
    <row r="48" spans="1:17" s="428" customFormat="1" ht="13.5" thickBot="1" x14ac:dyDescent="0.25">
      <c r="A48" s="425"/>
      <c r="B48" s="509" t="s">
        <v>340</v>
      </c>
      <c r="C48" s="426">
        <f t="shared" ref="C48:N48" si="2">SUM(C8:C47)</f>
        <v>4907</v>
      </c>
      <c r="D48" s="426">
        <f t="shared" si="2"/>
        <v>5062</v>
      </c>
      <c r="E48" s="426">
        <f t="shared" si="2"/>
        <v>4907</v>
      </c>
      <c r="F48" s="426">
        <f t="shared" si="2"/>
        <v>4907</v>
      </c>
      <c r="G48" s="426">
        <f t="shared" si="2"/>
        <v>4907</v>
      </c>
      <c r="H48" s="426">
        <f t="shared" si="2"/>
        <v>4907</v>
      </c>
      <c r="I48" s="426">
        <f t="shared" si="2"/>
        <v>4907</v>
      </c>
      <c r="J48" s="426">
        <f t="shared" si="2"/>
        <v>4907</v>
      </c>
      <c r="K48" s="426">
        <f t="shared" si="2"/>
        <v>4907</v>
      </c>
      <c r="L48" s="426">
        <f t="shared" si="2"/>
        <v>4907</v>
      </c>
      <c r="M48" s="426">
        <f t="shared" si="2"/>
        <v>4907</v>
      </c>
      <c r="N48" s="426">
        <f t="shared" si="2"/>
        <v>4907</v>
      </c>
      <c r="O48" s="526">
        <f>SUM(O8:O47)</f>
        <v>4919.916666666667</v>
      </c>
      <c r="P48" s="526">
        <f>SUM(P8:P47)</f>
        <v>4897</v>
      </c>
      <c r="Q48" s="759">
        <f t="shared" si="1"/>
        <v>22.91666666666697</v>
      </c>
    </row>
    <row r="49" spans="1:17" s="428" customFormat="1" ht="13.5" thickTop="1" x14ac:dyDescent="0.2">
      <c r="A49" s="425"/>
      <c r="B49" s="66"/>
      <c r="C49" s="427"/>
      <c r="D49" s="427"/>
      <c r="E49" s="427"/>
      <c r="F49" s="427"/>
      <c r="G49" s="427"/>
      <c r="H49" s="427"/>
      <c r="I49" s="427"/>
      <c r="J49" s="429"/>
      <c r="K49" s="429"/>
      <c r="L49" s="429"/>
      <c r="M49" s="429"/>
      <c r="N49" s="429"/>
      <c r="O49" s="527"/>
      <c r="P49" s="527"/>
      <c r="Q49" s="760"/>
    </row>
    <row r="50" spans="1:17" s="428" customFormat="1" ht="12.75" x14ac:dyDescent="0.2">
      <c r="A50" s="510" t="s">
        <v>37</v>
      </c>
      <c r="B50" s="365"/>
      <c r="C50" s="430"/>
      <c r="D50" s="430"/>
      <c r="E50" s="430"/>
      <c r="F50" s="430"/>
      <c r="G50" s="430"/>
      <c r="H50" s="430"/>
      <c r="I50" s="430"/>
      <c r="J50" s="429"/>
      <c r="K50" s="429"/>
      <c r="L50" s="429"/>
      <c r="M50" s="429"/>
      <c r="N50" s="429"/>
      <c r="O50" s="527"/>
      <c r="P50" s="527"/>
      <c r="Q50" s="760"/>
    </row>
    <row r="51" spans="1:17" s="40" customFormat="1" ht="14.1" customHeight="1" x14ac:dyDescent="0.2">
      <c r="A51" s="425"/>
      <c r="B51" s="431" t="s">
        <v>233</v>
      </c>
      <c r="C51" s="432">
        <v>1.6479999999999999</v>
      </c>
      <c r="D51" s="432">
        <v>1.6479999999999999</v>
      </c>
      <c r="E51" s="432">
        <v>1.6479999999999999</v>
      </c>
      <c r="F51" s="432">
        <v>1.6479999999999999</v>
      </c>
      <c r="G51" s="432">
        <v>1.6479999999999999</v>
      </c>
      <c r="H51" s="432">
        <v>1.6479999999999999</v>
      </c>
      <c r="I51" s="432">
        <v>1.6479999999999999</v>
      </c>
      <c r="J51" s="432">
        <v>1.6479999999999999</v>
      </c>
      <c r="K51" s="432">
        <v>1.6479999999999999</v>
      </c>
      <c r="L51" s="432">
        <v>1.7307295999999999</v>
      </c>
      <c r="M51" s="432">
        <v>1.7307295999999999</v>
      </c>
      <c r="N51" s="432">
        <v>1.7307295999999999</v>
      </c>
      <c r="O51" s="528">
        <f>AVERAGE(C51:N51)</f>
        <v>1.6686823999999998</v>
      </c>
      <c r="P51" s="528">
        <v>1.563666666666667</v>
      </c>
      <c r="Q51" s="761">
        <f t="shared" ref="Q51:Q62" si="3">O51-P51</f>
        <v>0.10501573333333281</v>
      </c>
    </row>
    <row r="52" spans="1:17" s="40" customFormat="1" ht="12.75" x14ac:dyDescent="0.2">
      <c r="A52" s="425"/>
      <c r="B52" s="378" t="s">
        <v>234</v>
      </c>
      <c r="C52" s="433">
        <v>0.316</v>
      </c>
      <c r="D52" s="433">
        <v>0.316</v>
      </c>
      <c r="E52" s="433">
        <v>0.316</v>
      </c>
      <c r="F52" s="433">
        <v>0.316</v>
      </c>
      <c r="G52" s="433">
        <v>0.316</v>
      </c>
      <c r="H52" s="433">
        <v>0.316</v>
      </c>
      <c r="I52" s="433">
        <v>0.316</v>
      </c>
      <c r="J52" s="433">
        <v>0.316</v>
      </c>
      <c r="K52" s="433">
        <v>0.316</v>
      </c>
      <c r="L52" s="433">
        <v>0.33186320000000002</v>
      </c>
      <c r="M52" s="433">
        <v>0.33186320000000002</v>
      </c>
      <c r="N52" s="433">
        <v>0.33186320000000002</v>
      </c>
      <c r="O52" s="529">
        <f>AVERAGE(C52:N52)</f>
        <v>0.31996579999999997</v>
      </c>
      <c r="P52" s="529">
        <v>0.31899999999999995</v>
      </c>
      <c r="Q52" s="762">
        <f t="shared" si="3"/>
        <v>9.6580000000001665E-4</v>
      </c>
    </row>
    <row r="53" spans="1:17" s="40" customFormat="1" ht="12.75" x14ac:dyDescent="0.2">
      <c r="A53" s="425"/>
      <c r="B53" s="378" t="s">
        <v>497</v>
      </c>
      <c r="C53" s="433">
        <v>11.05</v>
      </c>
      <c r="D53" s="433">
        <v>11.05</v>
      </c>
      <c r="E53" s="433">
        <v>11.05</v>
      </c>
      <c r="F53" s="433">
        <v>11.05</v>
      </c>
      <c r="G53" s="433">
        <v>11.05</v>
      </c>
      <c r="H53" s="433">
        <v>11.05</v>
      </c>
      <c r="I53" s="433">
        <v>11.05</v>
      </c>
      <c r="J53" s="433">
        <v>11.05</v>
      </c>
      <c r="K53" s="433">
        <v>11.05</v>
      </c>
      <c r="L53" s="433">
        <v>11.604710000000001</v>
      </c>
      <c r="M53" s="433">
        <v>11.604710000000001</v>
      </c>
      <c r="N53" s="433">
        <v>11.604710000000001</v>
      </c>
      <c r="O53" s="529">
        <f>AVERAGE(C53:N53)</f>
        <v>11.188677499999999</v>
      </c>
      <c r="P53" s="529">
        <v>9.1566666666666663</v>
      </c>
      <c r="Q53" s="762">
        <f t="shared" si="3"/>
        <v>2.0320108333333327</v>
      </c>
    </row>
    <row r="54" spans="1:17" s="40" customFormat="1" ht="12.75" x14ac:dyDescent="0.2">
      <c r="A54" s="425"/>
      <c r="B54" s="378" t="s">
        <v>498</v>
      </c>
      <c r="C54" s="433">
        <v>7.22</v>
      </c>
      <c r="D54" s="433">
        <v>7.22</v>
      </c>
      <c r="E54" s="433">
        <v>7.22</v>
      </c>
      <c r="F54" s="433">
        <v>7.22</v>
      </c>
      <c r="G54" s="433">
        <v>7.22</v>
      </c>
      <c r="H54" s="433">
        <v>7.22</v>
      </c>
      <c r="I54" s="433">
        <v>7.22</v>
      </c>
      <c r="J54" s="433">
        <v>7.22</v>
      </c>
      <c r="K54" s="433">
        <v>7.22</v>
      </c>
      <c r="L54" s="433">
        <v>7.5824439999999997</v>
      </c>
      <c r="M54" s="433">
        <v>7.5824439999999997</v>
      </c>
      <c r="N54" s="433">
        <v>7.5824439999999997</v>
      </c>
      <c r="O54" s="529">
        <f>AVERAGE(C54:N54)</f>
        <v>7.3106109999999989</v>
      </c>
      <c r="P54" s="529">
        <v>8.0733333333333359</v>
      </c>
      <c r="Q54" s="762">
        <f t="shared" si="3"/>
        <v>-0.76272233333333705</v>
      </c>
    </row>
    <row r="55" spans="1:17" s="40" customFormat="1" ht="14.85" customHeight="1" x14ac:dyDescent="0.2">
      <c r="A55" s="425"/>
      <c r="B55" s="378" t="s">
        <v>235</v>
      </c>
      <c r="C55" s="433">
        <v>0.98099999999999998</v>
      </c>
      <c r="D55" s="433">
        <v>0.98099999999999998</v>
      </c>
      <c r="E55" s="433">
        <v>0.98099999999999998</v>
      </c>
      <c r="F55" s="433">
        <v>0.98099999999999998</v>
      </c>
      <c r="G55" s="433">
        <v>0.98099999999999998</v>
      </c>
      <c r="H55" s="433">
        <v>0.98099999999999998</v>
      </c>
      <c r="I55" s="433">
        <v>0.98099999999999998</v>
      </c>
      <c r="J55" s="433">
        <v>0.98099999999999998</v>
      </c>
      <c r="K55" s="433">
        <v>0.98099999999999998</v>
      </c>
      <c r="L55" s="433">
        <v>1.0302462000000001</v>
      </c>
      <c r="M55" s="433">
        <v>1.0302462000000001</v>
      </c>
      <c r="N55" s="433">
        <v>1.0302462000000001</v>
      </c>
      <c r="O55" s="529">
        <f>AVERAGE(C55:N55)</f>
        <v>0.99331155000000015</v>
      </c>
      <c r="P55" s="529">
        <v>0.65333333333333321</v>
      </c>
      <c r="Q55" s="762">
        <f t="shared" si="3"/>
        <v>0.33997821666666694</v>
      </c>
    </row>
    <row r="56" spans="1:17" s="40" customFormat="1" ht="12.75" x14ac:dyDescent="0.2">
      <c r="A56" s="425"/>
      <c r="B56" s="378" t="s">
        <v>236</v>
      </c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529"/>
      <c r="P56" s="529">
        <v>0.4</v>
      </c>
      <c r="Q56" s="762">
        <f t="shared" si="3"/>
        <v>-0.4</v>
      </c>
    </row>
    <row r="57" spans="1:17" s="40" customFormat="1" ht="12.75" x14ac:dyDescent="0.2">
      <c r="A57" s="425"/>
      <c r="B57" s="378" t="s">
        <v>237</v>
      </c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529"/>
      <c r="P57" s="530">
        <v>0.43</v>
      </c>
      <c r="Q57" s="762">
        <f t="shared" si="3"/>
        <v>-0.43</v>
      </c>
    </row>
    <row r="58" spans="1:17" s="40" customFormat="1" ht="12.75" x14ac:dyDescent="0.2">
      <c r="A58" s="425"/>
      <c r="B58" s="378" t="s">
        <v>408</v>
      </c>
      <c r="C58" s="412">
        <v>0.26779999999999998</v>
      </c>
      <c r="D58" s="412">
        <v>0.26779999999999998</v>
      </c>
      <c r="E58" s="412">
        <v>0.26779999999999998</v>
      </c>
      <c r="F58" s="412">
        <v>0.26779999999999998</v>
      </c>
      <c r="G58" s="412">
        <v>0.26779999999999998</v>
      </c>
      <c r="H58" s="412">
        <v>0.26779999999999998</v>
      </c>
      <c r="I58" s="412">
        <v>0.26779999999999998</v>
      </c>
      <c r="J58" s="412">
        <v>0.26779999999999998</v>
      </c>
      <c r="K58" s="412">
        <v>0.26779999999999998</v>
      </c>
      <c r="L58" s="412">
        <v>0.26779999999999998</v>
      </c>
      <c r="M58" s="412">
        <v>0.26779999999999998</v>
      </c>
      <c r="N58" s="412">
        <v>0.26779999999999998</v>
      </c>
      <c r="O58" s="530">
        <f>AVERAGE(C58:N58)</f>
        <v>0.26779999999999993</v>
      </c>
      <c r="P58" s="530">
        <v>0.26779999999999993</v>
      </c>
      <c r="Q58" s="763">
        <f t="shared" si="3"/>
        <v>0</v>
      </c>
    </row>
    <row r="59" spans="1:17" s="40" customFormat="1" ht="12.75" x14ac:dyDescent="0.2">
      <c r="A59" s="425"/>
      <c r="B59" s="378" t="s">
        <v>409</v>
      </c>
      <c r="C59" s="433">
        <v>1.1499999999999999</v>
      </c>
      <c r="D59" s="433">
        <v>1.1499999999999999</v>
      </c>
      <c r="E59" s="433">
        <v>1.1499999999999999</v>
      </c>
      <c r="F59" s="433">
        <v>1.1499999999999999</v>
      </c>
      <c r="G59" s="433">
        <v>1.1499999999999999</v>
      </c>
      <c r="H59" s="433">
        <v>1.1499999999999999</v>
      </c>
      <c r="I59" s="433">
        <v>1.1499999999999999</v>
      </c>
      <c r="J59" s="433">
        <v>1.1499999999999999</v>
      </c>
      <c r="K59" s="433">
        <v>1.1499999999999999</v>
      </c>
      <c r="L59" s="433">
        <v>1.1499999999999999</v>
      </c>
      <c r="M59" s="433">
        <v>1.1499999999999999</v>
      </c>
      <c r="N59" s="433">
        <v>1.1499999999999999</v>
      </c>
      <c r="O59" s="529">
        <f>AVERAGE(C59:N59)</f>
        <v>1.1500000000000001</v>
      </c>
      <c r="P59" s="529">
        <v>1.1500000000000001</v>
      </c>
      <c r="Q59" s="762">
        <f t="shared" si="3"/>
        <v>0</v>
      </c>
    </row>
    <row r="60" spans="1:17" s="40" customFormat="1" ht="12.75" x14ac:dyDescent="0.2">
      <c r="A60" s="425"/>
      <c r="B60" s="378" t="s">
        <v>504</v>
      </c>
      <c r="C60" s="433">
        <v>0.32849999999999996</v>
      </c>
      <c r="D60" s="433">
        <v>0.32849999999999996</v>
      </c>
      <c r="E60" s="433">
        <v>0.32849999999999996</v>
      </c>
      <c r="F60" s="433">
        <v>0.32849999999999996</v>
      </c>
      <c r="G60" s="433">
        <v>0.32849999999999996</v>
      </c>
      <c r="H60" s="433">
        <v>0.32849999999999996</v>
      </c>
      <c r="I60" s="433">
        <v>0.32849999999999996</v>
      </c>
      <c r="J60" s="433">
        <v>0.32849999999999996</v>
      </c>
      <c r="K60" s="433">
        <v>0.32849999999999996</v>
      </c>
      <c r="L60" s="433">
        <v>0.32849999999999996</v>
      </c>
      <c r="M60" s="433">
        <v>0.32849999999999996</v>
      </c>
      <c r="N60" s="433">
        <v>0.32849999999999996</v>
      </c>
      <c r="O60" s="529">
        <f>AVERAGE(C60:N60)</f>
        <v>0.32849999999999996</v>
      </c>
      <c r="P60" s="529">
        <v>0.32849999999999996</v>
      </c>
      <c r="Q60" s="762">
        <f t="shared" si="3"/>
        <v>0</v>
      </c>
    </row>
    <row r="61" spans="1:17" s="40" customFormat="1" ht="12.75" x14ac:dyDescent="0.2">
      <c r="A61" s="425"/>
      <c r="B61" s="434" t="s">
        <v>499</v>
      </c>
      <c r="C61" s="433">
        <v>0.68175047038861258</v>
      </c>
      <c r="D61" s="433">
        <v>0.68959812205077753</v>
      </c>
      <c r="E61" s="433">
        <v>0.5786414205295356</v>
      </c>
      <c r="F61" s="433">
        <v>0.3417201065061079</v>
      </c>
      <c r="G61" s="433">
        <v>0.23945928519043003</v>
      </c>
      <c r="H61" s="433">
        <v>0.33176882144779174</v>
      </c>
      <c r="I61" s="433">
        <v>0.7072158644822687</v>
      </c>
      <c r="J61" s="433">
        <v>0.86622887014744043</v>
      </c>
      <c r="K61" s="433">
        <v>0.74984233092178265</v>
      </c>
      <c r="L61" s="433">
        <v>0.62529468388128251</v>
      </c>
      <c r="M61" s="433">
        <v>0.60110068144982076</v>
      </c>
      <c r="N61" s="433">
        <v>0.67599401868221598</v>
      </c>
      <c r="O61" s="529">
        <f>AVERAGE(C61:N61)</f>
        <v>0.59071788963983884</v>
      </c>
      <c r="P61" s="529">
        <v>0.50840169864361451</v>
      </c>
      <c r="Q61" s="762">
        <f t="shared" si="3"/>
        <v>8.2316190996224337E-2</v>
      </c>
    </row>
    <row r="62" spans="1:17" s="40" customFormat="1" ht="12.75" x14ac:dyDescent="0.2">
      <c r="A62" s="425"/>
      <c r="B62" s="435" t="s">
        <v>500</v>
      </c>
      <c r="C62" s="436">
        <v>0.71257399573999436</v>
      </c>
      <c r="D62" s="436">
        <v>0.5803403220160096</v>
      </c>
      <c r="E62" s="436">
        <v>0.50398450816744644</v>
      </c>
      <c r="F62" s="436">
        <v>0.32911407452221025</v>
      </c>
      <c r="G62" s="436">
        <v>0.23702708196443353</v>
      </c>
      <c r="H62" s="436">
        <v>0.31004836453940188</v>
      </c>
      <c r="I62" s="436">
        <v>0.58244180327953843</v>
      </c>
      <c r="J62" s="436">
        <v>0.81249535978310172</v>
      </c>
      <c r="K62" s="436">
        <v>0.6321446523458123</v>
      </c>
      <c r="L62" s="436">
        <v>0.69094146442314441</v>
      </c>
      <c r="M62" s="436">
        <v>0.54348243210530256</v>
      </c>
      <c r="N62" s="436">
        <v>0.66064654777004861</v>
      </c>
      <c r="O62" s="531">
        <f>AVERAGE(C62:N62)</f>
        <v>0.54960338388803709</v>
      </c>
      <c r="P62" s="531">
        <v>0.47924268287134369</v>
      </c>
      <c r="Q62" s="764">
        <f t="shared" si="3"/>
        <v>7.0360701016693394E-2</v>
      </c>
    </row>
    <row r="63" spans="1:17" s="115" customFormat="1" ht="12.75" x14ac:dyDescent="0.2">
      <c r="A63" s="345"/>
      <c r="B63" s="345"/>
      <c r="C63" s="345"/>
      <c r="D63" s="345"/>
      <c r="E63" s="345"/>
      <c r="F63" s="345"/>
      <c r="G63" s="345"/>
      <c r="H63" s="345"/>
      <c r="I63" s="345"/>
      <c r="J63" s="79"/>
      <c r="K63" s="79"/>
      <c r="L63" s="79"/>
      <c r="M63" s="79"/>
      <c r="N63" s="79"/>
      <c r="O63" s="532"/>
      <c r="P63" s="532"/>
      <c r="Q63" s="765"/>
    </row>
    <row r="64" spans="1:17" s="428" customFormat="1" ht="12.75" x14ac:dyDescent="0.2">
      <c r="A64" s="510" t="s">
        <v>209</v>
      </c>
      <c r="B64" s="365"/>
      <c r="C64" s="430"/>
      <c r="D64" s="430"/>
      <c r="E64" s="430"/>
      <c r="F64" s="430"/>
      <c r="G64" s="430"/>
      <c r="H64" s="430"/>
      <c r="I64" s="430"/>
      <c r="J64" s="430"/>
      <c r="K64" s="430"/>
      <c r="L64" s="430"/>
      <c r="M64" s="430"/>
      <c r="N64" s="430"/>
      <c r="O64" s="533"/>
      <c r="P64" s="533"/>
      <c r="Q64" s="766"/>
    </row>
    <row r="65" spans="1:17" s="334" customFormat="1" ht="12.75" x14ac:dyDescent="0.2">
      <c r="A65" s="437"/>
      <c r="B65" s="365"/>
      <c r="C65" s="322"/>
      <c r="D65" s="322"/>
      <c r="E65" s="322"/>
      <c r="F65" s="322"/>
      <c r="G65" s="322"/>
      <c r="H65" s="322"/>
      <c r="I65" s="322"/>
      <c r="J65" s="404"/>
      <c r="K65" s="404"/>
      <c r="L65" s="404"/>
      <c r="M65" s="404"/>
      <c r="N65" s="404"/>
      <c r="O65" s="524"/>
      <c r="P65" s="524"/>
      <c r="Q65" s="757"/>
    </row>
    <row r="66" spans="1:17" s="334" customFormat="1" ht="12.75" x14ac:dyDescent="0.2">
      <c r="A66" s="454">
        <v>12195</v>
      </c>
      <c r="B66" s="431" t="s">
        <v>262</v>
      </c>
      <c r="C66" s="411">
        <f t="shared" ref="C66:N66" si="4">C8+C9+C10</f>
        <v>255</v>
      </c>
      <c r="D66" s="411">
        <f t="shared" si="4"/>
        <v>410</v>
      </c>
      <c r="E66" s="411">
        <f t="shared" si="4"/>
        <v>255</v>
      </c>
      <c r="F66" s="411">
        <f t="shared" si="4"/>
        <v>255</v>
      </c>
      <c r="G66" s="411">
        <f t="shared" si="4"/>
        <v>255</v>
      </c>
      <c r="H66" s="411">
        <f t="shared" si="4"/>
        <v>255</v>
      </c>
      <c r="I66" s="411">
        <f t="shared" si="4"/>
        <v>255</v>
      </c>
      <c r="J66" s="411">
        <f t="shared" si="4"/>
        <v>255</v>
      </c>
      <c r="K66" s="411">
        <f t="shared" si="4"/>
        <v>255</v>
      </c>
      <c r="L66" s="411">
        <f t="shared" si="4"/>
        <v>255</v>
      </c>
      <c r="M66" s="411">
        <f t="shared" si="4"/>
        <v>255</v>
      </c>
      <c r="N66" s="411">
        <f t="shared" si="4"/>
        <v>255</v>
      </c>
      <c r="O66" s="534">
        <f>AVERAGE(C66:N66)</f>
        <v>267.91666666666669</v>
      </c>
      <c r="P66" s="534">
        <v>255</v>
      </c>
      <c r="Q66" s="767">
        <f>O66-P66</f>
        <v>12.916666666666686</v>
      </c>
    </row>
    <row r="67" spans="1:17" s="116" customFormat="1" ht="12.75" x14ac:dyDescent="0.2">
      <c r="A67" s="454"/>
      <c r="B67" s="438" t="s">
        <v>266</v>
      </c>
      <c r="C67" s="79">
        <f t="shared" ref="C67:N67" si="5">+C51*C66*1000</f>
        <v>420239.99999999994</v>
      </c>
      <c r="D67" s="79">
        <f t="shared" si="5"/>
        <v>675680</v>
      </c>
      <c r="E67" s="79">
        <f t="shared" si="5"/>
        <v>420239.99999999994</v>
      </c>
      <c r="F67" s="79">
        <f t="shared" si="5"/>
        <v>420239.99999999994</v>
      </c>
      <c r="G67" s="79">
        <f t="shared" si="5"/>
        <v>420239.99999999994</v>
      </c>
      <c r="H67" s="79">
        <f t="shared" si="5"/>
        <v>420239.99999999994</v>
      </c>
      <c r="I67" s="79">
        <f t="shared" si="5"/>
        <v>420239.99999999994</v>
      </c>
      <c r="J67" s="79">
        <f t="shared" si="5"/>
        <v>420239.99999999994</v>
      </c>
      <c r="K67" s="79">
        <f t="shared" si="5"/>
        <v>420239.99999999994</v>
      </c>
      <c r="L67" s="79">
        <f t="shared" si="5"/>
        <v>441336.04799999995</v>
      </c>
      <c r="M67" s="79">
        <f t="shared" si="5"/>
        <v>441336.04799999995</v>
      </c>
      <c r="N67" s="79">
        <f t="shared" si="5"/>
        <v>441336.04799999995</v>
      </c>
      <c r="O67" s="532">
        <f>SUM(C67:N67)</f>
        <v>5361608.1440000013</v>
      </c>
      <c r="P67" s="532">
        <v>4784820</v>
      </c>
      <c r="Q67" s="765">
        <f>O67-P67</f>
        <v>576788.14400000125</v>
      </c>
    </row>
    <row r="68" spans="1:17" s="116" customFormat="1" ht="12.75" x14ac:dyDescent="0.2">
      <c r="A68" s="454"/>
      <c r="B68" s="438" t="s">
        <v>263</v>
      </c>
      <c r="C68" s="439">
        <f t="shared" ref="C68:N68" si="6">+C52*C66*1000</f>
        <v>80580</v>
      </c>
      <c r="D68" s="439">
        <f t="shared" si="6"/>
        <v>129560</v>
      </c>
      <c r="E68" s="439">
        <f t="shared" si="6"/>
        <v>80580</v>
      </c>
      <c r="F68" s="439">
        <f t="shared" si="6"/>
        <v>80580</v>
      </c>
      <c r="G68" s="439">
        <f t="shared" si="6"/>
        <v>80580</v>
      </c>
      <c r="H68" s="439">
        <f t="shared" si="6"/>
        <v>80580</v>
      </c>
      <c r="I68" s="439">
        <f t="shared" si="6"/>
        <v>80580</v>
      </c>
      <c r="J68" s="439">
        <f t="shared" si="6"/>
        <v>80580</v>
      </c>
      <c r="K68" s="439">
        <f t="shared" si="6"/>
        <v>80580</v>
      </c>
      <c r="L68" s="439">
        <f t="shared" si="6"/>
        <v>84625.116000000009</v>
      </c>
      <c r="M68" s="439">
        <f t="shared" si="6"/>
        <v>84625.116000000009</v>
      </c>
      <c r="N68" s="439">
        <f t="shared" si="6"/>
        <v>84625.116000000009</v>
      </c>
      <c r="O68" s="535">
        <f>SUM(C68:N68)</f>
        <v>1028075.3480000001</v>
      </c>
      <c r="P68" s="535">
        <v>976140.00000000012</v>
      </c>
      <c r="Q68" s="768">
        <f>O68-P68</f>
        <v>51935.347999999998</v>
      </c>
    </row>
    <row r="69" spans="1:17" s="116" customFormat="1" ht="12.75" x14ac:dyDescent="0.2">
      <c r="A69" s="454"/>
      <c r="B69" s="440" t="s">
        <v>264</v>
      </c>
      <c r="C69" s="110">
        <f t="shared" ref="C69:I69" si="7">SUM(C67:C68)</f>
        <v>500819.99999999994</v>
      </c>
      <c r="D69" s="110">
        <f t="shared" si="7"/>
        <v>805240</v>
      </c>
      <c r="E69" s="110">
        <f t="shared" si="7"/>
        <v>500819.99999999994</v>
      </c>
      <c r="F69" s="110">
        <f t="shared" si="7"/>
        <v>500819.99999999994</v>
      </c>
      <c r="G69" s="110">
        <f t="shared" si="7"/>
        <v>500819.99999999994</v>
      </c>
      <c r="H69" s="110">
        <f t="shared" si="7"/>
        <v>500819.99999999994</v>
      </c>
      <c r="I69" s="110">
        <f t="shared" si="7"/>
        <v>500819.99999999994</v>
      </c>
      <c r="J69" s="110">
        <f>SUM(J67:J68)</f>
        <v>500819.99999999994</v>
      </c>
      <c r="K69" s="110">
        <f t="shared" ref="K69:N69" si="8">SUM(K67:K68)</f>
        <v>500819.99999999994</v>
      </c>
      <c r="L69" s="110">
        <f t="shared" si="8"/>
        <v>525961.16399999999</v>
      </c>
      <c r="M69" s="110">
        <f t="shared" si="8"/>
        <v>525961.16399999999</v>
      </c>
      <c r="N69" s="110">
        <f t="shared" si="8"/>
        <v>525961.16399999999</v>
      </c>
      <c r="O69" s="536">
        <f t="shared" ref="O69" si="9">SUM(O67:O68)</f>
        <v>6389683.4920000015</v>
      </c>
      <c r="P69" s="536">
        <f>SUM(P67:P68)</f>
        <v>5760960</v>
      </c>
      <c r="Q69" s="769">
        <f>O69-P69</f>
        <v>628723.49200000148</v>
      </c>
    </row>
    <row r="70" spans="1:17" s="334" customFormat="1" ht="12.75" x14ac:dyDescent="0.2">
      <c r="A70" s="454"/>
      <c r="B70" s="441"/>
      <c r="C70" s="365"/>
      <c r="D70" s="365"/>
      <c r="E70" s="365"/>
      <c r="F70" s="365"/>
      <c r="G70" s="365"/>
      <c r="H70" s="365"/>
      <c r="I70" s="365"/>
      <c r="J70" s="404"/>
      <c r="K70" s="404"/>
      <c r="L70" s="404"/>
      <c r="M70" s="404"/>
      <c r="N70" s="404"/>
      <c r="O70" s="524"/>
      <c r="P70" s="524"/>
      <c r="Q70" s="757"/>
    </row>
    <row r="71" spans="1:17" s="334" customFormat="1" ht="12.75" x14ac:dyDescent="0.2">
      <c r="A71" s="454">
        <v>12195</v>
      </c>
      <c r="B71" s="378" t="s">
        <v>239</v>
      </c>
      <c r="C71" s="365">
        <f t="shared" ref="C71:N71" si="10">C11</f>
        <v>400</v>
      </c>
      <c r="D71" s="365">
        <f t="shared" si="10"/>
        <v>400</v>
      </c>
      <c r="E71" s="365">
        <f t="shared" si="10"/>
        <v>400</v>
      </c>
      <c r="F71" s="365">
        <f t="shared" si="10"/>
        <v>400</v>
      </c>
      <c r="G71" s="365">
        <f t="shared" si="10"/>
        <v>400</v>
      </c>
      <c r="H71" s="365">
        <f t="shared" si="10"/>
        <v>400</v>
      </c>
      <c r="I71" s="365">
        <f t="shared" si="10"/>
        <v>400</v>
      </c>
      <c r="J71" s="365">
        <f t="shared" si="10"/>
        <v>400</v>
      </c>
      <c r="K71" s="365">
        <f t="shared" si="10"/>
        <v>400</v>
      </c>
      <c r="L71" s="365">
        <f t="shared" si="10"/>
        <v>400</v>
      </c>
      <c r="M71" s="365">
        <f t="shared" si="10"/>
        <v>400</v>
      </c>
      <c r="N71" s="365">
        <f t="shared" si="10"/>
        <v>400</v>
      </c>
      <c r="O71" s="525">
        <f>AVERAGE(C71:N71)</f>
        <v>400</v>
      </c>
      <c r="P71" s="525">
        <v>400</v>
      </c>
      <c r="Q71" s="758"/>
    </row>
    <row r="72" spans="1:17" s="116" customFormat="1" ht="12.75" x14ac:dyDescent="0.2">
      <c r="A72" s="454"/>
      <c r="B72" s="438" t="s">
        <v>266</v>
      </c>
      <c r="C72" s="79">
        <f t="shared" ref="C72:N72" si="11">+C51*C71*1000</f>
        <v>659199.99999999988</v>
      </c>
      <c r="D72" s="79">
        <f t="shared" si="11"/>
        <v>659199.99999999988</v>
      </c>
      <c r="E72" s="79">
        <f t="shared" si="11"/>
        <v>659199.99999999988</v>
      </c>
      <c r="F72" s="79">
        <f t="shared" si="11"/>
        <v>659199.99999999988</v>
      </c>
      <c r="G72" s="79">
        <f t="shared" si="11"/>
        <v>659199.99999999988</v>
      </c>
      <c r="H72" s="79">
        <f t="shared" si="11"/>
        <v>659199.99999999988</v>
      </c>
      <c r="I72" s="79">
        <f t="shared" si="11"/>
        <v>659199.99999999988</v>
      </c>
      <c r="J72" s="79">
        <f t="shared" si="11"/>
        <v>659199.99999999988</v>
      </c>
      <c r="K72" s="79">
        <f t="shared" si="11"/>
        <v>659199.99999999988</v>
      </c>
      <c r="L72" s="79">
        <f t="shared" si="11"/>
        <v>692291.84</v>
      </c>
      <c r="M72" s="79">
        <f t="shared" si="11"/>
        <v>692291.84</v>
      </c>
      <c r="N72" s="79">
        <f t="shared" si="11"/>
        <v>692291.84</v>
      </c>
      <c r="O72" s="532">
        <f>SUM(C72:N72)</f>
        <v>8009675.5199999986</v>
      </c>
      <c r="P72" s="532">
        <v>7505600</v>
      </c>
      <c r="Q72" s="765">
        <f>O72-P72</f>
        <v>504075.51999999862</v>
      </c>
    </row>
    <row r="73" spans="1:17" s="116" customFormat="1" ht="12.75" x14ac:dyDescent="0.2">
      <c r="A73" s="454"/>
      <c r="B73" s="438" t="s">
        <v>263</v>
      </c>
      <c r="C73" s="439">
        <f t="shared" ref="C73:N73" si="12">+C52*C71*1000</f>
        <v>126400</v>
      </c>
      <c r="D73" s="439">
        <f t="shared" si="12"/>
        <v>126400</v>
      </c>
      <c r="E73" s="439">
        <f t="shared" si="12"/>
        <v>126400</v>
      </c>
      <c r="F73" s="439">
        <f t="shared" si="12"/>
        <v>126400</v>
      </c>
      <c r="G73" s="439">
        <f t="shared" si="12"/>
        <v>126400</v>
      </c>
      <c r="H73" s="439">
        <f t="shared" si="12"/>
        <v>126400</v>
      </c>
      <c r="I73" s="439">
        <f t="shared" si="12"/>
        <v>126400</v>
      </c>
      <c r="J73" s="439">
        <f t="shared" si="12"/>
        <v>126400</v>
      </c>
      <c r="K73" s="439">
        <f t="shared" si="12"/>
        <v>126400</v>
      </c>
      <c r="L73" s="439">
        <f t="shared" si="12"/>
        <v>132745.28</v>
      </c>
      <c r="M73" s="439">
        <f t="shared" si="12"/>
        <v>132745.28</v>
      </c>
      <c r="N73" s="439">
        <f t="shared" si="12"/>
        <v>132745.28</v>
      </c>
      <c r="O73" s="535">
        <f>SUM(C73:N73)</f>
        <v>1535835.84</v>
      </c>
      <c r="P73" s="535">
        <v>1531200</v>
      </c>
      <c r="Q73" s="768">
        <f>O73-P73</f>
        <v>4635.8400000000838</v>
      </c>
    </row>
    <row r="74" spans="1:17" s="116" customFormat="1" ht="12.75" x14ac:dyDescent="0.2">
      <c r="A74" s="454"/>
      <c r="B74" s="440" t="s">
        <v>265</v>
      </c>
      <c r="C74" s="110">
        <f t="shared" ref="C74:I74" si="13">SUM(C72:C73)</f>
        <v>785599.99999999988</v>
      </c>
      <c r="D74" s="110">
        <f t="shared" si="13"/>
        <v>785599.99999999988</v>
      </c>
      <c r="E74" s="110">
        <f t="shared" si="13"/>
        <v>785599.99999999988</v>
      </c>
      <c r="F74" s="110">
        <f t="shared" si="13"/>
        <v>785599.99999999988</v>
      </c>
      <c r="G74" s="110">
        <f t="shared" si="13"/>
        <v>785599.99999999988</v>
      </c>
      <c r="H74" s="110">
        <f t="shared" si="13"/>
        <v>785599.99999999988</v>
      </c>
      <c r="I74" s="110">
        <f t="shared" si="13"/>
        <v>785599.99999999988</v>
      </c>
      <c r="J74" s="110">
        <f t="shared" ref="J74:N74" si="14">SUM(J72:J73)</f>
        <v>785599.99999999988</v>
      </c>
      <c r="K74" s="110">
        <f t="shared" si="14"/>
        <v>785599.99999999988</v>
      </c>
      <c r="L74" s="110">
        <f t="shared" si="14"/>
        <v>825037.12</v>
      </c>
      <c r="M74" s="110">
        <f t="shared" si="14"/>
        <v>825037.12</v>
      </c>
      <c r="N74" s="110">
        <f t="shared" si="14"/>
        <v>825037.12</v>
      </c>
      <c r="O74" s="536">
        <f t="shared" ref="O74" si="15">SUM(O72:O73)</f>
        <v>9545511.3599999994</v>
      </c>
      <c r="P74" s="536">
        <f>SUM(P72:P73)</f>
        <v>9036800</v>
      </c>
      <c r="Q74" s="769">
        <f>O74-P74</f>
        <v>508711.3599999994</v>
      </c>
    </row>
    <row r="75" spans="1:17" s="334" customFormat="1" ht="12.75" x14ac:dyDescent="0.2">
      <c r="A75" s="454"/>
      <c r="B75" s="441"/>
      <c r="C75" s="365"/>
      <c r="D75" s="365"/>
      <c r="E75" s="365"/>
      <c r="F75" s="365"/>
      <c r="G75" s="365"/>
      <c r="H75" s="365"/>
      <c r="I75" s="365"/>
      <c r="J75" s="404"/>
      <c r="K75" s="404"/>
      <c r="L75" s="404"/>
      <c r="M75" s="404"/>
      <c r="N75" s="404"/>
      <c r="O75" s="524"/>
      <c r="P75" s="524"/>
      <c r="Q75" s="757"/>
    </row>
    <row r="76" spans="1:17" s="334" customFormat="1" ht="12.75" x14ac:dyDescent="0.2">
      <c r="A76" s="454">
        <v>12195</v>
      </c>
      <c r="B76" s="378" t="s">
        <v>243</v>
      </c>
      <c r="C76" s="365">
        <f t="shared" ref="C76:N76" si="16">C12+C13+C14</f>
        <v>540</v>
      </c>
      <c r="D76" s="365">
        <f t="shared" si="16"/>
        <v>540</v>
      </c>
      <c r="E76" s="365">
        <f t="shared" si="16"/>
        <v>540</v>
      </c>
      <c r="F76" s="365">
        <f t="shared" si="16"/>
        <v>540</v>
      </c>
      <c r="G76" s="365">
        <f t="shared" si="16"/>
        <v>540</v>
      </c>
      <c r="H76" s="365">
        <f t="shared" si="16"/>
        <v>540</v>
      </c>
      <c r="I76" s="365">
        <f t="shared" si="16"/>
        <v>540</v>
      </c>
      <c r="J76" s="365">
        <f t="shared" si="16"/>
        <v>540</v>
      </c>
      <c r="K76" s="365">
        <f t="shared" si="16"/>
        <v>540</v>
      </c>
      <c r="L76" s="365">
        <f t="shared" si="16"/>
        <v>540</v>
      </c>
      <c r="M76" s="365">
        <f t="shared" si="16"/>
        <v>540</v>
      </c>
      <c r="N76" s="365">
        <f t="shared" si="16"/>
        <v>540</v>
      </c>
      <c r="O76" s="525">
        <f>AVERAGE(C76:N76)</f>
        <v>540</v>
      </c>
      <c r="P76" s="525">
        <v>540</v>
      </c>
      <c r="Q76" s="758">
        <f>O76-P76</f>
        <v>0</v>
      </c>
    </row>
    <row r="77" spans="1:17" s="116" customFormat="1" ht="12.75" x14ac:dyDescent="0.2">
      <c r="A77" s="454"/>
      <c r="B77" s="438" t="s">
        <v>266</v>
      </c>
      <c r="C77" s="79">
        <f t="shared" ref="C77:N77" si="17">+C51*C76*1000</f>
        <v>889920</v>
      </c>
      <c r="D77" s="79">
        <f t="shared" si="17"/>
        <v>889920</v>
      </c>
      <c r="E77" s="79">
        <f t="shared" si="17"/>
        <v>889920</v>
      </c>
      <c r="F77" s="79">
        <f t="shared" si="17"/>
        <v>889920</v>
      </c>
      <c r="G77" s="79">
        <f t="shared" si="17"/>
        <v>889920</v>
      </c>
      <c r="H77" s="79">
        <f t="shared" si="17"/>
        <v>889920</v>
      </c>
      <c r="I77" s="79">
        <f t="shared" si="17"/>
        <v>889920</v>
      </c>
      <c r="J77" s="79">
        <f t="shared" si="17"/>
        <v>889920</v>
      </c>
      <c r="K77" s="79">
        <f t="shared" si="17"/>
        <v>889920</v>
      </c>
      <c r="L77" s="79">
        <f t="shared" si="17"/>
        <v>934593.98399999994</v>
      </c>
      <c r="M77" s="79">
        <f t="shared" si="17"/>
        <v>934593.98399999994</v>
      </c>
      <c r="N77" s="79">
        <f t="shared" si="17"/>
        <v>934593.98399999994</v>
      </c>
      <c r="O77" s="532">
        <f>SUM(C77:N77)</f>
        <v>10813061.951999998</v>
      </c>
      <c r="P77" s="532">
        <v>10132560</v>
      </c>
      <c r="Q77" s="765">
        <f>O77-P77</f>
        <v>680501.95199999772</v>
      </c>
    </row>
    <row r="78" spans="1:17" s="116" customFormat="1" ht="12.75" x14ac:dyDescent="0.2">
      <c r="A78" s="454"/>
      <c r="B78" s="438" t="s">
        <v>263</v>
      </c>
      <c r="C78" s="439">
        <f t="shared" ref="C78:N78" si="18">+C52*C76*1000</f>
        <v>170640.00000000003</v>
      </c>
      <c r="D78" s="439">
        <f t="shared" si="18"/>
        <v>170640.00000000003</v>
      </c>
      <c r="E78" s="439">
        <f t="shared" si="18"/>
        <v>170640.00000000003</v>
      </c>
      <c r="F78" s="439">
        <f t="shared" si="18"/>
        <v>170640.00000000003</v>
      </c>
      <c r="G78" s="439">
        <f t="shared" si="18"/>
        <v>170640.00000000003</v>
      </c>
      <c r="H78" s="439">
        <f t="shared" si="18"/>
        <v>170640.00000000003</v>
      </c>
      <c r="I78" s="439">
        <f t="shared" si="18"/>
        <v>170640.00000000003</v>
      </c>
      <c r="J78" s="439">
        <f t="shared" si="18"/>
        <v>170640.00000000003</v>
      </c>
      <c r="K78" s="439">
        <f t="shared" si="18"/>
        <v>170640.00000000003</v>
      </c>
      <c r="L78" s="439">
        <f t="shared" si="18"/>
        <v>179206.128</v>
      </c>
      <c r="M78" s="439">
        <f t="shared" si="18"/>
        <v>179206.128</v>
      </c>
      <c r="N78" s="439">
        <f t="shared" si="18"/>
        <v>179206.128</v>
      </c>
      <c r="O78" s="535">
        <f>SUM(C78:N78)</f>
        <v>2073378.3840000003</v>
      </c>
      <c r="P78" s="535">
        <v>2067120</v>
      </c>
      <c r="Q78" s="768">
        <f>O78-P78</f>
        <v>6258.3840000003111</v>
      </c>
    </row>
    <row r="79" spans="1:17" s="116" customFormat="1" ht="12.75" x14ac:dyDescent="0.2">
      <c r="A79" s="454"/>
      <c r="B79" s="440" t="s">
        <v>267</v>
      </c>
      <c r="C79" s="110">
        <f t="shared" ref="C79:I79" si="19">SUM(C77:C78)</f>
        <v>1060560</v>
      </c>
      <c r="D79" s="110">
        <f t="shared" si="19"/>
        <v>1060560</v>
      </c>
      <c r="E79" s="110">
        <f t="shared" si="19"/>
        <v>1060560</v>
      </c>
      <c r="F79" s="110">
        <f t="shared" si="19"/>
        <v>1060560</v>
      </c>
      <c r="G79" s="110">
        <f t="shared" si="19"/>
        <v>1060560</v>
      </c>
      <c r="H79" s="110">
        <f t="shared" si="19"/>
        <v>1060560</v>
      </c>
      <c r="I79" s="110">
        <f t="shared" si="19"/>
        <v>1060560</v>
      </c>
      <c r="J79" s="110">
        <f t="shared" ref="J79:N79" si="20">SUM(J77:J78)</f>
        <v>1060560</v>
      </c>
      <c r="K79" s="110">
        <f t="shared" si="20"/>
        <v>1060560</v>
      </c>
      <c r="L79" s="110">
        <f t="shared" si="20"/>
        <v>1113800.112</v>
      </c>
      <c r="M79" s="110">
        <f t="shared" si="20"/>
        <v>1113800.112</v>
      </c>
      <c r="N79" s="110">
        <f t="shared" si="20"/>
        <v>1113800.112</v>
      </c>
      <c r="O79" s="536">
        <f t="shared" ref="O79" si="21">SUM(O77:O78)</f>
        <v>12886440.335999997</v>
      </c>
      <c r="P79" s="536">
        <f>SUM(P77:P78)</f>
        <v>12199680</v>
      </c>
      <c r="Q79" s="769">
        <f>O79-P79</f>
        <v>686760.33599999733</v>
      </c>
    </row>
    <row r="80" spans="1:17" s="116" customFormat="1" ht="12.75" x14ac:dyDescent="0.2">
      <c r="A80" s="454"/>
      <c r="B80" s="441"/>
      <c r="C80" s="365"/>
      <c r="D80" s="365"/>
      <c r="E80" s="365"/>
      <c r="F80" s="365"/>
      <c r="G80" s="365"/>
      <c r="H80" s="365"/>
      <c r="I80" s="365"/>
      <c r="J80" s="108"/>
      <c r="K80" s="108"/>
      <c r="L80" s="108"/>
      <c r="M80" s="108"/>
      <c r="N80" s="108"/>
      <c r="O80" s="537"/>
      <c r="P80" s="537"/>
      <c r="Q80" s="770"/>
    </row>
    <row r="81" spans="1:17" s="116" customFormat="1" ht="15" customHeight="1" x14ac:dyDescent="0.2">
      <c r="A81" s="454">
        <v>12195</v>
      </c>
      <c r="B81" s="378" t="s">
        <v>240</v>
      </c>
      <c r="C81" s="365">
        <f t="shared" ref="C81:N81" si="22">C15+C16+C17+C18+C19+C20+C21+C22</f>
        <v>520</v>
      </c>
      <c r="D81" s="365">
        <f t="shared" si="22"/>
        <v>520</v>
      </c>
      <c r="E81" s="365">
        <f t="shared" si="22"/>
        <v>520</v>
      </c>
      <c r="F81" s="365">
        <f t="shared" si="22"/>
        <v>520</v>
      </c>
      <c r="G81" s="365">
        <f t="shared" si="22"/>
        <v>520</v>
      </c>
      <c r="H81" s="365">
        <f t="shared" si="22"/>
        <v>520</v>
      </c>
      <c r="I81" s="365">
        <f t="shared" si="22"/>
        <v>520</v>
      </c>
      <c r="J81" s="365">
        <f t="shared" si="22"/>
        <v>520</v>
      </c>
      <c r="K81" s="365">
        <f t="shared" si="22"/>
        <v>520</v>
      </c>
      <c r="L81" s="365">
        <f t="shared" si="22"/>
        <v>520</v>
      </c>
      <c r="M81" s="365">
        <f t="shared" si="22"/>
        <v>520</v>
      </c>
      <c r="N81" s="365">
        <f t="shared" si="22"/>
        <v>520</v>
      </c>
      <c r="O81" s="525">
        <f>AVERAGE(C81:N81)</f>
        <v>520</v>
      </c>
      <c r="P81" s="525">
        <v>520</v>
      </c>
      <c r="Q81" s="758">
        <f>O81-P81</f>
        <v>0</v>
      </c>
    </row>
    <row r="82" spans="1:17" s="116" customFormat="1" ht="15" customHeight="1" x14ac:dyDescent="0.2">
      <c r="A82" s="454"/>
      <c r="B82" s="438" t="s">
        <v>266</v>
      </c>
      <c r="C82" s="79">
        <f t="shared" ref="C82:N82" si="23">+C51*C81*1000</f>
        <v>856959.99999999988</v>
      </c>
      <c r="D82" s="79">
        <f t="shared" si="23"/>
        <v>856959.99999999988</v>
      </c>
      <c r="E82" s="79">
        <f t="shared" si="23"/>
        <v>856959.99999999988</v>
      </c>
      <c r="F82" s="79">
        <f t="shared" si="23"/>
        <v>856959.99999999988</v>
      </c>
      <c r="G82" s="79">
        <f t="shared" si="23"/>
        <v>856959.99999999988</v>
      </c>
      <c r="H82" s="79">
        <f t="shared" si="23"/>
        <v>856959.99999999988</v>
      </c>
      <c r="I82" s="79">
        <f t="shared" si="23"/>
        <v>856959.99999999988</v>
      </c>
      <c r="J82" s="79">
        <f t="shared" si="23"/>
        <v>856959.99999999988</v>
      </c>
      <c r="K82" s="79">
        <f t="shared" si="23"/>
        <v>856959.99999999988</v>
      </c>
      <c r="L82" s="79">
        <f t="shared" si="23"/>
        <v>899979.39199999999</v>
      </c>
      <c r="M82" s="79">
        <f t="shared" si="23"/>
        <v>899979.39199999999</v>
      </c>
      <c r="N82" s="79">
        <f t="shared" si="23"/>
        <v>899979.39199999999</v>
      </c>
      <c r="O82" s="532">
        <f>SUM(C82:N82)</f>
        <v>10412578.175999999</v>
      </c>
      <c r="P82" s="532">
        <v>9757280</v>
      </c>
      <c r="Q82" s="765">
        <f>O82-P82</f>
        <v>655298.17599999905</v>
      </c>
    </row>
    <row r="83" spans="1:17" s="116" customFormat="1" ht="15" customHeight="1" x14ac:dyDescent="0.2">
      <c r="A83" s="454"/>
      <c r="B83" s="438" t="s">
        <v>263</v>
      </c>
      <c r="C83" s="439">
        <f t="shared" ref="C83:N83" si="24">+C52*C81*1000</f>
        <v>164320</v>
      </c>
      <c r="D83" s="439">
        <f t="shared" si="24"/>
        <v>164320</v>
      </c>
      <c r="E83" s="439">
        <f t="shared" si="24"/>
        <v>164320</v>
      </c>
      <c r="F83" s="439">
        <f t="shared" si="24"/>
        <v>164320</v>
      </c>
      <c r="G83" s="439">
        <f t="shared" si="24"/>
        <v>164320</v>
      </c>
      <c r="H83" s="439">
        <f t="shared" si="24"/>
        <v>164320</v>
      </c>
      <c r="I83" s="439">
        <f t="shared" si="24"/>
        <v>164320</v>
      </c>
      <c r="J83" s="439">
        <f t="shared" si="24"/>
        <v>164320</v>
      </c>
      <c r="K83" s="439">
        <f t="shared" si="24"/>
        <v>164320</v>
      </c>
      <c r="L83" s="439">
        <f t="shared" si="24"/>
        <v>172568.86400000003</v>
      </c>
      <c r="M83" s="439">
        <f t="shared" si="24"/>
        <v>172568.86400000003</v>
      </c>
      <c r="N83" s="439">
        <f t="shared" si="24"/>
        <v>172568.86400000003</v>
      </c>
      <c r="O83" s="535">
        <f>SUM(C83:N83)</f>
        <v>1996586.5920000002</v>
      </c>
      <c r="P83" s="535">
        <v>1990560</v>
      </c>
      <c r="Q83" s="768">
        <f>O83-P83</f>
        <v>6026.5920000001788</v>
      </c>
    </row>
    <row r="84" spans="1:17" s="116" customFormat="1" ht="15" customHeight="1" x14ac:dyDescent="0.2">
      <c r="A84" s="454"/>
      <c r="B84" s="440" t="s">
        <v>268</v>
      </c>
      <c r="C84" s="110">
        <f t="shared" ref="C84:I84" si="25">SUM(C82:C83)</f>
        <v>1021279.9999999999</v>
      </c>
      <c r="D84" s="110">
        <f t="shared" si="25"/>
        <v>1021279.9999999999</v>
      </c>
      <c r="E84" s="110">
        <f t="shared" si="25"/>
        <v>1021279.9999999999</v>
      </c>
      <c r="F84" s="110">
        <f t="shared" si="25"/>
        <v>1021279.9999999999</v>
      </c>
      <c r="G84" s="110">
        <f t="shared" si="25"/>
        <v>1021279.9999999999</v>
      </c>
      <c r="H84" s="110">
        <f t="shared" si="25"/>
        <v>1021279.9999999999</v>
      </c>
      <c r="I84" s="110">
        <f t="shared" si="25"/>
        <v>1021279.9999999999</v>
      </c>
      <c r="J84" s="110">
        <f t="shared" ref="J84:N84" si="26">SUM(J82:J83)</f>
        <v>1021279.9999999999</v>
      </c>
      <c r="K84" s="110">
        <f t="shared" si="26"/>
        <v>1021279.9999999999</v>
      </c>
      <c r="L84" s="110">
        <f t="shared" si="26"/>
        <v>1072548.2560000001</v>
      </c>
      <c r="M84" s="110">
        <f t="shared" si="26"/>
        <v>1072548.2560000001</v>
      </c>
      <c r="N84" s="110">
        <f t="shared" si="26"/>
        <v>1072548.2560000001</v>
      </c>
      <c r="O84" s="536">
        <f t="shared" ref="O84" si="27">SUM(O82:O83)</f>
        <v>12409164.767999999</v>
      </c>
      <c r="P84" s="536">
        <f>SUM(P82:P83)</f>
        <v>11747840</v>
      </c>
      <c r="Q84" s="769">
        <f>O84-P84</f>
        <v>661324.76799999923</v>
      </c>
    </row>
    <row r="85" spans="1:17" s="116" customFormat="1" ht="12.75" x14ac:dyDescent="0.2">
      <c r="A85" s="454"/>
      <c r="B85" s="442"/>
      <c r="C85" s="79"/>
      <c r="D85" s="79"/>
      <c r="E85" s="79"/>
      <c r="F85" s="79"/>
      <c r="G85" s="79"/>
      <c r="H85" s="79"/>
      <c r="I85" s="79"/>
      <c r="J85" s="108"/>
      <c r="K85" s="108"/>
      <c r="L85" s="108"/>
      <c r="M85" s="108"/>
      <c r="N85" s="108"/>
      <c r="O85" s="537"/>
      <c r="P85" s="537"/>
      <c r="Q85" s="770"/>
    </row>
    <row r="86" spans="1:17" s="116" customFormat="1" ht="12.75" x14ac:dyDescent="0.2">
      <c r="A86" s="454"/>
      <c r="B86" s="378" t="s">
        <v>249</v>
      </c>
      <c r="C86" s="365">
        <f t="shared" ref="C86:N86" si="28">C23+C24</f>
        <v>316</v>
      </c>
      <c r="D86" s="365">
        <f t="shared" si="28"/>
        <v>316</v>
      </c>
      <c r="E86" s="365">
        <f t="shared" si="28"/>
        <v>316</v>
      </c>
      <c r="F86" s="365">
        <f t="shared" si="28"/>
        <v>316</v>
      </c>
      <c r="G86" s="365">
        <f t="shared" si="28"/>
        <v>316</v>
      </c>
      <c r="H86" s="365">
        <f t="shared" si="28"/>
        <v>316</v>
      </c>
      <c r="I86" s="365">
        <f t="shared" si="28"/>
        <v>316</v>
      </c>
      <c r="J86" s="365">
        <f t="shared" si="28"/>
        <v>316</v>
      </c>
      <c r="K86" s="365">
        <f t="shared" si="28"/>
        <v>316</v>
      </c>
      <c r="L86" s="365">
        <f t="shared" si="28"/>
        <v>316</v>
      </c>
      <c r="M86" s="365">
        <f t="shared" si="28"/>
        <v>316</v>
      </c>
      <c r="N86" s="365">
        <f t="shared" si="28"/>
        <v>316</v>
      </c>
      <c r="O86" s="525">
        <f>AVERAGE(C86:N86)</f>
        <v>316</v>
      </c>
      <c r="P86" s="525">
        <v>316</v>
      </c>
      <c r="Q86" s="758">
        <f>O86-P86</f>
        <v>0</v>
      </c>
    </row>
    <row r="87" spans="1:17" s="116" customFormat="1" ht="12.75" x14ac:dyDescent="0.2">
      <c r="A87" s="454">
        <v>12195</v>
      </c>
      <c r="B87" s="438" t="s">
        <v>266</v>
      </c>
      <c r="C87" s="79">
        <f t="shared" ref="C87:N87" si="29">+C51*C86*1000</f>
        <v>520767.99999999994</v>
      </c>
      <c r="D87" s="79">
        <f t="shared" si="29"/>
        <v>520767.99999999994</v>
      </c>
      <c r="E87" s="79">
        <f t="shared" si="29"/>
        <v>520767.99999999994</v>
      </c>
      <c r="F87" s="79">
        <f t="shared" si="29"/>
        <v>520767.99999999994</v>
      </c>
      <c r="G87" s="79">
        <f t="shared" si="29"/>
        <v>520767.99999999994</v>
      </c>
      <c r="H87" s="79">
        <f t="shared" si="29"/>
        <v>520767.99999999994</v>
      </c>
      <c r="I87" s="79">
        <f t="shared" si="29"/>
        <v>520767.99999999994</v>
      </c>
      <c r="J87" s="79">
        <f t="shared" si="29"/>
        <v>520767.99999999994</v>
      </c>
      <c r="K87" s="79">
        <f t="shared" si="29"/>
        <v>520767.99999999994</v>
      </c>
      <c r="L87" s="79">
        <f t="shared" si="29"/>
        <v>546910.55359999998</v>
      </c>
      <c r="M87" s="79">
        <f t="shared" si="29"/>
        <v>546910.55359999998</v>
      </c>
      <c r="N87" s="79">
        <f t="shared" si="29"/>
        <v>546910.55359999998</v>
      </c>
      <c r="O87" s="532">
        <f>SUM(C87:N87)</f>
        <v>6327643.6607999997</v>
      </c>
      <c r="P87" s="532">
        <v>5929424</v>
      </c>
      <c r="Q87" s="765">
        <f>O87-P87</f>
        <v>398219.66079999972</v>
      </c>
    </row>
    <row r="88" spans="1:17" s="116" customFormat="1" ht="12.75" x14ac:dyDescent="0.2">
      <c r="A88" s="454"/>
      <c r="B88" s="438" t="s">
        <v>263</v>
      </c>
      <c r="C88" s="439">
        <f t="shared" ref="C88:N88" si="30">+C52*C86*1000</f>
        <v>99856</v>
      </c>
      <c r="D88" s="439">
        <f t="shared" si="30"/>
        <v>99856</v>
      </c>
      <c r="E88" s="439">
        <f t="shared" si="30"/>
        <v>99856</v>
      </c>
      <c r="F88" s="439">
        <f t="shared" si="30"/>
        <v>99856</v>
      </c>
      <c r="G88" s="439">
        <f t="shared" si="30"/>
        <v>99856</v>
      </c>
      <c r="H88" s="439">
        <f t="shared" si="30"/>
        <v>99856</v>
      </c>
      <c r="I88" s="439">
        <f t="shared" si="30"/>
        <v>99856</v>
      </c>
      <c r="J88" s="439">
        <f t="shared" si="30"/>
        <v>99856</v>
      </c>
      <c r="K88" s="439">
        <f t="shared" si="30"/>
        <v>99856</v>
      </c>
      <c r="L88" s="439">
        <f t="shared" si="30"/>
        <v>104868.77120000002</v>
      </c>
      <c r="M88" s="439">
        <f t="shared" si="30"/>
        <v>104868.77120000002</v>
      </c>
      <c r="N88" s="439">
        <f t="shared" si="30"/>
        <v>104868.77120000002</v>
      </c>
      <c r="O88" s="535">
        <f>SUM(C88:N88)</f>
        <v>1213310.3136000002</v>
      </c>
      <c r="P88" s="535">
        <v>1209648</v>
      </c>
      <c r="Q88" s="768">
        <f>O88-P88</f>
        <v>3662.3136000002269</v>
      </c>
    </row>
    <row r="89" spans="1:17" s="116" customFormat="1" ht="14.85" customHeight="1" x14ac:dyDescent="0.2">
      <c r="A89" s="454"/>
      <c r="B89" s="440" t="s">
        <v>269</v>
      </c>
      <c r="C89" s="110">
        <f t="shared" ref="C89:I89" si="31">SUM(C87:C88)</f>
        <v>620624</v>
      </c>
      <c r="D89" s="110">
        <f t="shared" si="31"/>
        <v>620624</v>
      </c>
      <c r="E89" s="110">
        <f t="shared" si="31"/>
        <v>620624</v>
      </c>
      <c r="F89" s="110">
        <f t="shared" si="31"/>
        <v>620624</v>
      </c>
      <c r="G89" s="110">
        <f t="shared" si="31"/>
        <v>620624</v>
      </c>
      <c r="H89" s="110">
        <f t="shared" si="31"/>
        <v>620624</v>
      </c>
      <c r="I89" s="110">
        <f t="shared" si="31"/>
        <v>620624</v>
      </c>
      <c r="J89" s="110">
        <f t="shared" ref="J89:N89" si="32">SUM(J87:J88)</f>
        <v>620624</v>
      </c>
      <c r="K89" s="110">
        <f t="shared" si="32"/>
        <v>620624</v>
      </c>
      <c r="L89" s="110">
        <f t="shared" si="32"/>
        <v>651779.32480000006</v>
      </c>
      <c r="M89" s="110">
        <f t="shared" si="32"/>
        <v>651779.32480000006</v>
      </c>
      <c r="N89" s="110">
        <f t="shared" si="32"/>
        <v>651779.32480000006</v>
      </c>
      <c r="O89" s="536">
        <f t="shared" ref="O89" si="33">SUM(O87:O88)</f>
        <v>7540953.9743999997</v>
      </c>
      <c r="P89" s="536">
        <f>SUM(P87:P88)</f>
        <v>7139072</v>
      </c>
      <c r="Q89" s="769">
        <f>O89-P89</f>
        <v>401881.97439999972</v>
      </c>
    </row>
    <row r="90" spans="1:17" s="116" customFormat="1" ht="12.75" x14ac:dyDescent="0.2">
      <c r="A90" s="454"/>
      <c r="B90" s="441"/>
      <c r="C90" s="79"/>
      <c r="D90" s="79"/>
      <c r="E90" s="79"/>
      <c r="F90" s="79"/>
      <c r="G90" s="79"/>
      <c r="H90" s="79"/>
      <c r="I90" s="79"/>
      <c r="J90" s="108"/>
      <c r="K90" s="108"/>
      <c r="L90" s="108"/>
      <c r="M90" s="108"/>
      <c r="N90" s="108"/>
      <c r="O90" s="537"/>
      <c r="P90" s="537"/>
      <c r="Q90" s="770"/>
    </row>
    <row r="91" spans="1:17" s="40" customFormat="1" ht="12.75" x14ac:dyDescent="0.2">
      <c r="A91" s="425">
        <v>12195</v>
      </c>
      <c r="B91" s="378" t="s">
        <v>533</v>
      </c>
      <c r="C91" s="365">
        <f t="shared" ref="C91:N91" si="34">C26</f>
        <v>50</v>
      </c>
      <c r="D91" s="365">
        <f t="shared" si="34"/>
        <v>50</v>
      </c>
      <c r="E91" s="365">
        <f t="shared" si="34"/>
        <v>50</v>
      </c>
      <c r="F91" s="365">
        <f t="shared" si="34"/>
        <v>50</v>
      </c>
      <c r="G91" s="365">
        <f t="shared" si="34"/>
        <v>50</v>
      </c>
      <c r="H91" s="365">
        <f t="shared" si="34"/>
        <v>50</v>
      </c>
      <c r="I91" s="365">
        <f t="shared" si="34"/>
        <v>50</v>
      </c>
      <c r="J91" s="365">
        <f t="shared" si="34"/>
        <v>50</v>
      </c>
      <c r="K91" s="365">
        <f t="shared" si="34"/>
        <v>50</v>
      </c>
      <c r="L91" s="365">
        <f t="shared" si="34"/>
        <v>50</v>
      </c>
      <c r="M91" s="365">
        <f t="shared" si="34"/>
        <v>50</v>
      </c>
      <c r="N91" s="365">
        <f t="shared" si="34"/>
        <v>50</v>
      </c>
      <c r="O91" s="525">
        <f>AVERAGE(C91:N91)</f>
        <v>50</v>
      </c>
      <c r="P91" s="525">
        <v>50</v>
      </c>
      <c r="Q91" s="758">
        <f>O91-P91</f>
        <v>0</v>
      </c>
    </row>
    <row r="92" spans="1:17" s="40" customFormat="1" ht="12.75" x14ac:dyDescent="0.2">
      <c r="A92" s="425"/>
      <c r="B92" s="438" t="s">
        <v>266</v>
      </c>
      <c r="C92" s="79">
        <f t="shared" ref="C92:N92" si="35">C91*C51*1000</f>
        <v>82399.999999999985</v>
      </c>
      <c r="D92" s="79">
        <f t="shared" si="35"/>
        <v>82399.999999999985</v>
      </c>
      <c r="E92" s="79">
        <f t="shared" si="35"/>
        <v>82399.999999999985</v>
      </c>
      <c r="F92" s="79">
        <f t="shared" si="35"/>
        <v>82399.999999999985</v>
      </c>
      <c r="G92" s="79">
        <f t="shared" si="35"/>
        <v>82399.999999999985</v>
      </c>
      <c r="H92" s="79">
        <f t="shared" si="35"/>
        <v>82399.999999999985</v>
      </c>
      <c r="I92" s="79">
        <f t="shared" si="35"/>
        <v>82399.999999999985</v>
      </c>
      <c r="J92" s="79">
        <f t="shared" si="35"/>
        <v>82399.999999999985</v>
      </c>
      <c r="K92" s="79">
        <f t="shared" si="35"/>
        <v>82399.999999999985</v>
      </c>
      <c r="L92" s="79">
        <f t="shared" si="35"/>
        <v>86536.48</v>
      </c>
      <c r="M92" s="79">
        <f t="shared" si="35"/>
        <v>86536.48</v>
      </c>
      <c r="N92" s="79">
        <f t="shared" si="35"/>
        <v>86536.48</v>
      </c>
      <c r="O92" s="532">
        <f>SUM(C92:N92)</f>
        <v>1001209.4399999998</v>
      </c>
      <c r="P92" s="532">
        <v>938200</v>
      </c>
      <c r="Q92" s="765">
        <f>O92-P92</f>
        <v>63009.439999999828</v>
      </c>
    </row>
    <row r="93" spans="1:17" s="40" customFormat="1" ht="12.75" x14ac:dyDescent="0.2">
      <c r="A93" s="425"/>
      <c r="B93" s="438" t="s">
        <v>263</v>
      </c>
      <c r="C93" s="439">
        <f t="shared" ref="C93:N93" si="36">C91*C52*1000</f>
        <v>15800</v>
      </c>
      <c r="D93" s="439">
        <f t="shared" si="36"/>
        <v>15800</v>
      </c>
      <c r="E93" s="439">
        <f t="shared" si="36"/>
        <v>15800</v>
      </c>
      <c r="F93" s="439">
        <f t="shared" si="36"/>
        <v>15800</v>
      </c>
      <c r="G93" s="439">
        <f t="shared" si="36"/>
        <v>15800</v>
      </c>
      <c r="H93" s="439">
        <f t="shared" si="36"/>
        <v>15800</v>
      </c>
      <c r="I93" s="439">
        <f t="shared" si="36"/>
        <v>15800</v>
      </c>
      <c r="J93" s="439">
        <f t="shared" si="36"/>
        <v>15800</v>
      </c>
      <c r="K93" s="439">
        <f t="shared" si="36"/>
        <v>15800</v>
      </c>
      <c r="L93" s="439">
        <f t="shared" si="36"/>
        <v>16593.16</v>
      </c>
      <c r="M93" s="439">
        <f t="shared" si="36"/>
        <v>16593.16</v>
      </c>
      <c r="N93" s="439">
        <f t="shared" si="36"/>
        <v>16593.16</v>
      </c>
      <c r="O93" s="535">
        <f>SUM(C93:N93)</f>
        <v>191979.48</v>
      </c>
      <c r="P93" s="535">
        <v>191400</v>
      </c>
      <c r="Q93" s="768">
        <f>O93-P93</f>
        <v>579.48000000001048</v>
      </c>
    </row>
    <row r="94" spans="1:17" s="40" customFormat="1" ht="12.75" x14ac:dyDescent="0.2">
      <c r="A94" s="425"/>
      <c r="B94" s="440" t="s">
        <v>534</v>
      </c>
      <c r="C94" s="110">
        <f t="shared" ref="C94:I94" si="37">SUM(C92:C93)</f>
        <v>98199.999999999985</v>
      </c>
      <c r="D94" s="110">
        <f t="shared" si="37"/>
        <v>98199.999999999985</v>
      </c>
      <c r="E94" s="110">
        <f t="shared" si="37"/>
        <v>98199.999999999985</v>
      </c>
      <c r="F94" s="110">
        <f t="shared" si="37"/>
        <v>98199.999999999985</v>
      </c>
      <c r="G94" s="110">
        <f t="shared" si="37"/>
        <v>98199.999999999985</v>
      </c>
      <c r="H94" s="110">
        <f t="shared" si="37"/>
        <v>98199.999999999985</v>
      </c>
      <c r="I94" s="110">
        <f t="shared" si="37"/>
        <v>98199.999999999985</v>
      </c>
      <c r="J94" s="110">
        <f t="shared" ref="J94:N94" si="38">SUM(J92:J93)</f>
        <v>98199.999999999985</v>
      </c>
      <c r="K94" s="110">
        <f t="shared" si="38"/>
        <v>98199.999999999985</v>
      </c>
      <c r="L94" s="110">
        <f t="shared" si="38"/>
        <v>103129.64</v>
      </c>
      <c r="M94" s="110">
        <f t="shared" si="38"/>
        <v>103129.64</v>
      </c>
      <c r="N94" s="110">
        <f t="shared" si="38"/>
        <v>103129.64</v>
      </c>
      <c r="O94" s="536">
        <f t="shared" ref="O94" si="39">SUM(O92:O93)</f>
        <v>1193188.92</v>
      </c>
      <c r="P94" s="536">
        <f>SUM(P92:P93)</f>
        <v>1129600</v>
      </c>
      <c r="Q94" s="769">
        <f>O94-P94</f>
        <v>63588.919999999925</v>
      </c>
    </row>
    <row r="95" spans="1:17" s="334" customFormat="1" ht="12.75" x14ac:dyDescent="0.2">
      <c r="A95" s="454"/>
      <c r="B95" s="441"/>
      <c r="C95" s="79"/>
      <c r="D95" s="79"/>
      <c r="E95" s="79"/>
      <c r="F95" s="79"/>
      <c r="G95" s="79"/>
      <c r="H95" s="79"/>
      <c r="I95" s="79"/>
      <c r="J95" s="404"/>
      <c r="K95" s="404"/>
      <c r="L95" s="404"/>
      <c r="M95" s="404"/>
      <c r="N95" s="404"/>
      <c r="O95" s="524"/>
      <c r="P95" s="524"/>
      <c r="Q95" s="757"/>
    </row>
    <row r="96" spans="1:17" s="334" customFormat="1" ht="15" customHeight="1" x14ac:dyDescent="0.2">
      <c r="A96" s="454">
        <v>12195</v>
      </c>
      <c r="B96" s="378" t="s">
        <v>261</v>
      </c>
      <c r="C96" s="365">
        <f t="shared" ref="C96:N96" si="40">C27</f>
        <v>94</v>
      </c>
      <c r="D96" s="365">
        <f t="shared" si="40"/>
        <v>94</v>
      </c>
      <c r="E96" s="365">
        <f t="shared" si="40"/>
        <v>94</v>
      </c>
      <c r="F96" s="365">
        <f t="shared" si="40"/>
        <v>94</v>
      </c>
      <c r="G96" s="365">
        <f t="shared" si="40"/>
        <v>94</v>
      </c>
      <c r="H96" s="365">
        <f t="shared" si="40"/>
        <v>94</v>
      </c>
      <c r="I96" s="365">
        <f t="shared" si="40"/>
        <v>94</v>
      </c>
      <c r="J96" s="365">
        <f t="shared" si="40"/>
        <v>94</v>
      </c>
      <c r="K96" s="365">
        <f t="shared" si="40"/>
        <v>94</v>
      </c>
      <c r="L96" s="365">
        <f t="shared" si="40"/>
        <v>94</v>
      </c>
      <c r="M96" s="365">
        <f t="shared" si="40"/>
        <v>94</v>
      </c>
      <c r="N96" s="365">
        <f t="shared" si="40"/>
        <v>94</v>
      </c>
      <c r="O96" s="525">
        <f>AVERAGE(C96:N96)</f>
        <v>94</v>
      </c>
      <c r="P96" s="525">
        <v>94</v>
      </c>
      <c r="Q96" s="758">
        <f>O96-P96</f>
        <v>0</v>
      </c>
    </row>
    <row r="97" spans="1:17" s="334" customFormat="1" ht="15" customHeight="1" x14ac:dyDescent="0.2">
      <c r="A97" s="454"/>
      <c r="B97" s="438" t="s">
        <v>266</v>
      </c>
      <c r="C97" s="79">
        <f t="shared" ref="C97:N97" si="41">+C$51*C96*1000</f>
        <v>154911.99999999997</v>
      </c>
      <c r="D97" s="79">
        <f t="shared" si="41"/>
        <v>154911.99999999997</v>
      </c>
      <c r="E97" s="79">
        <f t="shared" si="41"/>
        <v>154911.99999999997</v>
      </c>
      <c r="F97" s="79">
        <f t="shared" si="41"/>
        <v>154911.99999999997</v>
      </c>
      <c r="G97" s="79">
        <f t="shared" si="41"/>
        <v>154911.99999999997</v>
      </c>
      <c r="H97" s="79">
        <f t="shared" si="41"/>
        <v>154911.99999999997</v>
      </c>
      <c r="I97" s="79">
        <f t="shared" si="41"/>
        <v>154911.99999999997</v>
      </c>
      <c r="J97" s="79">
        <f t="shared" si="41"/>
        <v>154911.99999999997</v>
      </c>
      <c r="K97" s="79">
        <f t="shared" si="41"/>
        <v>154911.99999999997</v>
      </c>
      <c r="L97" s="79">
        <f t="shared" si="41"/>
        <v>162688.58240000001</v>
      </c>
      <c r="M97" s="79">
        <f t="shared" si="41"/>
        <v>162688.58240000001</v>
      </c>
      <c r="N97" s="79">
        <f t="shared" si="41"/>
        <v>162688.58240000001</v>
      </c>
      <c r="O97" s="532">
        <f>SUM(C97:N97)</f>
        <v>1882273.7471999996</v>
      </c>
      <c r="P97" s="532">
        <v>1763816</v>
      </c>
      <c r="Q97" s="765">
        <f>O97-P97</f>
        <v>118457.74719999963</v>
      </c>
    </row>
    <row r="98" spans="1:17" s="334" customFormat="1" ht="15" customHeight="1" x14ac:dyDescent="0.2">
      <c r="A98" s="454"/>
      <c r="B98" s="438" t="s">
        <v>263</v>
      </c>
      <c r="C98" s="439">
        <f t="shared" ref="C98:N98" si="42">+C$52*C96*1000</f>
        <v>29704</v>
      </c>
      <c r="D98" s="439">
        <f t="shared" si="42"/>
        <v>29704</v>
      </c>
      <c r="E98" s="439">
        <f t="shared" si="42"/>
        <v>29704</v>
      </c>
      <c r="F98" s="439">
        <f t="shared" si="42"/>
        <v>29704</v>
      </c>
      <c r="G98" s="439">
        <f t="shared" si="42"/>
        <v>29704</v>
      </c>
      <c r="H98" s="439">
        <f t="shared" si="42"/>
        <v>29704</v>
      </c>
      <c r="I98" s="439">
        <f t="shared" si="42"/>
        <v>29704</v>
      </c>
      <c r="J98" s="439">
        <f t="shared" si="42"/>
        <v>29704</v>
      </c>
      <c r="K98" s="439">
        <f t="shared" si="42"/>
        <v>29704</v>
      </c>
      <c r="L98" s="439">
        <f t="shared" si="42"/>
        <v>31195.140800000001</v>
      </c>
      <c r="M98" s="439">
        <f t="shared" si="42"/>
        <v>31195.140800000001</v>
      </c>
      <c r="N98" s="439">
        <f t="shared" si="42"/>
        <v>31195.140800000001</v>
      </c>
      <c r="O98" s="535">
        <f>SUM(C98:N98)</f>
        <v>360921.42239999998</v>
      </c>
      <c r="P98" s="535">
        <v>359832</v>
      </c>
      <c r="Q98" s="768">
        <f>O98-P98</f>
        <v>1089.4223999999813</v>
      </c>
    </row>
    <row r="99" spans="1:17" s="334" customFormat="1" ht="15" customHeight="1" x14ac:dyDescent="0.2">
      <c r="A99" s="454"/>
      <c r="B99" s="440" t="s">
        <v>270</v>
      </c>
      <c r="C99" s="110">
        <f t="shared" ref="C99:I99" si="43">SUM(C97:C98)</f>
        <v>184615.99999999997</v>
      </c>
      <c r="D99" s="110">
        <f t="shared" si="43"/>
        <v>184615.99999999997</v>
      </c>
      <c r="E99" s="110">
        <f t="shared" si="43"/>
        <v>184615.99999999997</v>
      </c>
      <c r="F99" s="110">
        <f t="shared" si="43"/>
        <v>184615.99999999997</v>
      </c>
      <c r="G99" s="110">
        <f t="shared" si="43"/>
        <v>184615.99999999997</v>
      </c>
      <c r="H99" s="110">
        <f t="shared" si="43"/>
        <v>184615.99999999997</v>
      </c>
      <c r="I99" s="110">
        <f t="shared" si="43"/>
        <v>184615.99999999997</v>
      </c>
      <c r="J99" s="110">
        <f t="shared" ref="J99:N99" si="44">SUM(J97:J98)</f>
        <v>184615.99999999997</v>
      </c>
      <c r="K99" s="110">
        <f t="shared" si="44"/>
        <v>184615.99999999997</v>
      </c>
      <c r="L99" s="110">
        <f t="shared" si="44"/>
        <v>193883.72320000001</v>
      </c>
      <c r="M99" s="110">
        <f t="shared" si="44"/>
        <v>193883.72320000001</v>
      </c>
      <c r="N99" s="110">
        <f t="shared" si="44"/>
        <v>193883.72320000001</v>
      </c>
      <c r="O99" s="536">
        <f t="shared" ref="O99" si="45">SUM(O97:O98)</f>
        <v>2243195.1695999997</v>
      </c>
      <c r="P99" s="536">
        <f>SUM(P97:P98)</f>
        <v>2123648</v>
      </c>
      <c r="Q99" s="769">
        <f>O99-P99</f>
        <v>119547.16959999967</v>
      </c>
    </row>
    <row r="100" spans="1:17" s="334" customFormat="1" ht="12.75" x14ac:dyDescent="0.2">
      <c r="A100" s="454"/>
      <c r="B100" s="441"/>
      <c r="C100" s="365"/>
      <c r="D100" s="365"/>
      <c r="E100" s="365"/>
      <c r="F100" s="365"/>
      <c r="G100" s="365"/>
      <c r="H100" s="365"/>
      <c r="I100" s="365"/>
      <c r="J100" s="404"/>
      <c r="K100" s="404"/>
      <c r="L100" s="404"/>
      <c r="M100" s="404"/>
      <c r="N100" s="404"/>
      <c r="O100" s="524"/>
      <c r="P100" s="524"/>
      <c r="Q100" s="757"/>
    </row>
    <row r="101" spans="1:17" s="116" customFormat="1" ht="12.75" x14ac:dyDescent="0.2">
      <c r="A101" s="454"/>
      <c r="B101" s="378" t="s">
        <v>272</v>
      </c>
      <c r="C101" s="365">
        <f t="shared" ref="C101:N101" si="46">C25</f>
        <v>30</v>
      </c>
      <c r="D101" s="365">
        <f t="shared" si="46"/>
        <v>30</v>
      </c>
      <c r="E101" s="365">
        <f t="shared" si="46"/>
        <v>30</v>
      </c>
      <c r="F101" s="365">
        <f t="shared" si="46"/>
        <v>30</v>
      </c>
      <c r="G101" s="365">
        <f t="shared" si="46"/>
        <v>30</v>
      </c>
      <c r="H101" s="365">
        <f t="shared" si="46"/>
        <v>30</v>
      </c>
      <c r="I101" s="365">
        <f t="shared" si="46"/>
        <v>30</v>
      </c>
      <c r="J101" s="365">
        <f t="shared" si="46"/>
        <v>30</v>
      </c>
      <c r="K101" s="365">
        <f t="shared" si="46"/>
        <v>30</v>
      </c>
      <c r="L101" s="365">
        <f t="shared" si="46"/>
        <v>30</v>
      </c>
      <c r="M101" s="365">
        <f t="shared" si="46"/>
        <v>30</v>
      </c>
      <c r="N101" s="365">
        <f t="shared" si="46"/>
        <v>30</v>
      </c>
      <c r="O101" s="525">
        <f>AVERAGE(C101:N101)</f>
        <v>30</v>
      </c>
      <c r="P101" s="525">
        <v>30</v>
      </c>
      <c r="Q101" s="758">
        <f>O101-P101</f>
        <v>0</v>
      </c>
    </row>
    <row r="102" spans="1:17" s="115" customFormat="1" ht="12.75" x14ac:dyDescent="0.2">
      <c r="A102" s="454">
        <v>12195</v>
      </c>
      <c r="B102" s="438" t="s">
        <v>266</v>
      </c>
      <c r="C102" s="79">
        <f t="shared" ref="C102:N102" si="47">+C$51*C101*1000</f>
        <v>49440</v>
      </c>
      <c r="D102" s="79">
        <f t="shared" si="47"/>
        <v>49440</v>
      </c>
      <c r="E102" s="79">
        <f t="shared" si="47"/>
        <v>49440</v>
      </c>
      <c r="F102" s="79">
        <f t="shared" si="47"/>
        <v>49440</v>
      </c>
      <c r="G102" s="79">
        <f t="shared" si="47"/>
        <v>49440</v>
      </c>
      <c r="H102" s="79">
        <f t="shared" si="47"/>
        <v>49440</v>
      </c>
      <c r="I102" s="79">
        <f t="shared" si="47"/>
        <v>49440</v>
      </c>
      <c r="J102" s="79">
        <f t="shared" si="47"/>
        <v>49440</v>
      </c>
      <c r="K102" s="79">
        <f t="shared" si="47"/>
        <v>49440</v>
      </c>
      <c r="L102" s="79">
        <f t="shared" si="47"/>
        <v>51921.887999999999</v>
      </c>
      <c r="M102" s="79">
        <f t="shared" si="47"/>
        <v>51921.887999999999</v>
      </c>
      <c r="N102" s="79">
        <f t="shared" si="47"/>
        <v>51921.887999999999</v>
      </c>
      <c r="O102" s="532">
        <f>SUM(C102:N102)</f>
        <v>600725.66399999999</v>
      </c>
      <c r="P102" s="532">
        <v>562920</v>
      </c>
      <c r="Q102" s="765">
        <f>O102-P102</f>
        <v>37805.66399999999</v>
      </c>
    </row>
    <row r="103" spans="1:17" s="115" customFormat="1" ht="12.75" x14ac:dyDescent="0.2">
      <c r="A103" s="511"/>
      <c r="B103" s="438" t="s">
        <v>263</v>
      </c>
      <c r="C103" s="439">
        <f t="shared" ref="C103:N103" si="48">+C$52*C101*1000</f>
        <v>9480</v>
      </c>
      <c r="D103" s="439">
        <f t="shared" si="48"/>
        <v>9480</v>
      </c>
      <c r="E103" s="439">
        <f t="shared" si="48"/>
        <v>9480</v>
      </c>
      <c r="F103" s="439">
        <f t="shared" si="48"/>
        <v>9480</v>
      </c>
      <c r="G103" s="439">
        <f t="shared" si="48"/>
        <v>9480</v>
      </c>
      <c r="H103" s="439">
        <f t="shared" si="48"/>
        <v>9480</v>
      </c>
      <c r="I103" s="439">
        <f t="shared" si="48"/>
        <v>9480</v>
      </c>
      <c r="J103" s="439">
        <f t="shared" si="48"/>
        <v>9480</v>
      </c>
      <c r="K103" s="439">
        <f t="shared" si="48"/>
        <v>9480</v>
      </c>
      <c r="L103" s="439">
        <f t="shared" si="48"/>
        <v>9955.8960000000006</v>
      </c>
      <c r="M103" s="439">
        <f t="shared" si="48"/>
        <v>9955.8960000000006</v>
      </c>
      <c r="N103" s="439">
        <f t="shared" si="48"/>
        <v>9955.8960000000006</v>
      </c>
      <c r="O103" s="535">
        <f>SUM(C103:N103)</f>
        <v>115187.68800000002</v>
      </c>
      <c r="P103" s="535">
        <v>114840</v>
      </c>
      <c r="Q103" s="768">
        <f>O103-P103</f>
        <v>347.68800000002375</v>
      </c>
    </row>
    <row r="104" spans="1:17" s="116" customFormat="1" ht="14.85" customHeight="1" x14ac:dyDescent="0.2">
      <c r="A104" s="454"/>
      <c r="B104" s="440" t="s">
        <v>271</v>
      </c>
      <c r="C104" s="110">
        <f t="shared" ref="C104:I104" si="49">SUM(C102:C103)</f>
        <v>58920</v>
      </c>
      <c r="D104" s="110">
        <f t="shared" si="49"/>
        <v>58920</v>
      </c>
      <c r="E104" s="110">
        <f t="shared" si="49"/>
        <v>58920</v>
      </c>
      <c r="F104" s="110">
        <f t="shared" si="49"/>
        <v>58920</v>
      </c>
      <c r="G104" s="110">
        <f t="shared" si="49"/>
        <v>58920</v>
      </c>
      <c r="H104" s="110">
        <f t="shared" si="49"/>
        <v>58920</v>
      </c>
      <c r="I104" s="110">
        <f t="shared" si="49"/>
        <v>58920</v>
      </c>
      <c r="J104" s="110">
        <f t="shared" ref="J104:N104" si="50">SUM(J102:J103)</f>
        <v>58920</v>
      </c>
      <c r="K104" s="110">
        <f t="shared" si="50"/>
        <v>58920</v>
      </c>
      <c r="L104" s="110">
        <f t="shared" si="50"/>
        <v>61877.784</v>
      </c>
      <c r="M104" s="110">
        <f t="shared" si="50"/>
        <v>61877.784</v>
      </c>
      <c r="N104" s="110">
        <f t="shared" si="50"/>
        <v>61877.784</v>
      </c>
      <c r="O104" s="536">
        <f t="shared" ref="O104" si="51">SUM(O102:O103)</f>
        <v>715913.35199999996</v>
      </c>
      <c r="P104" s="536">
        <f>SUM(P102:P103)</f>
        <v>677760</v>
      </c>
      <c r="Q104" s="769">
        <f>O104-P104</f>
        <v>38153.351999999955</v>
      </c>
    </row>
    <row r="105" spans="1:17" s="116" customFormat="1" ht="12.75" x14ac:dyDescent="0.2">
      <c r="A105" s="454"/>
      <c r="B105" s="441"/>
      <c r="C105" s="365"/>
      <c r="D105" s="365"/>
      <c r="E105" s="365"/>
      <c r="F105" s="365"/>
      <c r="G105" s="365"/>
      <c r="H105" s="365"/>
      <c r="I105" s="365"/>
      <c r="J105" s="108"/>
      <c r="K105" s="108"/>
      <c r="L105" s="108"/>
      <c r="M105" s="108"/>
      <c r="N105" s="108"/>
      <c r="O105" s="537"/>
      <c r="P105" s="537"/>
      <c r="Q105" s="770"/>
    </row>
    <row r="106" spans="1:17" s="334" customFormat="1" ht="12.75" x14ac:dyDescent="0.2">
      <c r="A106" s="454">
        <v>12195</v>
      </c>
      <c r="B106" s="378" t="s">
        <v>273</v>
      </c>
      <c r="C106" s="365">
        <f t="shared" ref="C106:N106" si="52">C28</f>
        <v>5</v>
      </c>
      <c r="D106" s="365">
        <f t="shared" si="52"/>
        <v>5</v>
      </c>
      <c r="E106" s="365">
        <f t="shared" si="52"/>
        <v>5</v>
      </c>
      <c r="F106" s="365">
        <f t="shared" si="52"/>
        <v>5</v>
      </c>
      <c r="G106" s="365">
        <f t="shared" si="52"/>
        <v>5</v>
      </c>
      <c r="H106" s="365">
        <f t="shared" si="52"/>
        <v>5</v>
      </c>
      <c r="I106" s="365">
        <f t="shared" si="52"/>
        <v>5</v>
      </c>
      <c r="J106" s="365">
        <f t="shared" si="52"/>
        <v>5</v>
      </c>
      <c r="K106" s="365">
        <f t="shared" si="52"/>
        <v>5</v>
      </c>
      <c r="L106" s="365">
        <f t="shared" si="52"/>
        <v>5</v>
      </c>
      <c r="M106" s="365">
        <f t="shared" si="52"/>
        <v>5</v>
      </c>
      <c r="N106" s="365">
        <f t="shared" si="52"/>
        <v>5</v>
      </c>
      <c r="O106" s="525">
        <f>AVERAGE(C106:N106)</f>
        <v>5</v>
      </c>
      <c r="P106" s="525">
        <v>5</v>
      </c>
      <c r="Q106" s="758">
        <f>O106-P106</f>
        <v>0</v>
      </c>
    </row>
    <row r="107" spans="1:17" s="116" customFormat="1" ht="12.75" x14ac:dyDescent="0.2">
      <c r="A107" s="454"/>
      <c r="B107" s="438" t="s">
        <v>266</v>
      </c>
      <c r="C107" s="79">
        <f t="shared" ref="C107:N107" si="53">+C$51*C106*1000</f>
        <v>8240</v>
      </c>
      <c r="D107" s="79">
        <f t="shared" si="53"/>
        <v>8240</v>
      </c>
      <c r="E107" s="79">
        <f t="shared" si="53"/>
        <v>8240</v>
      </c>
      <c r="F107" s="79">
        <f t="shared" si="53"/>
        <v>8240</v>
      </c>
      <c r="G107" s="79">
        <f t="shared" si="53"/>
        <v>8240</v>
      </c>
      <c r="H107" s="79">
        <f t="shared" si="53"/>
        <v>8240</v>
      </c>
      <c r="I107" s="79">
        <f t="shared" si="53"/>
        <v>8240</v>
      </c>
      <c r="J107" s="79">
        <f t="shared" si="53"/>
        <v>8240</v>
      </c>
      <c r="K107" s="79">
        <f t="shared" si="53"/>
        <v>8240</v>
      </c>
      <c r="L107" s="79">
        <f t="shared" si="53"/>
        <v>8653.6479999999992</v>
      </c>
      <c r="M107" s="79">
        <f t="shared" si="53"/>
        <v>8653.6479999999992</v>
      </c>
      <c r="N107" s="79">
        <f t="shared" si="53"/>
        <v>8653.6479999999992</v>
      </c>
      <c r="O107" s="532">
        <f>SUM(C107:N107)</f>
        <v>100120.944</v>
      </c>
      <c r="P107" s="532">
        <v>93820</v>
      </c>
      <c r="Q107" s="765">
        <f>O107-P107</f>
        <v>6300.9440000000031</v>
      </c>
    </row>
    <row r="108" spans="1:17" s="116" customFormat="1" ht="12.75" x14ac:dyDescent="0.2">
      <c r="A108" s="454"/>
      <c r="B108" s="438" t="s">
        <v>263</v>
      </c>
      <c r="C108" s="439">
        <f t="shared" ref="C108:N108" si="54">+C$52*C106*1000</f>
        <v>1580</v>
      </c>
      <c r="D108" s="439">
        <f t="shared" si="54"/>
        <v>1580</v>
      </c>
      <c r="E108" s="439">
        <f t="shared" si="54"/>
        <v>1580</v>
      </c>
      <c r="F108" s="439">
        <f t="shared" si="54"/>
        <v>1580</v>
      </c>
      <c r="G108" s="439">
        <f t="shared" si="54"/>
        <v>1580</v>
      </c>
      <c r="H108" s="439">
        <f t="shared" si="54"/>
        <v>1580</v>
      </c>
      <c r="I108" s="439">
        <f t="shared" si="54"/>
        <v>1580</v>
      </c>
      <c r="J108" s="439">
        <f t="shared" si="54"/>
        <v>1580</v>
      </c>
      <c r="K108" s="439">
        <f t="shared" si="54"/>
        <v>1580</v>
      </c>
      <c r="L108" s="439">
        <f t="shared" si="54"/>
        <v>1659.316</v>
      </c>
      <c r="M108" s="439">
        <f t="shared" si="54"/>
        <v>1659.316</v>
      </c>
      <c r="N108" s="439">
        <f t="shared" si="54"/>
        <v>1659.316</v>
      </c>
      <c r="O108" s="535">
        <f>SUM(C108:N108)</f>
        <v>19197.948</v>
      </c>
      <c r="P108" s="535">
        <v>19140</v>
      </c>
      <c r="Q108" s="768">
        <f>O108-P108</f>
        <v>57.94800000000032</v>
      </c>
    </row>
    <row r="109" spans="1:17" s="116" customFormat="1" ht="14.85" customHeight="1" x14ac:dyDescent="0.2">
      <c r="A109" s="454"/>
      <c r="B109" s="440" t="s">
        <v>274</v>
      </c>
      <c r="C109" s="110">
        <f t="shared" ref="C109:E109" si="55">SUM(C107:C108)</f>
        <v>9820</v>
      </c>
      <c r="D109" s="110">
        <f t="shared" si="55"/>
        <v>9820</v>
      </c>
      <c r="E109" s="110">
        <f t="shared" si="55"/>
        <v>9820</v>
      </c>
      <c r="F109" s="110">
        <f t="shared" ref="F109:N109" si="56">SUM(F107:F108)</f>
        <v>9820</v>
      </c>
      <c r="G109" s="110">
        <f t="shared" si="56"/>
        <v>9820</v>
      </c>
      <c r="H109" s="110">
        <f t="shared" si="56"/>
        <v>9820</v>
      </c>
      <c r="I109" s="110">
        <f t="shared" si="56"/>
        <v>9820</v>
      </c>
      <c r="J109" s="110">
        <f t="shared" si="56"/>
        <v>9820</v>
      </c>
      <c r="K109" s="110">
        <f t="shared" si="56"/>
        <v>9820</v>
      </c>
      <c r="L109" s="110">
        <f t="shared" si="56"/>
        <v>10312.964</v>
      </c>
      <c r="M109" s="110">
        <f t="shared" si="56"/>
        <v>10312.964</v>
      </c>
      <c r="N109" s="110">
        <f t="shared" si="56"/>
        <v>10312.964</v>
      </c>
      <c r="O109" s="536">
        <f t="shared" ref="O109" si="57">SUM(O107:O108)</f>
        <v>119318.89200000001</v>
      </c>
      <c r="P109" s="536">
        <f>SUM(P107:P108)</f>
        <v>112960</v>
      </c>
      <c r="Q109" s="769">
        <f>O109-P109</f>
        <v>6358.8920000000071</v>
      </c>
    </row>
    <row r="110" spans="1:17" s="116" customFormat="1" ht="12.75" x14ac:dyDescent="0.2">
      <c r="A110" s="454"/>
      <c r="B110" s="442"/>
      <c r="C110" s="79"/>
      <c r="D110" s="79"/>
      <c r="E110" s="79"/>
      <c r="F110" s="79"/>
      <c r="G110" s="79"/>
      <c r="H110" s="79"/>
      <c r="I110" s="79"/>
      <c r="J110" s="108"/>
      <c r="K110" s="512"/>
      <c r="L110" s="108"/>
      <c r="M110" s="108"/>
      <c r="N110" s="108"/>
      <c r="O110" s="537"/>
      <c r="P110" s="537"/>
      <c r="Q110" s="770"/>
    </row>
    <row r="111" spans="1:17" s="116" customFormat="1" ht="12.75" x14ac:dyDescent="0.2">
      <c r="A111" s="454">
        <v>12195</v>
      </c>
      <c r="B111" s="378" t="s">
        <v>276</v>
      </c>
      <c r="C111" s="365">
        <f t="shared" ref="C111:N111" si="58">+C29</f>
        <v>100</v>
      </c>
      <c r="D111" s="365">
        <f t="shared" si="58"/>
        <v>100</v>
      </c>
      <c r="E111" s="365">
        <f t="shared" si="58"/>
        <v>100</v>
      </c>
      <c r="F111" s="365">
        <f t="shared" si="58"/>
        <v>100</v>
      </c>
      <c r="G111" s="365">
        <f t="shared" si="58"/>
        <v>100</v>
      </c>
      <c r="H111" s="365">
        <f t="shared" si="58"/>
        <v>100</v>
      </c>
      <c r="I111" s="365">
        <f t="shared" si="58"/>
        <v>100</v>
      </c>
      <c r="J111" s="365">
        <f t="shared" si="58"/>
        <v>100</v>
      </c>
      <c r="K111" s="365">
        <f t="shared" si="58"/>
        <v>100</v>
      </c>
      <c r="L111" s="365">
        <f t="shared" si="58"/>
        <v>100</v>
      </c>
      <c r="M111" s="365">
        <f t="shared" si="58"/>
        <v>100</v>
      </c>
      <c r="N111" s="365">
        <f t="shared" si="58"/>
        <v>100</v>
      </c>
      <c r="O111" s="525">
        <f>AVERAGE(C111:N111)</f>
        <v>100</v>
      </c>
      <c r="P111" s="525">
        <v>100</v>
      </c>
      <c r="Q111" s="758">
        <f>O111-P111</f>
        <v>0</v>
      </c>
    </row>
    <row r="112" spans="1:17" s="116" customFormat="1" ht="12.75" x14ac:dyDescent="0.2">
      <c r="A112" s="454"/>
      <c r="B112" s="438" t="s">
        <v>266</v>
      </c>
      <c r="C112" s="79">
        <f t="shared" ref="C112:N112" si="59">+C51*C111*1000</f>
        <v>164799.99999999997</v>
      </c>
      <c r="D112" s="79">
        <f t="shared" si="59"/>
        <v>164799.99999999997</v>
      </c>
      <c r="E112" s="79">
        <f t="shared" si="59"/>
        <v>164799.99999999997</v>
      </c>
      <c r="F112" s="79">
        <f t="shared" si="59"/>
        <v>164799.99999999997</v>
      </c>
      <c r="G112" s="79">
        <f t="shared" si="59"/>
        <v>164799.99999999997</v>
      </c>
      <c r="H112" s="79">
        <f t="shared" si="59"/>
        <v>164799.99999999997</v>
      </c>
      <c r="I112" s="79">
        <f t="shared" si="59"/>
        <v>164799.99999999997</v>
      </c>
      <c r="J112" s="79">
        <f t="shared" si="59"/>
        <v>164799.99999999997</v>
      </c>
      <c r="K112" s="79">
        <f t="shared" si="59"/>
        <v>164799.99999999997</v>
      </c>
      <c r="L112" s="79">
        <f t="shared" si="59"/>
        <v>173072.96</v>
      </c>
      <c r="M112" s="79">
        <f t="shared" si="59"/>
        <v>173072.96</v>
      </c>
      <c r="N112" s="79">
        <f t="shared" si="59"/>
        <v>173072.96</v>
      </c>
      <c r="O112" s="532">
        <f>SUM(C112:N112)</f>
        <v>2002418.8799999997</v>
      </c>
      <c r="P112" s="532">
        <v>1876400</v>
      </c>
      <c r="Q112" s="765">
        <f>O112-P112</f>
        <v>126018.87999999966</v>
      </c>
    </row>
    <row r="113" spans="1:17" s="334" customFormat="1" ht="12.75" x14ac:dyDescent="0.2">
      <c r="A113" s="454"/>
      <c r="B113" s="438" t="s">
        <v>263</v>
      </c>
      <c r="C113" s="439">
        <f t="shared" ref="C113:N113" si="60">+C52*C111*1000</f>
        <v>31600</v>
      </c>
      <c r="D113" s="439">
        <f t="shared" si="60"/>
        <v>31600</v>
      </c>
      <c r="E113" s="439">
        <f t="shared" si="60"/>
        <v>31600</v>
      </c>
      <c r="F113" s="439">
        <f t="shared" si="60"/>
        <v>31600</v>
      </c>
      <c r="G113" s="439">
        <f t="shared" si="60"/>
        <v>31600</v>
      </c>
      <c r="H113" s="439">
        <f t="shared" si="60"/>
        <v>31600</v>
      </c>
      <c r="I113" s="439">
        <f t="shared" si="60"/>
        <v>31600</v>
      </c>
      <c r="J113" s="439">
        <f t="shared" si="60"/>
        <v>31600</v>
      </c>
      <c r="K113" s="439">
        <f t="shared" si="60"/>
        <v>31600</v>
      </c>
      <c r="L113" s="439">
        <f t="shared" si="60"/>
        <v>33186.32</v>
      </c>
      <c r="M113" s="439">
        <f t="shared" si="60"/>
        <v>33186.32</v>
      </c>
      <c r="N113" s="439">
        <f t="shared" si="60"/>
        <v>33186.32</v>
      </c>
      <c r="O113" s="535">
        <f>SUM(C113:N113)</f>
        <v>383958.96</v>
      </c>
      <c r="P113" s="535">
        <v>382800</v>
      </c>
      <c r="Q113" s="768">
        <f>O113-P113</f>
        <v>1158.960000000021</v>
      </c>
    </row>
    <row r="114" spans="1:17" s="334" customFormat="1" ht="12.75" x14ac:dyDescent="0.2">
      <c r="A114" s="454"/>
      <c r="B114" s="440" t="s">
        <v>277</v>
      </c>
      <c r="C114" s="110">
        <f t="shared" ref="C114:I114" si="61">SUM(C112:C113)</f>
        <v>196399.99999999997</v>
      </c>
      <c r="D114" s="110">
        <f t="shared" si="61"/>
        <v>196399.99999999997</v>
      </c>
      <c r="E114" s="110">
        <f t="shared" si="61"/>
        <v>196399.99999999997</v>
      </c>
      <c r="F114" s="110">
        <f t="shared" si="61"/>
        <v>196399.99999999997</v>
      </c>
      <c r="G114" s="110">
        <f t="shared" si="61"/>
        <v>196399.99999999997</v>
      </c>
      <c r="H114" s="110">
        <f t="shared" si="61"/>
        <v>196399.99999999997</v>
      </c>
      <c r="I114" s="110">
        <f t="shared" si="61"/>
        <v>196399.99999999997</v>
      </c>
      <c r="J114" s="110">
        <f t="shared" ref="J114:N114" si="62">SUM(J112:J113)</f>
        <v>196399.99999999997</v>
      </c>
      <c r="K114" s="110">
        <f t="shared" si="62"/>
        <v>196399.99999999997</v>
      </c>
      <c r="L114" s="110">
        <f t="shared" si="62"/>
        <v>206259.28</v>
      </c>
      <c r="M114" s="110">
        <f t="shared" si="62"/>
        <v>206259.28</v>
      </c>
      <c r="N114" s="110">
        <f t="shared" si="62"/>
        <v>206259.28</v>
      </c>
      <c r="O114" s="536">
        <f t="shared" ref="O114" si="63">SUM(O112:O113)</f>
        <v>2386377.84</v>
      </c>
      <c r="P114" s="536">
        <f>SUM(P112:P113)</f>
        <v>2259200</v>
      </c>
      <c r="Q114" s="769">
        <f>O114-P114</f>
        <v>127177.83999999985</v>
      </c>
    </row>
    <row r="115" spans="1:17" s="334" customFormat="1" ht="12.75" x14ac:dyDescent="0.2">
      <c r="A115" s="454"/>
      <c r="B115" s="442"/>
      <c r="C115" s="79"/>
      <c r="D115" s="79"/>
      <c r="E115" s="79"/>
      <c r="F115" s="79"/>
      <c r="G115" s="79"/>
      <c r="H115" s="79"/>
      <c r="I115" s="79"/>
      <c r="J115" s="404"/>
      <c r="K115" s="404"/>
      <c r="L115" s="404"/>
      <c r="M115" s="404"/>
      <c r="N115" s="404"/>
      <c r="O115" s="524"/>
      <c r="P115" s="524"/>
      <c r="Q115" s="757"/>
    </row>
    <row r="116" spans="1:17" s="115" customFormat="1" ht="12.75" x14ac:dyDescent="0.2">
      <c r="A116" s="425">
        <v>12195</v>
      </c>
      <c r="B116" s="378" t="s">
        <v>601</v>
      </c>
      <c r="C116" s="365">
        <f>+C30+C31</f>
        <v>10</v>
      </c>
      <c r="D116" s="365">
        <f t="shared" ref="D116:N116" si="64">+D30+D31</f>
        <v>10</v>
      </c>
      <c r="E116" s="365">
        <f t="shared" si="64"/>
        <v>10</v>
      </c>
      <c r="F116" s="365">
        <f t="shared" si="64"/>
        <v>10</v>
      </c>
      <c r="G116" s="365">
        <f t="shared" si="64"/>
        <v>10</v>
      </c>
      <c r="H116" s="365">
        <f t="shared" si="64"/>
        <v>10</v>
      </c>
      <c r="I116" s="365">
        <f t="shared" si="64"/>
        <v>10</v>
      </c>
      <c r="J116" s="365">
        <f t="shared" si="64"/>
        <v>10</v>
      </c>
      <c r="K116" s="365">
        <f t="shared" si="64"/>
        <v>10</v>
      </c>
      <c r="L116" s="365">
        <f t="shared" si="64"/>
        <v>10</v>
      </c>
      <c r="M116" s="365">
        <f t="shared" si="64"/>
        <v>10</v>
      </c>
      <c r="N116" s="365">
        <f t="shared" si="64"/>
        <v>10</v>
      </c>
      <c r="O116" s="525">
        <f>AVERAGE(C116:N116)</f>
        <v>10</v>
      </c>
      <c r="P116" s="525">
        <v>0</v>
      </c>
      <c r="Q116" s="758">
        <f>O116-P116</f>
        <v>10</v>
      </c>
    </row>
    <row r="117" spans="1:17" s="115" customFormat="1" ht="12.75" x14ac:dyDescent="0.2">
      <c r="A117" s="425"/>
      <c r="B117" s="438" t="s">
        <v>266</v>
      </c>
      <c r="C117" s="79">
        <f>+C51*C116*1000</f>
        <v>16480</v>
      </c>
      <c r="D117" s="79">
        <f t="shared" ref="D117:N117" si="65">+D51*D116*1000</f>
        <v>16480</v>
      </c>
      <c r="E117" s="79">
        <f t="shared" si="65"/>
        <v>16480</v>
      </c>
      <c r="F117" s="79">
        <f t="shared" si="65"/>
        <v>16480</v>
      </c>
      <c r="G117" s="79">
        <f t="shared" si="65"/>
        <v>16480</v>
      </c>
      <c r="H117" s="79">
        <f t="shared" si="65"/>
        <v>16480</v>
      </c>
      <c r="I117" s="79">
        <f t="shared" si="65"/>
        <v>16480</v>
      </c>
      <c r="J117" s="79">
        <f t="shared" si="65"/>
        <v>16480</v>
      </c>
      <c r="K117" s="79">
        <f t="shared" si="65"/>
        <v>16480</v>
      </c>
      <c r="L117" s="79">
        <f t="shared" si="65"/>
        <v>17307.295999999998</v>
      </c>
      <c r="M117" s="79">
        <f t="shared" si="65"/>
        <v>17307.295999999998</v>
      </c>
      <c r="N117" s="79">
        <f t="shared" si="65"/>
        <v>17307.295999999998</v>
      </c>
      <c r="O117" s="532">
        <f>SUM(C117:N117)</f>
        <v>200241.88800000001</v>
      </c>
      <c r="P117" s="532">
        <v>0</v>
      </c>
      <c r="Q117" s="765">
        <f>O117-P117</f>
        <v>200241.88800000001</v>
      </c>
    </row>
    <row r="118" spans="1:17" s="40" customFormat="1" ht="12.75" x14ac:dyDescent="0.2">
      <c r="A118" s="425"/>
      <c r="B118" s="438" t="s">
        <v>263</v>
      </c>
      <c r="C118" s="439">
        <f>+C52*C116*1000</f>
        <v>3160</v>
      </c>
      <c r="D118" s="439">
        <f t="shared" ref="D118:N118" si="66">+D52*D116*1000</f>
        <v>3160</v>
      </c>
      <c r="E118" s="439">
        <f t="shared" si="66"/>
        <v>3160</v>
      </c>
      <c r="F118" s="439">
        <f t="shared" si="66"/>
        <v>3160</v>
      </c>
      <c r="G118" s="439">
        <f t="shared" si="66"/>
        <v>3160</v>
      </c>
      <c r="H118" s="439">
        <f t="shared" si="66"/>
        <v>3160</v>
      </c>
      <c r="I118" s="439">
        <f t="shared" si="66"/>
        <v>3160</v>
      </c>
      <c r="J118" s="439">
        <f t="shared" si="66"/>
        <v>3160</v>
      </c>
      <c r="K118" s="439">
        <f t="shared" si="66"/>
        <v>3160</v>
      </c>
      <c r="L118" s="439">
        <f t="shared" si="66"/>
        <v>3318.6320000000001</v>
      </c>
      <c r="M118" s="439">
        <f t="shared" si="66"/>
        <v>3318.6320000000001</v>
      </c>
      <c r="N118" s="439">
        <f t="shared" si="66"/>
        <v>3318.6320000000001</v>
      </c>
      <c r="O118" s="535">
        <f>SUM(C118:N118)</f>
        <v>38395.896000000001</v>
      </c>
      <c r="P118" s="535">
        <v>0</v>
      </c>
      <c r="Q118" s="768">
        <f>O118-P118</f>
        <v>38395.896000000001</v>
      </c>
    </row>
    <row r="119" spans="1:17" s="40" customFormat="1" ht="12.75" x14ac:dyDescent="0.2">
      <c r="A119" s="425"/>
      <c r="B119" s="440" t="s">
        <v>600</v>
      </c>
      <c r="C119" s="110">
        <f t="shared" ref="C119" si="67">SUM(C117:C118)</f>
        <v>19640</v>
      </c>
      <c r="D119" s="110">
        <f t="shared" ref="D119:N119" si="68">SUM(D117:D118)</f>
        <v>19640</v>
      </c>
      <c r="E119" s="110">
        <f t="shared" si="68"/>
        <v>19640</v>
      </c>
      <c r="F119" s="110">
        <f t="shared" si="68"/>
        <v>19640</v>
      </c>
      <c r="G119" s="110">
        <f t="shared" si="68"/>
        <v>19640</v>
      </c>
      <c r="H119" s="110">
        <f t="shared" si="68"/>
        <v>19640</v>
      </c>
      <c r="I119" s="110">
        <f t="shared" si="68"/>
        <v>19640</v>
      </c>
      <c r="J119" s="110">
        <f t="shared" si="68"/>
        <v>19640</v>
      </c>
      <c r="K119" s="110">
        <f t="shared" si="68"/>
        <v>19640</v>
      </c>
      <c r="L119" s="110">
        <f t="shared" si="68"/>
        <v>20625.928</v>
      </c>
      <c r="M119" s="110">
        <f t="shared" si="68"/>
        <v>20625.928</v>
      </c>
      <c r="N119" s="110">
        <f t="shared" si="68"/>
        <v>20625.928</v>
      </c>
      <c r="O119" s="536">
        <f t="shared" ref="O119" si="69">SUM(O117:O118)</f>
        <v>238637.78400000001</v>
      </c>
      <c r="P119" s="536">
        <f>SUM(P117:P118)</f>
        <v>0</v>
      </c>
      <c r="Q119" s="769">
        <f>O119-P119</f>
        <v>238637.78400000001</v>
      </c>
    </row>
    <row r="120" spans="1:17" s="334" customFormat="1" ht="12.75" x14ac:dyDescent="0.2">
      <c r="A120" s="454"/>
      <c r="B120" s="442"/>
      <c r="C120" s="79"/>
      <c r="D120" s="79"/>
      <c r="E120" s="79"/>
      <c r="F120" s="79"/>
      <c r="G120" s="79"/>
      <c r="H120" s="79"/>
      <c r="I120" s="79"/>
      <c r="J120" s="404"/>
      <c r="K120" s="404"/>
      <c r="L120" s="404"/>
      <c r="M120" s="404"/>
      <c r="N120" s="404"/>
      <c r="O120" s="524"/>
      <c r="P120" s="524"/>
      <c r="Q120" s="757"/>
    </row>
    <row r="121" spans="1:17" s="40" customFormat="1" ht="12.75" x14ac:dyDescent="0.2">
      <c r="A121" s="425"/>
      <c r="B121" s="440" t="s">
        <v>333</v>
      </c>
      <c r="C121" s="110">
        <f>SUM(C69,C74,C79,C84,C89,C109,C114,C99,C104,C94,C119)</f>
        <v>4556480</v>
      </c>
      <c r="D121" s="110">
        <f t="shared" ref="D121:P121" si="70">SUM(D69,D74,D79,D84,D89,D109,D114,D99,D104,D94,D119)</f>
        <v>4860900</v>
      </c>
      <c r="E121" s="110">
        <f t="shared" si="70"/>
        <v>4556480</v>
      </c>
      <c r="F121" s="110">
        <f t="shared" si="70"/>
        <v>4556480</v>
      </c>
      <c r="G121" s="110">
        <f t="shared" si="70"/>
        <v>4556480</v>
      </c>
      <c r="H121" s="110">
        <f t="shared" si="70"/>
        <v>4556480</v>
      </c>
      <c r="I121" s="110">
        <f t="shared" si="70"/>
        <v>4556480</v>
      </c>
      <c r="J121" s="110">
        <f t="shared" si="70"/>
        <v>4556480</v>
      </c>
      <c r="K121" s="110">
        <f t="shared" si="70"/>
        <v>4556480</v>
      </c>
      <c r="L121" s="110">
        <f t="shared" si="70"/>
        <v>4785215.2960000001</v>
      </c>
      <c r="M121" s="110">
        <f t="shared" si="70"/>
        <v>4785215.2960000001</v>
      </c>
      <c r="N121" s="110">
        <f t="shared" si="70"/>
        <v>4785215.2960000001</v>
      </c>
      <c r="O121" s="536">
        <f t="shared" si="70"/>
        <v>55668385.887999997</v>
      </c>
      <c r="P121" s="536">
        <f t="shared" si="70"/>
        <v>52187520</v>
      </c>
      <c r="Q121" s="769">
        <f>O121-P121</f>
        <v>3480865.8879999965</v>
      </c>
    </row>
    <row r="122" spans="1:17" s="116" customFormat="1" ht="12.75" x14ac:dyDescent="0.2">
      <c r="A122" s="513"/>
      <c r="B122" s="441"/>
      <c r="C122" s="365"/>
      <c r="D122" s="365"/>
      <c r="E122" s="365"/>
      <c r="F122" s="365"/>
      <c r="G122" s="365"/>
      <c r="H122" s="365"/>
      <c r="I122" s="365"/>
      <c r="J122" s="108"/>
      <c r="K122" s="108"/>
      <c r="L122" s="108"/>
      <c r="M122" s="108"/>
      <c r="N122" s="108"/>
      <c r="O122" s="537"/>
      <c r="P122" s="537"/>
      <c r="Q122" s="770"/>
    </row>
    <row r="123" spans="1:17" s="116" customFormat="1" ht="12.75" x14ac:dyDescent="0.2">
      <c r="A123" s="454">
        <v>11539</v>
      </c>
      <c r="B123" s="378" t="s">
        <v>260</v>
      </c>
      <c r="C123" s="365">
        <f t="shared" ref="C123:N123" si="71">+C32</f>
        <v>137</v>
      </c>
      <c r="D123" s="365">
        <f t="shared" si="71"/>
        <v>137</v>
      </c>
      <c r="E123" s="365">
        <f t="shared" si="71"/>
        <v>137</v>
      </c>
      <c r="F123" s="365">
        <f t="shared" si="71"/>
        <v>137</v>
      </c>
      <c r="G123" s="365">
        <f t="shared" si="71"/>
        <v>137</v>
      </c>
      <c r="H123" s="365">
        <f t="shared" si="71"/>
        <v>137</v>
      </c>
      <c r="I123" s="365">
        <f t="shared" si="71"/>
        <v>137</v>
      </c>
      <c r="J123" s="365">
        <f t="shared" si="71"/>
        <v>137</v>
      </c>
      <c r="K123" s="365">
        <f t="shared" si="71"/>
        <v>137</v>
      </c>
      <c r="L123" s="365">
        <f t="shared" si="71"/>
        <v>137</v>
      </c>
      <c r="M123" s="365">
        <f t="shared" si="71"/>
        <v>137</v>
      </c>
      <c r="N123" s="365">
        <f t="shared" si="71"/>
        <v>137</v>
      </c>
      <c r="O123" s="525">
        <f>AVERAGE(C123:N123)</f>
        <v>137</v>
      </c>
      <c r="P123" s="525">
        <v>137</v>
      </c>
      <c r="Q123" s="758">
        <f>O123-P123</f>
        <v>0</v>
      </c>
    </row>
    <row r="124" spans="1:17" s="334" customFormat="1" ht="12.75" x14ac:dyDescent="0.2">
      <c r="A124" s="454"/>
      <c r="B124" s="378" t="s">
        <v>512</v>
      </c>
      <c r="C124" s="362">
        <v>-36853</v>
      </c>
      <c r="D124" s="362">
        <v>-36853</v>
      </c>
      <c r="E124" s="362">
        <v>-36853</v>
      </c>
      <c r="F124" s="362">
        <v>-36853</v>
      </c>
      <c r="G124" s="362">
        <v>-36853</v>
      </c>
      <c r="H124" s="362">
        <v>-36853</v>
      </c>
      <c r="I124" s="362">
        <v>-36853</v>
      </c>
      <c r="J124" s="362">
        <v>-36853</v>
      </c>
      <c r="K124" s="362">
        <v>-36853</v>
      </c>
      <c r="L124" s="362">
        <v>-36853</v>
      </c>
      <c r="M124" s="362">
        <v>-36853</v>
      </c>
      <c r="N124" s="362">
        <v>-36853</v>
      </c>
      <c r="O124" s="532">
        <f>SUM(C124:N124)</f>
        <v>-442236</v>
      </c>
      <c r="P124" s="538">
        <v>-442236</v>
      </c>
      <c r="Q124" s="765">
        <f>O124-P124</f>
        <v>0</v>
      </c>
    </row>
    <row r="125" spans="1:17" s="334" customFormat="1" ht="12.75" x14ac:dyDescent="0.2">
      <c r="A125" s="454"/>
      <c r="B125" s="438" t="s">
        <v>266</v>
      </c>
      <c r="C125" s="79">
        <f t="shared" ref="C125:N125" si="72">(C51)*C123*1000</f>
        <v>225775.99999999997</v>
      </c>
      <c r="D125" s="79">
        <f t="shared" si="72"/>
        <v>225775.99999999997</v>
      </c>
      <c r="E125" s="79">
        <f t="shared" si="72"/>
        <v>225775.99999999997</v>
      </c>
      <c r="F125" s="79">
        <f t="shared" si="72"/>
        <v>225775.99999999997</v>
      </c>
      <c r="G125" s="79">
        <f t="shared" si="72"/>
        <v>225775.99999999997</v>
      </c>
      <c r="H125" s="79">
        <f t="shared" si="72"/>
        <v>225775.99999999997</v>
      </c>
      <c r="I125" s="79">
        <f t="shared" si="72"/>
        <v>225775.99999999997</v>
      </c>
      <c r="J125" s="79">
        <f t="shared" si="72"/>
        <v>225775.99999999997</v>
      </c>
      <c r="K125" s="79">
        <f t="shared" si="72"/>
        <v>225775.99999999997</v>
      </c>
      <c r="L125" s="79">
        <f t="shared" si="72"/>
        <v>237109.95519999997</v>
      </c>
      <c r="M125" s="79">
        <f t="shared" si="72"/>
        <v>237109.95519999997</v>
      </c>
      <c r="N125" s="79">
        <f t="shared" si="72"/>
        <v>237109.95519999997</v>
      </c>
      <c r="O125" s="532">
        <f>SUM(C125:N125)</f>
        <v>2743313.8655999992</v>
      </c>
      <c r="P125" s="532">
        <v>2570668</v>
      </c>
      <c r="Q125" s="765">
        <f>O125-P125</f>
        <v>172645.8655999992</v>
      </c>
    </row>
    <row r="126" spans="1:17" s="116" customFormat="1" ht="12.75" x14ac:dyDescent="0.2">
      <c r="A126" s="454"/>
      <c r="B126" s="438" t="s">
        <v>263</v>
      </c>
      <c r="C126" s="439">
        <f t="shared" ref="C126:N126" si="73">+C52*C123*1000</f>
        <v>43292</v>
      </c>
      <c r="D126" s="439">
        <f t="shared" si="73"/>
        <v>43292</v>
      </c>
      <c r="E126" s="439">
        <f t="shared" si="73"/>
        <v>43292</v>
      </c>
      <c r="F126" s="439">
        <f t="shared" si="73"/>
        <v>43292</v>
      </c>
      <c r="G126" s="439">
        <f t="shared" si="73"/>
        <v>43292</v>
      </c>
      <c r="H126" s="439">
        <f t="shared" si="73"/>
        <v>43292</v>
      </c>
      <c r="I126" s="439">
        <f t="shared" si="73"/>
        <v>43292</v>
      </c>
      <c r="J126" s="439">
        <f t="shared" si="73"/>
        <v>43292</v>
      </c>
      <c r="K126" s="439">
        <f t="shared" si="73"/>
        <v>43292</v>
      </c>
      <c r="L126" s="439">
        <f t="shared" si="73"/>
        <v>45465.258400000006</v>
      </c>
      <c r="M126" s="439">
        <f t="shared" si="73"/>
        <v>45465.258400000006</v>
      </c>
      <c r="N126" s="439">
        <f t="shared" si="73"/>
        <v>45465.258400000006</v>
      </c>
      <c r="O126" s="535">
        <f>SUM(C126:N126)</f>
        <v>526023.77520000003</v>
      </c>
      <c r="P126" s="535">
        <v>524436</v>
      </c>
      <c r="Q126" s="768">
        <f>O126-P126</f>
        <v>1587.7752000000328</v>
      </c>
    </row>
    <row r="127" spans="1:17" s="116" customFormat="1" ht="12.75" x14ac:dyDescent="0.2">
      <c r="A127" s="454"/>
      <c r="B127" s="440" t="s">
        <v>278</v>
      </c>
      <c r="C127" s="110">
        <f>SUM(C124:C126)</f>
        <v>232214.99999999997</v>
      </c>
      <c r="D127" s="110">
        <f t="shared" ref="D127:N127" si="74">SUM(D124:D126)</f>
        <v>232214.99999999997</v>
      </c>
      <c r="E127" s="110">
        <f t="shared" si="74"/>
        <v>232214.99999999997</v>
      </c>
      <c r="F127" s="110">
        <f t="shared" si="74"/>
        <v>232214.99999999997</v>
      </c>
      <c r="G127" s="110">
        <f t="shared" si="74"/>
        <v>232214.99999999997</v>
      </c>
      <c r="H127" s="110">
        <f t="shared" si="74"/>
        <v>232214.99999999997</v>
      </c>
      <c r="I127" s="110">
        <f t="shared" si="74"/>
        <v>232214.99999999997</v>
      </c>
      <c r="J127" s="110">
        <f t="shared" si="74"/>
        <v>232214.99999999997</v>
      </c>
      <c r="K127" s="110">
        <f t="shared" si="74"/>
        <v>232214.99999999997</v>
      </c>
      <c r="L127" s="110">
        <f t="shared" si="74"/>
        <v>245722.21359999996</v>
      </c>
      <c r="M127" s="110">
        <f t="shared" si="74"/>
        <v>245722.21359999996</v>
      </c>
      <c r="N127" s="110">
        <f t="shared" si="74"/>
        <v>245722.21359999996</v>
      </c>
      <c r="O127" s="536">
        <f t="shared" ref="O127" si="75">SUM(O124:O126)</f>
        <v>2827101.6407999992</v>
      </c>
      <c r="P127" s="536">
        <f>SUM(P124:P126)</f>
        <v>2652868</v>
      </c>
      <c r="Q127" s="769">
        <f>O127-P127</f>
        <v>174233.64079999924</v>
      </c>
    </row>
    <row r="128" spans="1:17" s="116" customFormat="1" ht="12.75" x14ac:dyDescent="0.2">
      <c r="A128" s="454"/>
      <c r="B128" s="441"/>
      <c r="C128" s="365"/>
      <c r="D128" s="365"/>
      <c r="E128" s="365"/>
      <c r="F128" s="365"/>
      <c r="G128" s="365"/>
      <c r="H128" s="365"/>
      <c r="I128" s="365"/>
      <c r="J128" s="108"/>
      <c r="K128" s="108"/>
      <c r="L128" s="108"/>
      <c r="M128" s="108"/>
      <c r="N128" s="79"/>
      <c r="O128" s="537"/>
      <c r="P128" s="537"/>
      <c r="Q128" s="770"/>
    </row>
    <row r="129" spans="1:19" s="116" customFormat="1" ht="12.75" x14ac:dyDescent="0.2">
      <c r="A129" s="454">
        <v>12195</v>
      </c>
      <c r="B129" s="378" t="s">
        <v>254</v>
      </c>
      <c r="C129" s="365">
        <f t="shared" ref="C129:N129" si="76">C38+C39+C40+C41</f>
        <v>315</v>
      </c>
      <c r="D129" s="365">
        <f t="shared" si="76"/>
        <v>315</v>
      </c>
      <c r="E129" s="365">
        <f t="shared" si="76"/>
        <v>315</v>
      </c>
      <c r="F129" s="365">
        <f t="shared" si="76"/>
        <v>315</v>
      </c>
      <c r="G129" s="365">
        <f t="shared" si="76"/>
        <v>315</v>
      </c>
      <c r="H129" s="365">
        <f t="shared" si="76"/>
        <v>315</v>
      </c>
      <c r="I129" s="365">
        <f t="shared" si="76"/>
        <v>315</v>
      </c>
      <c r="J129" s="365">
        <f t="shared" si="76"/>
        <v>315</v>
      </c>
      <c r="K129" s="365">
        <f t="shared" si="76"/>
        <v>315</v>
      </c>
      <c r="L129" s="365">
        <f t="shared" si="76"/>
        <v>315</v>
      </c>
      <c r="M129" s="365">
        <f t="shared" si="76"/>
        <v>315</v>
      </c>
      <c r="N129" s="365">
        <f t="shared" si="76"/>
        <v>315</v>
      </c>
      <c r="O129" s="525">
        <f>AVERAGE(C129:N129)</f>
        <v>315</v>
      </c>
      <c r="P129" s="525">
        <v>315</v>
      </c>
      <c r="Q129" s="758">
        <f>O129-P129</f>
        <v>0</v>
      </c>
      <c r="S129" s="613"/>
    </row>
    <row r="130" spans="1:19" s="116" customFormat="1" ht="12.75" x14ac:dyDescent="0.2">
      <c r="A130" s="454"/>
      <c r="B130" s="438" t="s">
        <v>266</v>
      </c>
      <c r="C130" s="79">
        <f t="shared" ref="C130:N130" si="77">+C51*C129*1000</f>
        <v>519120</v>
      </c>
      <c r="D130" s="79">
        <f t="shared" si="77"/>
        <v>519120</v>
      </c>
      <c r="E130" s="79">
        <f t="shared" si="77"/>
        <v>519120</v>
      </c>
      <c r="F130" s="79">
        <f t="shared" si="77"/>
        <v>519120</v>
      </c>
      <c r="G130" s="79">
        <f t="shared" si="77"/>
        <v>519120</v>
      </c>
      <c r="H130" s="79">
        <f t="shared" si="77"/>
        <v>519120</v>
      </c>
      <c r="I130" s="79">
        <f t="shared" si="77"/>
        <v>519120</v>
      </c>
      <c r="J130" s="79">
        <f t="shared" si="77"/>
        <v>519120</v>
      </c>
      <c r="K130" s="79">
        <f t="shared" si="77"/>
        <v>519120</v>
      </c>
      <c r="L130" s="79">
        <f t="shared" si="77"/>
        <v>545179.82399999991</v>
      </c>
      <c r="M130" s="79">
        <f t="shared" si="77"/>
        <v>545179.82399999991</v>
      </c>
      <c r="N130" s="79">
        <f t="shared" si="77"/>
        <v>545179.82399999991</v>
      </c>
      <c r="O130" s="532">
        <f>SUM(C130:N130)</f>
        <v>6307619.4720000001</v>
      </c>
      <c r="P130" s="532">
        <v>5910660</v>
      </c>
      <c r="Q130" s="765">
        <f>O130-P130</f>
        <v>396959.47200000007</v>
      </c>
    </row>
    <row r="131" spans="1:19" s="334" customFormat="1" ht="12.75" x14ac:dyDescent="0.2">
      <c r="A131" s="454"/>
      <c r="B131" s="438" t="s">
        <v>263</v>
      </c>
      <c r="C131" s="79">
        <f t="shared" ref="C131:N131" si="78">C52*C129*1000</f>
        <v>99540</v>
      </c>
      <c r="D131" s="79">
        <f t="shared" si="78"/>
        <v>99540</v>
      </c>
      <c r="E131" s="79">
        <f t="shared" si="78"/>
        <v>99540</v>
      </c>
      <c r="F131" s="79">
        <f t="shared" si="78"/>
        <v>99540</v>
      </c>
      <c r="G131" s="79">
        <f t="shared" si="78"/>
        <v>99540</v>
      </c>
      <c r="H131" s="79">
        <f t="shared" si="78"/>
        <v>99540</v>
      </c>
      <c r="I131" s="79">
        <f t="shared" si="78"/>
        <v>99540</v>
      </c>
      <c r="J131" s="79">
        <f t="shared" si="78"/>
        <v>99540</v>
      </c>
      <c r="K131" s="79">
        <f t="shared" si="78"/>
        <v>99540</v>
      </c>
      <c r="L131" s="79">
        <f t="shared" si="78"/>
        <v>104536.90800000001</v>
      </c>
      <c r="M131" s="79">
        <f t="shared" si="78"/>
        <v>104536.90800000001</v>
      </c>
      <c r="N131" s="79">
        <f t="shared" si="78"/>
        <v>104536.90800000001</v>
      </c>
      <c r="O131" s="532">
        <f>SUM(C131:N131)</f>
        <v>1209470.7240000002</v>
      </c>
      <c r="P131" s="532">
        <v>1205820</v>
      </c>
      <c r="Q131" s="765">
        <f>O131-P131</f>
        <v>3650.7240000001621</v>
      </c>
    </row>
    <row r="132" spans="1:19" s="40" customFormat="1" ht="12.75" x14ac:dyDescent="0.2">
      <c r="A132" s="454"/>
      <c r="B132" s="438" t="s">
        <v>279</v>
      </c>
      <c r="C132" s="79">
        <v>114216</v>
      </c>
      <c r="D132" s="79">
        <v>114216</v>
      </c>
      <c r="E132" s="79">
        <v>114216</v>
      </c>
      <c r="F132" s="79">
        <v>114216</v>
      </c>
      <c r="G132" s="79">
        <v>114216</v>
      </c>
      <c r="H132" s="79">
        <v>114216</v>
      </c>
      <c r="I132" s="79">
        <v>114216</v>
      </c>
      <c r="J132" s="79">
        <v>114216</v>
      </c>
      <c r="K132" s="79">
        <v>114216</v>
      </c>
      <c r="L132" s="79">
        <v>114216</v>
      </c>
      <c r="M132" s="79">
        <v>114216</v>
      </c>
      <c r="N132" s="79">
        <v>114216</v>
      </c>
      <c r="O132" s="532">
        <f>SUM(C132:N132)</f>
        <v>1370592</v>
      </c>
      <c r="P132" s="532">
        <v>1368864</v>
      </c>
      <c r="Q132" s="765">
        <f>O132-P132</f>
        <v>1728</v>
      </c>
    </row>
    <row r="133" spans="1:19" s="115" customFormat="1" ht="12.75" x14ac:dyDescent="0.2">
      <c r="A133" s="454"/>
      <c r="B133" s="440" t="s">
        <v>280</v>
      </c>
      <c r="C133" s="110">
        <f t="shared" ref="C133:I133" si="79">SUM(C130:C132)</f>
        <v>732876</v>
      </c>
      <c r="D133" s="110">
        <f t="shared" si="79"/>
        <v>732876</v>
      </c>
      <c r="E133" s="110">
        <f t="shared" si="79"/>
        <v>732876</v>
      </c>
      <c r="F133" s="110">
        <f t="shared" si="79"/>
        <v>732876</v>
      </c>
      <c r="G133" s="110">
        <f t="shared" si="79"/>
        <v>732876</v>
      </c>
      <c r="H133" s="110">
        <f t="shared" si="79"/>
        <v>732876</v>
      </c>
      <c r="I133" s="110">
        <f t="shared" si="79"/>
        <v>732876</v>
      </c>
      <c r="J133" s="110">
        <f>SUM(J130:J132)</f>
        <v>732876</v>
      </c>
      <c r="K133" s="110">
        <f t="shared" ref="K133:N133" si="80">SUM(K130:K132)</f>
        <v>732876</v>
      </c>
      <c r="L133" s="110">
        <f t="shared" si="80"/>
        <v>763932.73199999996</v>
      </c>
      <c r="M133" s="110">
        <f t="shared" si="80"/>
        <v>763932.73199999996</v>
      </c>
      <c r="N133" s="110">
        <f t="shared" si="80"/>
        <v>763932.73199999996</v>
      </c>
      <c r="O133" s="536">
        <f t="shared" ref="O133" si="81">SUM(O130:O132)</f>
        <v>8887682.1960000005</v>
      </c>
      <c r="P133" s="536">
        <f>SUM(P130:P132)</f>
        <v>8485344</v>
      </c>
      <c r="Q133" s="769">
        <f>O133-P133</f>
        <v>402338.19600000046</v>
      </c>
    </row>
    <row r="134" spans="1:19" s="115" customFormat="1" ht="12.75" x14ac:dyDescent="0.2">
      <c r="A134" s="454"/>
      <c r="B134" s="441"/>
      <c r="C134" s="365"/>
      <c r="D134" s="365"/>
      <c r="E134" s="365"/>
      <c r="F134" s="365"/>
      <c r="G134" s="365"/>
      <c r="H134" s="365"/>
      <c r="I134" s="365"/>
      <c r="J134" s="79"/>
      <c r="K134" s="79"/>
      <c r="L134" s="79"/>
      <c r="M134" s="79"/>
      <c r="N134" s="79"/>
      <c r="O134" s="532"/>
      <c r="P134" s="532"/>
      <c r="Q134" s="765"/>
    </row>
    <row r="135" spans="1:19" s="115" customFormat="1" ht="12.75" x14ac:dyDescent="0.2">
      <c r="A135" s="454">
        <v>12195</v>
      </c>
      <c r="B135" s="378" t="s">
        <v>253</v>
      </c>
      <c r="C135" s="365">
        <f t="shared" ref="C135:N135" si="82">C42+C43+C44</f>
        <v>328</v>
      </c>
      <c r="D135" s="365">
        <f t="shared" si="82"/>
        <v>328</v>
      </c>
      <c r="E135" s="365">
        <f t="shared" si="82"/>
        <v>328</v>
      </c>
      <c r="F135" s="365">
        <f t="shared" si="82"/>
        <v>328</v>
      </c>
      <c r="G135" s="365">
        <f t="shared" si="82"/>
        <v>328</v>
      </c>
      <c r="H135" s="365">
        <f t="shared" si="82"/>
        <v>328</v>
      </c>
      <c r="I135" s="365">
        <f t="shared" si="82"/>
        <v>328</v>
      </c>
      <c r="J135" s="365">
        <f t="shared" si="82"/>
        <v>328</v>
      </c>
      <c r="K135" s="365">
        <f t="shared" si="82"/>
        <v>328</v>
      </c>
      <c r="L135" s="365">
        <f t="shared" si="82"/>
        <v>328</v>
      </c>
      <c r="M135" s="365">
        <f t="shared" si="82"/>
        <v>328</v>
      </c>
      <c r="N135" s="365">
        <f t="shared" si="82"/>
        <v>328</v>
      </c>
      <c r="O135" s="525">
        <f>AVERAGE(C135:N135)</f>
        <v>328</v>
      </c>
      <c r="P135" s="525">
        <v>328</v>
      </c>
      <c r="Q135" s="758">
        <f>O135-P135</f>
        <v>0</v>
      </c>
    </row>
    <row r="136" spans="1:19" s="116" customFormat="1" ht="12.75" x14ac:dyDescent="0.2">
      <c r="A136" s="425"/>
      <c r="B136" s="438" t="s">
        <v>266</v>
      </c>
      <c r="C136" s="79">
        <f t="shared" ref="C136:N136" si="83">+C51*C135*1000</f>
        <v>540544</v>
      </c>
      <c r="D136" s="79">
        <f t="shared" si="83"/>
        <v>540544</v>
      </c>
      <c r="E136" s="79">
        <f t="shared" si="83"/>
        <v>540544</v>
      </c>
      <c r="F136" s="79">
        <f t="shared" si="83"/>
        <v>540544</v>
      </c>
      <c r="G136" s="79">
        <f t="shared" si="83"/>
        <v>540544</v>
      </c>
      <c r="H136" s="79">
        <f t="shared" si="83"/>
        <v>540544</v>
      </c>
      <c r="I136" s="79">
        <f t="shared" si="83"/>
        <v>540544</v>
      </c>
      <c r="J136" s="79">
        <f t="shared" si="83"/>
        <v>540544</v>
      </c>
      <c r="K136" s="79">
        <f t="shared" si="83"/>
        <v>540544</v>
      </c>
      <c r="L136" s="79">
        <f t="shared" si="83"/>
        <v>567679.3088</v>
      </c>
      <c r="M136" s="79">
        <f t="shared" si="83"/>
        <v>567679.3088</v>
      </c>
      <c r="N136" s="79">
        <f t="shared" si="83"/>
        <v>567679.3088</v>
      </c>
      <c r="O136" s="532">
        <f>SUM(C136:N136)</f>
        <v>6567933.9263999993</v>
      </c>
      <c r="P136" s="532">
        <v>6154592</v>
      </c>
      <c r="Q136" s="765">
        <f>O136-P136</f>
        <v>413341.9263999993</v>
      </c>
    </row>
    <row r="137" spans="1:19" s="116" customFormat="1" ht="12.75" x14ac:dyDescent="0.2">
      <c r="A137" s="425"/>
      <c r="B137" s="438" t="s">
        <v>263</v>
      </c>
      <c r="C137" s="439">
        <f t="shared" ref="C137:N137" si="84">C52*C135*1000</f>
        <v>103648</v>
      </c>
      <c r="D137" s="439">
        <f t="shared" si="84"/>
        <v>103648</v>
      </c>
      <c r="E137" s="439">
        <f t="shared" si="84"/>
        <v>103648</v>
      </c>
      <c r="F137" s="439">
        <f t="shared" si="84"/>
        <v>103648</v>
      </c>
      <c r="G137" s="439">
        <f t="shared" si="84"/>
        <v>103648</v>
      </c>
      <c r="H137" s="439">
        <f t="shared" si="84"/>
        <v>103648</v>
      </c>
      <c r="I137" s="439">
        <f t="shared" si="84"/>
        <v>103648</v>
      </c>
      <c r="J137" s="439">
        <f t="shared" si="84"/>
        <v>103648</v>
      </c>
      <c r="K137" s="439">
        <f t="shared" si="84"/>
        <v>103648</v>
      </c>
      <c r="L137" s="439">
        <f t="shared" si="84"/>
        <v>108851.1296</v>
      </c>
      <c r="M137" s="439">
        <f t="shared" si="84"/>
        <v>108851.1296</v>
      </c>
      <c r="N137" s="439">
        <f t="shared" si="84"/>
        <v>108851.1296</v>
      </c>
      <c r="O137" s="535">
        <f>SUM(C137:N137)</f>
        <v>1259385.3888000001</v>
      </c>
      <c r="P137" s="535">
        <v>1255584</v>
      </c>
      <c r="Q137" s="768">
        <f>O137-P137</f>
        <v>3801.3888000000734</v>
      </c>
    </row>
    <row r="138" spans="1:19" s="116" customFormat="1" ht="12.75" x14ac:dyDescent="0.2">
      <c r="A138" s="454"/>
      <c r="B138" s="440" t="s">
        <v>281</v>
      </c>
      <c r="C138" s="110">
        <f t="shared" ref="C138:I138" si="85">SUM(C136:C137)</f>
        <v>644192</v>
      </c>
      <c r="D138" s="110">
        <f t="shared" si="85"/>
        <v>644192</v>
      </c>
      <c r="E138" s="110">
        <f t="shared" si="85"/>
        <v>644192</v>
      </c>
      <c r="F138" s="110">
        <f t="shared" si="85"/>
        <v>644192</v>
      </c>
      <c r="G138" s="110">
        <f t="shared" si="85"/>
        <v>644192</v>
      </c>
      <c r="H138" s="110">
        <f t="shared" si="85"/>
        <v>644192</v>
      </c>
      <c r="I138" s="110">
        <f t="shared" si="85"/>
        <v>644192</v>
      </c>
      <c r="J138" s="110">
        <f t="shared" ref="J138:N138" si="86">SUM(J136:J137)</f>
        <v>644192</v>
      </c>
      <c r="K138" s="110">
        <f t="shared" si="86"/>
        <v>644192</v>
      </c>
      <c r="L138" s="110">
        <f t="shared" si="86"/>
        <v>676530.43839999998</v>
      </c>
      <c r="M138" s="110">
        <f t="shared" si="86"/>
        <v>676530.43839999998</v>
      </c>
      <c r="N138" s="110">
        <f t="shared" si="86"/>
        <v>676530.43839999998</v>
      </c>
      <c r="O138" s="536">
        <f t="shared" ref="O138" si="87">SUM(O136:O137)</f>
        <v>7827319.3151999991</v>
      </c>
      <c r="P138" s="536">
        <f>SUM(P136:P137)</f>
        <v>7410176</v>
      </c>
      <c r="Q138" s="769">
        <f>O138-P138</f>
        <v>417143.31519999914</v>
      </c>
    </row>
    <row r="139" spans="1:19" s="116" customFormat="1" ht="12.75" x14ac:dyDescent="0.2">
      <c r="A139" s="454"/>
      <c r="B139" s="442"/>
      <c r="C139" s="79"/>
      <c r="D139" s="79"/>
      <c r="E139" s="79"/>
      <c r="F139" s="79"/>
      <c r="G139" s="79"/>
      <c r="H139" s="79"/>
      <c r="I139" s="79"/>
      <c r="J139" s="108"/>
      <c r="K139" s="108"/>
      <c r="L139" s="108"/>
      <c r="M139" s="108"/>
      <c r="N139" s="79"/>
      <c r="O139" s="537"/>
      <c r="P139" s="537"/>
      <c r="Q139" s="770"/>
    </row>
    <row r="140" spans="1:19" s="40" customFormat="1" ht="12.75" x14ac:dyDescent="0.2">
      <c r="A140" s="425"/>
      <c r="B140" s="440" t="s">
        <v>38</v>
      </c>
      <c r="C140" s="110">
        <f t="shared" ref="C140:P140" si="88">SUM(C127,C133,C138)</f>
        <v>1609283</v>
      </c>
      <c r="D140" s="110">
        <f t="shared" si="88"/>
        <v>1609283</v>
      </c>
      <c r="E140" s="110">
        <f t="shared" si="88"/>
        <v>1609283</v>
      </c>
      <c r="F140" s="110">
        <f t="shared" si="88"/>
        <v>1609283</v>
      </c>
      <c r="G140" s="110">
        <f t="shared" si="88"/>
        <v>1609283</v>
      </c>
      <c r="H140" s="110">
        <f t="shared" si="88"/>
        <v>1609283</v>
      </c>
      <c r="I140" s="110">
        <f t="shared" si="88"/>
        <v>1609283</v>
      </c>
      <c r="J140" s="110">
        <f>SUM(J127,J133,J138)</f>
        <v>1609283</v>
      </c>
      <c r="K140" s="110">
        <f t="shared" si="88"/>
        <v>1609283</v>
      </c>
      <c r="L140" s="110">
        <f>SUM(L127,L133,L138)</f>
        <v>1686185.3840000001</v>
      </c>
      <c r="M140" s="110">
        <f t="shared" si="88"/>
        <v>1686185.3840000001</v>
      </c>
      <c r="N140" s="110">
        <f t="shared" si="88"/>
        <v>1686185.3840000001</v>
      </c>
      <c r="O140" s="536">
        <f t="shared" si="88"/>
        <v>19542103.151999999</v>
      </c>
      <c r="P140" s="536">
        <f t="shared" si="88"/>
        <v>18548388</v>
      </c>
      <c r="Q140" s="769">
        <f>O140-P140</f>
        <v>993715.15199999884</v>
      </c>
    </row>
    <row r="141" spans="1:19" s="116" customFormat="1" ht="12.75" x14ac:dyDescent="0.2">
      <c r="A141" s="513"/>
      <c r="B141" s="514"/>
      <c r="C141" s="79"/>
      <c r="D141" s="79"/>
      <c r="E141" s="79"/>
      <c r="F141" s="79"/>
      <c r="G141" s="79"/>
      <c r="H141" s="79"/>
      <c r="I141" s="79"/>
      <c r="J141" s="108"/>
      <c r="K141" s="108"/>
      <c r="L141" s="108"/>
      <c r="M141" s="108"/>
      <c r="N141" s="79"/>
      <c r="O141" s="537"/>
      <c r="P141" s="537"/>
      <c r="Q141" s="770"/>
    </row>
    <row r="142" spans="1:19" s="116" customFormat="1" ht="12.75" x14ac:dyDescent="0.2">
      <c r="A142" s="454">
        <v>12195</v>
      </c>
      <c r="B142" s="378" t="s">
        <v>288</v>
      </c>
      <c r="C142" s="365">
        <f t="shared" ref="C142:N142" si="89">C45</f>
        <v>300</v>
      </c>
      <c r="D142" s="365">
        <f t="shared" si="89"/>
        <v>300</v>
      </c>
      <c r="E142" s="365">
        <f t="shared" si="89"/>
        <v>300</v>
      </c>
      <c r="F142" s="365">
        <f t="shared" si="89"/>
        <v>300</v>
      </c>
      <c r="G142" s="365">
        <f t="shared" si="89"/>
        <v>300</v>
      </c>
      <c r="H142" s="365">
        <f t="shared" si="89"/>
        <v>300</v>
      </c>
      <c r="I142" s="365">
        <f t="shared" si="89"/>
        <v>300</v>
      </c>
      <c r="J142" s="365">
        <f t="shared" si="89"/>
        <v>300</v>
      </c>
      <c r="K142" s="365">
        <f t="shared" si="89"/>
        <v>300</v>
      </c>
      <c r="L142" s="365">
        <f t="shared" si="89"/>
        <v>300</v>
      </c>
      <c r="M142" s="365">
        <f t="shared" si="89"/>
        <v>300</v>
      </c>
      <c r="N142" s="365">
        <f t="shared" si="89"/>
        <v>300</v>
      </c>
      <c r="O142" s="525">
        <f>AVERAGE(C142:N142)</f>
        <v>300</v>
      </c>
      <c r="P142" s="525">
        <v>300</v>
      </c>
      <c r="Q142" s="758">
        <f>O142-P142</f>
        <v>0</v>
      </c>
    </row>
    <row r="143" spans="1:19" s="116" customFormat="1" ht="12.75" x14ac:dyDescent="0.2">
      <c r="A143" s="454"/>
      <c r="B143" s="378" t="s">
        <v>289</v>
      </c>
      <c r="C143" s="365">
        <f t="shared" ref="C143:N143" si="90">C46</f>
        <v>300</v>
      </c>
      <c r="D143" s="365">
        <f t="shared" si="90"/>
        <v>300</v>
      </c>
      <c r="E143" s="365">
        <f t="shared" si="90"/>
        <v>300</v>
      </c>
      <c r="F143" s="365">
        <f t="shared" si="90"/>
        <v>300</v>
      </c>
      <c r="G143" s="365">
        <f t="shared" si="90"/>
        <v>300</v>
      </c>
      <c r="H143" s="365">
        <f t="shared" si="90"/>
        <v>300</v>
      </c>
      <c r="I143" s="365">
        <f t="shared" si="90"/>
        <v>300</v>
      </c>
      <c r="J143" s="365">
        <f t="shared" si="90"/>
        <v>300</v>
      </c>
      <c r="K143" s="365">
        <f t="shared" si="90"/>
        <v>300</v>
      </c>
      <c r="L143" s="365">
        <f t="shared" si="90"/>
        <v>300</v>
      </c>
      <c r="M143" s="365">
        <f t="shared" si="90"/>
        <v>300</v>
      </c>
      <c r="N143" s="365">
        <f t="shared" si="90"/>
        <v>300</v>
      </c>
      <c r="O143" s="525">
        <f>AVERAGE(C143:N143)</f>
        <v>300</v>
      </c>
      <c r="P143" s="525">
        <v>300</v>
      </c>
      <c r="Q143" s="758">
        <f>O143-P143</f>
        <v>0</v>
      </c>
    </row>
    <row r="144" spans="1:19" s="116" customFormat="1" ht="12.75" x14ac:dyDescent="0.2">
      <c r="A144" s="454"/>
      <c r="B144" s="438" t="s">
        <v>266</v>
      </c>
      <c r="C144" s="79">
        <f t="shared" ref="C144:I144" si="91">+C$51*SUM(C142:C143)*1000</f>
        <v>988800</v>
      </c>
      <c r="D144" s="79">
        <f t="shared" si="91"/>
        <v>988800</v>
      </c>
      <c r="E144" s="79">
        <f t="shared" si="91"/>
        <v>988800</v>
      </c>
      <c r="F144" s="79">
        <f t="shared" si="91"/>
        <v>988800</v>
      </c>
      <c r="G144" s="79">
        <f t="shared" si="91"/>
        <v>988800</v>
      </c>
      <c r="H144" s="79">
        <f t="shared" si="91"/>
        <v>988800</v>
      </c>
      <c r="I144" s="79">
        <f t="shared" si="91"/>
        <v>988800</v>
      </c>
      <c r="J144" s="79">
        <f t="shared" ref="J144:N144" si="92">+J$51*SUM(J142:J143)*1000</f>
        <v>988800</v>
      </c>
      <c r="K144" s="79">
        <f t="shared" si="92"/>
        <v>988800</v>
      </c>
      <c r="L144" s="79">
        <f>+L$51*SUM(L142:L143)*1000</f>
        <v>1038437.76</v>
      </c>
      <c r="M144" s="79">
        <f t="shared" si="92"/>
        <v>1038437.76</v>
      </c>
      <c r="N144" s="79">
        <f t="shared" si="92"/>
        <v>1038437.76</v>
      </c>
      <c r="O144" s="532">
        <f>SUM(C144:N144)</f>
        <v>12014513.279999999</v>
      </c>
      <c r="P144" s="532">
        <v>11258400</v>
      </c>
      <c r="Q144" s="765">
        <f>O144-P144</f>
        <v>756113.27999999933</v>
      </c>
    </row>
    <row r="145" spans="1:17" s="115" customFormat="1" ht="12.75" x14ac:dyDescent="0.2">
      <c r="A145" s="425"/>
      <c r="B145" s="438" t="s">
        <v>263</v>
      </c>
      <c r="C145" s="439">
        <f t="shared" ref="C145:N145" si="93">+C$52*SUM(C142:C143)*1000</f>
        <v>189600</v>
      </c>
      <c r="D145" s="439">
        <f t="shared" si="93"/>
        <v>189600</v>
      </c>
      <c r="E145" s="439">
        <f t="shared" si="93"/>
        <v>189600</v>
      </c>
      <c r="F145" s="439">
        <f t="shared" si="93"/>
        <v>189600</v>
      </c>
      <c r="G145" s="439">
        <f t="shared" si="93"/>
        <v>189600</v>
      </c>
      <c r="H145" s="439">
        <f t="shared" si="93"/>
        <v>189600</v>
      </c>
      <c r="I145" s="439">
        <f t="shared" si="93"/>
        <v>189600</v>
      </c>
      <c r="J145" s="439">
        <f t="shared" si="93"/>
        <v>189600</v>
      </c>
      <c r="K145" s="439">
        <f t="shared" si="93"/>
        <v>189600</v>
      </c>
      <c r="L145" s="439">
        <f t="shared" si="93"/>
        <v>199117.92</v>
      </c>
      <c r="M145" s="439">
        <f t="shared" si="93"/>
        <v>199117.92</v>
      </c>
      <c r="N145" s="439">
        <f t="shared" si="93"/>
        <v>199117.92</v>
      </c>
      <c r="O145" s="535">
        <f>SUM(C145:N145)</f>
        <v>2303753.7599999998</v>
      </c>
      <c r="P145" s="535">
        <v>2296800</v>
      </c>
      <c r="Q145" s="768">
        <f>O145-P145</f>
        <v>6953.7599999997765</v>
      </c>
    </row>
    <row r="146" spans="1:17" s="116" customFormat="1" ht="12.75" x14ac:dyDescent="0.2">
      <c r="A146" s="454"/>
      <c r="B146" s="440" t="s">
        <v>282</v>
      </c>
      <c r="C146" s="110">
        <f t="shared" ref="C146:N146" si="94">SUM(C144:C145)</f>
        <v>1178400</v>
      </c>
      <c r="D146" s="110">
        <f t="shared" si="94"/>
        <v>1178400</v>
      </c>
      <c r="E146" s="110">
        <f t="shared" si="94"/>
        <v>1178400</v>
      </c>
      <c r="F146" s="110">
        <f t="shared" si="94"/>
        <v>1178400</v>
      </c>
      <c r="G146" s="110">
        <f t="shared" si="94"/>
        <v>1178400</v>
      </c>
      <c r="H146" s="110">
        <f t="shared" si="94"/>
        <v>1178400</v>
      </c>
      <c r="I146" s="110">
        <f t="shared" si="94"/>
        <v>1178400</v>
      </c>
      <c r="J146" s="110">
        <f t="shared" si="94"/>
        <v>1178400</v>
      </c>
      <c r="K146" s="110">
        <f t="shared" si="94"/>
        <v>1178400</v>
      </c>
      <c r="L146" s="110">
        <f t="shared" si="94"/>
        <v>1237555.68</v>
      </c>
      <c r="M146" s="110">
        <f t="shared" si="94"/>
        <v>1237555.68</v>
      </c>
      <c r="N146" s="110">
        <f t="shared" si="94"/>
        <v>1237555.68</v>
      </c>
      <c r="O146" s="536">
        <f t="shared" ref="O146" si="95">SUM(O144:O145)</f>
        <v>14318267.039999999</v>
      </c>
      <c r="P146" s="536">
        <f>SUM(P144:P145)</f>
        <v>13555200</v>
      </c>
      <c r="Q146" s="769">
        <f>O146-P146</f>
        <v>763067.03999999911</v>
      </c>
    </row>
    <row r="147" spans="1:17" s="116" customFormat="1" ht="12.75" x14ac:dyDescent="0.2">
      <c r="A147" s="454"/>
      <c r="B147" s="442"/>
      <c r="C147" s="79"/>
      <c r="D147" s="79"/>
      <c r="E147" s="79"/>
      <c r="F147" s="79"/>
      <c r="G147" s="79"/>
      <c r="H147" s="79"/>
      <c r="I147" s="79"/>
      <c r="J147" s="108"/>
      <c r="K147" s="108"/>
      <c r="L147" s="108"/>
      <c r="M147" s="108"/>
      <c r="N147" s="79"/>
      <c r="O147" s="537"/>
      <c r="P147" s="537"/>
      <c r="Q147" s="770"/>
    </row>
    <row r="148" spans="1:17" s="116" customFormat="1" ht="12.75" x14ac:dyDescent="0.2">
      <c r="A148" s="454">
        <v>12195</v>
      </c>
      <c r="B148" s="378" t="s">
        <v>283</v>
      </c>
      <c r="C148" s="365">
        <f t="shared" ref="C148:N148" si="96">C47</f>
        <v>663</v>
      </c>
      <c r="D148" s="365">
        <f t="shared" si="96"/>
        <v>663</v>
      </c>
      <c r="E148" s="365">
        <f t="shared" si="96"/>
        <v>663</v>
      </c>
      <c r="F148" s="365">
        <f t="shared" si="96"/>
        <v>663</v>
      </c>
      <c r="G148" s="365">
        <f t="shared" si="96"/>
        <v>663</v>
      </c>
      <c r="H148" s="365">
        <f t="shared" si="96"/>
        <v>663</v>
      </c>
      <c r="I148" s="365">
        <f t="shared" si="96"/>
        <v>663</v>
      </c>
      <c r="J148" s="365">
        <f t="shared" si="96"/>
        <v>663</v>
      </c>
      <c r="K148" s="365">
        <f t="shared" si="96"/>
        <v>663</v>
      </c>
      <c r="L148" s="365">
        <f t="shared" si="96"/>
        <v>663</v>
      </c>
      <c r="M148" s="365">
        <f t="shared" si="96"/>
        <v>663</v>
      </c>
      <c r="N148" s="365">
        <f t="shared" si="96"/>
        <v>663</v>
      </c>
      <c r="O148" s="525">
        <f>AVERAGE(C148:N148)</f>
        <v>663</v>
      </c>
      <c r="P148" s="525">
        <v>663</v>
      </c>
      <c r="Q148" s="758">
        <f t="shared" ref="Q148:Q154" si="97">O148-P148</f>
        <v>0</v>
      </c>
    </row>
    <row r="149" spans="1:17" s="116" customFormat="1" ht="12.75" x14ac:dyDescent="0.2">
      <c r="A149" s="454"/>
      <c r="B149" s="438" t="s">
        <v>266</v>
      </c>
      <c r="C149" s="79">
        <f t="shared" ref="C149:N149" si="98">+C$51*C148*1000</f>
        <v>1092624</v>
      </c>
      <c r="D149" s="79">
        <f t="shared" si="98"/>
        <v>1092624</v>
      </c>
      <c r="E149" s="79">
        <f t="shared" si="98"/>
        <v>1092624</v>
      </c>
      <c r="F149" s="79">
        <f t="shared" si="98"/>
        <v>1092624</v>
      </c>
      <c r="G149" s="79">
        <f t="shared" si="98"/>
        <v>1092624</v>
      </c>
      <c r="H149" s="79">
        <f t="shared" si="98"/>
        <v>1092624</v>
      </c>
      <c r="I149" s="79">
        <f t="shared" si="98"/>
        <v>1092624</v>
      </c>
      <c r="J149" s="79">
        <f t="shared" si="98"/>
        <v>1092624</v>
      </c>
      <c r="K149" s="79">
        <f t="shared" si="98"/>
        <v>1092624</v>
      </c>
      <c r="L149" s="79">
        <f t="shared" si="98"/>
        <v>1147473.7248</v>
      </c>
      <c r="M149" s="79">
        <f t="shared" si="98"/>
        <v>1147473.7248</v>
      </c>
      <c r="N149" s="79">
        <f t="shared" si="98"/>
        <v>1147473.7248</v>
      </c>
      <c r="O149" s="532">
        <f>SUM(C149:N149)</f>
        <v>13276037.1744</v>
      </c>
      <c r="P149" s="532">
        <v>12440532</v>
      </c>
      <c r="Q149" s="765">
        <f t="shared" si="97"/>
        <v>835505.1743999999</v>
      </c>
    </row>
    <row r="150" spans="1:17" s="116" customFormat="1" ht="12.75" x14ac:dyDescent="0.2">
      <c r="A150" s="454"/>
      <c r="B150" s="438" t="s">
        <v>263</v>
      </c>
      <c r="C150" s="79">
        <f t="shared" ref="C150:N150" si="99">+C$52*C148*1000</f>
        <v>209508</v>
      </c>
      <c r="D150" s="79">
        <f t="shared" si="99"/>
        <v>209508</v>
      </c>
      <c r="E150" s="79">
        <f t="shared" si="99"/>
        <v>209508</v>
      </c>
      <c r="F150" s="79">
        <f t="shared" si="99"/>
        <v>209508</v>
      </c>
      <c r="G150" s="79">
        <f t="shared" si="99"/>
        <v>209508</v>
      </c>
      <c r="H150" s="79">
        <f t="shared" si="99"/>
        <v>209508</v>
      </c>
      <c r="I150" s="79">
        <f t="shared" si="99"/>
        <v>209508</v>
      </c>
      <c r="J150" s="79">
        <f t="shared" si="99"/>
        <v>209508</v>
      </c>
      <c r="K150" s="79">
        <f t="shared" si="99"/>
        <v>209508</v>
      </c>
      <c r="L150" s="79">
        <f t="shared" si="99"/>
        <v>220025.30160000001</v>
      </c>
      <c r="M150" s="79">
        <f t="shared" si="99"/>
        <v>220025.30160000001</v>
      </c>
      <c r="N150" s="79">
        <f t="shared" si="99"/>
        <v>220025.30160000001</v>
      </c>
      <c r="O150" s="532">
        <f>SUM(C150:N150)</f>
        <v>2545647.9047999997</v>
      </c>
      <c r="P150" s="532">
        <v>2537964</v>
      </c>
      <c r="Q150" s="765">
        <f t="shared" si="97"/>
        <v>7683.9047999996692</v>
      </c>
    </row>
    <row r="151" spans="1:17" s="40" customFormat="1" ht="12.75" x14ac:dyDescent="0.2">
      <c r="A151" s="425">
        <v>90210</v>
      </c>
      <c r="B151" s="438" t="s">
        <v>284</v>
      </c>
      <c r="C151" s="79">
        <v>344080</v>
      </c>
      <c r="D151" s="79">
        <v>344080</v>
      </c>
      <c r="E151" s="79">
        <v>344080</v>
      </c>
      <c r="F151" s="79">
        <v>344080</v>
      </c>
      <c r="G151" s="79">
        <v>344080</v>
      </c>
      <c r="H151" s="79">
        <v>344080</v>
      </c>
      <c r="I151" s="79">
        <v>344080</v>
      </c>
      <c r="J151" s="79">
        <v>344080</v>
      </c>
      <c r="K151" s="79">
        <v>344080</v>
      </c>
      <c r="L151" s="79">
        <v>344080</v>
      </c>
      <c r="M151" s="79">
        <v>344080</v>
      </c>
      <c r="N151" s="79">
        <v>344080</v>
      </c>
      <c r="O151" s="532">
        <f>SUM(C151:N151)</f>
        <v>4128960</v>
      </c>
      <c r="P151" s="532">
        <v>4128960</v>
      </c>
      <c r="Q151" s="765">
        <f t="shared" si="97"/>
        <v>0</v>
      </c>
    </row>
    <row r="152" spans="1:17" s="334" customFormat="1" ht="12.75" x14ac:dyDescent="0.2">
      <c r="A152" s="454"/>
      <c r="B152" s="438" t="s">
        <v>285</v>
      </c>
      <c r="C152" s="79">
        <v>11200</v>
      </c>
      <c r="D152" s="79">
        <v>11200</v>
      </c>
      <c r="E152" s="79">
        <v>11200</v>
      </c>
      <c r="F152" s="79">
        <v>11200</v>
      </c>
      <c r="G152" s="79">
        <v>11200</v>
      </c>
      <c r="H152" s="79">
        <v>11200</v>
      </c>
      <c r="I152" s="79">
        <v>11200</v>
      </c>
      <c r="J152" s="79">
        <v>11200</v>
      </c>
      <c r="K152" s="79">
        <v>11200</v>
      </c>
      <c r="L152" s="79">
        <v>11200</v>
      </c>
      <c r="M152" s="79">
        <v>11200</v>
      </c>
      <c r="N152" s="79">
        <v>11200</v>
      </c>
      <c r="O152" s="532">
        <f>SUM(C152:N152)</f>
        <v>134400</v>
      </c>
      <c r="P152" s="532">
        <v>134400</v>
      </c>
      <c r="Q152" s="765">
        <f t="shared" si="97"/>
        <v>0</v>
      </c>
    </row>
    <row r="153" spans="1:17" s="115" customFormat="1" ht="12.75" x14ac:dyDescent="0.2">
      <c r="A153" s="425"/>
      <c r="B153" s="438" t="s">
        <v>286</v>
      </c>
      <c r="C153" s="439">
        <v>22522</v>
      </c>
      <c r="D153" s="439">
        <v>22522</v>
      </c>
      <c r="E153" s="439">
        <v>22522</v>
      </c>
      <c r="F153" s="439">
        <v>22522</v>
      </c>
      <c r="G153" s="439">
        <v>22522</v>
      </c>
      <c r="H153" s="439">
        <v>22522</v>
      </c>
      <c r="I153" s="439">
        <v>22522</v>
      </c>
      <c r="J153" s="439">
        <v>22522</v>
      </c>
      <c r="K153" s="439">
        <v>22522</v>
      </c>
      <c r="L153" s="439">
        <v>22522</v>
      </c>
      <c r="M153" s="439">
        <v>22522</v>
      </c>
      <c r="N153" s="439">
        <v>22522</v>
      </c>
      <c r="O153" s="535">
        <f>SUM(C153:N153)</f>
        <v>270264</v>
      </c>
      <c r="P153" s="535">
        <v>270264</v>
      </c>
      <c r="Q153" s="768">
        <f t="shared" si="97"/>
        <v>0</v>
      </c>
    </row>
    <row r="154" spans="1:17" s="116" customFormat="1" ht="12.75" x14ac:dyDescent="0.2">
      <c r="A154" s="454"/>
      <c r="B154" s="440" t="s">
        <v>287</v>
      </c>
      <c r="C154" s="110">
        <f t="shared" ref="C154:N154" si="100">SUM(C149:C153)</f>
        <v>1679934</v>
      </c>
      <c r="D154" s="110">
        <f t="shared" si="100"/>
        <v>1679934</v>
      </c>
      <c r="E154" s="110">
        <f t="shared" si="100"/>
        <v>1679934</v>
      </c>
      <c r="F154" s="110">
        <f t="shared" si="100"/>
        <v>1679934</v>
      </c>
      <c r="G154" s="110">
        <f t="shared" si="100"/>
        <v>1679934</v>
      </c>
      <c r="H154" s="110">
        <f t="shared" si="100"/>
        <v>1679934</v>
      </c>
      <c r="I154" s="110">
        <f t="shared" si="100"/>
        <v>1679934</v>
      </c>
      <c r="J154" s="110">
        <f t="shared" si="100"/>
        <v>1679934</v>
      </c>
      <c r="K154" s="110">
        <f t="shared" si="100"/>
        <v>1679934</v>
      </c>
      <c r="L154" s="110">
        <f t="shared" si="100"/>
        <v>1745301.0263999999</v>
      </c>
      <c r="M154" s="110">
        <f t="shared" si="100"/>
        <v>1745301.0263999999</v>
      </c>
      <c r="N154" s="110">
        <f t="shared" si="100"/>
        <v>1745301.0263999999</v>
      </c>
      <c r="O154" s="536">
        <f t="shared" ref="O154" si="101">SUM(O149:O153)</f>
        <v>20355309.0792</v>
      </c>
      <c r="P154" s="536">
        <f>SUM(P149:P153)</f>
        <v>19512120</v>
      </c>
      <c r="Q154" s="769">
        <f t="shared" si="97"/>
        <v>843189.07919999957</v>
      </c>
    </row>
    <row r="155" spans="1:17" s="116" customFormat="1" ht="12.75" x14ac:dyDescent="0.2">
      <c r="A155" s="454"/>
      <c r="B155" s="443"/>
      <c r="C155" s="79"/>
      <c r="D155" s="79"/>
      <c r="E155" s="79"/>
      <c r="F155" s="79"/>
      <c r="G155" s="79"/>
      <c r="H155" s="79"/>
      <c r="I155" s="79"/>
      <c r="J155" s="108"/>
      <c r="K155" s="108"/>
      <c r="L155" s="108"/>
      <c r="M155" s="108"/>
      <c r="N155" s="108"/>
      <c r="O155" s="537"/>
      <c r="P155" s="537"/>
      <c r="Q155" s="770"/>
    </row>
    <row r="156" spans="1:17" s="115" customFormat="1" ht="12.75" x14ac:dyDescent="0.2">
      <c r="A156" s="425"/>
      <c r="B156" s="440" t="s">
        <v>290</v>
      </c>
      <c r="C156" s="110">
        <f t="shared" ref="C156:P156" si="102">+C154+C146</f>
        <v>2858334</v>
      </c>
      <c r="D156" s="110">
        <f t="shared" si="102"/>
        <v>2858334</v>
      </c>
      <c r="E156" s="110">
        <f t="shared" si="102"/>
        <v>2858334</v>
      </c>
      <c r="F156" s="110">
        <f t="shared" si="102"/>
        <v>2858334</v>
      </c>
      <c r="G156" s="110">
        <f t="shared" si="102"/>
        <v>2858334</v>
      </c>
      <c r="H156" s="110">
        <f t="shared" si="102"/>
        <v>2858334</v>
      </c>
      <c r="I156" s="110">
        <f t="shared" si="102"/>
        <v>2858334</v>
      </c>
      <c r="J156" s="110">
        <f t="shared" si="102"/>
        <v>2858334</v>
      </c>
      <c r="K156" s="110">
        <f t="shared" si="102"/>
        <v>2858334</v>
      </c>
      <c r="L156" s="110">
        <f t="shared" si="102"/>
        <v>2982856.7063999996</v>
      </c>
      <c r="M156" s="110">
        <f t="shared" si="102"/>
        <v>2982856.7063999996</v>
      </c>
      <c r="N156" s="110">
        <f t="shared" si="102"/>
        <v>2982856.7063999996</v>
      </c>
      <c r="O156" s="536">
        <f t="shared" si="102"/>
        <v>34673576.119199999</v>
      </c>
      <c r="P156" s="536">
        <f t="shared" si="102"/>
        <v>33067320</v>
      </c>
      <c r="Q156" s="769">
        <f>O156-P156</f>
        <v>1606256.1191999987</v>
      </c>
    </row>
    <row r="157" spans="1:17" s="115" customFormat="1" ht="12.75" x14ac:dyDescent="0.2">
      <c r="A157" s="513"/>
      <c r="B157" s="441"/>
      <c r="C157" s="365"/>
      <c r="D157" s="365"/>
      <c r="E157" s="365"/>
      <c r="F157" s="365"/>
      <c r="G157" s="365"/>
      <c r="H157" s="365"/>
      <c r="I157" s="365"/>
      <c r="J157" s="79"/>
      <c r="K157" s="79"/>
      <c r="L157" s="79"/>
      <c r="M157" s="79"/>
      <c r="N157" s="79"/>
      <c r="O157" s="532"/>
      <c r="P157" s="532"/>
      <c r="Q157" s="765"/>
    </row>
    <row r="158" spans="1:17" s="115" customFormat="1" ht="12.75" x14ac:dyDescent="0.2">
      <c r="A158" s="425">
        <v>12195</v>
      </c>
      <c r="B158" s="378" t="s">
        <v>291</v>
      </c>
      <c r="C158" s="365">
        <f t="shared" ref="C158:N158" si="103">C33</f>
        <v>154</v>
      </c>
      <c r="D158" s="365">
        <f t="shared" si="103"/>
        <v>154</v>
      </c>
      <c r="E158" s="365">
        <f t="shared" si="103"/>
        <v>154</v>
      </c>
      <c r="F158" s="365">
        <f t="shared" si="103"/>
        <v>154</v>
      </c>
      <c r="G158" s="365">
        <f t="shared" si="103"/>
        <v>154</v>
      </c>
      <c r="H158" s="365">
        <f t="shared" si="103"/>
        <v>154</v>
      </c>
      <c r="I158" s="365">
        <f t="shared" si="103"/>
        <v>154</v>
      </c>
      <c r="J158" s="365">
        <f t="shared" si="103"/>
        <v>154</v>
      </c>
      <c r="K158" s="365">
        <f t="shared" si="103"/>
        <v>154</v>
      </c>
      <c r="L158" s="365">
        <f t="shared" si="103"/>
        <v>154</v>
      </c>
      <c r="M158" s="365">
        <f t="shared" si="103"/>
        <v>154</v>
      </c>
      <c r="N158" s="365">
        <f t="shared" si="103"/>
        <v>154</v>
      </c>
      <c r="O158" s="525">
        <f>AVERAGE(C158:N158)</f>
        <v>154</v>
      </c>
      <c r="P158" s="525">
        <v>154</v>
      </c>
      <c r="Q158" s="758">
        <f>O158-P158</f>
        <v>0</v>
      </c>
    </row>
    <row r="159" spans="1:17" s="115" customFormat="1" ht="12.75" x14ac:dyDescent="0.2">
      <c r="A159" s="425"/>
      <c r="B159" s="438" t="s">
        <v>266</v>
      </c>
      <c r="C159" s="79">
        <f t="shared" ref="C159:N159" si="104">+C51*C158*1000</f>
        <v>253791.99999999997</v>
      </c>
      <c r="D159" s="79">
        <f t="shared" si="104"/>
        <v>253791.99999999997</v>
      </c>
      <c r="E159" s="79">
        <f t="shared" si="104"/>
        <v>253791.99999999997</v>
      </c>
      <c r="F159" s="79">
        <f t="shared" si="104"/>
        <v>253791.99999999997</v>
      </c>
      <c r="G159" s="79">
        <f t="shared" si="104"/>
        <v>253791.99999999997</v>
      </c>
      <c r="H159" s="79">
        <f t="shared" si="104"/>
        <v>253791.99999999997</v>
      </c>
      <c r="I159" s="79">
        <f t="shared" si="104"/>
        <v>253791.99999999997</v>
      </c>
      <c r="J159" s="79">
        <f t="shared" si="104"/>
        <v>253791.99999999997</v>
      </c>
      <c r="K159" s="79">
        <f t="shared" si="104"/>
        <v>253791.99999999997</v>
      </c>
      <c r="L159" s="79">
        <f t="shared" si="104"/>
        <v>266532.35839999997</v>
      </c>
      <c r="M159" s="79">
        <f t="shared" si="104"/>
        <v>266532.35839999997</v>
      </c>
      <c r="N159" s="79">
        <f t="shared" si="104"/>
        <v>266532.35839999997</v>
      </c>
      <c r="O159" s="532">
        <f>SUM(C159:N159)</f>
        <v>3083725.0751999989</v>
      </c>
      <c r="P159" s="532">
        <v>2889656</v>
      </c>
      <c r="Q159" s="765">
        <f>O159-P159</f>
        <v>194069.07519999892</v>
      </c>
    </row>
    <row r="160" spans="1:17" s="115" customFormat="1" ht="12.75" x14ac:dyDescent="0.2">
      <c r="A160" s="425"/>
      <c r="B160" s="438" t="s">
        <v>263</v>
      </c>
      <c r="C160" s="439">
        <f t="shared" ref="C160:N160" si="105">+C52*C158*1000</f>
        <v>48664</v>
      </c>
      <c r="D160" s="439">
        <f t="shared" si="105"/>
        <v>48664</v>
      </c>
      <c r="E160" s="439">
        <f t="shared" si="105"/>
        <v>48664</v>
      </c>
      <c r="F160" s="439">
        <f t="shared" si="105"/>
        <v>48664</v>
      </c>
      <c r="G160" s="439">
        <f t="shared" si="105"/>
        <v>48664</v>
      </c>
      <c r="H160" s="439">
        <f t="shared" si="105"/>
        <v>48664</v>
      </c>
      <c r="I160" s="439">
        <f t="shared" si="105"/>
        <v>48664</v>
      </c>
      <c r="J160" s="439">
        <f t="shared" si="105"/>
        <v>48664</v>
      </c>
      <c r="K160" s="439">
        <f t="shared" si="105"/>
        <v>48664</v>
      </c>
      <c r="L160" s="439">
        <f t="shared" si="105"/>
        <v>51106.932800000002</v>
      </c>
      <c r="M160" s="439">
        <f t="shared" si="105"/>
        <v>51106.932800000002</v>
      </c>
      <c r="N160" s="439">
        <f t="shared" si="105"/>
        <v>51106.932800000002</v>
      </c>
      <c r="O160" s="535">
        <f>SUM(C160:N160)</f>
        <v>591296.79839999997</v>
      </c>
      <c r="P160" s="535">
        <v>589512</v>
      </c>
      <c r="Q160" s="768">
        <f>O160-P160</f>
        <v>1784.7983999999706</v>
      </c>
    </row>
    <row r="161" spans="1:17" s="428" customFormat="1" ht="12.75" x14ac:dyDescent="0.2">
      <c r="A161" s="425"/>
      <c r="B161" s="438" t="s">
        <v>292</v>
      </c>
      <c r="C161" s="79">
        <f t="shared" ref="C161:H161" si="106">SUM(C159:C160)</f>
        <v>302456</v>
      </c>
      <c r="D161" s="79">
        <f t="shared" si="106"/>
        <v>302456</v>
      </c>
      <c r="E161" s="79">
        <f t="shared" si="106"/>
        <v>302456</v>
      </c>
      <c r="F161" s="79">
        <f t="shared" si="106"/>
        <v>302456</v>
      </c>
      <c r="G161" s="79">
        <f t="shared" si="106"/>
        <v>302456</v>
      </c>
      <c r="H161" s="79">
        <f t="shared" si="106"/>
        <v>302456</v>
      </c>
      <c r="I161" s="79">
        <f>SUM(I159:I160)</f>
        <v>302456</v>
      </c>
      <c r="J161" s="79">
        <f t="shared" ref="J161:N161" si="107">SUM(J159:J160)</f>
        <v>302456</v>
      </c>
      <c r="K161" s="79">
        <f t="shared" si="107"/>
        <v>302456</v>
      </c>
      <c r="L161" s="79">
        <f t="shared" si="107"/>
        <v>317639.29119999998</v>
      </c>
      <c r="M161" s="79">
        <f t="shared" si="107"/>
        <v>317639.29119999998</v>
      </c>
      <c r="N161" s="79">
        <f t="shared" si="107"/>
        <v>317639.29119999998</v>
      </c>
      <c r="O161" s="536">
        <f t="shared" ref="O161" si="108">SUM(O159:O160)</f>
        <v>3675021.8735999987</v>
      </c>
      <c r="P161" s="536">
        <f>SUM(P159:P160)</f>
        <v>3479168</v>
      </c>
      <c r="Q161" s="765">
        <f>O161-P161</f>
        <v>195853.87359999865</v>
      </c>
    </row>
    <row r="162" spans="1:17" s="428" customFormat="1" ht="12.75" x14ac:dyDescent="0.2">
      <c r="A162" s="425"/>
      <c r="B162" s="438"/>
      <c r="C162" s="79"/>
      <c r="D162" s="79"/>
      <c r="E162" s="79"/>
      <c r="F162" s="79"/>
      <c r="G162" s="79"/>
      <c r="H162" s="79"/>
      <c r="I162" s="79"/>
      <c r="J162" s="429"/>
      <c r="K162" s="429"/>
      <c r="L162" s="429"/>
      <c r="M162" s="429"/>
      <c r="N162" s="429"/>
      <c r="O162" s="527"/>
      <c r="P162" s="527"/>
      <c r="Q162" s="760"/>
    </row>
    <row r="163" spans="1:17" s="115" customFormat="1" ht="12.75" x14ac:dyDescent="0.2">
      <c r="A163" s="425">
        <v>11040</v>
      </c>
      <c r="B163" s="438" t="s">
        <v>303</v>
      </c>
      <c r="C163" s="79">
        <f t="shared" ref="C163:N163" si="109">+C55*(156.6)*1000</f>
        <v>153624.59999999998</v>
      </c>
      <c r="D163" s="79">
        <f t="shared" si="109"/>
        <v>153624.59999999998</v>
      </c>
      <c r="E163" s="79">
        <f t="shared" si="109"/>
        <v>153624.59999999998</v>
      </c>
      <c r="F163" s="79">
        <f t="shared" si="109"/>
        <v>153624.59999999998</v>
      </c>
      <c r="G163" s="79">
        <f t="shared" si="109"/>
        <v>153624.59999999998</v>
      </c>
      <c r="H163" s="79">
        <f t="shared" si="109"/>
        <v>153624.59999999998</v>
      </c>
      <c r="I163" s="79">
        <f t="shared" si="109"/>
        <v>153624.59999999998</v>
      </c>
      <c r="J163" s="79">
        <f t="shared" si="109"/>
        <v>153624.59999999998</v>
      </c>
      <c r="K163" s="79">
        <f t="shared" si="109"/>
        <v>153624.59999999998</v>
      </c>
      <c r="L163" s="79">
        <f t="shared" si="109"/>
        <v>161336.55492</v>
      </c>
      <c r="M163" s="79">
        <f t="shared" si="109"/>
        <v>161336.55492</v>
      </c>
      <c r="N163" s="79">
        <f t="shared" si="109"/>
        <v>161336.55492</v>
      </c>
      <c r="O163" s="532">
        <f>SUM(C163:N163)</f>
        <v>1866631.06476</v>
      </c>
      <c r="P163" s="532">
        <v>1227744</v>
      </c>
      <c r="Q163" s="765">
        <f>O163-P163</f>
        <v>638887.06475999998</v>
      </c>
    </row>
    <row r="164" spans="1:17" s="428" customFormat="1" ht="13.35" customHeight="1" x14ac:dyDescent="0.2">
      <c r="A164" s="425">
        <v>11040</v>
      </c>
      <c r="B164" s="438" t="s">
        <v>304</v>
      </c>
      <c r="C164" s="79">
        <f t="shared" ref="C164:N164" si="110">+C56*(156.6)*1000</f>
        <v>0</v>
      </c>
      <c r="D164" s="79">
        <f t="shared" si="110"/>
        <v>0</v>
      </c>
      <c r="E164" s="79">
        <f t="shared" si="110"/>
        <v>0</v>
      </c>
      <c r="F164" s="79">
        <f t="shared" si="110"/>
        <v>0</v>
      </c>
      <c r="G164" s="79">
        <f t="shared" si="110"/>
        <v>0</v>
      </c>
      <c r="H164" s="79">
        <f t="shared" si="110"/>
        <v>0</v>
      </c>
      <c r="I164" s="79">
        <f t="shared" si="110"/>
        <v>0</v>
      </c>
      <c r="J164" s="79">
        <f t="shared" si="110"/>
        <v>0</v>
      </c>
      <c r="K164" s="79">
        <f t="shared" si="110"/>
        <v>0</v>
      </c>
      <c r="L164" s="79">
        <f t="shared" si="110"/>
        <v>0</v>
      </c>
      <c r="M164" s="79">
        <f t="shared" si="110"/>
        <v>0</v>
      </c>
      <c r="N164" s="79">
        <f t="shared" si="110"/>
        <v>0</v>
      </c>
      <c r="O164" s="532">
        <f>SUM(C164:N164)</f>
        <v>0</v>
      </c>
      <c r="P164" s="532">
        <v>250560</v>
      </c>
      <c r="Q164" s="765">
        <f>O164-P164</f>
        <v>-250560</v>
      </c>
    </row>
    <row r="165" spans="1:17" s="115" customFormat="1" ht="12.75" x14ac:dyDescent="0.2">
      <c r="A165" s="425">
        <v>11040</v>
      </c>
      <c r="B165" s="438" t="s">
        <v>305</v>
      </c>
      <c r="C165" s="439">
        <f t="shared" ref="C165:N165" si="111">+C57*(156.6)*1000</f>
        <v>0</v>
      </c>
      <c r="D165" s="439">
        <f t="shared" si="111"/>
        <v>0</v>
      </c>
      <c r="E165" s="439">
        <f t="shared" si="111"/>
        <v>0</v>
      </c>
      <c r="F165" s="439">
        <f t="shared" si="111"/>
        <v>0</v>
      </c>
      <c r="G165" s="439">
        <f t="shared" si="111"/>
        <v>0</v>
      </c>
      <c r="H165" s="439">
        <f t="shared" si="111"/>
        <v>0</v>
      </c>
      <c r="I165" s="439">
        <f t="shared" si="111"/>
        <v>0</v>
      </c>
      <c r="J165" s="439">
        <f t="shared" si="111"/>
        <v>0</v>
      </c>
      <c r="K165" s="439">
        <f t="shared" si="111"/>
        <v>0</v>
      </c>
      <c r="L165" s="439">
        <f t="shared" si="111"/>
        <v>0</v>
      </c>
      <c r="M165" s="439">
        <f t="shared" si="111"/>
        <v>0</v>
      </c>
      <c r="N165" s="439">
        <f t="shared" si="111"/>
        <v>0</v>
      </c>
      <c r="O165" s="535">
        <f>SUM(C165:N165)</f>
        <v>0</v>
      </c>
      <c r="P165" s="535">
        <v>269352</v>
      </c>
      <c r="Q165" s="768">
        <f>O165-P165</f>
        <v>-269352</v>
      </c>
    </row>
    <row r="166" spans="1:17" s="115" customFormat="1" ht="12.75" x14ac:dyDescent="0.2">
      <c r="A166" s="425"/>
      <c r="B166" s="438" t="s">
        <v>293</v>
      </c>
      <c r="C166" s="79">
        <f t="shared" ref="C166:I166" si="112">SUM(C163:C165)</f>
        <v>153624.59999999998</v>
      </c>
      <c r="D166" s="79">
        <f t="shared" si="112"/>
        <v>153624.59999999998</v>
      </c>
      <c r="E166" s="79">
        <f t="shared" si="112"/>
        <v>153624.59999999998</v>
      </c>
      <c r="F166" s="79">
        <f t="shared" si="112"/>
        <v>153624.59999999998</v>
      </c>
      <c r="G166" s="79">
        <f t="shared" si="112"/>
        <v>153624.59999999998</v>
      </c>
      <c r="H166" s="79">
        <f t="shared" si="112"/>
        <v>153624.59999999998</v>
      </c>
      <c r="I166" s="79">
        <f t="shared" si="112"/>
        <v>153624.59999999998</v>
      </c>
      <c r="J166" s="79">
        <f t="shared" ref="J166:N166" si="113">SUM(J163:J165)</f>
        <v>153624.59999999998</v>
      </c>
      <c r="K166" s="79">
        <f t="shared" si="113"/>
        <v>153624.59999999998</v>
      </c>
      <c r="L166" s="79">
        <f t="shared" si="113"/>
        <v>161336.55492</v>
      </c>
      <c r="M166" s="79">
        <f t="shared" si="113"/>
        <v>161336.55492</v>
      </c>
      <c r="N166" s="79">
        <f t="shared" si="113"/>
        <v>161336.55492</v>
      </c>
      <c r="O166" s="536">
        <f t="shared" ref="O166" si="114">SUM(O163:O165)</f>
        <v>1866631.06476</v>
      </c>
      <c r="P166" s="536">
        <f>SUM(P163:P165)</f>
        <v>1747656</v>
      </c>
      <c r="Q166" s="765">
        <f>O166-P166</f>
        <v>118975.06475999998</v>
      </c>
    </row>
    <row r="167" spans="1:17" s="115" customFormat="1" ht="13.5" thickBot="1" x14ac:dyDescent="0.25">
      <c r="A167" s="425"/>
      <c r="B167" s="438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532"/>
      <c r="P167" s="532"/>
      <c r="Q167" s="765"/>
    </row>
    <row r="168" spans="1:17" s="40" customFormat="1" ht="13.5" thickTop="1" x14ac:dyDescent="0.2">
      <c r="A168" s="429"/>
      <c r="B168" s="557" t="s">
        <v>501</v>
      </c>
      <c r="C168" s="565" t="s">
        <v>623</v>
      </c>
      <c r="D168" s="565" t="s">
        <v>623</v>
      </c>
      <c r="E168" s="565" t="s">
        <v>623</v>
      </c>
      <c r="F168" s="565" t="s">
        <v>623</v>
      </c>
      <c r="G168" s="565" t="s">
        <v>623</v>
      </c>
      <c r="H168" s="565" t="s">
        <v>623</v>
      </c>
      <c r="I168" s="565" t="s">
        <v>623</v>
      </c>
      <c r="J168" s="565" t="s">
        <v>623</v>
      </c>
      <c r="K168" s="565" t="s">
        <v>623</v>
      </c>
      <c r="L168" s="565" t="s">
        <v>623</v>
      </c>
      <c r="M168" s="565" t="s">
        <v>623</v>
      </c>
      <c r="N168" s="565" t="s">
        <v>623</v>
      </c>
      <c r="O168" s="565" t="s">
        <v>623</v>
      </c>
      <c r="P168" s="565" t="s">
        <v>623</v>
      </c>
      <c r="Q168" s="778" t="e">
        <f t="shared" ref="Q168:Q173" si="115">O168-P168</f>
        <v>#VALUE!</v>
      </c>
    </row>
    <row r="169" spans="1:17" s="40" customFormat="1" ht="13.5" thickBot="1" x14ac:dyDescent="0.25">
      <c r="A169" s="429"/>
      <c r="B169" s="445" t="s">
        <v>298</v>
      </c>
      <c r="C169" s="429">
        <v>1.4999999999999999E-2</v>
      </c>
      <c r="D169" s="429">
        <v>1.4999999999999999E-2</v>
      </c>
      <c r="E169" s="429">
        <v>1.4999999999999999E-2</v>
      </c>
      <c r="F169" s="429">
        <v>1.4999999999999999E-2</v>
      </c>
      <c r="G169" s="429">
        <v>1.4999999999999999E-2</v>
      </c>
      <c r="H169" s="429">
        <v>1.4999999999999999E-2</v>
      </c>
      <c r="I169" s="429">
        <v>1.4999999999999999E-2</v>
      </c>
      <c r="J169" s="429">
        <v>1.4999999999999999E-2</v>
      </c>
      <c r="K169" s="429">
        <v>1.4999999999999999E-2</v>
      </c>
      <c r="L169" s="429">
        <v>1.4999999999999999E-2</v>
      </c>
      <c r="M169" s="429">
        <v>1.4999999999999999E-2</v>
      </c>
      <c r="N169" s="429">
        <v>1.4999999999999999E-2</v>
      </c>
      <c r="O169" s="527">
        <f>AVERAGE(C169:N169)</f>
        <v>1.5000000000000005E-2</v>
      </c>
      <c r="P169" s="527">
        <v>1.4999999999999999E-2</v>
      </c>
      <c r="Q169" s="760">
        <f t="shared" si="115"/>
        <v>0</v>
      </c>
    </row>
    <row r="170" spans="1:17" s="40" customFormat="1" ht="14.25" thickTop="1" thickBot="1" x14ac:dyDescent="0.25">
      <c r="A170" s="429"/>
      <c r="B170" s="438" t="s">
        <v>294</v>
      </c>
      <c r="C170" s="565" t="s">
        <v>623</v>
      </c>
      <c r="D170" s="565" t="s">
        <v>623</v>
      </c>
      <c r="E170" s="565" t="s">
        <v>623</v>
      </c>
      <c r="F170" s="565" t="s">
        <v>623</v>
      </c>
      <c r="G170" s="565" t="s">
        <v>623</v>
      </c>
      <c r="H170" s="565" t="s">
        <v>623</v>
      </c>
      <c r="I170" s="565" t="s">
        <v>623</v>
      </c>
      <c r="J170" s="565" t="s">
        <v>623</v>
      </c>
      <c r="K170" s="565" t="s">
        <v>623</v>
      </c>
      <c r="L170" s="565" t="s">
        <v>623</v>
      </c>
      <c r="M170" s="565" t="s">
        <v>623</v>
      </c>
      <c r="N170" s="565" t="s">
        <v>623</v>
      </c>
      <c r="O170" s="565" t="s">
        <v>623</v>
      </c>
      <c r="P170" s="565" t="s">
        <v>623</v>
      </c>
      <c r="Q170" s="765" t="e">
        <f t="shared" si="115"/>
        <v>#VALUE!</v>
      </c>
    </row>
    <row r="171" spans="1:17" s="40" customFormat="1" ht="14.25" thickTop="1" thickBot="1" x14ac:dyDescent="0.25">
      <c r="A171" s="429"/>
      <c r="B171" s="438" t="s">
        <v>295</v>
      </c>
      <c r="C171" s="565" t="s">
        <v>623</v>
      </c>
      <c r="D171" s="565" t="s">
        <v>623</v>
      </c>
      <c r="E171" s="565" t="s">
        <v>623</v>
      </c>
      <c r="F171" s="565" t="s">
        <v>623</v>
      </c>
      <c r="G171" s="565" t="s">
        <v>623</v>
      </c>
      <c r="H171" s="565" t="s">
        <v>623</v>
      </c>
      <c r="I171" s="565" t="s">
        <v>623</v>
      </c>
      <c r="J171" s="565" t="s">
        <v>623</v>
      </c>
      <c r="K171" s="565" t="s">
        <v>623</v>
      </c>
      <c r="L171" s="565" t="s">
        <v>623</v>
      </c>
      <c r="M171" s="565" t="s">
        <v>623</v>
      </c>
      <c r="N171" s="565" t="s">
        <v>623</v>
      </c>
      <c r="O171" s="565" t="s">
        <v>623</v>
      </c>
      <c r="P171" s="565" t="s">
        <v>623</v>
      </c>
      <c r="Q171" s="765" t="e">
        <f t="shared" si="115"/>
        <v>#VALUE!</v>
      </c>
    </row>
    <row r="172" spans="1:17" s="115" customFormat="1" ht="14.25" thickTop="1" thickBot="1" x14ac:dyDescent="0.25">
      <c r="A172" s="429"/>
      <c r="B172" s="438" t="s">
        <v>296</v>
      </c>
      <c r="C172" s="565" t="s">
        <v>623</v>
      </c>
      <c r="D172" s="565" t="s">
        <v>623</v>
      </c>
      <c r="E172" s="565" t="s">
        <v>623</v>
      </c>
      <c r="F172" s="565" t="s">
        <v>623</v>
      </c>
      <c r="G172" s="565" t="s">
        <v>623</v>
      </c>
      <c r="H172" s="565" t="s">
        <v>623</v>
      </c>
      <c r="I172" s="565" t="s">
        <v>623</v>
      </c>
      <c r="J172" s="565" t="s">
        <v>623</v>
      </c>
      <c r="K172" s="565" t="s">
        <v>623</v>
      </c>
      <c r="L172" s="565" t="s">
        <v>623</v>
      </c>
      <c r="M172" s="565" t="s">
        <v>623</v>
      </c>
      <c r="N172" s="565" t="s">
        <v>623</v>
      </c>
      <c r="O172" s="565" t="s">
        <v>623</v>
      </c>
      <c r="P172" s="565" t="s">
        <v>623</v>
      </c>
      <c r="Q172" s="768" t="e">
        <f t="shared" si="115"/>
        <v>#VALUE!</v>
      </c>
    </row>
    <row r="173" spans="1:17" s="115" customFormat="1" ht="13.5" thickTop="1" x14ac:dyDescent="0.2">
      <c r="A173" s="429"/>
      <c r="B173" s="438" t="s">
        <v>297</v>
      </c>
      <c r="C173" s="565" t="s">
        <v>623</v>
      </c>
      <c r="D173" s="565" t="s">
        <v>623</v>
      </c>
      <c r="E173" s="565" t="s">
        <v>623</v>
      </c>
      <c r="F173" s="565" t="s">
        <v>623</v>
      </c>
      <c r="G173" s="565" t="s">
        <v>623</v>
      </c>
      <c r="H173" s="565" t="s">
        <v>623</v>
      </c>
      <c r="I173" s="565" t="s">
        <v>623</v>
      </c>
      <c r="J173" s="565" t="s">
        <v>623</v>
      </c>
      <c r="K173" s="565" t="s">
        <v>623</v>
      </c>
      <c r="L173" s="565" t="s">
        <v>623</v>
      </c>
      <c r="M173" s="565" t="s">
        <v>623</v>
      </c>
      <c r="N173" s="565" t="s">
        <v>623</v>
      </c>
      <c r="O173" s="565" t="s">
        <v>623</v>
      </c>
      <c r="P173" s="565" t="s">
        <v>623</v>
      </c>
      <c r="Q173" s="765" t="e">
        <f t="shared" si="115"/>
        <v>#VALUE!</v>
      </c>
    </row>
    <row r="174" spans="1:17" s="115" customFormat="1" ht="13.5" thickBot="1" x14ac:dyDescent="0.25">
      <c r="A174" s="429"/>
      <c r="B174" s="438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532"/>
      <c r="P174" s="532"/>
      <c r="Q174" s="765"/>
    </row>
    <row r="175" spans="1:17" s="116" customFormat="1" ht="13.5" thickTop="1" x14ac:dyDescent="0.2">
      <c r="A175" s="454"/>
      <c r="B175" s="440" t="s">
        <v>299</v>
      </c>
      <c r="C175" s="565" t="s">
        <v>623</v>
      </c>
      <c r="D175" s="565" t="s">
        <v>623</v>
      </c>
      <c r="E175" s="565" t="s">
        <v>623</v>
      </c>
      <c r="F175" s="565" t="s">
        <v>623</v>
      </c>
      <c r="G175" s="565" t="s">
        <v>623</v>
      </c>
      <c r="H175" s="565" t="s">
        <v>623</v>
      </c>
      <c r="I175" s="565" t="s">
        <v>623</v>
      </c>
      <c r="J175" s="565" t="s">
        <v>623</v>
      </c>
      <c r="K175" s="565" t="s">
        <v>623</v>
      </c>
      <c r="L175" s="565" t="s">
        <v>623</v>
      </c>
      <c r="M175" s="565" t="s">
        <v>623</v>
      </c>
      <c r="N175" s="565" t="s">
        <v>623</v>
      </c>
      <c r="O175" s="565" t="s">
        <v>623</v>
      </c>
      <c r="P175" s="565" t="s">
        <v>623</v>
      </c>
      <c r="Q175" s="769" t="e">
        <f>O175-P175</f>
        <v>#VALUE!</v>
      </c>
    </row>
    <row r="176" spans="1:17" s="115" customFormat="1" ht="12.75" x14ac:dyDescent="0.2">
      <c r="A176" s="429"/>
      <c r="B176" s="438"/>
      <c r="C176" s="365"/>
      <c r="D176" s="365"/>
      <c r="E176" s="365"/>
      <c r="F176" s="365"/>
      <c r="G176" s="365"/>
      <c r="H176" s="365"/>
      <c r="I176" s="365"/>
      <c r="J176" s="79"/>
      <c r="K176" s="79"/>
      <c r="L176" s="79"/>
      <c r="M176" s="79"/>
      <c r="N176" s="79"/>
      <c r="O176" s="532"/>
      <c r="P176" s="532"/>
      <c r="Q176" s="765"/>
    </row>
    <row r="177" spans="1:17" s="115" customFormat="1" ht="12.75" x14ac:dyDescent="0.2">
      <c r="A177" s="365"/>
      <c r="B177" s="378" t="s">
        <v>300</v>
      </c>
      <c r="C177" s="365">
        <f t="shared" ref="C177:N177" si="116">C34+C35+C36</f>
        <v>340</v>
      </c>
      <c r="D177" s="365">
        <f t="shared" si="116"/>
        <v>340</v>
      </c>
      <c r="E177" s="365">
        <f t="shared" si="116"/>
        <v>340</v>
      </c>
      <c r="F177" s="365">
        <f t="shared" si="116"/>
        <v>340</v>
      </c>
      <c r="G177" s="365">
        <f t="shared" si="116"/>
        <v>340</v>
      </c>
      <c r="H177" s="365">
        <f t="shared" si="116"/>
        <v>340</v>
      </c>
      <c r="I177" s="365">
        <f t="shared" si="116"/>
        <v>340</v>
      </c>
      <c r="J177" s="365">
        <f t="shared" si="116"/>
        <v>340</v>
      </c>
      <c r="K177" s="365">
        <f t="shared" si="116"/>
        <v>340</v>
      </c>
      <c r="L177" s="365">
        <f t="shared" si="116"/>
        <v>340</v>
      </c>
      <c r="M177" s="365">
        <f t="shared" si="116"/>
        <v>340</v>
      </c>
      <c r="N177" s="365">
        <f t="shared" si="116"/>
        <v>340</v>
      </c>
      <c r="O177" s="525">
        <f>AVERAGE(C177:N177)</f>
        <v>340</v>
      </c>
      <c r="P177" s="525">
        <v>340</v>
      </c>
      <c r="Q177" s="758">
        <f>O177-P177</f>
        <v>0</v>
      </c>
    </row>
    <row r="178" spans="1:17" s="115" customFormat="1" ht="12.75" x14ac:dyDescent="0.2">
      <c r="A178" s="425">
        <v>12195</v>
      </c>
      <c r="B178" s="438" t="s">
        <v>266</v>
      </c>
      <c r="C178" s="79">
        <f t="shared" ref="C178:N178" si="117">C177*1000*C51</f>
        <v>560320</v>
      </c>
      <c r="D178" s="79">
        <f t="shared" si="117"/>
        <v>560320</v>
      </c>
      <c r="E178" s="79">
        <f t="shared" si="117"/>
        <v>560320</v>
      </c>
      <c r="F178" s="79">
        <f t="shared" si="117"/>
        <v>560320</v>
      </c>
      <c r="G178" s="79">
        <f t="shared" si="117"/>
        <v>560320</v>
      </c>
      <c r="H178" s="79">
        <f t="shared" si="117"/>
        <v>560320</v>
      </c>
      <c r="I178" s="79">
        <f t="shared" si="117"/>
        <v>560320</v>
      </c>
      <c r="J178" s="79">
        <f t="shared" si="117"/>
        <v>560320</v>
      </c>
      <c r="K178" s="79">
        <f t="shared" si="117"/>
        <v>560320</v>
      </c>
      <c r="L178" s="79">
        <f t="shared" si="117"/>
        <v>588448.06400000001</v>
      </c>
      <c r="M178" s="79">
        <f t="shared" si="117"/>
        <v>588448.06400000001</v>
      </c>
      <c r="N178" s="79">
        <f t="shared" si="117"/>
        <v>588448.06400000001</v>
      </c>
      <c r="O178" s="532">
        <f>SUM(C178:N178)</f>
        <v>6808224.1920000007</v>
      </c>
      <c r="P178" s="532">
        <v>6379760</v>
      </c>
      <c r="Q178" s="765">
        <f>O178-P178</f>
        <v>428464.19200000074</v>
      </c>
    </row>
    <row r="179" spans="1:17" s="115" customFormat="1" ht="12.75" x14ac:dyDescent="0.2">
      <c r="A179" s="425">
        <v>12195</v>
      </c>
      <c r="B179" s="438" t="s">
        <v>263</v>
      </c>
      <c r="C179" s="439">
        <f t="shared" ref="C179:N179" si="118">+C52*C177*1000</f>
        <v>107440</v>
      </c>
      <c r="D179" s="439">
        <f t="shared" si="118"/>
        <v>107440</v>
      </c>
      <c r="E179" s="439">
        <f t="shared" si="118"/>
        <v>107440</v>
      </c>
      <c r="F179" s="439">
        <f t="shared" si="118"/>
        <v>107440</v>
      </c>
      <c r="G179" s="439">
        <f t="shared" si="118"/>
        <v>107440</v>
      </c>
      <c r="H179" s="439">
        <f t="shared" si="118"/>
        <v>107440</v>
      </c>
      <c r="I179" s="439">
        <f t="shared" si="118"/>
        <v>107440</v>
      </c>
      <c r="J179" s="439">
        <f t="shared" si="118"/>
        <v>107440</v>
      </c>
      <c r="K179" s="439">
        <f t="shared" si="118"/>
        <v>107440</v>
      </c>
      <c r="L179" s="439">
        <f t="shared" si="118"/>
        <v>112833.488</v>
      </c>
      <c r="M179" s="439">
        <f t="shared" si="118"/>
        <v>112833.488</v>
      </c>
      <c r="N179" s="439">
        <f t="shared" si="118"/>
        <v>112833.488</v>
      </c>
      <c r="O179" s="535">
        <f>SUM(C179:N179)</f>
        <v>1305460.4639999997</v>
      </c>
      <c r="P179" s="535">
        <v>1301520</v>
      </c>
      <c r="Q179" s="768">
        <f>O179-P179</f>
        <v>3940.4639999996871</v>
      </c>
    </row>
    <row r="180" spans="1:17" s="428" customFormat="1" ht="12.75" x14ac:dyDescent="0.2">
      <c r="A180" s="425"/>
      <c r="B180" s="438" t="s">
        <v>301</v>
      </c>
      <c r="C180" s="79">
        <f t="shared" ref="C180:I180" si="119">SUM(C178:C179)</f>
        <v>667760</v>
      </c>
      <c r="D180" s="79">
        <f t="shared" si="119"/>
        <v>667760</v>
      </c>
      <c r="E180" s="79">
        <f t="shared" si="119"/>
        <v>667760</v>
      </c>
      <c r="F180" s="79">
        <f t="shared" si="119"/>
        <v>667760</v>
      </c>
      <c r="G180" s="79">
        <f t="shared" si="119"/>
        <v>667760</v>
      </c>
      <c r="H180" s="79">
        <f>SUM(H178:H179)</f>
        <v>667760</v>
      </c>
      <c r="I180" s="79">
        <f t="shared" si="119"/>
        <v>667760</v>
      </c>
      <c r="J180" s="79">
        <f t="shared" ref="J180:N180" si="120">SUM(J178:J179)</f>
        <v>667760</v>
      </c>
      <c r="K180" s="79">
        <f t="shared" si="120"/>
        <v>667760</v>
      </c>
      <c r="L180" s="79">
        <f t="shared" si="120"/>
        <v>701281.55200000003</v>
      </c>
      <c r="M180" s="79">
        <f t="shared" si="120"/>
        <v>701281.55200000003</v>
      </c>
      <c r="N180" s="79">
        <f t="shared" si="120"/>
        <v>701281.55200000003</v>
      </c>
      <c r="O180" s="532">
        <f t="shared" ref="O180" si="121">SUM(O178:O179)</f>
        <v>8113684.6560000004</v>
      </c>
      <c r="P180" s="532">
        <f>SUM(P178:P179)</f>
        <v>7681280</v>
      </c>
      <c r="Q180" s="765">
        <f>O180-P180</f>
        <v>432404.65600000042</v>
      </c>
    </row>
    <row r="181" spans="1:17" s="428" customFormat="1" ht="12.75" x14ac:dyDescent="0.2">
      <c r="A181" s="425"/>
      <c r="B181" s="438"/>
      <c r="C181" s="79"/>
      <c r="D181" s="79"/>
      <c r="E181" s="79"/>
      <c r="F181" s="79"/>
      <c r="G181" s="79"/>
      <c r="H181" s="79"/>
      <c r="I181" s="79"/>
      <c r="J181" s="429"/>
      <c r="K181" s="429"/>
      <c r="L181" s="429"/>
      <c r="M181" s="429"/>
      <c r="N181" s="429"/>
      <c r="O181" s="527"/>
      <c r="P181" s="527"/>
      <c r="Q181" s="760"/>
    </row>
    <row r="182" spans="1:17" s="115" customFormat="1" ht="12.75" x14ac:dyDescent="0.2">
      <c r="A182" s="425"/>
      <c r="B182" s="438" t="s">
        <v>306</v>
      </c>
      <c r="C182" s="79">
        <f t="shared" ref="C182:N182" si="122">+C55*342.7*1000</f>
        <v>336188.7</v>
      </c>
      <c r="D182" s="79">
        <f t="shared" si="122"/>
        <v>336188.7</v>
      </c>
      <c r="E182" s="79">
        <f t="shared" si="122"/>
        <v>336188.7</v>
      </c>
      <c r="F182" s="79">
        <f t="shared" si="122"/>
        <v>336188.7</v>
      </c>
      <c r="G182" s="79">
        <f t="shared" si="122"/>
        <v>336188.7</v>
      </c>
      <c r="H182" s="79">
        <f t="shared" si="122"/>
        <v>336188.7</v>
      </c>
      <c r="I182" s="79">
        <f t="shared" si="122"/>
        <v>336188.7</v>
      </c>
      <c r="J182" s="79">
        <f t="shared" si="122"/>
        <v>336188.7</v>
      </c>
      <c r="K182" s="79">
        <f t="shared" si="122"/>
        <v>336188.7</v>
      </c>
      <c r="L182" s="79">
        <f t="shared" si="122"/>
        <v>353065.37274000002</v>
      </c>
      <c r="M182" s="79">
        <f t="shared" si="122"/>
        <v>353065.37274000002</v>
      </c>
      <c r="N182" s="79">
        <f t="shared" si="122"/>
        <v>353065.37274000002</v>
      </c>
      <c r="O182" s="532">
        <f>SUM(C182:N182)</f>
        <v>4084894.4182200003</v>
      </c>
      <c r="P182" s="532">
        <v>2686768</v>
      </c>
      <c r="Q182" s="765">
        <f>O182-P182</f>
        <v>1398126.4182200003</v>
      </c>
    </row>
    <row r="183" spans="1:17" s="428" customFormat="1" ht="12.75" x14ac:dyDescent="0.2">
      <c r="A183" s="425"/>
      <c r="B183" s="438" t="s">
        <v>307</v>
      </c>
      <c r="C183" s="79">
        <f t="shared" ref="C183:N183" si="123">+C56*342.7*1000</f>
        <v>0</v>
      </c>
      <c r="D183" s="79">
        <f t="shared" si="123"/>
        <v>0</v>
      </c>
      <c r="E183" s="79">
        <f t="shared" si="123"/>
        <v>0</v>
      </c>
      <c r="F183" s="79">
        <f t="shared" si="123"/>
        <v>0</v>
      </c>
      <c r="G183" s="79">
        <f t="shared" si="123"/>
        <v>0</v>
      </c>
      <c r="H183" s="79">
        <f t="shared" si="123"/>
        <v>0</v>
      </c>
      <c r="I183" s="79">
        <f t="shared" si="123"/>
        <v>0</v>
      </c>
      <c r="J183" s="79">
        <f t="shared" si="123"/>
        <v>0</v>
      </c>
      <c r="K183" s="79">
        <f t="shared" si="123"/>
        <v>0</v>
      </c>
      <c r="L183" s="79">
        <f t="shared" si="123"/>
        <v>0</v>
      </c>
      <c r="M183" s="79">
        <f t="shared" si="123"/>
        <v>0</v>
      </c>
      <c r="N183" s="79">
        <f t="shared" si="123"/>
        <v>0</v>
      </c>
      <c r="O183" s="532">
        <f>SUM(C183:N183)</f>
        <v>0</v>
      </c>
      <c r="P183" s="532">
        <v>548320</v>
      </c>
      <c r="Q183" s="765">
        <f>O183-P183</f>
        <v>-548320</v>
      </c>
    </row>
    <row r="184" spans="1:17" s="115" customFormat="1" ht="12.75" x14ac:dyDescent="0.2">
      <c r="A184" s="425"/>
      <c r="B184" s="438" t="s">
        <v>308</v>
      </c>
      <c r="C184" s="439">
        <f t="shared" ref="C184:N184" si="124">+C57*342.7*1000</f>
        <v>0</v>
      </c>
      <c r="D184" s="439">
        <f t="shared" si="124"/>
        <v>0</v>
      </c>
      <c r="E184" s="439">
        <f t="shared" si="124"/>
        <v>0</v>
      </c>
      <c r="F184" s="439">
        <f t="shared" si="124"/>
        <v>0</v>
      </c>
      <c r="G184" s="439">
        <f t="shared" si="124"/>
        <v>0</v>
      </c>
      <c r="H184" s="439">
        <f t="shared" si="124"/>
        <v>0</v>
      </c>
      <c r="I184" s="439">
        <f t="shared" si="124"/>
        <v>0</v>
      </c>
      <c r="J184" s="439">
        <f t="shared" si="124"/>
        <v>0</v>
      </c>
      <c r="K184" s="439">
        <f t="shared" si="124"/>
        <v>0</v>
      </c>
      <c r="L184" s="439">
        <f t="shared" si="124"/>
        <v>0</v>
      </c>
      <c r="M184" s="439">
        <f t="shared" si="124"/>
        <v>0</v>
      </c>
      <c r="N184" s="439">
        <f t="shared" si="124"/>
        <v>0</v>
      </c>
      <c r="O184" s="535">
        <f>SUM(C184:N184)</f>
        <v>0</v>
      </c>
      <c r="P184" s="535">
        <v>589444</v>
      </c>
      <c r="Q184" s="768">
        <f>O184-P184</f>
        <v>-589444</v>
      </c>
    </row>
    <row r="185" spans="1:17" s="115" customFormat="1" ht="12.75" x14ac:dyDescent="0.2">
      <c r="A185" s="425"/>
      <c r="B185" s="438" t="s">
        <v>302</v>
      </c>
      <c r="C185" s="79">
        <f t="shared" ref="C185:H185" si="125">SUM(C182:C184)</f>
        <v>336188.7</v>
      </c>
      <c r="D185" s="79">
        <f t="shared" si="125"/>
        <v>336188.7</v>
      </c>
      <c r="E185" s="79">
        <f t="shared" si="125"/>
        <v>336188.7</v>
      </c>
      <c r="F185" s="79">
        <f t="shared" si="125"/>
        <v>336188.7</v>
      </c>
      <c r="G185" s="79">
        <f t="shared" si="125"/>
        <v>336188.7</v>
      </c>
      <c r="H185" s="79">
        <f t="shared" si="125"/>
        <v>336188.7</v>
      </c>
      <c r="I185" s="79">
        <f>SUM(I182:I184)</f>
        <v>336188.7</v>
      </c>
      <c r="J185" s="79">
        <f t="shared" ref="J185:N185" si="126">SUM(J182:J184)</f>
        <v>336188.7</v>
      </c>
      <c r="K185" s="79">
        <f t="shared" si="126"/>
        <v>336188.7</v>
      </c>
      <c r="L185" s="79">
        <f t="shared" si="126"/>
        <v>353065.37274000002</v>
      </c>
      <c r="M185" s="79">
        <f t="shared" si="126"/>
        <v>353065.37274000002</v>
      </c>
      <c r="N185" s="79">
        <f t="shared" si="126"/>
        <v>353065.37274000002</v>
      </c>
      <c r="O185" s="532">
        <f t="shared" ref="O185" si="127">SUM(O182:O184)</f>
        <v>4084894.4182200003</v>
      </c>
      <c r="P185" s="532">
        <f>SUM(P182:P184)</f>
        <v>3824532</v>
      </c>
      <c r="Q185" s="765">
        <f>O185-P185</f>
        <v>260362.41822000034</v>
      </c>
    </row>
    <row r="186" spans="1:17" s="115" customFormat="1" ht="13.5" thickBot="1" x14ac:dyDescent="0.25">
      <c r="A186" s="425"/>
      <c r="B186" s="438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532"/>
      <c r="P186" s="532"/>
      <c r="Q186" s="765"/>
    </row>
    <row r="187" spans="1:17" s="115" customFormat="1" ht="13.5" thickTop="1" x14ac:dyDescent="0.2">
      <c r="A187" s="425"/>
      <c r="B187" s="557" t="s">
        <v>309</v>
      </c>
      <c r="C187" s="565" t="s">
        <v>623</v>
      </c>
      <c r="D187" s="565" t="s">
        <v>623</v>
      </c>
      <c r="E187" s="565" t="s">
        <v>623</v>
      </c>
      <c r="F187" s="565" t="s">
        <v>623</v>
      </c>
      <c r="G187" s="565" t="s">
        <v>623</v>
      </c>
      <c r="H187" s="565" t="s">
        <v>623</v>
      </c>
      <c r="I187" s="565" t="s">
        <v>623</v>
      </c>
      <c r="J187" s="565" t="s">
        <v>623</v>
      </c>
      <c r="K187" s="565" t="s">
        <v>623</v>
      </c>
      <c r="L187" s="565" t="s">
        <v>623</v>
      </c>
      <c r="M187" s="565" t="s">
        <v>623</v>
      </c>
      <c r="N187" s="565" t="s">
        <v>623</v>
      </c>
      <c r="O187" s="565" t="s">
        <v>623</v>
      </c>
      <c r="P187" s="565" t="s">
        <v>623</v>
      </c>
      <c r="Q187" s="778" t="e">
        <f t="shared" ref="Q187:Q192" si="128">O187-P187</f>
        <v>#VALUE!</v>
      </c>
    </row>
    <row r="188" spans="1:17" s="115" customFormat="1" ht="13.5" thickBot="1" x14ac:dyDescent="0.25">
      <c r="A188" s="425"/>
      <c r="B188" s="445" t="s">
        <v>298</v>
      </c>
      <c r="C188" s="429">
        <v>1.4999999999999999E-2</v>
      </c>
      <c r="D188" s="429">
        <v>1.4999999999999999E-2</v>
      </c>
      <c r="E188" s="429">
        <v>1.4999999999999999E-2</v>
      </c>
      <c r="F188" s="429">
        <v>1.4999999999999999E-2</v>
      </c>
      <c r="G188" s="429">
        <v>1.4999999999999999E-2</v>
      </c>
      <c r="H188" s="429">
        <v>1.4999999999999999E-2</v>
      </c>
      <c r="I188" s="429">
        <v>1.4999999999999999E-2</v>
      </c>
      <c r="J188" s="429">
        <v>1.4999999999999999E-2</v>
      </c>
      <c r="K188" s="429">
        <v>1.4999999999999999E-2</v>
      </c>
      <c r="L188" s="429">
        <v>1.4999999999999999E-2</v>
      </c>
      <c r="M188" s="429">
        <v>1.4999999999999999E-2</v>
      </c>
      <c r="N188" s="429">
        <v>1.4999999999999999E-2</v>
      </c>
      <c r="O188" s="527">
        <f>AVERAGE(C188:N188)</f>
        <v>1.5000000000000005E-2</v>
      </c>
      <c r="P188" s="527">
        <v>1.4999999999999999E-2</v>
      </c>
      <c r="Q188" s="760">
        <f t="shared" si="128"/>
        <v>0</v>
      </c>
    </row>
    <row r="189" spans="1:17" s="115" customFormat="1" ht="14.25" thickTop="1" thickBot="1" x14ac:dyDescent="0.25">
      <c r="A189" s="425"/>
      <c r="B189" s="438" t="s">
        <v>294</v>
      </c>
      <c r="C189" s="565" t="s">
        <v>623</v>
      </c>
      <c r="D189" s="565" t="s">
        <v>623</v>
      </c>
      <c r="E189" s="565" t="s">
        <v>623</v>
      </c>
      <c r="F189" s="565" t="s">
        <v>623</v>
      </c>
      <c r="G189" s="565" t="s">
        <v>623</v>
      </c>
      <c r="H189" s="565" t="s">
        <v>623</v>
      </c>
      <c r="I189" s="565" t="s">
        <v>623</v>
      </c>
      <c r="J189" s="565" t="s">
        <v>623</v>
      </c>
      <c r="K189" s="565" t="s">
        <v>623</v>
      </c>
      <c r="L189" s="565" t="s">
        <v>623</v>
      </c>
      <c r="M189" s="565" t="s">
        <v>623</v>
      </c>
      <c r="N189" s="565" t="s">
        <v>623</v>
      </c>
      <c r="O189" s="565" t="s">
        <v>623</v>
      </c>
      <c r="P189" s="565" t="s">
        <v>623</v>
      </c>
      <c r="Q189" s="765" t="e">
        <f t="shared" si="128"/>
        <v>#VALUE!</v>
      </c>
    </row>
    <row r="190" spans="1:17" s="40" customFormat="1" ht="14.25" thickTop="1" thickBot="1" x14ac:dyDescent="0.25">
      <c r="A190" s="425"/>
      <c r="B190" s="438" t="s">
        <v>295</v>
      </c>
      <c r="C190" s="565" t="s">
        <v>623</v>
      </c>
      <c r="D190" s="565" t="s">
        <v>623</v>
      </c>
      <c r="E190" s="565" t="s">
        <v>623</v>
      </c>
      <c r="F190" s="565" t="s">
        <v>623</v>
      </c>
      <c r="G190" s="565" t="s">
        <v>623</v>
      </c>
      <c r="H190" s="565" t="s">
        <v>623</v>
      </c>
      <c r="I190" s="565" t="s">
        <v>623</v>
      </c>
      <c r="J190" s="565" t="s">
        <v>623</v>
      </c>
      <c r="K190" s="565" t="s">
        <v>623</v>
      </c>
      <c r="L190" s="565" t="s">
        <v>623</v>
      </c>
      <c r="M190" s="565" t="s">
        <v>623</v>
      </c>
      <c r="N190" s="565" t="s">
        <v>623</v>
      </c>
      <c r="O190" s="565" t="s">
        <v>623</v>
      </c>
      <c r="P190" s="565" t="s">
        <v>623</v>
      </c>
      <c r="Q190" s="765" t="e">
        <f t="shared" si="128"/>
        <v>#VALUE!</v>
      </c>
    </row>
    <row r="191" spans="1:17" s="40" customFormat="1" ht="14.25" thickTop="1" thickBot="1" x14ac:dyDescent="0.25">
      <c r="A191" s="425"/>
      <c r="B191" s="438" t="s">
        <v>296</v>
      </c>
      <c r="C191" s="565" t="s">
        <v>623</v>
      </c>
      <c r="D191" s="565" t="s">
        <v>623</v>
      </c>
      <c r="E191" s="565" t="s">
        <v>623</v>
      </c>
      <c r="F191" s="565" t="s">
        <v>623</v>
      </c>
      <c r="G191" s="565" t="s">
        <v>623</v>
      </c>
      <c r="H191" s="565" t="s">
        <v>623</v>
      </c>
      <c r="I191" s="565" t="s">
        <v>623</v>
      </c>
      <c r="J191" s="565" t="s">
        <v>623</v>
      </c>
      <c r="K191" s="565" t="s">
        <v>623</v>
      </c>
      <c r="L191" s="565" t="s">
        <v>623</v>
      </c>
      <c r="M191" s="565" t="s">
        <v>623</v>
      </c>
      <c r="N191" s="565" t="s">
        <v>623</v>
      </c>
      <c r="O191" s="565" t="s">
        <v>623</v>
      </c>
      <c r="P191" s="565" t="s">
        <v>623</v>
      </c>
      <c r="Q191" s="768" t="e">
        <f t="shared" si="128"/>
        <v>#VALUE!</v>
      </c>
    </row>
    <row r="192" spans="1:17" s="115" customFormat="1" ht="13.5" thickTop="1" x14ac:dyDescent="0.2">
      <c r="A192" s="425"/>
      <c r="B192" s="438" t="s">
        <v>310</v>
      </c>
      <c r="C192" s="565" t="s">
        <v>623</v>
      </c>
      <c r="D192" s="565" t="s">
        <v>623</v>
      </c>
      <c r="E192" s="565" t="s">
        <v>623</v>
      </c>
      <c r="F192" s="565" t="s">
        <v>623</v>
      </c>
      <c r="G192" s="565" t="s">
        <v>623</v>
      </c>
      <c r="H192" s="565" t="s">
        <v>623</v>
      </c>
      <c r="I192" s="565" t="s">
        <v>623</v>
      </c>
      <c r="J192" s="565" t="s">
        <v>623</v>
      </c>
      <c r="K192" s="565" t="s">
        <v>623</v>
      </c>
      <c r="L192" s="565" t="s">
        <v>623</v>
      </c>
      <c r="M192" s="565" t="s">
        <v>623</v>
      </c>
      <c r="N192" s="565" t="s">
        <v>623</v>
      </c>
      <c r="O192" s="565" t="s">
        <v>623</v>
      </c>
      <c r="P192" s="565" t="s">
        <v>623</v>
      </c>
      <c r="Q192" s="765" t="e">
        <f t="shared" si="128"/>
        <v>#VALUE!</v>
      </c>
    </row>
    <row r="193" spans="1:17" s="115" customFormat="1" ht="12.75" x14ac:dyDescent="0.2">
      <c r="A193" s="425"/>
      <c r="B193" s="438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532"/>
      <c r="P193" s="532"/>
      <c r="Q193" s="765"/>
    </row>
    <row r="194" spans="1:17" s="115" customFormat="1" ht="12.75" x14ac:dyDescent="0.2">
      <c r="A194" s="425"/>
      <c r="B194" s="438" t="s">
        <v>311</v>
      </c>
      <c r="C194" s="79">
        <v>-154539.60316826243</v>
      </c>
      <c r="D194" s="79">
        <v>-140353.88867205934</v>
      </c>
      <c r="E194" s="79">
        <v>-151423.77160558329</v>
      </c>
      <c r="F194" s="79">
        <v>-146867.50310067344</v>
      </c>
      <c r="G194" s="79">
        <v>-149455.35628935631</v>
      </c>
      <c r="H194" s="79">
        <v>-143852.18223356458</v>
      </c>
      <c r="I194" s="79">
        <v>-147468.33734772747</v>
      </c>
      <c r="J194" s="79">
        <v>-145910.42156638793</v>
      </c>
      <c r="K194" s="79">
        <v>-140421.60024359517</v>
      </c>
      <c r="L194" s="79">
        <v>-145197.97174605311</v>
      </c>
      <c r="M194" s="79">
        <v>-139683.80300335493</v>
      </c>
      <c r="N194" s="79">
        <v>-141889.5817928004</v>
      </c>
      <c r="O194" s="532">
        <f>SUM(C194:N194)</f>
        <v>-1747064.0207694185</v>
      </c>
      <c r="P194" s="532">
        <v>-1997861.5583285049</v>
      </c>
      <c r="Q194" s="765">
        <f>O194-P194</f>
        <v>250797.53755908646</v>
      </c>
    </row>
    <row r="195" spans="1:17" s="115" customFormat="1" ht="13.5" thickBot="1" x14ac:dyDescent="0.25">
      <c r="A195" s="425"/>
      <c r="B195" s="438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532"/>
      <c r="P195" s="532"/>
      <c r="Q195" s="765"/>
    </row>
    <row r="196" spans="1:17" s="40" customFormat="1" ht="13.5" thickTop="1" x14ac:dyDescent="0.2">
      <c r="A196" s="425"/>
      <c r="B196" s="446" t="s">
        <v>312</v>
      </c>
      <c r="C196" s="565" t="s">
        <v>623</v>
      </c>
      <c r="D196" s="565" t="s">
        <v>623</v>
      </c>
      <c r="E196" s="565" t="s">
        <v>623</v>
      </c>
      <c r="F196" s="565" t="s">
        <v>623</v>
      </c>
      <c r="G196" s="565" t="s">
        <v>623</v>
      </c>
      <c r="H196" s="565" t="s">
        <v>623</v>
      </c>
      <c r="I196" s="565" t="s">
        <v>623</v>
      </c>
      <c r="J196" s="565" t="s">
        <v>623</v>
      </c>
      <c r="K196" s="565" t="s">
        <v>623</v>
      </c>
      <c r="L196" s="565" t="s">
        <v>623</v>
      </c>
      <c r="M196" s="565" t="s">
        <v>623</v>
      </c>
      <c r="N196" s="565" t="s">
        <v>623</v>
      </c>
      <c r="O196" s="565" t="s">
        <v>623</v>
      </c>
      <c r="P196" s="565" t="s">
        <v>623</v>
      </c>
      <c r="Q196" s="769" t="e">
        <f>O196-P196</f>
        <v>#VALUE!</v>
      </c>
    </row>
    <row r="197" spans="1:17" s="40" customFormat="1" ht="12.75" x14ac:dyDescent="0.2">
      <c r="A197" s="425"/>
      <c r="B197" s="447"/>
      <c r="C197" s="79"/>
      <c r="D197" s="79"/>
      <c r="E197" s="79"/>
      <c r="F197" s="79"/>
      <c r="G197" s="79"/>
      <c r="H197" s="79"/>
      <c r="I197" s="79"/>
      <c r="J197" s="365"/>
      <c r="K197" s="365"/>
      <c r="L197" s="365"/>
      <c r="M197" s="365"/>
      <c r="N197" s="365"/>
      <c r="O197" s="525"/>
      <c r="P197" s="525"/>
      <c r="Q197" s="758"/>
    </row>
    <row r="198" spans="1:17" s="115" customFormat="1" ht="12.75" x14ac:dyDescent="0.2">
      <c r="A198" s="425"/>
      <c r="B198" s="378" t="s">
        <v>313</v>
      </c>
      <c r="C198" s="365">
        <f t="shared" ref="C198:N198" si="129">+C37</f>
        <v>50</v>
      </c>
      <c r="D198" s="365">
        <f t="shared" si="129"/>
        <v>50</v>
      </c>
      <c r="E198" s="365">
        <f t="shared" si="129"/>
        <v>50</v>
      </c>
      <c r="F198" s="365">
        <f t="shared" si="129"/>
        <v>50</v>
      </c>
      <c r="G198" s="365">
        <f t="shared" si="129"/>
        <v>50</v>
      </c>
      <c r="H198" s="365">
        <f t="shared" si="129"/>
        <v>50</v>
      </c>
      <c r="I198" s="365">
        <f t="shared" si="129"/>
        <v>50</v>
      </c>
      <c r="J198" s="365">
        <f t="shared" si="129"/>
        <v>50</v>
      </c>
      <c r="K198" s="365">
        <f t="shared" si="129"/>
        <v>50</v>
      </c>
      <c r="L198" s="365">
        <f t="shared" si="129"/>
        <v>50</v>
      </c>
      <c r="M198" s="365">
        <f t="shared" si="129"/>
        <v>50</v>
      </c>
      <c r="N198" s="365">
        <f t="shared" si="129"/>
        <v>50</v>
      </c>
      <c r="O198" s="525">
        <f>AVERAGE(C198:N198)</f>
        <v>50</v>
      </c>
      <c r="P198" s="525">
        <v>50</v>
      </c>
      <c r="Q198" s="758">
        <f>O198-P198</f>
        <v>0</v>
      </c>
    </row>
    <row r="199" spans="1:17" s="115" customFormat="1" ht="12.75" x14ac:dyDescent="0.2">
      <c r="A199" s="511">
        <v>12195</v>
      </c>
      <c r="B199" s="438" t="s">
        <v>266</v>
      </c>
      <c r="C199" s="79">
        <f t="shared" ref="C199:N199" si="130">+C51*C198*1000</f>
        <v>82399.999999999985</v>
      </c>
      <c r="D199" s="79">
        <f t="shared" si="130"/>
        <v>82399.999999999985</v>
      </c>
      <c r="E199" s="79">
        <f t="shared" si="130"/>
        <v>82399.999999999985</v>
      </c>
      <c r="F199" s="79">
        <f t="shared" si="130"/>
        <v>82399.999999999985</v>
      </c>
      <c r="G199" s="79">
        <f t="shared" si="130"/>
        <v>82399.999999999985</v>
      </c>
      <c r="H199" s="79">
        <f t="shared" si="130"/>
        <v>82399.999999999985</v>
      </c>
      <c r="I199" s="79">
        <f t="shared" si="130"/>
        <v>82399.999999999985</v>
      </c>
      <c r="J199" s="79">
        <f t="shared" si="130"/>
        <v>82399.999999999985</v>
      </c>
      <c r="K199" s="79">
        <f t="shared" si="130"/>
        <v>82399.999999999985</v>
      </c>
      <c r="L199" s="79">
        <f t="shared" si="130"/>
        <v>86536.48</v>
      </c>
      <c r="M199" s="79">
        <f t="shared" si="130"/>
        <v>86536.48</v>
      </c>
      <c r="N199" s="79">
        <f t="shared" si="130"/>
        <v>86536.48</v>
      </c>
      <c r="O199" s="532">
        <f>SUM(C199:N199)</f>
        <v>1001209.4399999998</v>
      </c>
      <c r="P199" s="532">
        <v>938200</v>
      </c>
      <c r="Q199" s="765">
        <f>O199-P199</f>
        <v>63009.439999999828</v>
      </c>
    </row>
    <row r="200" spans="1:17" s="115" customFormat="1" ht="12.75" x14ac:dyDescent="0.2">
      <c r="A200" s="425">
        <v>12195</v>
      </c>
      <c r="B200" s="438" t="s">
        <v>263</v>
      </c>
      <c r="C200" s="439">
        <f t="shared" ref="C200:N200" si="131">+C52*C198*1000</f>
        <v>15800</v>
      </c>
      <c r="D200" s="439">
        <f t="shared" si="131"/>
        <v>15800</v>
      </c>
      <c r="E200" s="439">
        <f t="shared" si="131"/>
        <v>15800</v>
      </c>
      <c r="F200" s="439">
        <f t="shared" si="131"/>
        <v>15800</v>
      </c>
      <c r="G200" s="439">
        <f t="shared" si="131"/>
        <v>15800</v>
      </c>
      <c r="H200" s="439">
        <f t="shared" si="131"/>
        <v>15800</v>
      </c>
      <c r="I200" s="439">
        <f t="shared" si="131"/>
        <v>15800</v>
      </c>
      <c r="J200" s="439">
        <f t="shared" si="131"/>
        <v>15800</v>
      </c>
      <c r="K200" s="439">
        <f t="shared" si="131"/>
        <v>15800</v>
      </c>
      <c r="L200" s="439">
        <f t="shared" si="131"/>
        <v>16593.16</v>
      </c>
      <c r="M200" s="439">
        <f t="shared" si="131"/>
        <v>16593.16</v>
      </c>
      <c r="N200" s="439">
        <f t="shared" si="131"/>
        <v>16593.16</v>
      </c>
      <c r="O200" s="535">
        <f>SUM(C200:N200)</f>
        <v>191979.48</v>
      </c>
      <c r="P200" s="535">
        <v>191400</v>
      </c>
      <c r="Q200" s="768">
        <f>O200-P200</f>
        <v>579.48000000001048</v>
      </c>
    </row>
    <row r="201" spans="1:17" s="428" customFormat="1" ht="12.75" x14ac:dyDescent="0.2">
      <c r="A201" s="425"/>
      <c r="B201" s="438" t="s">
        <v>314</v>
      </c>
      <c r="C201" s="79">
        <f t="shared" ref="C201:N201" si="132">SUM(C199:C200)</f>
        <v>98199.999999999985</v>
      </c>
      <c r="D201" s="79">
        <f t="shared" si="132"/>
        <v>98199.999999999985</v>
      </c>
      <c r="E201" s="79">
        <f t="shared" si="132"/>
        <v>98199.999999999985</v>
      </c>
      <c r="F201" s="79">
        <f t="shared" si="132"/>
        <v>98199.999999999985</v>
      </c>
      <c r="G201" s="79">
        <f t="shared" si="132"/>
        <v>98199.999999999985</v>
      </c>
      <c r="H201" s="79">
        <f t="shared" si="132"/>
        <v>98199.999999999985</v>
      </c>
      <c r="I201" s="79">
        <f t="shared" si="132"/>
        <v>98199.999999999985</v>
      </c>
      <c r="J201" s="79">
        <f t="shared" si="132"/>
        <v>98199.999999999985</v>
      </c>
      <c r="K201" s="79">
        <f t="shared" si="132"/>
        <v>98199.999999999985</v>
      </c>
      <c r="L201" s="79">
        <f t="shared" si="132"/>
        <v>103129.64</v>
      </c>
      <c r="M201" s="79">
        <f t="shared" si="132"/>
        <v>103129.64</v>
      </c>
      <c r="N201" s="79">
        <f t="shared" si="132"/>
        <v>103129.64</v>
      </c>
      <c r="O201" s="532">
        <f t="shared" ref="O201" si="133">SUM(O199:O200)</f>
        <v>1193188.92</v>
      </c>
      <c r="P201" s="532">
        <f>SUM(P199:P200)</f>
        <v>1129600</v>
      </c>
      <c r="Q201" s="765">
        <f>O201-P201</f>
        <v>63588.919999999925</v>
      </c>
    </row>
    <row r="202" spans="1:17" s="428" customFormat="1" ht="12.75" x14ac:dyDescent="0.2">
      <c r="A202" s="425"/>
      <c r="B202" s="438"/>
      <c r="C202" s="79"/>
      <c r="D202" s="79"/>
      <c r="E202" s="79"/>
      <c r="F202" s="79"/>
      <c r="G202" s="79"/>
      <c r="H202" s="79"/>
      <c r="I202" s="79"/>
      <c r="J202" s="429"/>
      <c r="K202" s="429"/>
      <c r="L202" s="429"/>
      <c r="M202" s="429"/>
      <c r="N202" s="429"/>
      <c r="O202" s="527"/>
      <c r="P202" s="527"/>
      <c r="Q202" s="760"/>
    </row>
    <row r="203" spans="1:17" s="365" customFormat="1" ht="12.75" x14ac:dyDescent="0.2">
      <c r="A203" s="425"/>
      <c r="B203" s="438" t="s">
        <v>410</v>
      </c>
      <c r="C203" s="79">
        <f t="shared" ref="C203:N203" si="134">C198*C59*1000*0.5</f>
        <v>28749.999999999996</v>
      </c>
      <c r="D203" s="79">
        <f t="shared" si="134"/>
        <v>28749.999999999996</v>
      </c>
      <c r="E203" s="79">
        <f t="shared" si="134"/>
        <v>28749.999999999996</v>
      </c>
      <c r="F203" s="79">
        <f t="shared" si="134"/>
        <v>28749.999999999996</v>
      </c>
      <c r="G203" s="79">
        <f t="shared" si="134"/>
        <v>28749.999999999996</v>
      </c>
      <c r="H203" s="79">
        <f t="shared" si="134"/>
        <v>28749.999999999996</v>
      </c>
      <c r="I203" s="79">
        <f t="shared" si="134"/>
        <v>28749.999999999996</v>
      </c>
      <c r="J203" s="79">
        <f t="shared" si="134"/>
        <v>28749.999999999996</v>
      </c>
      <c r="K203" s="79">
        <f t="shared" si="134"/>
        <v>28749.999999999996</v>
      </c>
      <c r="L203" s="79">
        <f t="shared" si="134"/>
        <v>28749.999999999996</v>
      </c>
      <c r="M203" s="79">
        <f t="shared" si="134"/>
        <v>28749.999999999996</v>
      </c>
      <c r="N203" s="79">
        <f t="shared" si="134"/>
        <v>28749.999999999996</v>
      </c>
      <c r="O203" s="532">
        <f>SUM(C203:N203)</f>
        <v>344999.99999999994</v>
      </c>
      <c r="P203" s="532">
        <v>344999.99999999994</v>
      </c>
      <c r="Q203" s="765">
        <f>O203-P203</f>
        <v>0</v>
      </c>
    </row>
    <row r="204" spans="1:17" s="365" customFormat="1" ht="13.5" thickBot="1" x14ac:dyDescent="0.25">
      <c r="A204" s="425"/>
      <c r="B204" s="438"/>
      <c r="C204" s="79"/>
      <c r="D204" s="79"/>
      <c r="E204" s="79"/>
      <c r="F204" s="79"/>
      <c r="G204" s="79"/>
      <c r="H204" s="79"/>
      <c r="I204" s="79"/>
      <c r="O204" s="525"/>
      <c r="P204" s="525"/>
      <c r="Q204" s="758"/>
    </row>
    <row r="205" spans="1:17" s="40" customFormat="1" ht="13.5" thickTop="1" x14ac:dyDescent="0.2">
      <c r="A205" s="425"/>
      <c r="B205" s="557" t="s">
        <v>315</v>
      </c>
      <c r="C205" s="565" t="s">
        <v>623</v>
      </c>
      <c r="D205" s="565" t="s">
        <v>623</v>
      </c>
      <c r="E205" s="565" t="s">
        <v>623</v>
      </c>
      <c r="F205" s="565" t="s">
        <v>623</v>
      </c>
      <c r="G205" s="565" t="s">
        <v>623</v>
      </c>
      <c r="H205" s="565" t="s">
        <v>623</v>
      </c>
      <c r="I205" s="565" t="s">
        <v>623</v>
      </c>
      <c r="J205" s="565" t="s">
        <v>623</v>
      </c>
      <c r="K205" s="565" t="s">
        <v>623</v>
      </c>
      <c r="L205" s="565" t="s">
        <v>623</v>
      </c>
      <c r="M205" s="565" t="s">
        <v>623</v>
      </c>
      <c r="N205" s="565" t="s">
        <v>623</v>
      </c>
      <c r="O205" s="565" t="s">
        <v>623</v>
      </c>
      <c r="P205" s="565" t="s">
        <v>623</v>
      </c>
      <c r="Q205" s="778" t="e">
        <f>O205-P205</f>
        <v>#VALUE!</v>
      </c>
    </row>
    <row r="206" spans="1:17" s="40" customFormat="1" ht="12.75" x14ac:dyDescent="0.2">
      <c r="A206" s="425"/>
      <c r="B206" s="438" t="s">
        <v>411</v>
      </c>
      <c r="C206" s="79" t="e">
        <f t="shared" ref="C206:N206" si="135">+C205*C58</f>
        <v>#VALUE!</v>
      </c>
      <c r="D206" s="79" t="e">
        <f t="shared" si="135"/>
        <v>#VALUE!</v>
      </c>
      <c r="E206" s="79" t="e">
        <f t="shared" si="135"/>
        <v>#VALUE!</v>
      </c>
      <c r="F206" s="79" t="e">
        <f t="shared" si="135"/>
        <v>#VALUE!</v>
      </c>
      <c r="G206" s="79" t="e">
        <f t="shared" si="135"/>
        <v>#VALUE!</v>
      </c>
      <c r="H206" s="79" t="e">
        <f t="shared" si="135"/>
        <v>#VALUE!</v>
      </c>
      <c r="I206" s="79" t="e">
        <f t="shared" si="135"/>
        <v>#VALUE!</v>
      </c>
      <c r="J206" s="79" t="e">
        <f t="shared" si="135"/>
        <v>#VALUE!</v>
      </c>
      <c r="K206" s="79" t="e">
        <f t="shared" si="135"/>
        <v>#VALUE!</v>
      </c>
      <c r="L206" s="79" t="e">
        <f t="shared" si="135"/>
        <v>#VALUE!</v>
      </c>
      <c r="M206" s="79" t="e">
        <f t="shared" si="135"/>
        <v>#VALUE!</v>
      </c>
      <c r="N206" s="79" t="e">
        <f t="shared" si="135"/>
        <v>#VALUE!</v>
      </c>
      <c r="O206" s="532" t="e">
        <f>SUM(C206:N206)</f>
        <v>#VALUE!</v>
      </c>
      <c r="P206" s="532">
        <v>35195.961436792008</v>
      </c>
      <c r="Q206" s="765" t="e">
        <f>O206-P206</f>
        <v>#VALUE!</v>
      </c>
    </row>
    <row r="207" spans="1:17" s="115" customFormat="1" ht="13.5" thickBot="1" x14ac:dyDescent="0.25">
      <c r="A207" s="425"/>
      <c r="B207" s="438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532"/>
      <c r="P207" s="532"/>
      <c r="Q207" s="765"/>
    </row>
    <row r="208" spans="1:17" s="448" customFormat="1" ht="13.5" thickTop="1" x14ac:dyDescent="0.2">
      <c r="A208" s="510"/>
      <c r="B208" s="446" t="s">
        <v>316</v>
      </c>
      <c r="C208" s="565" t="s">
        <v>623</v>
      </c>
      <c r="D208" s="565" t="s">
        <v>623</v>
      </c>
      <c r="E208" s="565" t="s">
        <v>623</v>
      </c>
      <c r="F208" s="565" t="s">
        <v>623</v>
      </c>
      <c r="G208" s="565" t="s">
        <v>623</v>
      </c>
      <c r="H208" s="565" t="s">
        <v>623</v>
      </c>
      <c r="I208" s="565" t="s">
        <v>623</v>
      </c>
      <c r="J208" s="565" t="s">
        <v>623</v>
      </c>
      <c r="K208" s="565" t="s">
        <v>623</v>
      </c>
      <c r="L208" s="565" t="s">
        <v>623</v>
      </c>
      <c r="M208" s="565" t="s">
        <v>623</v>
      </c>
      <c r="N208" s="565" t="s">
        <v>623</v>
      </c>
      <c r="O208" s="565" t="s">
        <v>623</v>
      </c>
      <c r="P208" s="565" t="s">
        <v>623</v>
      </c>
      <c r="Q208" s="769" t="e">
        <f>O208-P208</f>
        <v>#VALUE!</v>
      </c>
    </row>
    <row r="209" spans="1:17" s="40" customFormat="1" ht="12.75" x14ac:dyDescent="0.2">
      <c r="A209" s="425"/>
      <c r="B209" s="447"/>
      <c r="C209" s="365"/>
      <c r="D209" s="365"/>
      <c r="E209" s="365"/>
      <c r="F209" s="365"/>
      <c r="G209" s="365"/>
      <c r="H209" s="365"/>
      <c r="I209" s="365"/>
      <c r="J209" s="365"/>
      <c r="K209" s="365"/>
      <c r="L209" s="365"/>
      <c r="M209" s="365"/>
      <c r="N209" s="365"/>
      <c r="O209" s="525"/>
      <c r="P209" s="525"/>
      <c r="Q209" s="758"/>
    </row>
    <row r="210" spans="1:17" s="40" customFormat="1" ht="12.75" x14ac:dyDescent="0.2">
      <c r="A210" s="425"/>
      <c r="B210" s="438" t="s">
        <v>317</v>
      </c>
      <c r="C210" s="79">
        <v>11746</v>
      </c>
      <c r="D210" s="79">
        <v>11746</v>
      </c>
      <c r="E210" s="79">
        <v>11746</v>
      </c>
      <c r="F210" s="79">
        <v>11746</v>
      </c>
      <c r="G210" s="79">
        <v>11746</v>
      </c>
      <c r="H210" s="79">
        <v>11746</v>
      </c>
      <c r="I210" s="79">
        <v>11746</v>
      </c>
      <c r="J210" s="79">
        <v>11746</v>
      </c>
      <c r="K210" s="79">
        <v>11746</v>
      </c>
      <c r="L210" s="79">
        <v>11746</v>
      </c>
      <c r="M210" s="79">
        <v>11746</v>
      </c>
      <c r="N210" s="79">
        <v>11746</v>
      </c>
      <c r="O210" s="532">
        <f>SUM(C210:N210)</f>
        <v>140952</v>
      </c>
      <c r="P210" s="532">
        <v>140952</v>
      </c>
      <c r="Q210" s="765">
        <f>O210-P210</f>
        <v>0</v>
      </c>
    </row>
    <row r="211" spans="1:17" s="115" customFormat="1" ht="14.1" customHeight="1" x14ac:dyDescent="0.2">
      <c r="A211" s="425"/>
      <c r="B211" s="44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532"/>
      <c r="P211" s="532"/>
      <c r="Q211" s="765"/>
    </row>
    <row r="212" spans="1:17" s="115" customFormat="1" ht="12.75" x14ac:dyDescent="0.2">
      <c r="A212" s="425"/>
      <c r="B212" s="440" t="s">
        <v>39</v>
      </c>
      <c r="C212" s="110" t="e">
        <f>C175+C196+C208+C210</f>
        <v>#VALUE!</v>
      </c>
      <c r="D212" s="110" t="e">
        <f t="shared" ref="D212:P212" si="136">D175+D196+D208+D210</f>
        <v>#VALUE!</v>
      </c>
      <c r="E212" s="110" t="e">
        <f t="shared" si="136"/>
        <v>#VALUE!</v>
      </c>
      <c r="F212" s="110" t="e">
        <f t="shared" si="136"/>
        <v>#VALUE!</v>
      </c>
      <c r="G212" s="110" t="e">
        <f t="shared" si="136"/>
        <v>#VALUE!</v>
      </c>
      <c r="H212" s="110" t="e">
        <f t="shared" si="136"/>
        <v>#VALUE!</v>
      </c>
      <c r="I212" s="110" t="e">
        <f t="shared" si="136"/>
        <v>#VALUE!</v>
      </c>
      <c r="J212" s="110" t="e">
        <f t="shared" si="136"/>
        <v>#VALUE!</v>
      </c>
      <c r="K212" s="110" t="e">
        <f t="shared" si="136"/>
        <v>#VALUE!</v>
      </c>
      <c r="L212" s="110" t="e">
        <f t="shared" si="136"/>
        <v>#VALUE!</v>
      </c>
      <c r="M212" s="110" t="e">
        <f t="shared" si="136"/>
        <v>#VALUE!</v>
      </c>
      <c r="N212" s="110" t="e">
        <f t="shared" si="136"/>
        <v>#VALUE!</v>
      </c>
      <c r="O212" s="536" t="e">
        <f t="shared" si="136"/>
        <v>#VALUE!</v>
      </c>
      <c r="P212" s="536" t="e">
        <f t="shared" si="136"/>
        <v>#VALUE!</v>
      </c>
      <c r="Q212" s="769" t="e">
        <f>O212-P212</f>
        <v>#VALUE!</v>
      </c>
    </row>
    <row r="213" spans="1:17" s="428" customFormat="1" ht="12.75" x14ac:dyDescent="0.2">
      <c r="A213" s="513"/>
      <c r="B213" s="441"/>
      <c r="C213" s="515"/>
      <c r="D213" s="515"/>
      <c r="E213" s="515"/>
      <c r="F213" s="515"/>
      <c r="G213" s="515"/>
      <c r="H213" s="515"/>
      <c r="I213" s="515"/>
      <c r="J213" s="429"/>
      <c r="K213" s="429"/>
      <c r="L213" s="429"/>
      <c r="M213" s="429"/>
      <c r="N213" s="429"/>
      <c r="O213" s="527"/>
      <c r="P213" s="527"/>
      <c r="Q213" s="760"/>
    </row>
    <row r="214" spans="1:17" s="428" customFormat="1" ht="13.5" thickBot="1" x14ac:dyDescent="0.25">
      <c r="A214" s="513"/>
      <c r="B214" s="378" t="s">
        <v>513</v>
      </c>
      <c r="C214" s="574">
        <f t="shared" ref="C214:M214" si="137">D5-C5</f>
        <v>31</v>
      </c>
      <c r="D214" s="574">
        <f t="shared" si="137"/>
        <v>28</v>
      </c>
      <c r="E214" s="574">
        <f t="shared" si="137"/>
        <v>31</v>
      </c>
      <c r="F214" s="574">
        <f t="shared" si="137"/>
        <v>30</v>
      </c>
      <c r="G214" s="574">
        <f t="shared" si="137"/>
        <v>31</v>
      </c>
      <c r="H214" s="574">
        <f t="shared" si="137"/>
        <v>30</v>
      </c>
      <c r="I214" s="574">
        <f t="shared" si="137"/>
        <v>31</v>
      </c>
      <c r="J214" s="574">
        <f t="shared" si="137"/>
        <v>31</v>
      </c>
      <c r="K214" s="574">
        <f t="shared" si="137"/>
        <v>30</v>
      </c>
      <c r="L214" s="574">
        <f t="shared" si="137"/>
        <v>31</v>
      </c>
      <c r="M214" s="574">
        <f t="shared" si="137"/>
        <v>30</v>
      </c>
      <c r="N214" s="574">
        <v>31</v>
      </c>
      <c r="O214" s="575">
        <f>AVERAGE(C214:N214)</f>
        <v>30.416666666666668</v>
      </c>
      <c r="P214" s="575">
        <v>365</v>
      </c>
      <c r="Q214" s="779">
        <f t="shared" ref="Q214:Q219" si="138">O214-P214</f>
        <v>-334.58333333333331</v>
      </c>
    </row>
    <row r="215" spans="1:17" s="115" customFormat="1" ht="14.25" thickTop="1" thickBot="1" x14ac:dyDescent="0.25">
      <c r="A215" s="425"/>
      <c r="B215" s="378" t="s">
        <v>188</v>
      </c>
      <c r="C215" s="565" t="s">
        <v>623</v>
      </c>
      <c r="D215" s="565" t="s">
        <v>623</v>
      </c>
      <c r="E215" s="565" t="s">
        <v>623</v>
      </c>
      <c r="F215" s="565" t="s">
        <v>623</v>
      </c>
      <c r="G215" s="565" t="s">
        <v>623</v>
      </c>
      <c r="H215" s="565" t="s">
        <v>623</v>
      </c>
      <c r="I215" s="565" t="s">
        <v>623</v>
      </c>
      <c r="J215" s="565" t="s">
        <v>623</v>
      </c>
      <c r="K215" s="565" t="s">
        <v>623</v>
      </c>
      <c r="L215" s="565" t="s">
        <v>623</v>
      </c>
      <c r="M215" s="565" t="s">
        <v>623</v>
      </c>
      <c r="N215" s="565" t="s">
        <v>623</v>
      </c>
      <c r="O215" s="565" t="s">
        <v>623</v>
      </c>
      <c r="P215" s="565" t="s">
        <v>623</v>
      </c>
      <c r="Q215" s="779" t="e">
        <f t="shared" si="138"/>
        <v>#VALUE!</v>
      </c>
    </row>
    <row r="216" spans="1:17" s="115" customFormat="1" ht="14.25" thickTop="1" thickBot="1" x14ac:dyDescent="0.25">
      <c r="A216" s="425"/>
      <c r="B216" s="446" t="s">
        <v>412</v>
      </c>
      <c r="C216" s="565" t="s">
        <v>623</v>
      </c>
      <c r="D216" s="565" t="s">
        <v>623</v>
      </c>
      <c r="E216" s="565" t="s">
        <v>623</v>
      </c>
      <c r="F216" s="565" t="s">
        <v>623</v>
      </c>
      <c r="G216" s="565" t="s">
        <v>623</v>
      </c>
      <c r="H216" s="565" t="s">
        <v>623</v>
      </c>
      <c r="I216" s="565" t="s">
        <v>623</v>
      </c>
      <c r="J216" s="565" t="s">
        <v>623</v>
      </c>
      <c r="K216" s="565" t="s">
        <v>623</v>
      </c>
      <c r="L216" s="565" t="s">
        <v>623</v>
      </c>
      <c r="M216" s="565" t="s">
        <v>623</v>
      </c>
      <c r="N216" s="565" t="s">
        <v>623</v>
      </c>
      <c r="O216" s="565" t="s">
        <v>623</v>
      </c>
      <c r="P216" s="565" t="s">
        <v>623</v>
      </c>
      <c r="Q216" s="768" t="e">
        <f t="shared" si="138"/>
        <v>#VALUE!</v>
      </c>
    </row>
    <row r="217" spans="1:17" s="115" customFormat="1" ht="17.25" thickTop="1" thickBot="1" x14ac:dyDescent="0.3">
      <c r="A217" s="425"/>
      <c r="B217" s="678" t="s">
        <v>40</v>
      </c>
      <c r="C217" s="565" t="s">
        <v>623</v>
      </c>
      <c r="D217" s="565" t="s">
        <v>623</v>
      </c>
      <c r="E217" s="565" t="s">
        <v>623</v>
      </c>
      <c r="F217" s="565" t="s">
        <v>623</v>
      </c>
      <c r="G217" s="565" t="s">
        <v>623</v>
      </c>
      <c r="H217" s="565" t="s">
        <v>623</v>
      </c>
      <c r="I217" s="565" t="s">
        <v>623</v>
      </c>
      <c r="J217" s="565" t="s">
        <v>623</v>
      </c>
      <c r="K217" s="565" t="s">
        <v>623</v>
      </c>
      <c r="L217" s="565" t="s">
        <v>623</v>
      </c>
      <c r="M217" s="565" t="s">
        <v>623</v>
      </c>
      <c r="N217" s="565" t="s">
        <v>623</v>
      </c>
      <c r="O217" s="565" t="s">
        <v>623</v>
      </c>
      <c r="P217" s="565" t="s">
        <v>623</v>
      </c>
      <c r="Q217" s="769" t="e">
        <f t="shared" si="138"/>
        <v>#VALUE!</v>
      </c>
    </row>
    <row r="218" spans="1:17" s="115" customFormat="1" ht="14.25" thickTop="1" thickBot="1" x14ac:dyDescent="0.25">
      <c r="A218" s="425"/>
      <c r="B218" s="446"/>
      <c r="C218" s="565" t="s">
        <v>623</v>
      </c>
      <c r="D218" s="565" t="s">
        <v>623</v>
      </c>
      <c r="E218" s="565" t="s">
        <v>623</v>
      </c>
      <c r="F218" s="565" t="s">
        <v>623</v>
      </c>
      <c r="G218" s="565" t="s">
        <v>623</v>
      </c>
      <c r="H218" s="565" t="s">
        <v>623</v>
      </c>
      <c r="I218" s="565" t="s">
        <v>623</v>
      </c>
      <c r="J218" s="565" t="s">
        <v>623</v>
      </c>
      <c r="K218" s="565" t="s">
        <v>623</v>
      </c>
      <c r="L218" s="565" t="s">
        <v>623</v>
      </c>
      <c r="M218" s="565" t="s">
        <v>623</v>
      </c>
      <c r="N218" s="565" t="s">
        <v>623</v>
      </c>
      <c r="O218" s="565" t="s">
        <v>623</v>
      </c>
      <c r="P218" s="565" t="s">
        <v>623</v>
      </c>
      <c r="Q218" s="765" t="e">
        <f t="shared" si="138"/>
        <v>#VALUE!</v>
      </c>
    </row>
    <row r="219" spans="1:17" s="115" customFormat="1" ht="13.5" thickTop="1" x14ac:dyDescent="0.2">
      <c r="A219" s="425"/>
      <c r="B219" s="516" t="s">
        <v>562</v>
      </c>
      <c r="C219" s="565" t="s">
        <v>623</v>
      </c>
      <c r="D219" s="565" t="s">
        <v>623</v>
      </c>
      <c r="E219" s="565" t="s">
        <v>623</v>
      </c>
      <c r="F219" s="565" t="s">
        <v>623</v>
      </c>
      <c r="G219" s="565" t="s">
        <v>623</v>
      </c>
      <c r="H219" s="565" t="s">
        <v>623</v>
      </c>
      <c r="I219" s="565" t="s">
        <v>623</v>
      </c>
      <c r="J219" s="565" t="s">
        <v>623</v>
      </c>
      <c r="K219" s="565" t="s">
        <v>623</v>
      </c>
      <c r="L219" s="565" t="s">
        <v>623</v>
      </c>
      <c r="M219" s="565" t="s">
        <v>623</v>
      </c>
      <c r="N219" s="565" t="s">
        <v>623</v>
      </c>
      <c r="O219" s="565" t="s">
        <v>623</v>
      </c>
      <c r="P219" s="565" t="s">
        <v>623</v>
      </c>
      <c r="Q219" s="780" t="e">
        <f t="shared" si="138"/>
        <v>#VALUE!</v>
      </c>
    </row>
    <row r="220" spans="1:17" s="115" customFormat="1" ht="12.75" x14ac:dyDescent="0.2">
      <c r="A220" s="425"/>
      <c r="B220" s="51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532"/>
      <c r="P220" s="532"/>
      <c r="Q220" s="765"/>
    </row>
    <row r="221" spans="1:17" s="115" customFormat="1" ht="12.75" x14ac:dyDescent="0.2">
      <c r="A221" s="425"/>
      <c r="B221" s="51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532"/>
      <c r="P221" s="532"/>
      <c r="Q221" s="765"/>
    </row>
    <row r="222" spans="1:17" s="40" customFormat="1" ht="12.75" x14ac:dyDescent="0.2">
      <c r="A222" s="365"/>
      <c r="B222" s="518" t="s">
        <v>331</v>
      </c>
      <c r="C222" s="365"/>
      <c r="D222" s="365"/>
      <c r="E222" s="365"/>
      <c r="F222" s="365"/>
      <c r="G222" s="365"/>
      <c r="H222" s="365"/>
      <c r="I222" s="365"/>
      <c r="J222" s="365"/>
      <c r="K222" s="365"/>
      <c r="L222" s="365"/>
      <c r="M222" s="365"/>
      <c r="N222" s="365"/>
      <c r="O222" s="525"/>
      <c r="P222" s="525"/>
      <c r="Q222" s="758"/>
    </row>
    <row r="223" spans="1:17" s="40" customFormat="1" ht="12.75" x14ac:dyDescent="0.2">
      <c r="A223" s="425">
        <v>75628</v>
      </c>
      <c r="B223" s="431" t="s">
        <v>505</v>
      </c>
      <c r="C223" s="450"/>
      <c r="D223" s="450"/>
      <c r="E223" s="450"/>
      <c r="F223" s="450"/>
      <c r="G223" s="450"/>
      <c r="H223" s="450"/>
      <c r="I223" s="450"/>
      <c r="J223" s="450"/>
      <c r="K223" s="450"/>
      <c r="L223" s="450"/>
      <c r="M223" s="450"/>
      <c r="N223" s="450"/>
      <c r="O223" s="540">
        <f t="shared" ref="O223:O236" si="139">SUM(C223:N223)</f>
        <v>0</v>
      </c>
      <c r="P223" s="540">
        <v>0</v>
      </c>
      <c r="Q223" s="771">
        <f t="shared" ref="Q223:Q237" si="140">O223-P223</f>
        <v>0</v>
      </c>
    </row>
    <row r="224" spans="1:17" s="40" customFormat="1" ht="12.75" x14ac:dyDescent="0.2">
      <c r="A224" s="425">
        <v>75365</v>
      </c>
      <c r="B224" s="378" t="s">
        <v>506</v>
      </c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532">
        <f t="shared" si="139"/>
        <v>0</v>
      </c>
      <c r="P224" s="532">
        <v>0</v>
      </c>
      <c r="Q224" s="765">
        <f t="shared" si="140"/>
        <v>0</v>
      </c>
    </row>
    <row r="225" spans="1:17" s="40" customFormat="1" ht="12.75" x14ac:dyDescent="0.2">
      <c r="A225" s="425">
        <v>9171</v>
      </c>
      <c r="B225" s="378" t="s">
        <v>318</v>
      </c>
      <c r="C225" s="79">
        <v>1452</v>
      </c>
      <c r="D225" s="79">
        <v>1452</v>
      </c>
      <c r="E225" s="79">
        <v>1452</v>
      </c>
      <c r="F225" s="79">
        <v>1452</v>
      </c>
      <c r="G225" s="79">
        <v>1452</v>
      </c>
      <c r="H225" s="79">
        <v>1452</v>
      </c>
      <c r="I225" s="79">
        <v>1452</v>
      </c>
      <c r="J225" s="79">
        <v>1452</v>
      </c>
      <c r="K225" s="79">
        <v>1452</v>
      </c>
      <c r="L225" s="79">
        <v>1452</v>
      </c>
      <c r="M225" s="79">
        <v>1452</v>
      </c>
      <c r="N225" s="79">
        <v>1452</v>
      </c>
      <c r="O225" s="532">
        <f t="shared" si="139"/>
        <v>17424</v>
      </c>
      <c r="P225" s="532">
        <v>17424</v>
      </c>
      <c r="Q225" s="765">
        <f t="shared" si="140"/>
        <v>0</v>
      </c>
    </row>
    <row r="226" spans="1:17" s="40" customFormat="1" ht="12.75" x14ac:dyDescent="0.2">
      <c r="A226" s="425">
        <v>9231</v>
      </c>
      <c r="B226" s="378" t="s">
        <v>319</v>
      </c>
      <c r="C226" s="79">
        <v>608</v>
      </c>
      <c r="D226" s="79">
        <v>608</v>
      </c>
      <c r="E226" s="79">
        <v>608</v>
      </c>
      <c r="F226" s="79">
        <v>608</v>
      </c>
      <c r="G226" s="79">
        <v>608</v>
      </c>
      <c r="H226" s="79">
        <v>608</v>
      </c>
      <c r="I226" s="79">
        <v>608</v>
      </c>
      <c r="J226" s="79">
        <v>608</v>
      </c>
      <c r="K226" s="79">
        <v>608</v>
      </c>
      <c r="L226" s="79">
        <v>608</v>
      </c>
      <c r="M226" s="79">
        <v>608</v>
      </c>
      <c r="N226" s="79">
        <v>608</v>
      </c>
      <c r="O226" s="532">
        <f t="shared" si="139"/>
        <v>7296</v>
      </c>
      <c r="P226" s="532">
        <v>7296</v>
      </c>
      <c r="Q226" s="765">
        <f t="shared" si="140"/>
        <v>0</v>
      </c>
    </row>
    <row r="227" spans="1:17" s="40" customFormat="1" ht="12.75" x14ac:dyDescent="0.2">
      <c r="A227" s="425">
        <v>10400</v>
      </c>
      <c r="B227" s="378" t="s">
        <v>320</v>
      </c>
      <c r="C227" s="79">
        <v>608</v>
      </c>
      <c r="D227" s="79">
        <v>608</v>
      </c>
      <c r="E227" s="79">
        <v>608</v>
      </c>
      <c r="F227" s="79">
        <v>608</v>
      </c>
      <c r="G227" s="79">
        <v>608</v>
      </c>
      <c r="H227" s="79">
        <v>608</v>
      </c>
      <c r="I227" s="79">
        <v>608</v>
      </c>
      <c r="J227" s="79">
        <v>608</v>
      </c>
      <c r="K227" s="79">
        <v>608</v>
      </c>
      <c r="L227" s="79">
        <v>608</v>
      </c>
      <c r="M227" s="79">
        <v>608</v>
      </c>
      <c r="N227" s="79">
        <v>608</v>
      </c>
      <c r="O227" s="532">
        <f t="shared" si="139"/>
        <v>7296</v>
      </c>
      <c r="P227" s="532">
        <v>7296</v>
      </c>
      <c r="Q227" s="765">
        <f t="shared" si="140"/>
        <v>0</v>
      </c>
    </row>
    <row r="228" spans="1:17" s="40" customFormat="1" ht="12.75" x14ac:dyDescent="0.2">
      <c r="A228" s="425">
        <v>12342</v>
      </c>
      <c r="B228" s="378" t="s">
        <v>321</v>
      </c>
      <c r="C228" s="79">
        <v>3507</v>
      </c>
      <c r="D228" s="79">
        <v>3507</v>
      </c>
      <c r="E228" s="79">
        <v>3507</v>
      </c>
      <c r="F228" s="79">
        <v>3507</v>
      </c>
      <c r="G228" s="79">
        <v>3507</v>
      </c>
      <c r="H228" s="79">
        <v>3507</v>
      </c>
      <c r="I228" s="79">
        <v>3507</v>
      </c>
      <c r="J228" s="79">
        <v>3507</v>
      </c>
      <c r="K228" s="79">
        <v>3507</v>
      </c>
      <c r="L228" s="79">
        <v>3507</v>
      </c>
      <c r="M228" s="79">
        <v>3507</v>
      </c>
      <c r="N228" s="79">
        <v>3507</v>
      </c>
      <c r="O228" s="532">
        <f t="shared" si="139"/>
        <v>42084</v>
      </c>
      <c r="P228" s="532">
        <v>42084</v>
      </c>
      <c r="Q228" s="765">
        <f t="shared" si="140"/>
        <v>0</v>
      </c>
    </row>
    <row r="229" spans="1:17" s="40" customFormat="1" ht="12.75" x14ac:dyDescent="0.2">
      <c r="A229" s="425">
        <v>19305</v>
      </c>
      <c r="B229" s="378" t="s">
        <v>322</v>
      </c>
      <c r="C229" s="79">
        <v>765</v>
      </c>
      <c r="D229" s="79">
        <v>765</v>
      </c>
      <c r="E229" s="79">
        <v>765</v>
      </c>
      <c r="F229" s="79">
        <v>765</v>
      </c>
      <c r="G229" s="79">
        <v>765</v>
      </c>
      <c r="H229" s="79">
        <v>765</v>
      </c>
      <c r="I229" s="79">
        <v>765</v>
      </c>
      <c r="J229" s="79">
        <v>765</v>
      </c>
      <c r="K229" s="79">
        <v>765</v>
      </c>
      <c r="L229" s="79">
        <v>765</v>
      </c>
      <c r="M229" s="79">
        <v>765</v>
      </c>
      <c r="N229" s="79">
        <v>765</v>
      </c>
      <c r="O229" s="532">
        <f t="shared" si="139"/>
        <v>9180</v>
      </c>
      <c r="P229" s="532">
        <v>9180</v>
      </c>
      <c r="Q229" s="765">
        <f t="shared" si="140"/>
        <v>0</v>
      </c>
    </row>
    <row r="230" spans="1:17" s="40" customFormat="1" ht="12.75" x14ac:dyDescent="0.2">
      <c r="A230" s="425">
        <v>49160</v>
      </c>
      <c r="B230" s="378" t="s">
        <v>323</v>
      </c>
      <c r="C230" s="79">
        <v>1649</v>
      </c>
      <c r="D230" s="79">
        <v>1649</v>
      </c>
      <c r="E230" s="79">
        <v>1649</v>
      </c>
      <c r="F230" s="79">
        <v>1649</v>
      </c>
      <c r="G230" s="79">
        <v>1649</v>
      </c>
      <c r="H230" s="79">
        <v>1649</v>
      </c>
      <c r="I230" s="79">
        <v>1649</v>
      </c>
      <c r="J230" s="79">
        <v>1649</v>
      </c>
      <c r="K230" s="79">
        <v>1649</v>
      </c>
      <c r="L230" s="79">
        <v>1649</v>
      </c>
      <c r="M230" s="79">
        <v>1649</v>
      </c>
      <c r="N230" s="79">
        <v>1649</v>
      </c>
      <c r="O230" s="532">
        <f t="shared" si="139"/>
        <v>19788</v>
      </c>
      <c r="P230" s="532">
        <v>19788</v>
      </c>
      <c r="Q230" s="765">
        <f t="shared" si="140"/>
        <v>0</v>
      </c>
    </row>
    <row r="231" spans="1:17" s="40" customFormat="1" ht="12.75" x14ac:dyDescent="0.2">
      <c r="A231" s="425">
        <v>72933</v>
      </c>
      <c r="B231" s="378" t="s">
        <v>324</v>
      </c>
      <c r="C231" s="79">
        <v>754</v>
      </c>
      <c r="D231" s="79">
        <v>754</v>
      </c>
      <c r="E231" s="79">
        <v>754</v>
      </c>
      <c r="F231" s="79">
        <v>754</v>
      </c>
      <c r="G231" s="79">
        <v>754</v>
      </c>
      <c r="H231" s="79">
        <v>754</v>
      </c>
      <c r="I231" s="79">
        <v>754</v>
      </c>
      <c r="J231" s="79">
        <v>754</v>
      </c>
      <c r="K231" s="79">
        <v>754</v>
      </c>
      <c r="L231" s="79">
        <v>754</v>
      </c>
      <c r="M231" s="79">
        <v>754</v>
      </c>
      <c r="N231" s="79">
        <v>754</v>
      </c>
      <c r="O231" s="532">
        <f t="shared" si="139"/>
        <v>9048</v>
      </c>
      <c r="P231" s="532">
        <v>9048</v>
      </c>
      <c r="Q231" s="765">
        <f t="shared" si="140"/>
        <v>0</v>
      </c>
    </row>
    <row r="232" spans="1:17" s="40" customFormat="1" ht="12.75" x14ac:dyDescent="0.2">
      <c r="A232" s="425">
        <v>90115</v>
      </c>
      <c r="B232" s="378" t="s">
        <v>321</v>
      </c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532">
        <f t="shared" si="139"/>
        <v>0</v>
      </c>
      <c r="P232" s="532">
        <v>0</v>
      </c>
      <c r="Q232" s="765">
        <f t="shared" si="140"/>
        <v>0</v>
      </c>
    </row>
    <row r="233" spans="1:17" s="40" customFormat="1" ht="12.75" x14ac:dyDescent="0.2">
      <c r="A233" s="425">
        <v>90115</v>
      </c>
      <c r="B233" s="378" t="s">
        <v>325</v>
      </c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532">
        <f t="shared" si="139"/>
        <v>0</v>
      </c>
      <c r="P233" s="532">
        <v>0</v>
      </c>
      <c r="Q233" s="765">
        <f t="shared" si="140"/>
        <v>0</v>
      </c>
    </row>
    <row r="234" spans="1:17" s="40" customFormat="1" ht="12.75" x14ac:dyDescent="0.2">
      <c r="A234" s="425">
        <v>90115</v>
      </c>
      <c r="B234" s="378" t="s">
        <v>326</v>
      </c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532">
        <f t="shared" si="139"/>
        <v>0</v>
      </c>
      <c r="P234" s="532">
        <v>0</v>
      </c>
      <c r="Q234" s="765">
        <f t="shared" si="140"/>
        <v>0</v>
      </c>
    </row>
    <row r="235" spans="1:17" s="40" customFormat="1" ht="12.75" x14ac:dyDescent="0.2">
      <c r="A235" s="425">
        <v>90115</v>
      </c>
      <c r="B235" s="378" t="s">
        <v>327</v>
      </c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532">
        <f t="shared" si="139"/>
        <v>0</v>
      </c>
      <c r="P235" s="532">
        <v>0</v>
      </c>
      <c r="Q235" s="765">
        <f t="shared" si="140"/>
        <v>0</v>
      </c>
    </row>
    <row r="236" spans="1:17" s="40" customFormat="1" ht="12.75" x14ac:dyDescent="0.2">
      <c r="A236" s="425"/>
      <c r="B236" s="451" t="s">
        <v>328</v>
      </c>
      <c r="C236" s="410">
        <f>101600*1.05</f>
        <v>106680</v>
      </c>
      <c r="D236" s="410">
        <f t="shared" ref="D236:N236" si="141">101600*1.05</f>
        <v>106680</v>
      </c>
      <c r="E236" s="410">
        <f t="shared" si="141"/>
        <v>106680</v>
      </c>
      <c r="F236" s="410">
        <f t="shared" si="141"/>
        <v>106680</v>
      </c>
      <c r="G236" s="410">
        <f t="shared" si="141"/>
        <v>106680</v>
      </c>
      <c r="H236" s="410">
        <f t="shared" si="141"/>
        <v>106680</v>
      </c>
      <c r="I236" s="410">
        <f t="shared" si="141"/>
        <v>106680</v>
      </c>
      <c r="J236" s="410">
        <f t="shared" si="141"/>
        <v>106680</v>
      </c>
      <c r="K236" s="410">
        <f t="shared" si="141"/>
        <v>106680</v>
      </c>
      <c r="L236" s="410">
        <f t="shared" si="141"/>
        <v>106680</v>
      </c>
      <c r="M236" s="410">
        <f t="shared" si="141"/>
        <v>106680</v>
      </c>
      <c r="N236" s="410">
        <f t="shared" si="141"/>
        <v>106680</v>
      </c>
      <c r="O236" s="541">
        <f t="shared" si="139"/>
        <v>1280160</v>
      </c>
      <c r="P236" s="541">
        <v>1244600</v>
      </c>
      <c r="Q236" s="772">
        <f t="shared" si="140"/>
        <v>35560</v>
      </c>
    </row>
    <row r="237" spans="1:17" s="115" customFormat="1" ht="12.75" x14ac:dyDescent="0.2">
      <c r="A237" s="425"/>
      <c r="B237" s="517" t="s">
        <v>329</v>
      </c>
      <c r="C237" s="110">
        <f t="shared" ref="C237:P237" si="142">SUM(C223:C236)</f>
        <v>116023</v>
      </c>
      <c r="D237" s="110">
        <f t="shared" si="142"/>
        <v>116023</v>
      </c>
      <c r="E237" s="110">
        <f t="shared" si="142"/>
        <v>116023</v>
      </c>
      <c r="F237" s="110">
        <f t="shared" si="142"/>
        <v>116023</v>
      </c>
      <c r="G237" s="110">
        <f t="shared" si="142"/>
        <v>116023</v>
      </c>
      <c r="H237" s="110">
        <f t="shared" si="142"/>
        <v>116023</v>
      </c>
      <c r="I237" s="110">
        <f t="shared" si="142"/>
        <v>116023</v>
      </c>
      <c r="J237" s="110">
        <f t="shared" si="142"/>
        <v>116023</v>
      </c>
      <c r="K237" s="110">
        <f t="shared" si="142"/>
        <v>116023</v>
      </c>
      <c r="L237" s="110">
        <f t="shared" si="142"/>
        <v>116023</v>
      </c>
      <c r="M237" s="110">
        <f t="shared" si="142"/>
        <v>116023</v>
      </c>
      <c r="N237" s="110">
        <f t="shared" si="142"/>
        <v>116023</v>
      </c>
      <c r="O237" s="536">
        <f t="shared" si="142"/>
        <v>1392276</v>
      </c>
      <c r="P237" s="536">
        <f t="shared" si="142"/>
        <v>1356716</v>
      </c>
      <c r="Q237" s="769">
        <f t="shared" si="140"/>
        <v>35560</v>
      </c>
    </row>
    <row r="238" spans="1:17" s="40" customFormat="1" ht="12.75" x14ac:dyDescent="0.2">
      <c r="A238" s="510"/>
      <c r="B238" s="365"/>
      <c r="C238" s="365"/>
      <c r="D238" s="365"/>
      <c r="E238" s="365"/>
      <c r="F238" s="365"/>
      <c r="G238" s="365"/>
      <c r="H238" s="365"/>
      <c r="I238" s="365"/>
      <c r="J238" s="365"/>
      <c r="K238" s="365"/>
      <c r="L238" s="365"/>
      <c r="M238" s="365"/>
      <c r="N238" s="365"/>
      <c r="O238" s="525"/>
      <c r="P238" s="525"/>
      <c r="Q238" s="758"/>
    </row>
    <row r="239" spans="1:17" s="115" customFormat="1" ht="12.75" x14ac:dyDescent="0.2">
      <c r="A239" s="425"/>
      <c r="B239" s="519" t="s">
        <v>330</v>
      </c>
      <c r="C239" s="452">
        <v>130849.92125</v>
      </c>
      <c r="D239" s="452">
        <v>130849.92125</v>
      </c>
      <c r="E239" s="452">
        <v>130849.92125</v>
      </c>
      <c r="F239" s="452">
        <v>130849.92125</v>
      </c>
      <c r="G239" s="452">
        <v>130849.92125</v>
      </c>
      <c r="H239" s="452">
        <v>130849.92125</v>
      </c>
      <c r="I239" s="452">
        <v>130849.92125</v>
      </c>
      <c r="J239" s="452">
        <v>130849.92125</v>
      </c>
      <c r="K239" s="452">
        <v>130849.92125</v>
      </c>
      <c r="L239" s="452">
        <v>130849.92125</v>
      </c>
      <c r="M239" s="452">
        <v>130849.92125</v>
      </c>
      <c r="N239" s="452">
        <v>130849.92125</v>
      </c>
      <c r="O239" s="542">
        <f>SUM(C239:N239)</f>
        <v>1570199.0549999997</v>
      </c>
      <c r="P239" s="542">
        <v>898488.86499999976</v>
      </c>
      <c r="Q239" s="773">
        <f>O239-P239</f>
        <v>671710.19</v>
      </c>
    </row>
    <row r="240" spans="1:17" s="115" customFormat="1" ht="12.75" x14ac:dyDescent="0.2">
      <c r="A240" s="425"/>
      <c r="B240" s="517"/>
      <c r="C240" s="110"/>
      <c r="D240" s="110"/>
      <c r="E240" s="110"/>
      <c r="F240" s="110"/>
      <c r="G240" s="110"/>
      <c r="H240" s="110"/>
      <c r="I240" s="110"/>
      <c r="J240" s="79"/>
      <c r="K240" s="79"/>
      <c r="L240" s="79"/>
      <c r="M240" s="79"/>
      <c r="N240" s="79"/>
      <c r="O240" s="532"/>
      <c r="P240" s="532"/>
      <c r="Q240" s="765"/>
    </row>
    <row r="241" spans="1:17" s="115" customFormat="1" ht="12.75" x14ac:dyDescent="0.2">
      <c r="A241" s="425"/>
      <c r="B241" s="520" t="s">
        <v>413</v>
      </c>
      <c r="C241" s="453">
        <v>6495.4483750000009</v>
      </c>
      <c r="D241" s="453">
        <v>6495.4483750000009</v>
      </c>
      <c r="E241" s="453">
        <v>6495.4483750000009</v>
      </c>
      <c r="F241" s="453">
        <v>6495.4483750000009</v>
      </c>
      <c r="G241" s="453">
        <v>6495.4483750000009</v>
      </c>
      <c r="H241" s="453">
        <v>6495.4483750000009</v>
      </c>
      <c r="I241" s="453">
        <v>6495.4483750000009</v>
      </c>
      <c r="J241" s="453">
        <v>6495.4483750000009</v>
      </c>
      <c r="K241" s="453">
        <v>6495.4483750000009</v>
      </c>
      <c r="L241" s="453">
        <v>6495.4483750000009</v>
      </c>
      <c r="M241" s="453">
        <v>6495.4483750000009</v>
      </c>
      <c r="N241" s="453">
        <v>6495.4483750000009</v>
      </c>
      <c r="O241" s="543">
        <f>SUM(C241:N241)</f>
        <v>77945.380500000014</v>
      </c>
      <c r="P241" s="543">
        <v>77945.380500000014</v>
      </c>
      <c r="Q241" s="774">
        <f t="shared" ref="Q241:Q247" si="143">O241-P241</f>
        <v>0</v>
      </c>
    </row>
    <row r="242" spans="1:17" s="115" customFormat="1" ht="12.75" x14ac:dyDescent="0.2">
      <c r="A242" s="425"/>
      <c r="B242" s="44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536"/>
      <c r="P242" s="536"/>
      <c r="Q242" s="769">
        <f t="shared" si="143"/>
        <v>0</v>
      </c>
    </row>
    <row r="243" spans="1:17" s="115" customFormat="1" ht="12.75" x14ac:dyDescent="0.2">
      <c r="A243" s="454"/>
      <c r="B243" s="440" t="s">
        <v>414</v>
      </c>
      <c r="C243" s="110">
        <v>2285.02</v>
      </c>
      <c r="D243" s="110">
        <v>2285.02</v>
      </c>
      <c r="E243" s="110">
        <v>2285.02</v>
      </c>
      <c r="F243" s="110">
        <v>2285.02</v>
      </c>
      <c r="G243" s="110">
        <v>2285.02</v>
      </c>
      <c r="H243" s="110">
        <v>2285.02</v>
      </c>
      <c r="I243" s="110">
        <v>2285.02</v>
      </c>
      <c r="J243" s="110">
        <v>2285.02</v>
      </c>
      <c r="K243" s="110">
        <v>2285.02</v>
      </c>
      <c r="L243" s="110">
        <v>2285.02</v>
      </c>
      <c r="M243" s="110">
        <v>2285.02</v>
      </c>
      <c r="N243" s="110">
        <v>2285.02</v>
      </c>
      <c r="O243" s="536">
        <f>SUM(C243:N243)</f>
        <v>27420.240000000002</v>
      </c>
      <c r="P243" s="536">
        <v>27420.240000000002</v>
      </c>
      <c r="Q243" s="769">
        <f t="shared" si="143"/>
        <v>0</v>
      </c>
    </row>
    <row r="244" spans="1:17" s="115" customFormat="1" ht="12.75" x14ac:dyDescent="0.2">
      <c r="A244" s="454"/>
      <c r="B244" s="44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532"/>
      <c r="P244" s="532"/>
      <c r="Q244" s="765">
        <f t="shared" si="143"/>
        <v>0</v>
      </c>
    </row>
    <row r="245" spans="1:17" s="115" customFormat="1" ht="12.75" x14ac:dyDescent="0.2">
      <c r="A245" s="454"/>
      <c r="B245" s="440" t="s">
        <v>415</v>
      </c>
      <c r="C245" s="110">
        <f t="shared" ref="C245:N245" si="144">4000050/66</f>
        <v>60606.818181818184</v>
      </c>
      <c r="D245" s="110">
        <f t="shared" si="144"/>
        <v>60606.818181818184</v>
      </c>
      <c r="E245" s="110">
        <f t="shared" si="144"/>
        <v>60606.818181818184</v>
      </c>
      <c r="F245" s="110">
        <f t="shared" si="144"/>
        <v>60606.818181818184</v>
      </c>
      <c r="G245" s="110">
        <f t="shared" si="144"/>
        <v>60606.818181818184</v>
      </c>
      <c r="H245" s="110">
        <f t="shared" si="144"/>
        <v>60606.818181818184</v>
      </c>
      <c r="I245" s="110">
        <f t="shared" si="144"/>
        <v>60606.818181818184</v>
      </c>
      <c r="J245" s="110">
        <f t="shared" si="144"/>
        <v>60606.818181818184</v>
      </c>
      <c r="K245" s="110">
        <f t="shared" si="144"/>
        <v>60606.818181818184</v>
      </c>
      <c r="L245" s="110">
        <f t="shared" si="144"/>
        <v>60606.818181818184</v>
      </c>
      <c r="M245" s="110">
        <f t="shared" si="144"/>
        <v>60606.818181818184</v>
      </c>
      <c r="N245" s="110">
        <f t="shared" si="144"/>
        <v>60606.818181818184</v>
      </c>
      <c r="O245" s="536">
        <f>SUM(C245:N245)</f>
        <v>727281.81818181835</v>
      </c>
      <c r="P245" s="536">
        <v>727281.81818181835</v>
      </c>
      <c r="Q245" s="769">
        <f t="shared" si="143"/>
        <v>0</v>
      </c>
    </row>
    <row r="246" spans="1:17" s="115" customFormat="1" ht="12.75" x14ac:dyDescent="0.2">
      <c r="A246" s="454"/>
      <c r="B246" s="44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532"/>
      <c r="P246" s="532"/>
      <c r="Q246" s="765">
        <f t="shared" si="143"/>
        <v>0</v>
      </c>
    </row>
    <row r="247" spans="1:17" s="115" customFormat="1" ht="12.75" x14ac:dyDescent="0.2">
      <c r="A247" s="454"/>
      <c r="B247" s="516" t="s">
        <v>416</v>
      </c>
      <c r="C247" s="449">
        <v>5316.333333333333</v>
      </c>
      <c r="D247" s="449">
        <v>5316.333333333333</v>
      </c>
      <c r="E247" s="449">
        <v>5316.333333333333</v>
      </c>
      <c r="F247" s="449">
        <v>5316.333333333333</v>
      </c>
      <c r="G247" s="449">
        <v>5316.333333333333</v>
      </c>
      <c r="H247" s="449">
        <v>5316.333333333333</v>
      </c>
      <c r="I247" s="449">
        <v>5316.333333333333</v>
      </c>
      <c r="J247" s="449">
        <v>5316.333333333333</v>
      </c>
      <c r="K247" s="449">
        <v>5316.333333333333</v>
      </c>
      <c r="L247" s="449">
        <v>5316.333333333333</v>
      </c>
      <c r="M247" s="449">
        <v>5316.333333333333</v>
      </c>
      <c r="N247" s="449">
        <v>5316.333333333333</v>
      </c>
      <c r="O247" s="539">
        <f>SUM(C247:N247)</f>
        <v>63796.000000000007</v>
      </c>
      <c r="P247" s="539">
        <v>63796.000000000007</v>
      </c>
      <c r="Q247" s="775">
        <f t="shared" si="143"/>
        <v>0</v>
      </c>
    </row>
    <row r="248" spans="1:17" s="115" customFormat="1" ht="12.75" x14ac:dyDescent="0.2">
      <c r="A248" s="454"/>
      <c r="B248" s="51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532"/>
      <c r="P248" s="532"/>
      <c r="Q248" s="765"/>
    </row>
    <row r="249" spans="1:17" s="40" customFormat="1" ht="12.75" x14ac:dyDescent="0.2">
      <c r="A249" s="365"/>
      <c r="B249" s="521" t="s">
        <v>332</v>
      </c>
      <c r="C249" s="522"/>
      <c r="D249" s="522"/>
      <c r="E249" s="522"/>
      <c r="F249" s="522"/>
      <c r="G249" s="522"/>
      <c r="H249" s="522"/>
      <c r="I249" s="522"/>
      <c r="J249" s="365"/>
      <c r="K249" s="365"/>
      <c r="L249" s="365"/>
      <c r="M249" s="365"/>
      <c r="N249" s="365"/>
      <c r="O249" s="525"/>
      <c r="P249" s="525"/>
      <c r="Q249" s="758"/>
    </row>
    <row r="250" spans="1:17" s="40" customFormat="1" ht="12.75" x14ac:dyDescent="0.2">
      <c r="A250" s="425"/>
      <c r="B250" s="379" t="s">
        <v>334</v>
      </c>
      <c r="C250" s="79">
        <f t="shared" ref="C250:N250" si="145">+C121</f>
        <v>4556480</v>
      </c>
      <c r="D250" s="79">
        <f t="shared" si="145"/>
        <v>4860900</v>
      </c>
      <c r="E250" s="79">
        <f t="shared" si="145"/>
        <v>4556480</v>
      </c>
      <c r="F250" s="79">
        <f t="shared" si="145"/>
        <v>4556480</v>
      </c>
      <c r="G250" s="79">
        <f t="shared" si="145"/>
        <v>4556480</v>
      </c>
      <c r="H250" s="79">
        <f t="shared" si="145"/>
        <v>4556480</v>
      </c>
      <c r="I250" s="79">
        <f t="shared" si="145"/>
        <v>4556480</v>
      </c>
      <c r="J250" s="79">
        <f t="shared" si="145"/>
        <v>4556480</v>
      </c>
      <c r="K250" s="79">
        <f t="shared" si="145"/>
        <v>4556480</v>
      </c>
      <c r="L250" s="79">
        <f t="shared" si="145"/>
        <v>4785215.2960000001</v>
      </c>
      <c r="M250" s="79">
        <f t="shared" si="145"/>
        <v>4785215.2960000001</v>
      </c>
      <c r="N250" s="79">
        <f t="shared" si="145"/>
        <v>4785215.2960000001</v>
      </c>
      <c r="O250" s="532">
        <f>+O121</f>
        <v>55668385.887999997</v>
      </c>
      <c r="P250" s="532">
        <f>+P121</f>
        <v>52187520</v>
      </c>
      <c r="Q250" s="765">
        <f t="shared" ref="Q250:Q265" si="146">O250-P250</f>
        <v>3480865.8879999965</v>
      </c>
    </row>
    <row r="251" spans="1:17" s="40" customFormat="1" ht="12.75" x14ac:dyDescent="0.2">
      <c r="A251" s="425"/>
      <c r="B251" s="379" t="s">
        <v>335</v>
      </c>
      <c r="C251" s="79">
        <f t="shared" ref="C251:N251" si="147">+C140</f>
        <v>1609283</v>
      </c>
      <c r="D251" s="79">
        <f t="shared" si="147"/>
        <v>1609283</v>
      </c>
      <c r="E251" s="79">
        <f t="shared" si="147"/>
        <v>1609283</v>
      </c>
      <c r="F251" s="79">
        <f t="shared" si="147"/>
        <v>1609283</v>
      </c>
      <c r="G251" s="79">
        <f t="shared" si="147"/>
        <v>1609283</v>
      </c>
      <c r="H251" s="79">
        <f t="shared" si="147"/>
        <v>1609283</v>
      </c>
      <c r="I251" s="79">
        <f t="shared" si="147"/>
        <v>1609283</v>
      </c>
      <c r="J251" s="79">
        <f t="shared" si="147"/>
        <v>1609283</v>
      </c>
      <c r="K251" s="79">
        <f t="shared" si="147"/>
        <v>1609283</v>
      </c>
      <c r="L251" s="79">
        <f t="shared" si="147"/>
        <v>1686185.3840000001</v>
      </c>
      <c r="M251" s="79">
        <f t="shared" si="147"/>
        <v>1686185.3840000001</v>
      </c>
      <c r="N251" s="79">
        <f t="shared" si="147"/>
        <v>1686185.3840000001</v>
      </c>
      <c r="O251" s="532">
        <f>+O140</f>
        <v>19542103.151999999</v>
      </c>
      <c r="P251" s="532">
        <f>+P140</f>
        <v>18548388</v>
      </c>
      <c r="Q251" s="765">
        <f t="shared" si="146"/>
        <v>993715.15199999884</v>
      </c>
    </row>
    <row r="252" spans="1:17" s="40" customFormat="1" ht="12.75" x14ac:dyDescent="0.2">
      <c r="A252" s="425"/>
      <c r="B252" s="379" t="str">
        <f t="shared" ref="B252:N252" si="148">+B156</f>
        <v>Total Colstrip and PG&amp;E exchange ($)</v>
      </c>
      <c r="C252" s="79">
        <f t="shared" si="148"/>
        <v>2858334</v>
      </c>
      <c r="D252" s="79">
        <f t="shared" si="148"/>
        <v>2858334</v>
      </c>
      <c r="E252" s="79">
        <f t="shared" si="148"/>
        <v>2858334</v>
      </c>
      <c r="F252" s="79">
        <f t="shared" si="148"/>
        <v>2858334</v>
      </c>
      <c r="G252" s="79">
        <f t="shared" si="148"/>
        <v>2858334</v>
      </c>
      <c r="H252" s="79">
        <f t="shared" si="148"/>
        <v>2858334</v>
      </c>
      <c r="I252" s="79">
        <f t="shared" si="148"/>
        <v>2858334</v>
      </c>
      <c r="J252" s="79">
        <f t="shared" si="148"/>
        <v>2858334</v>
      </c>
      <c r="K252" s="79">
        <f t="shared" si="148"/>
        <v>2858334</v>
      </c>
      <c r="L252" s="79">
        <f t="shared" si="148"/>
        <v>2982856.7063999996</v>
      </c>
      <c r="M252" s="79">
        <f t="shared" si="148"/>
        <v>2982856.7063999996</v>
      </c>
      <c r="N252" s="79">
        <f t="shared" si="148"/>
        <v>2982856.7063999996</v>
      </c>
      <c r="O252" s="532">
        <f>+O156</f>
        <v>34673576.119199999</v>
      </c>
      <c r="P252" s="532">
        <f>+P156</f>
        <v>33067320</v>
      </c>
      <c r="Q252" s="765">
        <f t="shared" si="146"/>
        <v>1606256.1191999987</v>
      </c>
    </row>
    <row r="253" spans="1:17" s="40" customFormat="1" ht="12.75" x14ac:dyDescent="0.2">
      <c r="A253" s="425"/>
      <c r="B253" s="379" t="s">
        <v>336</v>
      </c>
      <c r="C253" s="79" t="e">
        <f t="shared" ref="C253:N253" si="149">+C212</f>
        <v>#VALUE!</v>
      </c>
      <c r="D253" s="79" t="e">
        <f t="shared" si="149"/>
        <v>#VALUE!</v>
      </c>
      <c r="E253" s="79" t="e">
        <f t="shared" si="149"/>
        <v>#VALUE!</v>
      </c>
      <c r="F253" s="79" t="e">
        <f t="shared" si="149"/>
        <v>#VALUE!</v>
      </c>
      <c r="G253" s="79" t="e">
        <f t="shared" si="149"/>
        <v>#VALUE!</v>
      </c>
      <c r="H253" s="79" t="e">
        <f t="shared" si="149"/>
        <v>#VALUE!</v>
      </c>
      <c r="I253" s="79" t="e">
        <f t="shared" si="149"/>
        <v>#VALUE!</v>
      </c>
      <c r="J253" s="79" t="e">
        <f t="shared" si="149"/>
        <v>#VALUE!</v>
      </c>
      <c r="K253" s="79" t="e">
        <f t="shared" si="149"/>
        <v>#VALUE!</v>
      </c>
      <c r="L253" s="79" t="e">
        <f t="shared" si="149"/>
        <v>#VALUE!</v>
      </c>
      <c r="M253" s="79" t="e">
        <f t="shared" si="149"/>
        <v>#VALUE!</v>
      </c>
      <c r="N253" s="79" t="e">
        <f t="shared" si="149"/>
        <v>#VALUE!</v>
      </c>
      <c r="O253" s="532" t="e">
        <f>+O212</f>
        <v>#VALUE!</v>
      </c>
      <c r="P253" s="532" t="e">
        <f>+P212</f>
        <v>#VALUE!</v>
      </c>
      <c r="Q253" s="765" t="e">
        <f t="shared" si="146"/>
        <v>#VALUE!</v>
      </c>
    </row>
    <row r="254" spans="1:17" s="40" customFormat="1" ht="12.75" x14ac:dyDescent="0.2">
      <c r="A254" s="425"/>
      <c r="B254" s="379" t="s">
        <v>337</v>
      </c>
      <c r="C254" s="365" t="str">
        <f t="shared" ref="C254:P254" si="150">C217</f>
        <v>XXXXXXXXXXXXX</v>
      </c>
      <c r="D254" s="365" t="str">
        <f t="shared" si="150"/>
        <v>XXXXXXXXXXXXX</v>
      </c>
      <c r="E254" s="365" t="str">
        <f t="shared" si="150"/>
        <v>XXXXXXXXXXXXX</v>
      </c>
      <c r="F254" s="365" t="str">
        <f t="shared" si="150"/>
        <v>XXXXXXXXXXXXX</v>
      </c>
      <c r="G254" s="365" t="str">
        <f t="shared" si="150"/>
        <v>XXXXXXXXXXXXX</v>
      </c>
      <c r="H254" s="365" t="str">
        <f t="shared" si="150"/>
        <v>XXXXXXXXXXXXX</v>
      </c>
      <c r="I254" s="365" t="str">
        <f t="shared" si="150"/>
        <v>XXXXXXXXXXXXX</v>
      </c>
      <c r="J254" s="365" t="str">
        <f t="shared" si="150"/>
        <v>XXXXXXXXXXXXX</v>
      </c>
      <c r="K254" s="365" t="str">
        <f t="shared" si="150"/>
        <v>XXXXXXXXXXXXX</v>
      </c>
      <c r="L254" s="365" t="str">
        <f t="shared" si="150"/>
        <v>XXXXXXXXXXXXX</v>
      </c>
      <c r="M254" s="365" t="str">
        <f t="shared" si="150"/>
        <v>XXXXXXXXXXXXX</v>
      </c>
      <c r="N254" s="365" t="str">
        <f t="shared" si="150"/>
        <v>XXXXXXXXXXXXX</v>
      </c>
      <c r="O254" s="525" t="str">
        <f t="shared" si="150"/>
        <v>XXXXXXXXXXXXX</v>
      </c>
      <c r="P254" s="525" t="str">
        <f t="shared" si="150"/>
        <v>XXXXXXXXXXXXX</v>
      </c>
      <c r="Q254" s="758" t="e">
        <f t="shared" si="146"/>
        <v>#VALUE!</v>
      </c>
    </row>
    <row r="255" spans="1:17" s="40" customFormat="1" ht="12.75" x14ac:dyDescent="0.2">
      <c r="A255" s="425"/>
      <c r="B255" s="379" t="s">
        <v>563</v>
      </c>
      <c r="C255" s="365" t="str">
        <f>C219</f>
        <v>XXXXXXXXXXXXX</v>
      </c>
      <c r="D255" s="365" t="str">
        <f t="shared" ref="D255:N255" si="151">D219</f>
        <v>XXXXXXXXXXXXX</v>
      </c>
      <c r="E255" s="365" t="str">
        <f t="shared" si="151"/>
        <v>XXXXXXXXXXXXX</v>
      </c>
      <c r="F255" s="365" t="str">
        <f t="shared" si="151"/>
        <v>XXXXXXXXXXXXX</v>
      </c>
      <c r="G255" s="365" t="str">
        <f t="shared" si="151"/>
        <v>XXXXXXXXXXXXX</v>
      </c>
      <c r="H255" s="365" t="str">
        <f t="shared" si="151"/>
        <v>XXXXXXXXXXXXX</v>
      </c>
      <c r="I255" s="365" t="str">
        <f t="shared" si="151"/>
        <v>XXXXXXXXXXXXX</v>
      </c>
      <c r="J255" s="365" t="str">
        <f t="shared" si="151"/>
        <v>XXXXXXXXXXXXX</v>
      </c>
      <c r="K255" s="365" t="str">
        <f t="shared" si="151"/>
        <v>XXXXXXXXXXXXX</v>
      </c>
      <c r="L255" s="365" t="str">
        <f t="shared" si="151"/>
        <v>XXXXXXXXXXXXX</v>
      </c>
      <c r="M255" s="365" t="str">
        <f t="shared" si="151"/>
        <v>XXXXXXXXXXXXX</v>
      </c>
      <c r="N255" s="365" t="str">
        <f t="shared" si="151"/>
        <v>XXXXXXXXXXXXX</v>
      </c>
      <c r="O255" s="525" t="str">
        <f>O219</f>
        <v>XXXXXXXXXXXXX</v>
      </c>
      <c r="P255" s="525" t="str">
        <f t="shared" ref="P255" si="152">P219</f>
        <v>XXXXXXXXXXXXX</v>
      </c>
      <c r="Q255" s="758" t="e">
        <f t="shared" si="146"/>
        <v>#VALUE!</v>
      </c>
    </row>
    <row r="256" spans="1:17" s="40" customFormat="1" ht="12.75" x14ac:dyDescent="0.2">
      <c r="A256" s="425"/>
      <c r="B256" s="379" t="s">
        <v>338</v>
      </c>
      <c r="C256" s="79">
        <f t="shared" ref="C256:N256" si="153">+C237</f>
        <v>116023</v>
      </c>
      <c r="D256" s="79">
        <f t="shared" si="153"/>
        <v>116023</v>
      </c>
      <c r="E256" s="79">
        <f t="shared" si="153"/>
        <v>116023</v>
      </c>
      <c r="F256" s="79">
        <f t="shared" si="153"/>
        <v>116023</v>
      </c>
      <c r="G256" s="79">
        <f t="shared" si="153"/>
        <v>116023</v>
      </c>
      <c r="H256" s="79">
        <f t="shared" si="153"/>
        <v>116023</v>
      </c>
      <c r="I256" s="79">
        <f t="shared" si="153"/>
        <v>116023</v>
      </c>
      <c r="J256" s="79">
        <f t="shared" si="153"/>
        <v>116023</v>
      </c>
      <c r="K256" s="79">
        <f t="shared" si="153"/>
        <v>116023</v>
      </c>
      <c r="L256" s="79">
        <f t="shared" si="153"/>
        <v>116023</v>
      </c>
      <c r="M256" s="79">
        <f t="shared" si="153"/>
        <v>116023</v>
      </c>
      <c r="N256" s="79">
        <f t="shared" si="153"/>
        <v>116023</v>
      </c>
      <c r="O256" s="532">
        <f t="shared" ref="O256:P256" si="154">+O237</f>
        <v>1392276</v>
      </c>
      <c r="P256" s="532">
        <f t="shared" si="154"/>
        <v>1356716</v>
      </c>
      <c r="Q256" s="765">
        <f t="shared" si="146"/>
        <v>35560</v>
      </c>
    </row>
    <row r="257" spans="1:18" s="40" customFormat="1" ht="12.75" x14ac:dyDescent="0.2">
      <c r="A257" s="425"/>
      <c r="B257" s="379" t="s">
        <v>339</v>
      </c>
      <c r="C257" s="79">
        <f t="shared" ref="C257:N257" si="155">+C239</f>
        <v>130849.92125</v>
      </c>
      <c r="D257" s="79">
        <f t="shared" si="155"/>
        <v>130849.92125</v>
      </c>
      <c r="E257" s="79">
        <f t="shared" si="155"/>
        <v>130849.92125</v>
      </c>
      <c r="F257" s="79">
        <f t="shared" si="155"/>
        <v>130849.92125</v>
      </c>
      <c r="G257" s="79">
        <f t="shared" si="155"/>
        <v>130849.92125</v>
      </c>
      <c r="H257" s="79">
        <f t="shared" si="155"/>
        <v>130849.92125</v>
      </c>
      <c r="I257" s="79">
        <f t="shared" si="155"/>
        <v>130849.92125</v>
      </c>
      <c r="J257" s="79">
        <f t="shared" si="155"/>
        <v>130849.92125</v>
      </c>
      <c r="K257" s="79">
        <f t="shared" si="155"/>
        <v>130849.92125</v>
      </c>
      <c r="L257" s="79">
        <f t="shared" si="155"/>
        <v>130849.92125</v>
      </c>
      <c r="M257" s="79">
        <f t="shared" si="155"/>
        <v>130849.92125</v>
      </c>
      <c r="N257" s="79">
        <f t="shared" si="155"/>
        <v>130849.92125</v>
      </c>
      <c r="O257" s="532">
        <f t="shared" ref="O257:P257" si="156">+O239</f>
        <v>1570199.0549999997</v>
      </c>
      <c r="P257" s="532">
        <f t="shared" si="156"/>
        <v>898488.86499999976</v>
      </c>
      <c r="Q257" s="765">
        <f t="shared" si="146"/>
        <v>671710.19</v>
      </c>
    </row>
    <row r="258" spans="1:18" s="40" customFormat="1" ht="12.75" x14ac:dyDescent="0.2">
      <c r="A258" s="425"/>
      <c r="B258" s="379" t="s">
        <v>417</v>
      </c>
      <c r="C258" s="79">
        <f t="shared" ref="C258:N258" si="157">C241</f>
        <v>6495.4483750000009</v>
      </c>
      <c r="D258" s="79">
        <f t="shared" si="157"/>
        <v>6495.4483750000009</v>
      </c>
      <c r="E258" s="79">
        <f t="shared" si="157"/>
        <v>6495.4483750000009</v>
      </c>
      <c r="F258" s="79">
        <f t="shared" si="157"/>
        <v>6495.4483750000009</v>
      </c>
      <c r="G258" s="79">
        <f t="shared" si="157"/>
        <v>6495.4483750000009</v>
      </c>
      <c r="H258" s="79">
        <f t="shared" si="157"/>
        <v>6495.4483750000009</v>
      </c>
      <c r="I258" s="79">
        <f t="shared" si="157"/>
        <v>6495.4483750000009</v>
      </c>
      <c r="J258" s="79">
        <f t="shared" si="157"/>
        <v>6495.4483750000009</v>
      </c>
      <c r="K258" s="79">
        <f t="shared" si="157"/>
        <v>6495.4483750000009</v>
      </c>
      <c r="L258" s="79">
        <f t="shared" si="157"/>
        <v>6495.4483750000009</v>
      </c>
      <c r="M258" s="79">
        <f t="shared" si="157"/>
        <v>6495.4483750000009</v>
      </c>
      <c r="N258" s="79">
        <f t="shared" si="157"/>
        <v>6495.4483750000009</v>
      </c>
      <c r="O258" s="532">
        <f t="shared" ref="O258:P258" si="158">O241</f>
        <v>77945.380500000014</v>
      </c>
      <c r="P258" s="532">
        <f t="shared" si="158"/>
        <v>77945.380500000014</v>
      </c>
      <c r="Q258" s="765">
        <f t="shared" si="146"/>
        <v>0</v>
      </c>
    </row>
    <row r="259" spans="1:18" s="40" customFormat="1" ht="12.75" x14ac:dyDescent="0.2">
      <c r="A259" s="425"/>
      <c r="B259" s="379" t="s">
        <v>418</v>
      </c>
      <c r="C259" s="79">
        <f t="shared" ref="C259:N259" si="159">C245</f>
        <v>60606.818181818184</v>
      </c>
      <c r="D259" s="79">
        <f t="shared" si="159"/>
        <v>60606.818181818184</v>
      </c>
      <c r="E259" s="79">
        <f t="shared" si="159"/>
        <v>60606.818181818184</v>
      </c>
      <c r="F259" s="79">
        <f t="shared" si="159"/>
        <v>60606.818181818184</v>
      </c>
      <c r="G259" s="79">
        <f t="shared" si="159"/>
        <v>60606.818181818184</v>
      </c>
      <c r="H259" s="79">
        <f t="shared" si="159"/>
        <v>60606.818181818184</v>
      </c>
      <c r="I259" s="79">
        <f t="shared" si="159"/>
        <v>60606.818181818184</v>
      </c>
      <c r="J259" s="79">
        <f t="shared" si="159"/>
        <v>60606.818181818184</v>
      </c>
      <c r="K259" s="79">
        <f t="shared" si="159"/>
        <v>60606.818181818184</v>
      </c>
      <c r="L259" s="79">
        <f t="shared" si="159"/>
        <v>60606.818181818184</v>
      </c>
      <c r="M259" s="79">
        <f t="shared" si="159"/>
        <v>60606.818181818184</v>
      </c>
      <c r="N259" s="79">
        <f t="shared" si="159"/>
        <v>60606.818181818184</v>
      </c>
      <c r="O259" s="532">
        <f t="shared" ref="O259:P259" si="160">O245</f>
        <v>727281.81818181835</v>
      </c>
      <c r="P259" s="532">
        <f t="shared" si="160"/>
        <v>727281.81818181835</v>
      </c>
      <c r="Q259" s="765">
        <f t="shared" si="146"/>
        <v>0</v>
      </c>
    </row>
    <row r="260" spans="1:18" s="40" customFormat="1" ht="12.75" x14ac:dyDescent="0.2">
      <c r="A260" s="425"/>
      <c r="B260" s="379" t="s">
        <v>419</v>
      </c>
      <c r="C260" s="79">
        <f t="shared" ref="C260:N260" si="161">C243</f>
        <v>2285.02</v>
      </c>
      <c r="D260" s="79">
        <f t="shared" si="161"/>
        <v>2285.02</v>
      </c>
      <c r="E260" s="79">
        <f t="shared" si="161"/>
        <v>2285.02</v>
      </c>
      <c r="F260" s="79">
        <f t="shared" si="161"/>
        <v>2285.02</v>
      </c>
      <c r="G260" s="79">
        <f t="shared" si="161"/>
        <v>2285.02</v>
      </c>
      <c r="H260" s="79">
        <f t="shared" si="161"/>
        <v>2285.02</v>
      </c>
      <c r="I260" s="79">
        <f t="shared" si="161"/>
        <v>2285.02</v>
      </c>
      <c r="J260" s="79">
        <f t="shared" si="161"/>
        <v>2285.02</v>
      </c>
      <c r="K260" s="79">
        <f t="shared" si="161"/>
        <v>2285.02</v>
      </c>
      <c r="L260" s="79">
        <f t="shared" si="161"/>
        <v>2285.02</v>
      </c>
      <c r="M260" s="79">
        <f t="shared" si="161"/>
        <v>2285.02</v>
      </c>
      <c r="N260" s="79">
        <f t="shared" si="161"/>
        <v>2285.02</v>
      </c>
      <c r="O260" s="532">
        <f t="shared" ref="O260:P260" si="162">O243</f>
        <v>27420.240000000002</v>
      </c>
      <c r="P260" s="532">
        <f t="shared" si="162"/>
        <v>27420.240000000002</v>
      </c>
      <c r="Q260" s="765">
        <f t="shared" si="146"/>
        <v>0</v>
      </c>
    </row>
    <row r="261" spans="1:18" s="40" customFormat="1" ht="12.75" x14ac:dyDescent="0.2">
      <c r="A261" s="425"/>
      <c r="B261" s="455" t="s">
        <v>420</v>
      </c>
      <c r="C261" s="679">
        <f>C247</f>
        <v>5316.333333333333</v>
      </c>
      <c r="D261" s="680">
        <f t="shared" ref="D261:N261" si="163">D247</f>
        <v>5316.333333333333</v>
      </c>
      <c r="E261" s="680">
        <f t="shared" si="163"/>
        <v>5316.333333333333</v>
      </c>
      <c r="F261" s="680">
        <f t="shared" si="163"/>
        <v>5316.333333333333</v>
      </c>
      <c r="G261" s="680">
        <f t="shared" si="163"/>
        <v>5316.333333333333</v>
      </c>
      <c r="H261" s="680">
        <f t="shared" si="163"/>
        <v>5316.333333333333</v>
      </c>
      <c r="I261" s="680">
        <f t="shared" si="163"/>
        <v>5316.333333333333</v>
      </c>
      <c r="J261" s="680">
        <f t="shared" si="163"/>
        <v>5316.333333333333</v>
      </c>
      <c r="K261" s="680">
        <f t="shared" si="163"/>
        <v>5316.333333333333</v>
      </c>
      <c r="L261" s="680">
        <f t="shared" si="163"/>
        <v>5316.333333333333</v>
      </c>
      <c r="M261" s="680">
        <f t="shared" si="163"/>
        <v>5316.333333333333</v>
      </c>
      <c r="N261" s="680">
        <f t="shared" si="163"/>
        <v>5316.333333333333</v>
      </c>
      <c r="O261" s="525">
        <f t="shared" ref="O261:P261" si="164">O247</f>
        <v>63796.000000000007</v>
      </c>
      <c r="P261" s="525">
        <f t="shared" si="164"/>
        <v>63796.000000000007</v>
      </c>
      <c r="Q261" s="758">
        <f t="shared" si="146"/>
        <v>0</v>
      </c>
    </row>
    <row r="262" spans="1:18" s="56" customFormat="1" ht="12.75" x14ac:dyDescent="0.2">
      <c r="A262" s="425"/>
      <c r="B262" s="456" t="s">
        <v>424</v>
      </c>
      <c r="C262" s="449" t="e">
        <f>SUM(C250:C261)</f>
        <v>#VALUE!</v>
      </c>
      <c r="D262" s="452" t="e">
        <f t="shared" ref="D262:N262" si="165">SUM(D250:D261)</f>
        <v>#VALUE!</v>
      </c>
      <c r="E262" s="452" t="e">
        <f t="shared" si="165"/>
        <v>#VALUE!</v>
      </c>
      <c r="F262" s="452" t="e">
        <f t="shared" si="165"/>
        <v>#VALUE!</v>
      </c>
      <c r="G262" s="452" t="e">
        <f t="shared" si="165"/>
        <v>#VALUE!</v>
      </c>
      <c r="H262" s="452" t="e">
        <f>SUM(H250:H261)</f>
        <v>#VALUE!</v>
      </c>
      <c r="I262" s="452" t="e">
        <f t="shared" si="165"/>
        <v>#VALUE!</v>
      </c>
      <c r="J262" s="452" t="e">
        <f t="shared" si="165"/>
        <v>#VALUE!</v>
      </c>
      <c r="K262" s="452" t="e">
        <f t="shared" si="165"/>
        <v>#VALUE!</v>
      </c>
      <c r="L262" s="452" t="e">
        <f t="shared" si="165"/>
        <v>#VALUE!</v>
      </c>
      <c r="M262" s="452" t="e">
        <f t="shared" si="165"/>
        <v>#VALUE!</v>
      </c>
      <c r="N262" s="452" t="e">
        <f t="shared" si="165"/>
        <v>#VALUE!</v>
      </c>
      <c r="O262" s="542" t="e">
        <f>SUM(C262:N262)</f>
        <v>#VALUE!</v>
      </c>
      <c r="P262" s="542" t="e">
        <f>SUM(P250:P261)</f>
        <v>#VALUE!</v>
      </c>
      <c r="Q262" s="773" t="e">
        <f t="shared" si="146"/>
        <v>#VALUE!</v>
      </c>
      <c r="R262" s="115"/>
    </row>
    <row r="263" spans="1:18" s="56" customFormat="1" ht="12.75" x14ac:dyDescent="0.2">
      <c r="A263" s="425"/>
      <c r="B263" s="377" t="s">
        <v>421</v>
      </c>
      <c r="C263" s="365">
        <v>488296.52119199571</v>
      </c>
      <c r="D263" s="365">
        <v>488296.52119199571</v>
      </c>
      <c r="E263" s="365">
        <v>488296.52119199571</v>
      </c>
      <c r="F263" s="365">
        <v>488296.52119199571</v>
      </c>
      <c r="G263" s="365">
        <v>488296.52119199571</v>
      </c>
      <c r="H263" s="365">
        <v>488296.52119199571</v>
      </c>
      <c r="I263" s="365">
        <v>500503.93422179559</v>
      </c>
      <c r="J263" s="365">
        <v>500503.93422179559</v>
      </c>
      <c r="K263" s="365">
        <v>500503.93422179559</v>
      </c>
      <c r="L263" s="365">
        <v>500503.93422179559</v>
      </c>
      <c r="M263" s="365">
        <v>500503.93422179559</v>
      </c>
      <c r="N263" s="365">
        <v>500503.93422179559</v>
      </c>
      <c r="O263" s="525">
        <f>SUM(C263:N263)</f>
        <v>5932802.7324827481</v>
      </c>
      <c r="P263" s="525">
        <v>5560686.5281462222</v>
      </c>
      <c r="Q263" s="758">
        <f t="shared" si="146"/>
        <v>372116.20433652587</v>
      </c>
    </row>
    <row r="264" spans="1:18" s="56" customFormat="1" ht="16.5" customHeight="1" x14ac:dyDescent="0.2">
      <c r="A264" s="425"/>
      <c r="B264" s="458" t="s">
        <v>422</v>
      </c>
      <c r="C264" s="410">
        <v>-338256</v>
      </c>
      <c r="D264" s="410">
        <v>-350052.5</v>
      </c>
      <c r="E264" s="410">
        <v>-273191.25</v>
      </c>
      <c r="F264" s="410">
        <v>-73153</v>
      </c>
      <c r="G264" s="410">
        <v>-53565</v>
      </c>
      <c r="H264" s="410">
        <v>-148110.75</v>
      </c>
      <c r="I264" s="410">
        <v>-363688</v>
      </c>
      <c r="J264" s="410">
        <v>-496158.5</v>
      </c>
      <c r="K264" s="410">
        <v>-307727.2</v>
      </c>
      <c r="L264" s="410">
        <v>-249323</v>
      </c>
      <c r="M264" s="410">
        <v>-423509</v>
      </c>
      <c r="N264" s="410">
        <v>-769966.5</v>
      </c>
      <c r="O264" s="541">
        <f>SUM(C264:N264)</f>
        <v>-3846700.7</v>
      </c>
      <c r="P264" s="541">
        <v>-2371059.5</v>
      </c>
      <c r="Q264" s="772">
        <f t="shared" si="146"/>
        <v>-1475641.2000000002</v>
      </c>
    </row>
    <row r="265" spans="1:18" s="56" customFormat="1" ht="13.5" thickBot="1" x14ac:dyDescent="0.25">
      <c r="A265" s="39"/>
      <c r="B265" s="459" t="s">
        <v>423</v>
      </c>
      <c r="C265" s="523" t="e">
        <f t="shared" ref="C265:N265" si="166">C262+C263+C264</f>
        <v>#VALUE!</v>
      </c>
      <c r="D265" s="523" t="e">
        <f t="shared" si="166"/>
        <v>#VALUE!</v>
      </c>
      <c r="E265" s="523" t="e">
        <f t="shared" si="166"/>
        <v>#VALUE!</v>
      </c>
      <c r="F265" s="523" t="e">
        <f t="shared" si="166"/>
        <v>#VALUE!</v>
      </c>
      <c r="G265" s="523" t="e">
        <f t="shared" si="166"/>
        <v>#VALUE!</v>
      </c>
      <c r="H265" s="523" t="e">
        <f t="shared" si="166"/>
        <v>#VALUE!</v>
      </c>
      <c r="I265" s="523" t="e">
        <f t="shared" si="166"/>
        <v>#VALUE!</v>
      </c>
      <c r="J265" s="523" t="e">
        <f t="shared" si="166"/>
        <v>#VALUE!</v>
      </c>
      <c r="K265" s="523" t="e">
        <f t="shared" si="166"/>
        <v>#VALUE!</v>
      </c>
      <c r="L265" s="523" t="e">
        <f t="shared" si="166"/>
        <v>#VALUE!</v>
      </c>
      <c r="M265" s="523" t="e">
        <f t="shared" si="166"/>
        <v>#VALUE!</v>
      </c>
      <c r="N265" s="523" t="e">
        <f t="shared" si="166"/>
        <v>#VALUE!</v>
      </c>
      <c r="O265" s="544" t="e">
        <f>SUM(C265:N265)</f>
        <v>#VALUE!</v>
      </c>
      <c r="P265" s="544" t="e">
        <f>SUM(P262:P264)</f>
        <v>#VALUE!</v>
      </c>
      <c r="Q265" s="776" t="e">
        <f t="shared" si="146"/>
        <v>#VALUE!</v>
      </c>
    </row>
    <row r="266" spans="1:18" ht="18" customHeight="1" thickTop="1" x14ac:dyDescent="0.25">
      <c r="A266" s="457"/>
      <c r="B266" s="287"/>
      <c r="C266" s="19"/>
      <c r="D266" s="19"/>
      <c r="E266" s="19"/>
      <c r="F266" s="19"/>
      <c r="G266" s="19"/>
      <c r="H266" s="19"/>
      <c r="I266" s="19"/>
      <c r="O266" s="699" t="e">
        <f>O265-SUM(O262:O264)</f>
        <v>#VALUE!</v>
      </c>
      <c r="P266" s="699" t="e">
        <f t="shared" ref="P266" si="167">P265-SUM(P262:P264)</f>
        <v>#VALUE!</v>
      </c>
    </row>
    <row r="267" spans="1:18" x14ac:dyDescent="0.25">
      <c r="C267" s="444"/>
      <c r="D267" s="444"/>
      <c r="E267" s="444"/>
      <c r="F267" s="444"/>
      <c r="G267" s="444"/>
      <c r="H267" s="444"/>
      <c r="I267" s="444"/>
    </row>
    <row r="268" spans="1:18" x14ac:dyDescent="0.25">
      <c r="A268" s="39" t="s">
        <v>560</v>
      </c>
      <c r="C268" s="444"/>
      <c r="D268" s="444"/>
      <c r="E268" s="444"/>
      <c r="F268" s="444"/>
      <c r="G268" s="444"/>
      <c r="H268" s="444"/>
      <c r="I268" s="444"/>
      <c r="J268" s="461"/>
    </row>
    <row r="269" spans="1:18" x14ac:dyDescent="0.25">
      <c r="A269" s="44" t="s">
        <v>559</v>
      </c>
      <c r="C269" s="444"/>
      <c r="D269" s="444"/>
      <c r="E269" s="444"/>
      <c r="F269" s="444"/>
      <c r="G269" s="444"/>
      <c r="H269" s="444"/>
      <c r="I269" s="444"/>
      <c r="J269" s="461"/>
      <c r="O269" s="699"/>
    </row>
  </sheetData>
  <conditionalFormatting sqref="A268">
    <cfRule type="cellIs" dxfId="27" priority="5" operator="equal">
      <formula>"Jennifer"</formula>
    </cfRule>
    <cfRule type="cellIs" dxfId="26" priority="6" operator="equal">
      <formula>"Kacee"</formula>
    </cfRule>
    <cfRule type="cellIs" dxfId="25" priority="7" operator="equal">
      <formula>"Tricia"</formula>
    </cfRule>
    <cfRule type="cellIs" dxfId="24" priority="8" operator="equal">
      <formula>"Henry"</formula>
    </cfRule>
  </conditionalFormatting>
  <conditionalFormatting sqref="A269">
    <cfRule type="cellIs" dxfId="23" priority="1" operator="equal">
      <formula>"Jennifer"</formula>
    </cfRule>
    <cfRule type="cellIs" dxfId="22" priority="2" operator="equal">
      <formula>"Kacee"</formula>
    </cfRule>
    <cfRule type="cellIs" dxfId="21" priority="3" operator="equal">
      <formula>"Tricia"</formula>
    </cfRule>
    <cfRule type="cellIs" dxfId="20" priority="4" operator="equal">
      <formula>"Henry"</formula>
    </cfRule>
  </conditionalFormatting>
  <pageMargins left="0.7" right="0.7" top="0.75" bottom="0.75" header="0.3" footer="0.3"/>
  <pageSetup scale="47" fitToHeight="0" orientation="landscape" r:id="rId1"/>
  <rowBreaks count="3" manualBreakCount="3">
    <brk id="79" max="16383" man="1"/>
    <brk id="157" max="16383" man="1"/>
    <brk id="237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T41"/>
  <sheetViews>
    <sheetView zoomScale="78" zoomScaleNormal="78" workbookViewId="0">
      <pane xSplit="1" ySplit="6" topLeftCell="B7" activePane="bottomRight" state="frozen"/>
      <selection activeCell="O6" sqref="O6:P6"/>
      <selection pane="topRight" activeCell="O6" sqref="O6:P6"/>
      <selection pane="bottomLeft" activeCell="O6" sqref="O6:P6"/>
      <selection pane="bottomRight" activeCell="C1" sqref="C1:D1"/>
    </sheetView>
  </sheetViews>
  <sheetFormatPr defaultColWidth="8.85546875" defaultRowHeight="15" x14ac:dyDescent="0.25"/>
  <cols>
    <col min="1" max="1" width="48.140625" style="32" customWidth="1"/>
    <col min="2" max="13" width="11.140625" style="32" bestFit="1" customWidth="1"/>
    <col min="14" max="14" width="13.42578125" style="32" bestFit="1" customWidth="1"/>
    <col min="15" max="16" width="15.42578125" style="32" customWidth="1"/>
    <col min="17" max="17" width="12.140625" style="32" bestFit="1" customWidth="1"/>
    <col min="18" max="16384" width="8.85546875" style="32"/>
  </cols>
  <sheetData>
    <row r="1" spans="1:17" ht="18.75" x14ac:dyDescent="0.3">
      <c r="A1" s="214" t="s">
        <v>199</v>
      </c>
      <c r="C1" s="7" t="s">
        <v>618</v>
      </c>
      <c r="D1" s="7"/>
    </row>
    <row r="2" spans="1:17" s="34" customFormat="1" ht="21" x14ac:dyDescent="0.35">
      <c r="A2" s="188" t="s">
        <v>207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ht="15.75" x14ac:dyDescent="0.25">
      <c r="A3" s="216" t="s">
        <v>538</v>
      </c>
    </row>
    <row r="4" spans="1:17" ht="16.5" thickBot="1" x14ac:dyDescent="0.3">
      <c r="A4" s="25"/>
    </row>
    <row r="5" spans="1:17" s="21" customFormat="1" ht="14.45" customHeight="1" x14ac:dyDescent="0.25">
      <c r="A5" s="9"/>
      <c r="B5" s="86">
        <v>31</v>
      </c>
      <c r="C5" s="86">
        <v>28</v>
      </c>
      <c r="D5" s="86">
        <v>31</v>
      </c>
      <c r="E5" s="86">
        <v>30</v>
      </c>
      <c r="F5" s="86">
        <v>31</v>
      </c>
      <c r="G5" s="86">
        <v>30</v>
      </c>
      <c r="H5" s="86">
        <v>31</v>
      </c>
      <c r="I5" s="86">
        <v>31</v>
      </c>
      <c r="J5" s="86">
        <v>30</v>
      </c>
      <c r="K5" s="86">
        <v>31</v>
      </c>
      <c r="L5" s="86">
        <v>30</v>
      </c>
      <c r="M5" s="86">
        <v>31</v>
      </c>
      <c r="N5" s="835" t="s">
        <v>539</v>
      </c>
      <c r="O5" s="835" t="s">
        <v>536</v>
      </c>
      <c r="P5" s="837" t="s">
        <v>200</v>
      </c>
      <c r="Q5" s="32"/>
    </row>
    <row r="6" spans="1:17" ht="15.75" thickBot="1" x14ac:dyDescent="0.3">
      <c r="B6" s="87">
        <v>44927</v>
      </c>
      <c r="C6" s="87">
        <v>44958</v>
      </c>
      <c r="D6" s="87">
        <v>44986</v>
      </c>
      <c r="E6" s="87">
        <v>45017</v>
      </c>
      <c r="F6" s="87">
        <v>45047</v>
      </c>
      <c r="G6" s="87">
        <v>45078</v>
      </c>
      <c r="H6" s="87">
        <v>45108</v>
      </c>
      <c r="I6" s="87">
        <v>45139</v>
      </c>
      <c r="J6" s="87">
        <v>45170</v>
      </c>
      <c r="K6" s="87">
        <v>45200</v>
      </c>
      <c r="L6" s="87">
        <v>45231</v>
      </c>
      <c r="M6" s="87">
        <v>45261</v>
      </c>
      <c r="N6" s="836"/>
      <c r="O6" s="836"/>
      <c r="P6" s="838"/>
    </row>
    <row r="7" spans="1:17" ht="15.75" thickBot="1" x14ac:dyDescent="0.3">
      <c r="A7" s="16" t="s">
        <v>61</v>
      </c>
      <c r="N7" s="674"/>
      <c r="O7" s="674"/>
      <c r="P7" s="782"/>
    </row>
    <row r="8" spans="1:17" ht="16.5" thickTop="1" thickBot="1" x14ac:dyDescent="0.3">
      <c r="A8" s="21" t="s">
        <v>52</v>
      </c>
      <c r="B8" s="596" t="s">
        <v>617</v>
      </c>
      <c r="C8" s="596" t="s">
        <v>617</v>
      </c>
      <c r="D8" s="596" t="s">
        <v>617</v>
      </c>
      <c r="E8" s="596" t="s">
        <v>617</v>
      </c>
      <c r="F8" s="596" t="s">
        <v>617</v>
      </c>
      <c r="G8" s="596" t="s">
        <v>617</v>
      </c>
      <c r="H8" s="596" t="s">
        <v>617</v>
      </c>
      <c r="I8" s="596" t="s">
        <v>617</v>
      </c>
      <c r="J8" s="596" t="s">
        <v>617</v>
      </c>
      <c r="K8" s="596" t="s">
        <v>617</v>
      </c>
      <c r="L8" s="596" t="s">
        <v>617</v>
      </c>
      <c r="M8" s="596" t="s">
        <v>617</v>
      </c>
      <c r="N8" s="596" t="s">
        <v>617</v>
      </c>
      <c r="O8" s="596" t="s">
        <v>617</v>
      </c>
      <c r="P8" s="596" t="s">
        <v>617</v>
      </c>
    </row>
    <row r="9" spans="1:17" ht="16.5" thickTop="1" thickBot="1" x14ac:dyDescent="0.3">
      <c r="A9" s="21" t="s">
        <v>401</v>
      </c>
      <c r="B9" s="596" t="s">
        <v>617</v>
      </c>
      <c r="C9" s="596" t="s">
        <v>617</v>
      </c>
      <c r="D9" s="596" t="s">
        <v>617</v>
      </c>
      <c r="E9" s="596" t="s">
        <v>617</v>
      </c>
      <c r="F9" s="596" t="s">
        <v>617</v>
      </c>
      <c r="G9" s="596" t="s">
        <v>617</v>
      </c>
      <c r="H9" s="596" t="s">
        <v>617</v>
      </c>
      <c r="I9" s="596" t="s">
        <v>617</v>
      </c>
      <c r="J9" s="596" t="s">
        <v>617</v>
      </c>
      <c r="K9" s="596" t="s">
        <v>617</v>
      </c>
      <c r="L9" s="596" t="s">
        <v>617</v>
      </c>
      <c r="M9" s="596" t="s">
        <v>617</v>
      </c>
      <c r="N9" s="596" t="s">
        <v>617</v>
      </c>
      <c r="O9" s="596" t="s">
        <v>617</v>
      </c>
      <c r="P9" s="596" t="s">
        <v>617</v>
      </c>
    </row>
    <row r="10" spans="1:17" ht="16.5" thickTop="1" thickBot="1" x14ac:dyDescent="0.3">
      <c r="A10" s="21" t="s">
        <v>496</v>
      </c>
      <c r="B10" s="596" t="s">
        <v>617</v>
      </c>
      <c r="C10" s="596" t="s">
        <v>617</v>
      </c>
      <c r="D10" s="596" t="s">
        <v>617</v>
      </c>
      <c r="E10" s="596" t="s">
        <v>617</v>
      </c>
      <c r="F10" s="596" t="s">
        <v>617</v>
      </c>
      <c r="G10" s="596" t="s">
        <v>617</v>
      </c>
      <c r="H10" s="596" t="s">
        <v>617</v>
      </c>
      <c r="I10" s="596" t="s">
        <v>617</v>
      </c>
      <c r="J10" s="596" t="s">
        <v>617</v>
      </c>
      <c r="K10" s="596" t="s">
        <v>617</v>
      </c>
      <c r="L10" s="596" t="s">
        <v>617</v>
      </c>
      <c r="M10" s="596" t="s">
        <v>617</v>
      </c>
      <c r="N10" s="596" t="s">
        <v>617</v>
      </c>
      <c r="O10" s="596" t="s">
        <v>617</v>
      </c>
      <c r="P10" s="596" t="s">
        <v>617</v>
      </c>
    </row>
    <row r="11" spans="1:17" ht="15.75" thickTop="1" x14ac:dyDescent="0.25">
      <c r="A11" s="22" t="s">
        <v>62</v>
      </c>
      <c r="B11" s="596" t="s">
        <v>617</v>
      </c>
      <c r="C11" s="596" t="s">
        <v>617</v>
      </c>
      <c r="D11" s="596" t="s">
        <v>617</v>
      </c>
      <c r="E11" s="596" t="s">
        <v>617</v>
      </c>
      <c r="F11" s="596" t="s">
        <v>617</v>
      </c>
      <c r="G11" s="596" t="s">
        <v>617</v>
      </c>
      <c r="H11" s="596" t="s">
        <v>617</v>
      </c>
      <c r="I11" s="596" t="s">
        <v>617</v>
      </c>
      <c r="J11" s="596" t="s">
        <v>617</v>
      </c>
      <c r="K11" s="596" t="s">
        <v>617</v>
      </c>
      <c r="L11" s="596" t="s">
        <v>617</v>
      </c>
      <c r="M11" s="596" t="s">
        <v>617</v>
      </c>
      <c r="N11" s="596" t="s">
        <v>617</v>
      </c>
      <c r="O11" s="596" t="s">
        <v>617</v>
      </c>
      <c r="P11" s="596" t="s">
        <v>617</v>
      </c>
    </row>
    <row r="12" spans="1:17" ht="15.75" thickBot="1" x14ac:dyDescent="0.3">
      <c r="A12" s="16" t="s">
        <v>63</v>
      </c>
      <c r="B12" s="597"/>
      <c r="C12" s="597"/>
      <c r="D12" s="597"/>
      <c r="E12" s="597"/>
      <c r="F12" s="597"/>
      <c r="G12" s="597"/>
      <c r="H12" s="597"/>
      <c r="I12" s="597"/>
      <c r="J12" s="597"/>
      <c r="K12" s="597"/>
      <c r="L12" s="597"/>
      <c r="M12" s="597"/>
      <c r="N12" s="598"/>
      <c r="O12" s="598"/>
      <c r="P12" s="781"/>
    </row>
    <row r="13" spans="1:17" ht="16.5" thickTop="1" thickBot="1" x14ac:dyDescent="0.3">
      <c r="A13" s="21" t="s">
        <v>52</v>
      </c>
      <c r="B13" s="596" t="s">
        <v>617</v>
      </c>
      <c r="C13" s="596" t="s">
        <v>617</v>
      </c>
      <c r="D13" s="596" t="s">
        <v>617</v>
      </c>
      <c r="E13" s="596" t="s">
        <v>617</v>
      </c>
      <c r="F13" s="596" t="s">
        <v>617</v>
      </c>
      <c r="G13" s="596" t="s">
        <v>617</v>
      </c>
      <c r="H13" s="596" t="s">
        <v>617</v>
      </c>
      <c r="I13" s="596" t="s">
        <v>617</v>
      </c>
      <c r="J13" s="596" t="s">
        <v>617</v>
      </c>
      <c r="K13" s="596" t="s">
        <v>617</v>
      </c>
      <c r="L13" s="596" t="s">
        <v>617</v>
      </c>
      <c r="M13" s="596" t="s">
        <v>617</v>
      </c>
      <c r="N13" s="596" t="s">
        <v>617</v>
      </c>
      <c r="O13" s="596" t="s">
        <v>617</v>
      </c>
      <c r="P13" s="596" t="s">
        <v>617</v>
      </c>
    </row>
    <row r="14" spans="1:17" ht="16.5" thickTop="1" thickBot="1" x14ac:dyDescent="0.3">
      <c r="A14" s="21" t="s">
        <v>401</v>
      </c>
      <c r="B14" s="596" t="s">
        <v>617</v>
      </c>
      <c r="C14" s="596" t="s">
        <v>617</v>
      </c>
      <c r="D14" s="596" t="s">
        <v>617</v>
      </c>
      <c r="E14" s="596" t="s">
        <v>617</v>
      </c>
      <c r="F14" s="596" t="s">
        <v>617</v>
      </c>
      <c r="G14" s="596" t="s">
        <v>617</v>
      </c>
      <c r="H14" s="596" t="s">
        <v>617</v>
      </c>
      <c r="I14" s="596" t="s">
        <v>617</v>
      </c>
      <c r="J14" s="596" t="s">
        <v>617</v>
      </c>
      <c r="K14" s="596" t="s">
        <v>617</v>
      </c>
      <c r="L14" s="596" t="s">
        <v>617</v>
      </c>
      <c r="M14" s="596" t="s">
        <v>617</v>
      </c>
      <c r="N14" s="596" t="s">
        <v>617</v>
      </c>
      <c r="O14" s="596" t="s">
        <v>617</v>
      </c>
      <c r="P14" s="596" t="s">
        <v>617</v>
      </c>
    </row>
    <row r="15" spans="1:17" ht="16.5" thickTop="1" thickBot="1" x14ac:dyDescent="0.3">
      <c r="A15" s="21" t="s">
        <v>496</v>
      </c>
      <c r="B15" s="596" t="s">
        <v>617</v>
      </c>
      <c r="C15" s="596" t="s">
        <v>617</v>
      </c>
      <c r="D15" s="596" t="s">
        <v>617</v>
      </c>
      <c r="E15" s="596" t="s">
        <v>617</v>
      </c>
      <c r="F15" s="596" t="s">
        <v>617</v>
      </c>
      <c r="G15" s="596" t="s">
        <v>617</v>
      </c>
      <c r="H15" s="596" t="s">
        <v>617</v>
      </c>
      <c r="I15" s="596" t="s">
        <v>617</v>
      </c>
      <c r="J15" s="596" t="s">
        <v>617</v>
      </c>
      <c r="K15" s="596" t="s">
        <v>617</v>
      </c>
      <c r="L15" s="596" t="s">
        <v>617</v>
      </c>
      <c r="M15" s="596" t="s">
        <v>617</v>
      </c>
      <c r="N15" s="596" t="s">
        <v>617</v>
      </c>
      <c r="O15" s="596" t="s">
        <v>617</v>
      </c>
      <c r="P15" s="596" t="s">
        <v>617</v>
      </c>
    </row>
    <row r="16" spans="1:17" ht="15.75" thickTop="1" x14ac:dyDescent="0.25">
      <c r="A16" s="22" t="s">
        <v>64</v>
      </c>
      <c r="B16" s="596" t="s">
        <v>617</v>
      </c>
      <c r="C16" s="596" t="s">
        <v>617</v>
      </c>
      <c r="D16" s="596" t="s">
        <v>617</v>
      </c>
      <c r="E16" s="596" t="s">
        <v>617</v>
      </c>
      <c r="F16" s="596" t="s">
        <v>617</v>
      </c>
      <c r="G16" s="596" t="s">
        <v>617</v>
      </c>
      <c r="H16" s="596" t="s">
        <v>617</v>
      </c>
      <c r="I16" s="596" t="s">
        <v>617</v>
      </c>
      <c r="J16" s="596" t="s">
        <v>617</v>
      </c>
      <c r="K16" s="596" t="s">
        <v>617</v>
      </c>
      <c r="L16" s="596" t="s">
        <v>617</v>
      </c>
      <c r="M16" s="596" t="s">
        <v>617</v>
      </c>
      <c r="N16" s="596" t="s">
        <v>617</v>
      </c>
      <c r="O16" s="596" t="s">
        <v>617</v>
      </c>
      <c r="P16" s="596" t="s">
        <v>617</v>
      </c>
    </row>
    <row r="17" spans="1:20" ht="15.75" thickBot="1" x14ac:dyDescent="0.3">
      <c r="A17" s="9"/>
      <c r="B17" s="599"/>
      <c r="C17" s="599"/>
      <c r="D17" s="599"/>
      <c r="E17" s="599"/>
      <c r="F17" s="599"/>
      <c r="G17" s="599"/>
      <c r="H17" s="599"/>
      <c r="I17" s="599"/>
      <c r="J17" s="599"/>
      <c r="K17" s="599"/>
      <c r="L17" s="599"/>
      <c r="M17" s="599"/>
      <c r="N17" s="598"/>
      <c r="O17" s="598"/>
      <c r="P17" s="781"/>
    </row>
    <row r="18" spans="1:20" ht="15.75" thickTop="1" x14ac:dyDescent="0.25">
      <c r="A18" s="22" t="s">
        <v>561</v>
      </c>
      <c r="B18" s="596" t="s">
        <v>617</v>
      </c>
      <c r="C18" s="596" t="s">
        <v>617</v>
      </c>
      <c r="D18" s="596" t="s">
        <v>617</v>
      </c>
      <c r="E18" s="596" t="s">
        <v>617</v>
      </c>
      <c r="F18" s="596" t="s">
        <v>617</v>
      </c>
      <c r="G18" s="596" t="s">
        <v>617</v>
      </c>
      <c r="H18" s="596" t="s">
        <v>617</v>
      </c>
      <c r="I18" s="596" t="s">
        <v>617</v>
      </c>
      <c r="J18" s="596" t="s">
        <v>617</v>
      </c>
      <c r="K18" s="596" t="s">
        <v>617</v>
      </c>
      <c r="L18" s="596" t="s">
        <v>617</v>
      </c>
      <c r="M18" s="596" t="s">
        <v>617</v>
      </c>
      <c r="N18" s="596" t="s">
        <v>617</v>
      </c>
      <c r="O18" s="596" t="s">
        <v>617</v>
      </c>
      <c r="P18" s="596" t="s">
        <v>617</v>
      </c>
    </row>
    <row r="19" spans="1:20" x14ac:dyDescent="0.25">
      <c r="A19" s="9"/>
      <c r="B19" s="599"/>
      <c r="C19" s="599"/>
      <c r="D19" s="599"/>
      <c r="E19" s="599"/>
      <c r="F19" s="599"/>
      <c r="G19" s="599"/>
      <c r="H19" s="599"/>
      <c r="I19" s="599"/>
      <c r="J19" s="599"/>
      <c r="K19" s="599"/>
      <c r="L19" s="599"/>
      <c r="M19" s="599"/>
      <c r="N19" s="598"/>
      <c r="O19" s="598"/>
      <c r="P19" s="781"/>
    </row>
    <row r="20" spans="1:20" ht="15.75" thickBot="1" x14ac:dyDescent="0.3">
      <c r="A20" s="16" t="s">
        <v>53</v>
      </c>
      <c r="B20" s="597"/>
      <c r="C20" s="597"/>
      <c r="D20" s="597"/>
      <c r="E20" s="597"/>
      <c r="F20" s="597"/>
      <c r="G20" s="597"/>
      <c r="H20" s="597"/>
      <c r="I20" s="597"/>
      <c r="J20" s="597"/>
      <c r="K20" s="597"/>
      <c r="L20" s="597"/>
      <c r="M20" s="597"/>
      <c r="N20" s="598"/>
      <c r="O20" s="598"/>
      <c r="P20" s="781"/>
    </row>
    <row r="21" spans="1:20" ht="16.5" thickTop="1" thickBot="1" x14ac:dyDescent="0.3">
      <c r="A21" s="32" t="s">
        <v>54</v>
      </c>
      <c r="B21" s="596" t="s">
        <v>617</v>
      </c>
      <c r="C21" s="596" t="s">
        <v>617</v>
      </c>
      <c r="D21" s="596" t="s">
        <v>617</v>
      </c>
      <c r="E21" s="596" t="s">
        <v>617</v>
      </c>
      <c r="F21" s="596" t="s">
        <v>617</v>
      </c>
      <c r="G21" s="596" t="s">
        <v>617</v>
      </c>
      <c r="H21" s="596" t="s">
        <v>617</v>
      </c>
      <c r="I21" s="596" t="s">
        <v>617</v>
      </c>
      <c r="J21" s="596" t="s">
        <v>617</v>
      </c>
      <c r="K21" s="596" t="s">
        <v>617</v>
      </c>
      <c r="L21" s="596" t="s">
        <v>617</v>
      </c>
      <c r="M21" s="596" t="s">
        <v>617</v>
      </c>
      <c r="N21" s="596" t="s">
        <v>617</v>
      </c>
      <c r="O21" s="596" t="s">
        <v>617</v>
      </c>
      <c r="P21" s="596" t="s">
        <v>617</v>
      </c>
      <c r="T21" s="783"/>
    </row>
    <row r="22" spans="1:20" ht="16.5" thickTop="1" thickBot="1" x14ac:dyDescent="0.3">
      <c r="A22" s="32" t="s">
        <v>55</v>
      </c>
      <c r="B22" s="596" t="s">
        <v>617</v>
      </c>
      <c r="C22" s="596" t="s">
        <v>617</v>
      </c>
      <c r="D22" s="596" t="s">
        <v>617</v>
      </c>
      <c r="E22" s="596" t="s">
        <v>617</v>
      </c>
      <c r="F22" s="596" t="s">
        <v>617</v>
      </c>
      <c r="G22" s="596" t="s">
        <v>617</v>
      </c>
      <c r="H22" s="596" t="s">
        <v>617</v>
      </c>
      <c r="I22" s="596" t="s">
        <v>617</v>
      </c>
      <c r="J22" s="596" t="s">
        <v>617</v>
      </c>
      <c r="K22" s="596" t="s">
        <v>617</v>
      </c>
      <c r="L22" s="596" t="s">
        <v>617</v>
      </c>
      <c r="M22" s="596" t="s">
        <v>617</v>
      </c>
      <c r="N22" s="596" t="s">
        <v>617</v>
      </c>
      <c r="O22" s="596" t="s">
        <v>617</v>
      </c>
      <c r="P22" s="596" t="s">
        <v>617</v>
      </c>
    </row>
    <row r="23" spans="1:20" ht="16.5" thickTop="1" thickBot="1" x14ac:dyDescent="0.3">
      <c r="A23" s="718" t="s">
        <v>402</v>
      </c>
      <c r="B23" s="596" t="s">
        <v>617</v>
      </c>
      <c r="C23" s="596" t="s">
        <v>617</v>
      </c>
      <c r="D23" s="596" t="s">
        <v>617</v>
      </c>
      <c r="E23" s="596" t="s">
        <v>617</v>
      </c>
      <c r="F23" s="596" t="s">
        <v>617</v>
      </c>
      <c r="G23" s="596" t="s">
        <v>617</v>
      </c>
      <c r="H23" s="596" t="s">
        <v>617</v>
      </c>
      <c r="I23" s="596" t="s">
        <v>617</v>
      </c>
      <c r="J23" s="596" t="s">
        <v>617</v>
      </c>
      <c r="K23" s="596" t="s">
        <v>617</v>
      </c>
      <c r="L23" s="596" t="s">
        <v>617</v>
      </c>
      <c r="M23" s="596" t="s">
        <v>617</v>
      </c>
      <c r="N23" s="596" t="s">
        <v>617</v>
      </c>
      <c r="O23" s="596" t="s">
        <v>617</v>
      </c>
      <c r="P23" s="596" t="s">
        <v>617</v>
      </c>
    </row>
    <row r="24" spans="1:20" ht="16.5" thickTop="1" thickBot="1" x14ac:dyDescent="0.3">
      <c r="A24" s="32" t="s">
        <v>56</v>
      </c>
      <c r="B24" s="596" t="s">
        <v>617</v>
      </c>
      <c r="C24" s="596" t="s">
        <v>617</v>
      </c>
      <c r="D24" s="596" t="s">
        <v>617</v>
      </c>
      <c r="E24" s="596" t="s">
        <v>617</v>
      </c>
      <c r="F24" s="596" t="s">
        <v>617</v>
      </c>
      <c r="G24" s="596" t="s">
        <v>617</v>
      </c>
      <c r="H24" s="596" t="s">
        <v>617</v>
      </c>
      <c r="I24" s="596" t="s">
        <v>617</v>
      </c>
      <c r="J24" s="596" t="s">
        <v>617</v>
      </c>
      <c r="K24" s="596" t="s">
        <v>617</v>
      </c>
      <c r="L24" s="596" t="s">
        <v>617</v>
      </c>
      <c r="M24" s="596" t="s">
        <v>617</v>
      </c>
      <c r="N24" s="596" t="s">
        <v>617</v>
      </c>
      <c r="O24" s="596" t="s">
        <v>617</v>
      </c>
      <c r="P24" s="596" t="s">
        <v>617</v>
      </c>
    </row>
    <row r="25" spans="1:20" ht="10.35" customHeight="1" thickTop="1" thickBot="1" x14ac:dyDescent="0.3">
      <c r="B25" s="596" t="s">
        <v>617</v>
      </c>
      <c r="C25" s="596" t="s">
        <v>617</v>
      </c>
      <c r="D25" s="596" t="s">
        <v>617</v>
      </c>
      <c r="E25" s="596" t="s">
        <v>617</v>
      </c>
      <c r="F25" s="596" t="s">
        <v>617</v>
      </c>
      <c r="G25" s="596" t="s">
        <v>617</v>
      </c>
      <c r="H25" s="596" t="s">
        <v>617</v>
      </c>
      <c r="I25" s="596" t="s">
        <v>617</v>
      </c>
      <c r="J25" s="596" t="s">
        <v>617</v>
      </c>
      <c r="K25" s="596" t="s">
        <v>617</v>
      </c>
      <c r="L25" s="596" t="s">
        <v>617</v>
      </c>
      <c r="M25" s="596" t="s">
        <v>617</v>
      </c>
      <c r="N25" s="596" t="s">
        <v>617</v>
      </c>
      <c r="O25" s="596" t="s">
        <v>617</v>
      </c>
      <c r="P25" s="596" t="s">
        <v>617</v>
      </c>
    </row>
    <row r="26" spans="1:20" ht="16.5" thickTop="1" thickBot="1" x14ac:dyDescent="0.3">
      <c r="A26" s="82" t="s">
        <v>57</v>
      </c>
      <c r="B26" s="596" t="s">
        <v>617</v>
      </c>
      <c r="C26" s="596" t="s">
        <v>617</v>
      </c>
      <c r="D26" s="596" t="s">
        <v>617</v>
      </c>
      <c r="E26" s="596" t="s">
        <v>617</v>
      </c>
      <c r="F26" s="596" t="s">
        <v>617</v>
      </c>
      <c r="G26" s="596" t="s">
        <v>617</v>
      </c>
      <c r="H26" s="596" t="s">
        <v>617</v>
      </c>
      <c r="I26" s="596" t="s">
        <v>617</v>
      </c>
      <c r="J26" s="596" t="s">
        <v>617</v>
      </c>
      <c r="K26" s="596" t="s">
        <v>617</v>
      </c>
      <c r="L26" s="596" t="s">
        <v>617</v>
      </c>
      <c r="M26" s="596" t="s">
        <v>617</v>
      </c>
      <c r="N26" s="596" t="s">
        <v>617</v>
      </c>
      <c r="O26" s="596" t="s">
        <v>617</v>
      </c>
      <c r="P26" s="596" t="s">
        <v>617</v>
      </c>
    </row>
    <row r="27" spans="1:20" ht="15.75" thickTop="1" x14ac:dyDescent="0.25">
      <c r="A27" s="23" t="s">
        <v>65</v>
      </c>
      <c r="B27" s="596" t="s">
        <v>617</v>
      </c>
      <c r="C27" s="596" t="s">
        <v>617</v>
      </c>
      <c r="D27" s="596" t="s">
        <v>617</v>
      </c>
      <c r="E27" s="596" t="s">
        <v>617</v>
      </c>
      <c r="F27" s="596" t="s">
        <v>617</v>
      </c>
      <c r="G27" s="596" t="s">
        <v>617</v>
      </c>
      <c r="H27" s="596" t="s">
        <v>617</v>
      </c>
      <c r="I27" s="596" t="s">
        <v>617</v>
      </c>
      <c r="J27" s="596" t="s">
        <v>617</v>
      </c>
      <c r="K27" s="596" t="s">
        <v>617</v>
      </c>
      <c r="L27" s="596" t="s">
        <v>617</v>
      </c>
      <c r="M27" s="596" t="s">
        <v>617</v>
      </c>
      <c r="N27" s="596" t="s">
        <v>617</v>
      </c>
      <c r="O27" s="596" t="s">
        <v>617</v>
      </c>
      <c r="P27" s="596" t="s">
        <v>617</v>
      </c>
    </row>
    <row r="28" spans="1:20" x14ac:dyDescent="0.25">
      <c r="A28" s="7"/>
      <c r="B28" s="600"/>
      <c r="C28" s="600"/>
      <c r="D28" s="600"/>
      <c r="E28" s="600"/>
      <c r="F28" s="600"/>
      <c r="G28" s="600"/>
      <c r="H28" s="600"/>
      <c r="I28" s="600"/>
      <c r="J28" s="600"/>
      <c r="K28" s="600"/>
      <c r="L28" s="600"/>
      <c r="M28" s="600"/>
      <c r="N28" s="598"/>
      <c r="O28" s="598"/>
      <c r="P28" s="781"/>
    </row>
    <row r="29" spans="1:20" ht="15.75" thickBot="1" x14ac:dyDescent="0.3">
      <c r="A29" s="16" t="s">
        <v>58</v>
      </c>
      <c r="B29" s="597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601"/>
      <c r="N29" s="598"/>
      <c r="O29" s="598"/>
      <c r="P29" s="781"/>
    </row>
    <row r="30" spans="1:20" ht="16.5" thickTop="1" thickBot="1" x14ac:dyDescent="0.3">
      <c r="A30" s="21" t="s">
        <v>59</v>
      </c>
      <c r="B30" s="596" t="s">
        <v>617</v>
      </c>
      <c r="C30" s="596" t="s">
        <v>617</v>
      </c>
      <c r="D30" s="596" t="s">
        <v>617</v>
      </c>
      <c r="E30" s="596" t="s">
        <v>617</v>
      </c>
      <c r="F30" s="596" t="s">
        <v>617</v>
      </c>
      <c r="G30" s="596" t="s">
        <v>617</v>
      </c>
      <c r="H30" s="596" t="s">
        <v>617</v>
      </c>
      <c r="I30" s="596" t="s">
        <v>617</v>
      </c>
      <c r="J30" s="596" t="s">
        <v>617</v>
      </c>
      <c r="K30" s="596" t="s">
        <v>617</v>
      </c>
      <c r="L30" s="596" t="s">
        <v>617</v>
      </c>
      <c r="M30" s="596" t="s">
        <v>617</v>
      </c>
      <c r="N30" s="596" t="s">
        <v>617</v>
      </c>
      <c r="O30" s="596" t="s">
        <v>617</v>
      </c>
      <c r="P30" s="596" t="s">
        <v>617</v>
      </c>
    </row>
    <row r="31" spans="1:20" ht="16.5" thickTop="1" thickBot="1" x14ac:dyDescent="0.3">
      <c r="A31" s="82" t="s">
        <v>60</v>
      </c>
      <c r="B31" s="596" t="s">
        <v>617</v>
      </c>
      <c r="C31" s="596" t="s">
        <v>617</v>
      </c>
      <c r="D31" s="596" t="s">
        <v>617</v>
      </c>
      <c r="E31" s="596" t="s">
        <v>617</v>
      </c>
      <c r="F31" s="596" t="s">
        <v>617</v>
      </c>
      <c r="G31" s="596" t="s">
        <v>617</v>
      </c>
      <c r="H31" s="596" t="s">
        <v>617</v>
      </c>
      <c r="I31" s="596" t="s">
        <v>617</v>
      </c>
      <c r="J31" s="596" t="s">
        <v>617</v>
      </c>
      <c r="K31" s="596" t="s">
        <v>617</v>
      </c>
      <c r="L31" s="596" t="s">
        <v>617</v>
      </c>
      <c r="M31" s="596" t="s">
        <v>617</v>
      </c>
      <c r="N31" s="596" t="s">
        <v>617</v>
      </c>
      <c r="O31" s="596" t="s">
        <v>617</v>
      </c>
      <c r="P31" s="596" t="s">
        <v>617</v>
      </c>
    </row>
    <row r="32" spans="1:20" ht="16.5" thickTop="1" thickBot="1" x14ac:dyDescent="0.3">
      <c r="A32" s="32" t="s">
        <v>32</v>
      </c>
      <c r="B32" s="596" t="s">
        <v>617</v>
      </c>
      <c r="C32" s="596" t="s">
        <v>617</v>
      </c>
      <c r="D32" s="596" t="s">
        <v>617</v>
      </c>
      <c r="E32" s="596" t="s">
        <v>617</v>
      </c>
      <c r="F32" s="596" t="s">
        <v>617</v>
      </c>
      <c r="G32" s="596" t="s">
        <v>617</v>
      </c>
      <c r="H32" s="596" t="s">
        <v>617</v>
      </c>
      <c r="I32" s="596" t="s">
        <v>617</v>
      </c>
      <c r="J32" s="596" t="s">
        <v>617</v>
      </c>
      <c r="K32" s="596" t="s">
        <v>617</v>
      </c>
      <c r="L32" s="596" t="s">
        <v>617</v>
      </c>
      <c r="M32" s="596" t="s">
        <v>617</v>
      </c>
      <c r="N32" s="596" t="s">
        <v>617</v>
      </c>
      <c r="O32" s="596" t="s">
        <v>617</v>
      </c>
      <c r="P32" s="596" t="s">
        <v>617</v>
      </c>
    </row>
    <row r="33" spans="1:17" ht="16.5" thickTop="1" thickBot="1" x14ac:dyDescent="0.3">
      <c r="A33" s="32" t="s">
        <v>33</v>
      </c>
      <c r="B33" s="596" t="s">
        <v>617</v>
      </c>
      <c r="C33" s="596" t="s">
        <v>617</v>
      </c>
      <c r="D33" s="596" t="s">
        <v>617</v>
      </c>
      <c r="E33" s="596" t="s">
        <v>617</v>
      </c>
      <c r="F33" s="596" t="s">
        <v>617</v>
      </c>
      <c r="G33" s="596" t="s">
        <v>617</v>
      </c>
      <c r="H33" s="596" t="s">
        <v>617</v>
      </c>
      <c r="I33" s="596" t="s">
        <v>617</v>
      </c>
      <c r="J33" s="596" t="s">
        <v>617</v>
      </c>
      <c r="K33" s="596" t="s">
        <v>617</v>
      </c>
      <c r="L33" s="596" t="s">
        <v>617</v>
      </c>
      <c r="M33" s="596" t="s">
        <v>617</v>
      </c>
      <c r="N33" s="596" t="s">
        <v>617</v>
      </c>
      <c r="O33" s="596" t="s">
        <v>617</v>
      </c>
      <c r="P33" s="596" t="s">
        <v>617</v>
      </c>
    </row>
    <row r="34" spans="1:17" ht="16.5" thickTop="1" thickBot="1" x14ac:dyDescent="0.3">
      <c r="A34" s="21" t="s">
        <v>343</v>
      </c>
      <c r="B34" s="596" t="s">
        <v>617</v>
      </c>
      <c r="C34" s="596" t="s">
        <v>617</v>
      </c>
      <c r="D34" s="596" t="s">
        <v>617</v>
      </c>
      <c r="E34" s="596" t="s">
        <v>617</v>
      </c>
      <c r="F34" s="596" t="s">
        <v>617</v>
      </c>
      <c r="G34" s="596" t="s">
        <v>617</v>
      </c>
      <c r="H34" s="596" t="s">
        <v>617</v>
      </c>
      <c r="I34" s="596" t="s">
        <v>617</v>
      </c>
      <c r="J34" s="596" t="s">
        <v>617</v>
      </c>
      <c r="K34" s="596" t="s">
        <v>617</v>
      </c>
      <c r="L34" s="596" t="s">
        <v>617</v>
      </c>
      <c r="M34" s="596" t="s">
        <v>617</v>
      </c>
      <c r="N34" s="596" t="s">
        <v>617</v>
      </c>
      <c r="O34" s="596" t="s">
        <v>617</v>
      </c>
      <c r="P34" s="596" t="s">
        <v>617</v>
      </c>
    </row>
    <row r="35" spans="1:17" s="7" customFormat="1" ht="16.5" thickTop="1" thickBot="1" x14ac:dyDescent="0.3">
      <c r="A35" s="24" t="s">
        <v>66</v>
      </c>
      <c r="B35" s="596" t="s">
        <v>617</v>
      </c>
      <c r="C35" s="596" t="s">
        <v>617</v>
      </c>
      <c r="D35" s="596" t="s">
        <v>617</v>
      </c>
      <c r="E35" s="596" t="s">
        <v>617</v>
      </c>
      <c r="F35" s="596" t="s">
        <v>617</v>
      </c>
      <c r="G35" s="596" t="s">
        <v>617</v>
      </c>
      <c r="H35" s="596" t="s">
        <v>617</v>
      </c>
      <c r="I35" s="596" t="s">
        <v>617</v>
      </c>
      <c r="J35" s="596" t="s">
        <v>617</v>
      </c>
      <c r="K35" s="596" t="s">
        <v>617</v>
      </c>
      <c r="L35" s="596" t="s">
        <v>617</v>
      </c>
      <c r="M35" s="596" t="s">
        <v>617</v>
      </c>
      <c r="N35" s="596" t="s">
        <v>617</v>
      </c>
      <c r="O35" s="596" t="s">
        <v>617</v>
      </c>
      <c r="P35" s="596" t="s">
        <v>617</v>
      </c>
      <c r="Q35" s="32"/>
    </row>
    <row r="36" spans="1:17" ht="15.75" thickTop="1" x14ac:dyDescent="0.25">
      <c r="A36" s="17"/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0"/>
      <c r="N36" s="596" t="s">
        <v>617</v>
      </c>
      <c r="O36" s="596" t="s">
        <v>617</v>
      </c>
      <c r="P36" s="596" t="s">
        <v>617</v>
      </c>
    </row>
    <row r="37" spans="1:17" ht="15.75" thickBot="1" x14ac:dyDescent="0.3"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8"/>
      <c r="O37" s="598"/>
      <c r="P37" s="597"/>
    </row>
    <row r="38" spans="1:17" ht="15.75" thickTop="1" x14ac:dyDescent="0.25">
      <c r="A38" s="22" t="s">
        <v>403</v>
      </c>
      <c r="B38" s="596" t="s">
        <v>617</v>
      </c>
      <c r="C38" s="596" t="s">
        <v>617</v>
      </c>
      <c r="D38" s="596" t="s">
        <v>617</v>
      </c>
      <c r="E38" s="596" t="s">
        <v>617</v>
      </c>
      <c r="F38" s="596" t="s">
        <v>617</v>
      </c>
      <c r="G38" s="596" t="s">
        <v>617</v>
      </c>
      <c r="H38" s="596" t="s">
        <v>617</v>
      </c>
      <c r="I38" s="596" t="s">
        <v>617</v>
      </c>
      <c r="J38" s="596" t="s">
        <v>617</v>
      </c>
      <c r="K38" s="596" t="s">
        <v>617</v>
      </c>
      <c r="L38" s="596" t="s">
        <v>617</v>
      </c>
      <c r="M38" s="596" t="s">
        <v>617</v>
      </c>
      <c r="N38" s="596" t="s">
        <v>617</v>
      </c>
      <c r="O38" s="596" t="s">
        <v>617</v>
      </c>
      <c r="P38" s="596" t="s">
        <v>617</v>
      </c>
    </row>
    <row r="39" spans="1:17" x14ac:dyDescent="0.25">
      <c r="B39" s="15"/>
    </row>
    <row r="40" spans="1:17" ht="17.100000000000001" customHeight="1" x14ac:dyDescent="0.25">
      <c r="A40" s="39" t="s">
        <v>560</v>
      </c>
    </row>
    <row r="41" spans="1:17" x14ac:dyDescent="0.25">
      <c r="A41" s="44"/>
    </row>
  </sheetData>
  <mergeCells count="3">
    <mergeCell ref="N5:N6"/>
    <mergeCell ref="O5:O6"/>
    <mergeCell ref="P5:P6"/>
  </mergeCells>
  <conditionalFormatting sqref="A40">
    <cfRule type="cellIs" dxfId="19" priority="1" operator="equal">
      <formula>"Jennifer"</formula>
    </cfRule>
    <cfRule type="cellIs" dxfId="18" priority="2" operator="equal">
      <formula>"Kacee"</formula>
    </cfRule>
    <cfRule type="cellIs" dxfId="17" priority="3" operator="equal">
      <formula>"Tricia"</formula>
    </cfRule>
    <cfRule type="cellIs" dxfId="16" priority="4" operator="equal">
      <formula>"Henry"</formula>
    </cfRule>
  </conditionalFormatting>
  <pageMargins left="0.7" right="0.7" top="0.75" bottom="0.75" header="0.3" footer="0.3"/>
  <pageSetup scale="54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P68"/>
  <sheetViews>
    <sheetView topLeftCell="A42" workbookViewId="0">
      <selection activeCell="D63" sqref="D63:D64"/>
    </sheetView>
  </sheetViews>
  <sheetFormatPr defaultRowHeight="12.75" x14ac:dyDescent="0.2"/>
  <cols>
    <col min="1" max="1" width="23.85546875" style="56" customWidth="1"/>
    <col min="2" max="2" width="10.5703125" style="56" customWidth="1"/>
    <col min="3" max="3" width="11.85546875" style="56" customWidth="1"/>
    <col min="4" max="4" width="13.85546875" style="56" customWidth="1"/>
    <col min="5" max="7" width="11.85546875" style="56" customWidth="1"/>
    <col min="8" max="8" width="11.140625" style="56" customWidth="1"/>
    <col min="9" max="9" width="11.85546875" style="56" customWidth="1"/>
    <col min="10" max="10" width="12" style="56" customWidth="1"/>
    <col min="11" max="11" width="10.140625" style="56" bestFit="1" customWidth="1"/>
    <col min="12" max="12" width="11.42578125" style="56" customWidth="1"/>
    <col min="13" max="13" width="9.140625" style="56" customWidth="1"/>
    <col min="14" max="15" width="11.140625" style="56" customWidth="1"/>
    <col min="16" max="16" width="10.140625" style="56" bestFit="1" customWidth="1"/>
    <col min="17" max="253" width="8.85546875" style="56"/>
    <col min="254" max="254" width="4.140625" style="56" customWidth="1"/>
    <col min="255" max="255" width="5.85546875" style="56" customWidth="1"/>
    <col min="256" max="256" width="23.5703125" style="56" bestFit="1" customWidth="1"/>
    <col min="257" max="257" width="12.5703125" style="56" bestFit="1" customWidth="1"/>
    <col min="258" max="262" width="10" style="56" customWidth="1"/>
    <col min="263" max="263" width="11.140625" style="56" bestFit="1" customWidth="1"/>
    <col min="264" max="264" width="5.140625" style="56" customWidth="1"/>
    <col min="265" max="265" width="16.5703125" style="56" customWidth="1"/>
    <col min="266" max="266" width="10.140625" style="56" customWidth="1"/>
    <col min="267" max="267" width="11.42578125" style="56" customWidth="1"/>
    <col min="268" max="268" width="2" style="56" customWidth="1"/>
    <col min="269" max="509" width="8.85546875" style="56"/>
    <col min="510" max="510" width="4.140625" style="56" customWidth="1"/>
    <col min="511" max="511" width="5.85546875" style="56" customWidth="1"/>
    <col min="512" max="512" width="23.5703125" style="56" bestFit="1" customWidth="1"/>
    <col min="513" max="513" width="12.5703125" style="56" bestFit="1" customWidth="1"/>
    <col min="514" max="518" width="10" style="56" customWidth="1"/>
    <col min="519" max="519" width="11.140625" style="56" bestFit="1" customWidth="1"/>
    <col min="520" max="520" width="5.140625" style="56" customWidth="1"/>
    <col min="521" max="521" width="16.5703125" style="56" customWidth="1"/>
    <col min="522" max="522" width="10.140625" style="56" customWidth="1"/>
    <col min="523" max="523" width="11.42578125" style="56" customWidth="1"/>
    <col min="524" max="524" width="2" style="56" customWidth="1"/>
    <col min="525" max="765" width="8.85546875" style="56"/>
    <col min="766" max="766" width="4.140625" style="56" customWidth="1"/>
    <col min="767" max="767" width="5.85546875" style="56" customWidth="1"/>
    <col min="768" max="768" width="23.5703125" style="56" bestFit="1" customWidth="1"/>
    <col min="769" max="769" width="12.5703125" style="56" bestFit="1" customWidth="1"/>
    <col min="770" max="774" width="10" style="56" customWidth="1"/>
    <col min="775" max="775" width="11.140625" style="56" bestFit="1" customWidth="1"/>
    <col min="776" max="776" width="5.140625" style="56" customWidth="1"/>
    <col min="777" max="777" width="16.5703125" style="56" customWidth="1"/>
    <col min="778" max="778" width="10.140625" style="56" customWidth="1"/>
    <col min="779" max="779" width="11.42578125" style="56" customWidth="1"/>
    <col min="780" max="780" width="2" style="56" customWidth="1"/>
    <col min="781" max="1021" width="8.85546875" style="56"/>
    <col min="1022" max="1022" width="4.140625" style="56" customWidth="1"/>
    <col min="1023" max="1023" width="5.85546875" style="56" customWidth="1"/>
    <col min="1024" max="1024" width="23.5703125" style="56" bestFit="1" customWidth="1"/>
    <col min="1025" max="1025" width="12.5703125" style="56" bestFit="1" customWidth="1"/>
    <col min="1026" max="1030" width="10" style="56" customWidth="1"/>
    <col min="1031" max="1031" width="11.140625" style="56" bestFit="1" customWidth="1"/>
    <col min="1032" max="1032" width="5.140625" style="56" customWidth="1"/>
    <col min="1033" max="1033" width="16.5703125" style="56" customWidth="1"/>
    <col min="1034" max="1034" width="10.140625" style="56" customWidth="1"/>
    <col min="1035" max="1035" width="11.42578125" style="56" customWidth="1"/>
    <col min="1036" max="1036" width="2" style="56" customWidth="1"/>
    <col min="1037" max="1277" width="8.85546875" style="56"/>
    <col min="1278" max="1278" width="4.140625" style="56" customWidth="1"/>
    <col min="1279" max="1279" width="5.85546875" style="56" customWidth="1"/>
    <col min="1280" max="1280" width="23.5703125" style="56" bestFit="1" customWidth="1"/>
    <col min="1281" max="1281" width="12.5703125" style="56" bestFit="1" customWidth="1"/>
    <col min="1282" max="1286" width="10" style="56" customWidth="1"/>
    <col min="1287" max="1287" width="11.140625" style="56" bestFit="1" customWidth="1"/>
    <col min="1288" max="1288" width="5.140625" style="56" customWidth="1"/>
    <col min="1289" max="1289" width="16.5703125" style="56" customWidth="1"/>
    <col min="1290" max="1290" width="10.140625" style="56" customWidth="1"/>
    <col min="1291" max="1291" width="11.42578125" style="56" customWidth="1"/>
    <col min="1292" max="1292" width="2" style="56" customWidth="1"/>
    <col min="1293" max="1533" width="8.85546875" style="56"/>
    <col min="1534" max="1534" width="4.140625" style="56" customWidth="1"/>
    <col min="1535" max="1535" width="5.85546875" style="56" customWidth="1"/>
    <col min="1536" max="1536" width="23.5703125" style="56" bestFit="1" customWidth="1"/>
    <col min="1537" max="1537" width="12.5703125" style="56" bestFit="1" customWidth="1"/>
    <col min="1538" max="1542" width="10" style="56" customWidth="1"/>
    <col min="1543" max="1543" width="11.140625" style="56" bestFit="1" customWidth="1"/>
    <col min="1544" max="1544" width="5.140625" style="56" customWidth="1"/>
    <col min="1545" max="1545" width="16.5703125" style="56" customWidth="1"/>
    <col min="1546" max="1546" width="10.140625" style="56" customWidth="1"/>
    <col min="1547" max="1547" width="11.42578125" style="56" customWidth="1"/>
    <col min="1548" max="1548" width="2" style="56" customWidth="1"/>
    <col min="1549" max="1789" width="8.85546875" style="56"/>
    <col min="1790" max="1790" width="4.140625" style="56" customWidth="1"/>
    <col min="1791" max="1791" width="5.85546875" style="56" customWidth="1"/>
    <col min="1792" max="1792" width="23.5703125" style="56" bestFit="1" customWidth="1"/>
    <col min="1793" max="1793" width="12.5703125" style="56" bestFit="1" customWidth="1"/>
    <col min="1794" max="1798" width="10" style="56" customWidth="1"/>
    <col min="1799" max="1799" width="11.140625" style="56" bestFit="1" customWidth="1"/>
    <col min="1800" max="1800" width="5.140625" style="56" customWidth="1"/>
    <col min="1801" max="1801" width="16.5703125" style="56" customWidth="1"/>
    <col min="1802" max="1802" width="10.140625" style="56" customWidth="1"/>
    <col min="1803" max="1803" width="11.42578125" style="56" customWidth="1"/>
    <col min="1804" max="1804" width="2" style="56" customWidth="1"/>
    <col min="1805" max="2045" width="8.85546875" style="56"/>
    <col min="2046" max="2046" width="4.140625" style="56" customWidth="1"/>
    <col min="2047" max="2047" width="5.85546875" style="56" customWidth="1"/>
    <col min="2048" max="2048" width="23.5703125" style="56" bestFit="1" customWidth="1"/>
    <col min="2049" max="2049" width="12.5703125" style="56" bestFit="1" customWidth="1"/>
    <col min="2050" max="2054" width="10" style="56" customWidth="1"/>
    <col min="2055" max="2055" width="11.140625" style="56" bestFit="1" customWidth="1"/>
    <col min="2056" max="2056" width="5.140625" style="56" customWidth="1"/>
    <col min="2057" max="2057" width="16.5703125" style="56" customWidth="1"/>
    <col min="2058" max="2058" width="10.140625" style="56" customWidth="1"/>
    <col min="2059" max="2059" width="11.42578125" style="56" customWidth="1"/>
    <col min="2060" max="2060" width="2" style="56" customWidth="1"/>
    <col min="2061" max="2301" width="8.85546875" style="56"/>
    <col min="2302" max="2302" width="4.140625" style="56" customWidth="1"/>
    <col min="2303" max="2303" width="5.85546875" style="56" customWidth="1"/>
    <col min="2304" max="2304" width="23.5703125" style="56" bestFit="1" customWidth="1"/>
    <col min="2305" max="2305" width="12.5703125" style="56" bestFit="1" customWidth="1"/>
    <col min="2306" max="2310" width="10" style="56" customWidth="1"/>
    <col min="2311" max="2311" width="11.140625" style="56" bestFit="1" customWidth="1"/>
    <col min="2312" max="2312" width="5.140625" style="56" customWidth="1"/>
    <col min="2313" max="2313" width="16.5703125" style="56" customWidth="1"/>
    <col min="2314" max="2314" width="10.140625" style="56" customWidth="1"/>
    <col min="2315" max="2315" width="11.42578125" style="56" customWidth="1"/>
    <col min="2316" max="2316" width="2" style="56" customWidth="1"/>
    <col min="2317" max="2557" width="8.85546875" style="56"/>
    <col min="2558" max="2558" width="4.140625" style="56" customWidth="1"/>
    <col min="2559" max="2559" width="5.85546875" style="56" customWidth="1"/>
    <col min="2560" max="2560" width="23.5703125" style="56" bestFit="1" customWidth="1"/>
    <col min="2561" max="2561" width="12.5703125" style="56" bestFit="1" customWidth="1"/>
    <col min="2562" max="2566" width="10" style="56" customWidth="1"/>
    <col min="2567" max="2567" width="11.140625" style="56" bestFit="1" customWidth="1"/>
    <col min="2568" max="2568" width="5.140625" style="56" customWidth="1"/>
    <col min="2569" max="2569" width="16.5703125" style="56" customWidth="1"/>
    <col min="2570" max="2570" width="10.140625" style="56" customWidth="1"/>
    <col min="2571" max="2571" width="11.42578125" style="56" customWidth="1"/>
    <col min="2572" max="2572" width="2" style="56" customWidth="1"/>
    <col min="2573" max="2813" width="8.85546875" style="56"/>
    <col min="2814" max="2814" width="4.140625" style="56" customWidth="1"/>
    <col min="2815" max="2815" width="5.85546875" style="56" customWidth="1"/>
    <col min="2816" max="2816" width="23.5703125" style="56" bestFit="1" customWidth="1"/>
    <col min="2817" max="2817" width="12.5703125" style="56" bestFit="1" customWidth="1"/>
    <col min="2818" max="2822" width="10" style="56" customWidth="1"/>
    <col min="2823" max="2823" width="11.140625" style="56" bestFit="1" customWidth="1"/>
    <col min="2824" max="2824" width="5.140625" style="56" customWidth="1"/>
    <col min="2825" max="2825" width="16.5703125" style="56" customWidth="1"/>
    <col min="2826" max="2826" width="10.140625" style="56" customWidth="1"/>
    <col min="2827" max="2827" width="11.42578125" style="56" customWidth="1"/>
    <col min="2828" max="2828" width="2" style="56" customWidth="1"/>
    <col min="2829" max="3069" width="8.85546875" style="56"/>
    <col min="3070" max="3070" width="4.140625" style="56" customWidth="1"/>
    <col min="3071" max="3071" width="5.85546875" style="56" customWidth="1"/>
    <col min="3072" max="3072" width="23.5703125" style="56" bestFit="1" customWidth="1"/>
    <col min="3073" max="3073" width="12.5703125" style="56" bestFit="1" customWidth="1"/>
    <col min="3074" max="3078" width="10" style="56" customWidth="1"/>
    <col min="3079" max="3079" width="11.140625" style="56" bestFit="1" customWidth="1"/>
    <col min="3080" max="3080" width="5.140625" style="56" customWidth="1"/>
    <col min="3081" max="3081" width="16.5703125" style="56" customWidth="1"/>
    <col min="3082" max="3082" width="10.140625" style="56" customWidth="1"/>
    <col min="3083" max="3083" width="11.42578125" style="56" customWidth="1"/>
    <col min="3084" max="3084" width="2" style="56" customWidth="1"/>
    <col min="3085" max="3325" width="8.85546875" style="56"/>
    <col min="3326" max="3326" width="4.140625" style="56" customWidth="1"/>
    <col min="3327" max="3327" width="5.85546875" style="56" customWidth="1"/>
    <col min="3328" max="3328" width="23.5703125" style="56" bestFit="1" customWidth="1"/>
    <col min="3329" max="3329" width="12.5703125" style="56" bestFit="1" customWidth="1"/>
    <col min="3330" max="3334" width="10" style="56" customWidth="1"/>
    <col min="3335" max="3335" width="11.140625" style="56" bestFit="1" customWidth="1"/>
    <col min="3336" max="3336" width="5.140625" style="56" customWidth="1"/>
    <col min="3337" max="3337" width="16.5703125" style="56" customWidth="1"/>
    <col min="3338" max="3338" width="10.140625" style="56" customWidth="1"/>
    <col min="3339" max="3339" width="11.42578125" style="56" customWidth="1"/>
    <col min="3340" max="3340" width="2" style="56" customWidth="1"/>
    <col min="3341" max="3581" width="8.85546875" style="56"/>
    <col min="3582" max="3582" width="4.140625" style="56" customWidth="1"/>
    <col min="3583" max="3583" width="5.85546875" style="56" customWidth="1"/>
    <col min="3584" max="3584" width="23.5703125" style="56" bestFit="1" customWidth="1"/>
    <col min="3585" max="3585" width="12.5703125" style="56" bestFit="1" customWidth="1"/>
    <col min="3586" max="3590" width="10" style="56" customWidth="1"/>
    <col min="3591" max="3591" width="11.140625" style="56" bestFit="1" customWidth="1"/>
    <col min="3592" max="3592" width="5.140625" style="56" customWidth="1"/>
    <col min="3593" max="3593" width="16.5703125" style="56" customWidth="1"/>
    <col min="3594" max="3594" width="10.140625" style="56" customWidth="1"/>
    <col min="3595" max="3595" width="11.42578125" style="56" customWidth="1"/>
    <col min="3596" max="3596" width="2" style="56" customWidth="1"/>
    <col min="3597" max="3837" width="8.85546875" style="56"/>
    <col min="3838" max="3838" width="4.140625" style="56" customWidth="1"/>
    <col min="3839" max="3839" width="5.85546875" style="56" customWidth="1"/>
    <col min="3840" max="3840" width="23.5703125" style="56" bestFit="1" customWidth="1"/>
    <col min="3841" max="3841" width="12.5703125" style="56" bestFit="1" customWidth="1"/>
    <col min="3842" max="3846" width="10" style="56" customWidth="1"/>
    <col min="3847" max="3847" width="11.140625" style="56" bestFit="1" customWidth="1"/>
    <col min="3848" max="3848" width="5.140625" style="56" customWidth="1"/>
    <col min="3849" max="3849" width="16.5703125" style="56" customWidth="1"/>
    <col min="3850" max="3850" width="10.140625" style="56" customWidth="1"/>
    <col min="3851" max="3851" width="11.42578125" style="56" customWidth="1"/>
    <col min="3852" max="3852" width="2" style="56" customWidth="1"/>
    <col min="3853" max="4093" width="8.85546875" style="56"/>
    <col min="4094" max="4094" width="4.140625" style="56" customWidth="1"/>
    <col min="4095" max="4095" width="5.85546875" style="56" customWidth="1"/>
    <col min="4096" max="4096" width="23.5703125" style="56" bestFit="1" customWidth="1"/>
    <col min="4097" max="4097" width="12.5703125" style="56" bestFit="1" customWidth="1"/>
    <col min="4098" max="4102" width="10" style="56" customWidth="1"/>
    <col min="4103" max="4103" width="11.140625" style="56" bestFit="1" customWidth="1"/>
    <col min="4104" max="4104" width="5.140625" style="56" customWidth="1"/>
    <col min="4105" max="4105" width="16.5703125" style="56" customWidth="1"/>
    <col min="4106" max="4106" width="10.140625" style="56" customWidth="1"/>
    <col min="4107" max="4107" width="11.42578125" style="56" customWidth="1"/>
    <col min="4108" max="4108" width="2" style="56" customWidth="1"/>
    <col min="4109" max="4349" width="8.85546875" style="56"/>
    <col min="4350" max="4350" width="4.140625" style="56" customWidth="1"/>
    <col min="4351" max="4351" width="5.85546875" style="56" customWidth="1"/>
    <col min="4352" max="4352" width="23.5703125" style="56" bestFit="1" customWidth="1"/>
    <col min="4353" max="4353" width="12.5703125" style="56" bestFit="1" customWidth="1"/>
    <col min="4354" max="4358" width="10" style="56" customWidth="1"/>
    <col min="4359" max="4359" width="11.140625" style="56" bestFit="1" customWidth="1"/>
    <col min="4360" max="4360" width="5.140625" style="56" customWidth="1"/>
    <col min="4361" max="4361" width="16.5703125" style="56" customWidth="1"/>
    <col min="4362" max="4362" width="10.140625" style="56" customWidth="1"/>
    <col min="4363" max="4363" width="11.42578125" style="56" customWidth="1"/>
    <col min="4364" max="4364" width="2" style="56" customWidth="1"/>
    <col min="4365" max="4605" width="8.85546875" style="56"/>
    <col min="4606" max="4606" width="4.140625" style="56" customWidth="1"/>
    <col min="4607" max="4607" width="5.85546875" style="56" customWidth="1"/>
    <col min="4608" max="4608" width="23.5703125" style="56" bestFit="1" customWidth="1"/>
    <col min="4609" max="4609" width="12.5703125" style="56" bestFit="1" customWidth="1"/>
    <col min="4610" max="4614" width="10" style="56" customWidth="1"/>
    <col min="4615" max="4615" width="11.140625" style="56" bestFit="1" customWidth="1"/>
    <col min="4616" max="4616" width="5.140625" style="56" customWidth="1"/>
    <col min="4617" max="4617" width="16.5703125" style="56" customWidth="1"/>
    <col min="4618" max="4618" width="10.140625" style="56" customWidth="1"/>
    <col min="4619" max="4619" width="11.42578125" style="56" customWidth="1"/>
    <col min="4620" max="4620" width="2" style="56" customWidth="1"/>
    <col min="4621" max="4861" width="8.85546875" style="56"/>
    <col min="4862" max="4862" width="4.140625" style="56" customWidth="1"/>
    <col min="4863" max="4863" width="5.85546875" style="56" customWidth="1"/>
    <col min="4864" max="4864" width="23.5703125" style="56" bestFit="1" customWidth="1"/>
    <col min="4865" max="4865" width="12.5703125" style="56" bestFit="1" customWidth="1"/>
    <col min="4866" max="4870" width="10" style="56" customWidth="1"/>
    <col min="4871" max="4871" width="11.140625" style="56" bestFit="1" customWidth="1"/>
    <col min="4872" max="4872" width="5.140625" style="56" customWidth="1"/>
    <col min="4873" max="4873" width="16.5703125" style="56" customWidth="1"/>
    <col min="4874" max="4874" width="10.140625" style="56" customWidth="1"/>
    <col min="4875" max="4875" width="11.42578125" style="56" customWidth="1"/>
    <col min="4876" max="4876" width="2" style="56" customWidth="1"/>
    <col min="4877" max="5117" width="8.85546875" style="56"/>
    <col min="5118" max="5118" width="4.140625" style="56" customWidth="1"/>
    <col min="5119" max="5119" width="5.85546875" style="56" customWidth="1"/>
    <col min="5120" max="5120" width="23.5703125" style="56" bestFit="1" customWidth="1"/>
    <col min="5121" max="5121" width="12.5703125" style="56" bestFit="1" customWidth="1"/>
    <col min="5122" max="5126" width="10" style="56" customWidth="1"/>
    <col min="5127" max="5127" width="11.140625" style="56" bestFit="1" customWidth="1"/>
    <col min="5128" max="5128" width="5.140625" style="56" customWidth="1"/>
    <col min="5129" max="5129" width="16.5703125" style="56" customWidth="1"/>
    <col min="5130" max="5130" width="10.140625" style="56" customWidth="1"/>
    <col min="5131" max="5131" width="11.42578125" style="56" customWidth="1"/>
    <col min="5132" max="5132" width="2" style="56" customWidth="1"/>
    <col min="5133" max="5373" width="8.85546875" style="56"/>
    <col min="5374" max="5374" width="4.140625" style="56" customWidth="1"/>
    <col min="5375" max="5375" width="5.85546875" style="56" customWidth="1"/>
    <col min="5376" max="5376" width="23.5703125" style="56" bestFit="1" customWidth="1"/>
    <col min="5377" max="5377" width="12.5703125" style="56" bestFit="1" customWidth="1"/>
    <col min="5378" max="5382" width="10" style="56" customWidth="1"/>
    <col min="5383" max="5383" width="11.140625" style="56" bestFit="1" customWidth="1"/>
    <col min="5384" max="5384" width="5.140625" style="56" customWidth="1"/>
    <col min="5385" max="5385" width="16.5703125" style="56" customWidth="1"/>
    <col min="5386" max="5386" width="10.140625" style="56" customWidth="1"/>
    <col min="5387" max="5387" width="11.42578125" style="56" customWidth="1"/>
    <col min="5388" max="5388" width="2" style="56" customWidth="1"/>
    <col min="5389" max="5629" width="8.85546875" style="56"/>
    <col min="5630" max="5630" width="4.140625" style="56" customWidth="1"/>
    <col min="5631" max="5631" width="5.85546875" style="56" customWidth="1"/>
    <col min="5632" max="5632" width="23.5703125" style="56" bestFit="1" customWidth="1"/>
    <col min="5633" max="5633" width="12.5703125" style="56" bestFit="1" customWidth="1"/>
    <col min="5634" max="5638" width="10" style="56" customWidth="1"/>
    <col min="5639" max="5639" width="11.140625" style="56" bestFit="1" customWidth="1"/>
    <col min="5640" max="5640" width="5.140625" style="56" customWidth="1"/>
    <col min="5641" max="5641" width="16.5703125" style="56" customWidth="1"/>
    <col min="5642" max="5642" width="10.140625" style="56" customWidth="1"/>
    <col min="5643" max="5643" width="11.42578125" style="56" customWidth="1"/>
    <col min="5644" max="5644" width="2" style="56" customWidth="1"/>
    <col min="5645" max="5885" width="8.85546875" style="56"/>
    <col min="5886" max="5886" width="4.140625" style="56" customWidth="1"/>
    <col min="5887" max="5887" width="5.85546875" style="56" customWidth="1"/>
    <col min="5888" max="5888" width="23.5703125" style="56" bestFit="1" customWidth="1"/>
    <col min="5889" max="5889" width="12.5703125" style="56" bestFit="1" customWidth="1"/>
    <col min="5890" max="5894" width="10" style="56" customWidth="1"/>
    <col min="5895" max="5895" width="11.140625" style="56" bestFit="1" customWidth="1"/>
    <col min="5896" max="5896" width="5.140625" style="56" customWidth="1"/>
    <col min="5897" max="5897" width="16.5703125" style="56" customWidth="1"/>
    <col min="5898" max="5898" width="10.140625" style="56" customWidth="1"/>
    <col min="5899" max="5899" width="11.42578125" style="56" customWidth="1"/>
    <col min="5900" max="5900" width="2" style="56" customWidth="1"/>
    <col min="5901" max="6141" width="8.85546875" style="56"/>
    <col min="6142" max="6142" width="4.140625" style="56" customWidth="1"/>
    <col min="6143" max="6143" width="5.85546875" style="56" customWidth="1"/>
    <col min="6144" max="6144" width="23.5703125" style="56" bestFit="1" customWidth="1"/>
    <col min="6145" max="6145" width="12.5703125" style="56" bestFit="1" customWidth="1"/>
    <col min="6146" max="6150" width="10" style="56" customWidth="1"/>
    <col min="6151" max="6151" width="11.140625" style="56" bestFit="1" customWidth="1"/>
    <col min="6152" max="6152" width="5.140625" style="56" customWidth="1"/>
    <col min="6153" max="6153" width="16.5703125" style="56" customWidth="1"/>
    <col min="6154" max="6154" width="10.140625" style="56" customWidth="1"/>
    <col min="6155" max="6155" width="11.42578125" style="56" customWidth="1"/>
    <col min="6156" max="6156" width="2" style="56" customWidth="1"/>
    <col min="6157" max="6397" width="8.85546875" style="56"/>
    <col min="6398" max="6398" width="4.140625" style="56" customWidth="1"/>
    <col min="6399" max="6399" width="5.85546875" style="56" customWidth="1"/>
    <col min="6400" max="6400" width="23.5703125" style="56" bestFit="1" customWidth="1"/>
    <col min="6401" max="6401" width="12.5703125" style="56" bestFit="1" customWidth="1"/>
    <col min="6402" max="6406" width="10" style="56" customWidth="1"/>
    <col min="6407" max="6407" width="11.140625" style="56" bestFit="1" customWidth="1"/>
    <col min="6408" max="6408" width="5.140625" style="56" customWidth="1"/>
    <col min="6409" max="6409" width="16.5703125" style="56" customWidth="1"/>
    <col min="6410" max="6410" width="10.140625" style="56" customWidth="1"/>
    <col min="6411" max="6411" width="11.42578125" style="56" customWidth="1"/>
    <col min="6412" max="6412" width="2" style="56" customWidth="1"/>
    <col min="6413" max="6653" width="8.85546875" style="56"/>
    <col min="6654" max="6654" width="4.140625" style="56" customWidth="1"/>
    <col min="6655" max="6655" width="5.85546875" style="56" customWidth="1"/>
    <col min="6656" max="6656" width="23.5703125" style="56" bestFit="1" customWidth="1"/>
    <col min="6657" max="6657" width="12.5703125" style="56" bestFit="1" customWidth="1"/>
    <col min="6658" max="6662" width="10" style="56" customWidth="1"/>
    <col min="6663" max="6663" width="11.140625" style="56" bestFit="1" customWidth="1"/>
    <col min="6664" max="6664" width="5.140625" style="56" customWidth="1"/>
    <col min="6665" max="6665" width="16.5703125" style="56" customWidth="1"/>
    <col min="6666" max="6666" width="10.140625" style="56" customWidth="1"/>
    <col min="6667" max="6667" width="11.42578125" style="56" customWidth="1"/>
    <col min="6668" max="6668" width="2" style="56" customWidth="1"/>
    <col min="6669" max="6909" width="8.85546875" style="56"/>
    <col min="6910" max="6910" width="4.140625" style="56" customWidth="1"/>
    <col min="6911" max="6911" width="5.85546875" style="56" customWidth="1"/>
    <col min="6912" max="6912" width="23.5703125" style="56" bestFit="1" customWidth="1"/>
    <col min="6913" max="6913" width="12.5703125" style="56" bestFit="1" customWidth="1"/>
    <col min="6914" max="6918" width="10" style="56" customWidth="1"/>
    <col min="6919" max="6919" width="11.140625" style="56" bestFit="1" customWidth="1"/>
    <col min="6920" max="6920" width="5.140625" style="56" customWidth="1"/>
    <col min="6921" max="6921" width="16.5703125" style="56" customWidth="1"/>
    <col min="6922" max="6922" width="10.140625" style="56" customWidth="1"/>
    <col min="6923" max="6923" width="11.42578125" style="56" customWidth="1"/>
    <col min="6924" max="6924" width="2" style="56" customWidth="1"/>
    <col min="6925" max="7165" width="8.85546875" style="56"/>
    <col min="7166" max="7166" width="4.140625" style="56" customWidth="1"/>
    <col min="7167" max="7167" width="5.85546875" style="56" customWidth="1"/>
    <col min="7168" max="7168" width="23.5703125" style="56" bestFit="1" customWidth="1"/>
    <col min="7169" max="7169" width="12.5703125" style="56" bestFit="1" customWidth="1"/>
    <col min="7170" max="7174" width="10" style="56" customWidth="1"/>
    <col min="7175" max="7175" width="11.140625" style="56" bestFit="1" customWidth="1"/>
    <col min="7176" max="7176" width="5.140625" style="56" customWidth="1"/>
    <col min="7177" max="7177" width="16.5703125" style="56" customWidth="1"/>
    <col min="7178" max="7178" width="10.140625" style="56" customWidth="1"/>
    <col min="7179" max="7179" width="11.42578125" style="56" customWidth="1"/>
    <col min="7180" max="7180" width="2" style="56" customWidth="1"/>
    <col min="7181" max="7421" width="8.85546875" style="56"/>
    <col min="7422" max="7422" width="4.140625" style="56" customWidth="1"/>
    <col min="7423" max="7423" width="5.85546875" style="56" customWidth="1"/>
    <col min="7424" max="7424" width="23.5703125" style="56" bestFit="1" customWidth="1"/>
    <col min="7425" max="7425" width="12.5703125" style="56" bestFit="1" customWidth="1"/>
    <col min="7426" max="7430" width="10" style="56" customWidth="1"/>
    <col min="7431" max="7431" width="11.140625" style="56" bestFit="1" customWidth="1"/>
    <col min="7432" max="7432" width="5.140625" style="56" customWidth="1"/>
    <col min="7433" max="7433" width="16.5703125" style="56" customWidth="1"/>
    <col min="7434" max="7434" width="10.140625" style="56" customWidth="1"/>
    <col min="7435" max="7435" width="11.42578125" style="56" customWidth="1"/>
    <col min="7436" max="7436" width="2" style="56" customWidth="1"/>
    <col min="7437" max="7677" width="8.85546875" style="56"/>
    <col min="7678" max="7678" width="4.140625" style="56" customWidth="1"/>
    <col min="7679" max="7679" width="5.85546875" style="56" customWidth="1"/>
    <col min="7680" max="7680" width="23.5703125" style="56" bestFit="1" customWidth="1"/>
    <col min="7681" max="7681" width="12.5703125" style="56" bestFit="1" customWidth="1"/>
    <col min="7682" max="7686" width="10" style="56" customWidth="1"/>
    <col min="7687" max="7687" width="11.140625" style="56" bestFit="1" customWidth="1"/>
    <col min="7688" max="7688" width="5.140625" style="56" customWidth="1"/>
    <col min="7689" max="7689" width="16.5703125" style="56" customWidth="1"/>
    <col min="7690" max="7690" width="10.140625" style="56" customWidth="1"/>
    <col min="7691" max="7691" width="11.42578125" style="56" customWidth="1"/>
    <col min="7692" max="7692" width="2" style="56" customWidth="1"/>
    <col min="7693" max="7933" width="8.85546875" style="56"/>
    <col min="7934" max="7934" width="4.140625" style="56" customWidth="1"/>
    <col min="7935" max="7935" width="5.85546875" style="56" customWidth="1"/>
    <col min="7936" max="7936" width="23.5703125" style="56" bestFit="1" customWidth="1"/>
    <col min="7937" max="7937" width="12.5703125" style="56" bestFit="1" customWidth="1"/>
    <col min="7938" max="7942" width="10" style="56" customWidth="1"/>
    <col min="7943" max="7943" width="11.140625" style="56" bestFit="1" customWidth="1"/>
    <col min="7944" max="7944" width="5.140625" style="56" customWidth="1"/>
    <col min="7945" max="7945" width="16.5703125" style="56" customWidth="1"/>
    <col min="7946" max="7946" width="10.140625" style="56" customWidth="1"/>
    <col min="7947" max="7947" width="11.42578125" style="56" customWidth="1"/>
    <col min="7948" max="7948" width="2" style="56" customWidth="1"/>
    <col min="7949" max="8189" width="8.85546875" style="56"/>
    <col min="8190" max="8190" width="4.140625" style="56" customWidth="1"/>
    <col min="8191" max="8191" width="5.85546875" style="56" customWidth="1"/>
    <col min="8192" max="8192" width="23.5703125" style="56" bestFit="1" customWidth="1"/>
    <col min="8193" max="8193" width="12.5703125" style="56" bestFit="1" customWidth="1"/>
    <col min="8194" max="8198" width="10" style="56" customWidth="1"/>
    <col min="8199" max="8199" width="11.140625" style="56" bestFit="1" customWidth="1"/>
    <col min="8200" max="8200" width="5.140625" style="56" customWidth="1"/>
    <col min="8201" max="8201" width="16.5703125" style="56" customWidth="1"/>
    <col min="8202" max="8202" width="10.140625" style="56" customWidth="1"/>
    <col min="8203" max="8203" width="11.42578125" style="56" customWidth="1"/>
    <col min="8204" max="8204" width="2" style="56" customWidth="1"/>
    <col min="8205" max="8445" width="8.85546875" style="56"/>
    <col min="8446" max="8446" width="4.140625" style="56" customWidth="1"/>
    <col min="8447" max="8447" width="5.85546875" style="56" customWidth="1"/>
    <col min="8448" max="8448" width="23.5703125" style="56" bestFit="1" customWidth="1"/>
    <col min="8449" max="8449" width="12.5703125" style="56" bestFit="1" customWidth="1"/>
    <col min="8450" max="8454" width="10" style="56" customWidth="1"/>
    <col min="8455" max="8455" width="11.140625" style="56" bestFit="1" customWidth="1"/>
    <col min="8456" max="8456" width="5.140625" style="56" customWidth="1"/>
    <col min="8457" max="8457" width="16.5703125" style="56" customWidth="1"/>
    <col min="8458" max="8458" width="10.140625" style="56" customWidth="1"/>
    <col min="8459" max="8459" width="11.42578125" style="56" customWidth="1"/>
    <col min="8460" max="8460" width="2" style="56" customWidth="1"/>
    <col min="8461" max="8701" width="8.85546875" style="56"/>
    <col min="8702" max="8702" width="4.140625" style="56" customWidth="1"/>
    <col min="8703" max="8703" width="5.85546875" style="56" customWidth="1"/>
    <col min="8704" max="8704" width="23.5703125" style="56" bestFit="1" customWidth="1"/>
    <col min="8705" max="8705" width="12.5703125" style="56" bestFit="1" customWidth="1"/>
    <col min="8706" max="8710" width="10" style="56" customWidth="1"/>
    <col min="8711" max="8711" width="11.140625" style="56" bestFit="1" customWidth="1"/>
    <col min="8712" max="8712" width="5.140625" style="56" customWidth="1"/>
    <col min="8713" max="8713" width="16.5703125" style="56" customWidth="1"/>
    <col min="8714" max="8714" width="10.140625" style="56" customWidth="1"/>
    <col min="8715" max="8715" width="11.42578125" style="56" customWidth="1"/>
    <col min="8716" max="8716" width="2" style="56" customWidth="1"/>
    <col min="8717" max="8957" width="8.85546875" style="56"/>
    <col min="8958" max="8958" width="4.140625" style="56" customWidth="1"/>
    <col min="8959" max="8959" width="5.85546875" style="56" customWidth="1"/>
    <col min="8960" max="8960" width="23.5703125" style="56" bestFit="1" customWidth="1"/>
    <col min="8961" max="8961" width="12.5703125" style="56" bestFit="1" customWidth="1"/>
    <col min="8962" max="8966" width="10" style="56" customWidth="1"/>
    <col min="8967" max="8967" width="11.140625" style="56" bestFit="1" customWidth="1"/>
    <col min="8968" max="8968" width="5.140625" style="56" customWidth="1"/>
    <col min="8969" max="8969" width="16.5703125" style="56" customWidth="1"/>
    <col min="8970" max="8970" width="10.140625" style="56" customWidth="1"/>
    <col min="8971" max="8971" width="11.42578125" style="56" customWidth="1"/>
    <col min="8972" max="8972" width="2" style="56" customWidth="1"/>
    <col min="8973" max="9213" width="8.85546875" style="56"/>
    <col min="9214" max="9214" width="4.140625" style="56" customWidth="1"/>
    <col min="9215" max="9215" width="5.85546875" style="56" customWidth="1"/>
    <col min="9216" max="9216" width="23.5703125" style="56" bestFit="1" customWidth="1"/>
    <col min="9217" max="9217" width="12.5703125" style="56" bestFit="1" customWidth="1"/>
    <col min="9218" max="9222" width="10" style="56" customWidth="1"/>
    <col min="9223" max="9223" width="11.140625" style="56" bestFit="1" customWidth="1"/>
    <col min="9224" max="9224" width="5.140625" style="56" customWidth="1"/>
    <col min="9225" max="9225" width="16.5703125" style="56" customWidth="1"/>
    <col min="9226" max="9226" width="10.140625" style="56" customWidth="1"/>
    <col min="9227" max="9227" width="11.42578125" style="56" customWidth="1"/>
    <col min="9228" max="9228" width="2" style="56" customWidth="1"/>
    <col min="9229" max="9469" width="8.85546875" style="56"/>
    <col min="9470" max="9470" width="4.140625" style="56" customWidth="1"/>
    <col min="9471" max="9471" width="5.85546875" style="56" customWidth="1"/>
    <col min="9472" max="9472" width="23.5703125" style="56" bestFit="1" customWidth="1"/>
    <col min="9473" max="9473" width="12.5703125" style="56" bestFit="1" customWidth="1"/>
    <col min="9474" max="9478" width="10" style="56" customWidth="1"/>
    <col min="9479" max="9479" width="11.140625" style="56" bestFit="1" customWidth="1"/>
    <col min="9480" max="9480" width="5.140625" style="56" customWidth="1"/>
    <col min="9481" max="9481" width="16.5703125" style="56" customWidth="1"/>
    <col min="9482" max="9482" width="10.140625" style="56" customWidth="1"/>
    <col min="9483" max="9483" width="11.42578125" style="56" customWidth="1"/>
    <col min="9484" max="9484" width="2" style="56" customWidth="1"/>
    <col min="9485" max="9725" width="8.85546875" style="56"/>
    <col min="9726" max="9726" width="4.140625" style="56" customWidth="1"/>
    <col min="9727" max="9727" width="5.85546875" style="56" customWidth="1"/>
    <col min="9728" max="9728" width="23.5703125" style="56" bestFit="1" customWidth="1"/>
    <col min="9729" max="9729" width="12.5703125" style="56" bestFit="1" customWidth="1"/>
    <col min="9730" max="9734" width="10" style="56" customWidth="1"/>
    <col min="9735" max="9735" width="11.140625" style="56" bestFit="1" customWidth="1"/>
    <col min="9736" max="9736" width="5.140625" style="56" customWidth="1"/>
    <col min="9737" max="9737" width="16.5703125" style="56" customWidth="1"/>
    <col min="9738" max="9738" width="10.140625" style="56" customWidth="1"/>
    <col min="9739" max="9739" width="11.42578125" style="56" customWidth="1"/>
    <col min="9740" max="9740" width="2" style="56" customWidth="1"/>
    <col min="9741" max="9981" width="8.85546875" style="56"/>
    <col min="9982" max="9982" width="4.140625" style="56" customWidth="1"/>
    <col min="9983" max="9983" width="5.85546875" style="56" customWidth="1"/>
    <col min="9984" max="9984" width="23.5703125" style="56" bestFit="1" customWidth="1"/>
    <col min="9985" max="9985" width="12.5703125" style="56" bestFit="1" customWidth="1"/>
    <col min="9986" max="9990" width="10" style="56" customWidth="1"/>
    <col min="9991" max="9991" width="11.140625" style="56" bestFit="1" customWidth="1"/>
    <col min="9992" max="9992" width="5.140625" style="56" customWidth="1"/>
    <col min="9993" max="9993" width="16.5703125" style="56" customWidth="1"/>
    <col min="9994" max="9994" width="10.140625" style="56" customWidth="1"/>
    <col min="9995" max="9995" width="11.42578125" style="56" customWidth="1"/>
    <col min="9996" max="9996" width="2" style="56" customWidth="1"/>
    <col min="9997" max="10237" width="8.85546875" style="56"/>
    <col min="10238" max="10238" width="4.140625" style="56" customWidth="1"/>
    <col min="10239" max="10239" width="5.85546875" style="56" customWidth="1"/>
    <col min="10240" max="10240" width="23.5703125" style="56" bestFit="1" customWidth="1"/>
    <col min="10241" max="10241" width="12.5703125" style="56" bestFit="1" customWidth="1"/>
    <col min="10242" max="10246" width="10" style="56" customWidth="1"/>
    <col min="10247" max="10247" width="11.140625" style="56" bestFit="1" customWidth="1"/>
    <col min="10248" max="10248" width="5.140625" style="56" customWidth="1"/>
    <col min="10249" max="10249" width="16.5703125" style="56" customWidth="1"/>
    <col min="10250" max="10250" width="10.140625" style="56" customWidth="1"/>
    <col min="10251" max="10251" width="11.42578125" style="56" customWidth="1"/>
    <col min="10252" max="10252" width="2" style="56" customWidth="1"/>
    <col min="10253" max="10493" width="8.85546875" style="56"/>
    <col min="10494" max="10494" width="4.140625" style="56" customWidth="1"/>
    <col min="10495" max="10495" width="5.85546875" style="56" customWidth="1"/>
    <col min="10496" max="10496" width="23.5703125" style="56" bestFit="1" customWidth="1"/>
    <col min="10497" max="10497" width="12.5703125" style="56" bestFit="1" customWidth="1"/>
    <col min="10498" max="10502" width="10" style="56" customWidth="1"/>
    <col min="10503" max="10503" width="11.140625" style="56" bestFit="1" customWidth="1"/>
    <col min="10504" max="10504" width="5.140625" style="56" customWidth="1"/>
    <col min="10505" max="10505" width="16.5703125" style="56" customWidth="1"/>
    <col min="10506" max="10506" width="10.140625" style="56" customWidth="1"/>
    <col min="10507" max="10507" width="11.42578125" style="56" customWidth="1"/>
    <col min="10508" max="10508" width="2" style="56" customWidth="1"/>
    <col min="10509" max="10749" width="8.85546875" style="56"/>
    <col min="10750" max="10750" width="4.140625" style="56" customWidth="1"/>
    <col min="10751" max="10751" width="5.85546875" style="56" customWidth="1"/>
    <col min="10752" max="10752" width="23.5703125" style="56" bestFit="1" customWidth="1"/>
    <col min="10753" max="10753" width="12.5703125" style="56" bestFit="1" customWidth="1"/>
    <col min="10754" max="10758" width="10" style="56" customWidth="1"/>
    <col min="10759" max="10759" width="11.140625" style="56" bestFit="1" customWidth="1"/>
    <col min="10760" max="10760" width="5.140625" style="56" customWidth="1"/>
    <col min="10761" max="10761" width="16.5703125" style="56" customWidth="1"/>
    <col min="10762" max="10762" width="10.140625" style="56" customWidth="1"/>
    <col min="10763" max="10763" width="11.42578125" style="56" customWidth="1"/>
    <col min="10764" max="10764" width="2" style="56" customWidth="1"/>
    <col min="10765" max="11005" width="8.85546875" style="56"/>
    <col min="11006" max="11006" width="4.140625" style="56" customWidth="1"/>
    <col min="11007" max="11007" width="5.85546875" style="56" customWidth="1"/>
    <col min="11008" max="11008" width="23.5703125" style="56" bestFit="1" customWidth="1"/>
    <col min="11009" max="11009" width="12.5703125" style="56" bestFit="1" customWidth="1"/>
    <col min="11010" max="11014" width="10" style="56" customWidth="1"/>
    <col min="11015" max="11015" width="11.140625" style="56" bestFit="1" customWidth="1"/>
    <col min="11016" max="11016" width="5.140625" style="56" customWidth="1"/>
    <col min="11017" max="11017" width="16.5703125" style="56" customWidth="1"/>
    <col min="11018" max="11018" width="10.140625" style="56" customWidth="1"/>
    <col min="11019" max="11019" width="11.42578125" style="56" customWidth="1"/>
    <col min="11020" max="11020" width="2" style="56" customWidth="1"/>
    <col min="11021" max="11261" width="8.85546875" style="56"/>
    <col min="11262" max="11262" width="4.140625" style="56" customWidth="1"/>
    <col min="11263" max="11263" width="5.85546875" style="56" customWidth="1"/>
    <col min="11264" max="11264" width="23.5703125" style="56" bestFit="1" customWidth="1"/>
    <col min="11265" max="11265" width="12.5703125" style="56" bestFit="1" customWidth="1"/>
    <col min="11266" max="11270" width="10" style="56" customWidth="1"/>
    <col min="11271" max="11271" width="11.140625" style="56" bestFit="1" customWidth="1"/>
    <col min="11272" max="11272" width="5.140625" style="56" customWidth="1"/>
    <col min="11273" max="11273" width="16.5703125" style="56" customWidth="1"/>
    <col min="11274" max="11274" width="10.140625" style="56" customWidth="1"/>
    <col min="11275" max="11275" width="11.42578125" style="56" customWidth="1"/>
    <col min="11276" max="11276" width="2" style="56" customWidth="1"/>
    <col min="11277" max="11517" width="8.85546875" style="56"/>
    <col min="11518" max="11518" width="4.140625" style="56" customWidth="1"/>
    <col min="11519" max="11519" width="5.85546875" style="56" customWidth="1"/>
    <col min="11520" max="11520" width="23.5703125" style="56" bestFit="1" customWidth="1"/>
    <col min="11521" max="11521" width="12.5703125" style="56" bestFit="1" customWidth="1"/>
    <col min="11522" max="11526" width="10" style="56" customWidth="1"/>
    <col min="11527" max="11527" width="11.140625" style="56" bestFit="1" customWidth="1"/>
    <col min="11528" max="11528" width="5.140625" style="56" customWidth="1"/>
    <col min="11529" max="11529" width="16.5703125" style="56" customWidth="1"/>
    <col min="11530" max="11530" width="10.140625" style="56" customWidth="1"/>
    <col min="11531" max="11531" width="11.42578125" style="56" customWidth="1"/>
    <col min="11532" max="11532" width="2" style="56" customWidth="1"/>
    <col min="11533" max="11773" width="8.85546875" style="56"/>
    <col min="11774" max="11774" width="4.140625" style="56" customWidth="1"/>
    <col min="11775" max="11775" width="5.85546875" style="56" customWidth="1"/>
    <col min="11776" max="11776" width="23.5703125" style="56" bestFit="1" customWidth="1"/>
    <col min="11777" max="11777" width="12.5703125" style="56" bestFit="1" customWidth="1"/>
    <col min="11778" max="11782" width="10" style="56" customWidth="1"/>
    <col min="11783" max="11783" width="11.140625" style="56" bestFit="1" customWidth="1"/>
    <col min="11784" max="11784" width="5.140625" style="56" customWidth="1"/>
    <col min="11785" max="11785" width="16.5703125" style="56" customWidth="1"/>
    <col min="11786" max="11786" width="10.140625" style="56" customWidth="1"/>
    <col min="11787" max="11787" width="11.42578125" style="56" customWidth="1"/>
    <col min="11788" max="11788" width="2" style="56" customWidth="1"/>
    <col min="11789" max="12029" width="8.85546875" style="56"/>
    <col min="12030" max="12030" width="4.140625" style="56" customWidth="1"/>
    <col min="12031" max="12031" width="5.85546875" style="56" customWidth="1"/>
    <col min="12032" max="12032" width="23.5703125" style="56" bestFit="1" customWidth="1"/>
    <col min="12033" max="12033" width="12.5703125" style="56" bestFit="1" customWidth="1"/>
    <col min="12034" max="12038" width="10" style="56" customWidth="1"/>
    <col min="12039" max="12039" width="11.140625" style="56" bestFit="1" customWidth="1"/>
    <col min="12040" max="12040" width="5.140625" style="56" customWidth="1"/>
    <col min="12041" max="12041" width="16.5703125" style="56" customWidth="1"/>
    <col min="12042" max="12042" width="10.140625" style="56" customWidth="1"/>
    <col min="12043" max="12043" width="11.42578125" style="56" customWidth="1"/>
    <col min="12044" max="12044" width="2" style="56" customWidth="1"/>
    <col min="12045" max="12285" width="8.85546875" style="56"/>
    <col min="12286" max="12286" width="4.140625" style="56" customWidth="1"/>
    <col min="12287" max="12287" width="5.85546875" style="56" customWidth="1"/>
    <col min="12288" max="12288" width="23.5703125" style="56" bestFit="1" customWidth="1"/>
    <col min="12289" max="12289" width="12.5703125" style="56" bestFit="1" customWidth="1"/>
    <col min="12290" max="12294" width="10" style="56" customWidth="1"/>
    <col min="12295" max="12295" width="11.140625" style="56" bestFit="1" customWidth="1"/>
    <col min="12296" max="12296" width="5.140625" style="56" customWidth="1"/>
    <col min="12297" max="12297" width="16.5703125" style="56" customWidth="1"/>
    <col min="12298" max="12298" width="10.140625" style="56" customWidth="1"/>
    <col min="12299" max="12299" width="11.42578125" style="56" customWidth="1"/>
    <col min="12300" max="12300" width="2" style="56" customWidth="1"/>
    <col min="12301" max="12541" width="8.85546875" style="56"/>
    <col min="12542" max="12542" width="4.140625" style="56" customWidth="1"/>
    <col min="12543" max="12543" width="5.85546875" style="56" customWidth="1"/>
    <col min="12544" max="12544" width="23.5703125" style="56" bestFit="1" customWidth="1"/>
    <col min="12545" max="12545" width="12.5703125" style="56" bestFit="1" customWidth="1"/>
    <col min="12546" max="12550" width="10" style="56" customWidth="1"/>
    <col min="12551" max="12551" width="11.140625" style="56" bestFit="1" customWidth="1"/>
    <col min="12552" max="12552" width="5.140625" style="56" customWidth="1"/>
    <col min="12553" max="12553" width="16.5703125" style="56" customWidth="1"/>
    <col min="12554" max="12554" width="10.140625" style="56" customWidth="1"/>
    <col min="12555" max="12555" width="11.42578125" style="56" customWidth="1"/>
    <col min="12556" max="12556" width="2" style="56" customWidth="1"/>
    <col min="12557" max="12797" width="8.85546875" style="56"/>
    <col min="12798" max="12798" width="4.140625" style="56" customWidth="1"/>
    <col min="12799" max="12799" width="5.85546875" style="56" customWidth="1"/>
    <col min="12800" max="12800" width="23.5703125" style="56" bestFit="1" customWidth="1"/>
    <col min="12801" max="12801" width="12.5703125" style="56" bestFit="1" customWidth="1"/>
    <col min="12802" max="12806" width="10" style="56" customWidth="1"/>
    <col min="12807" max="12807" width="11.140625" style="56" bestFit="1" customWidth="1"/>
    <col min="12808" max="12808" width="5.140625" style="56" customWidth="1"/>
    <col min="12809" max="12809" width="16.5703125" style="56" customWidth="1"/>
    <col min="12810" max="12810" width="10.140625" style="56" customWidth="1"/>
    <col min="12811" max="12811" width="11.42578125" style="56" customWidth="1"/>
    <col min="12812" max="12812" width="2" style="56" customWidth="1"/>
    <col min="12813" max="13053" width="8.85546875" style="56"/>
    <col min="13054" max="13054" width="4.140625" style="56" customWidth="1"/>
    <col min="13055" max="13055" width="5.85546875" style="56" customWidth="1"/>
    <col min="13056" max="13056" width="23.5703125" style="56" bestFit="1" customWidth="1"/>
    <col min="13057" max="13057" width="12.5703125" style="56" bestFit="1" customWidth="1"/>
    <col min="13058" max="13062" width="10" style="56" customWidth="1"/>
    <col min="13063" max="13063" width="11.140625" style="56" bestFit="1" customWidth="1"/>
    <col min="13064" max="13064" width="5.140625" style="56" customWidth="1"/>
    <col min="13065" max="13065" width="16.5703125" style="56" customWidth="1"/>
    <col min="13066" max="13066" width="10.140625" style="56" customWidth="1"/>
    <col min="13067" max="13067" width="11.42578125" style="56" customWidth="1"/>
    <col min="13068" max="13068" width="2" style="56" customWidth="1"/>
    <col min="13069" max="13309" width="8.85546875" style="56"/>
    <col min="13310" max="13310" width="4.140625" style="56" customWidth="1"/>
    <col min="13311" max="13311" width="5.85546875" style="56" customWidth="1"/>
    <col min="13312" max="13312" width="23.5703125" style="56" bestFit="1" customWidth="1"/>
    <col min="13313" max="13313" width="12.5703125" style="56" bestFit="1" customWidth="1"/>
    <col min="13314" max="13318" width="10" style="56" customWidth="1"/>
    <col min="13319" max="13319" width="11.140625" style="56" bestFit="1" customWidth="1"/>
    <col min="13320" max="13320" width="5.140625" style="56" customWidth="1"/>
    <col min="13321" max="13321" width="16.5703125" style="56" customWidth="1"/>
    <col min="13322" max="13322" width="10.140625" style="56" customWidth="1"/>
    <col min="13323" max="13323" width="11.42578125" style="56" customWidth="1"/>
    <col min="13324" max="13324" width="2" style="56" customWidth="1"/>
    <col min="13325" max="13565" width="8.85546875" style="56"/>
    <col min="13566" max="13566" width="4.140625" style="56" customWidth="1"/>
    <col min="13567" max="13567" width="5.85546875" style="56" customWidth="1"/>
    <col min="13568" max="13568" width="23.5703125" style="56" bestFit="1" customWidth="1"/>
    <col min="13569" max="13569" width="12.5703125" style="56" bestFit="1" customWidth="1"/>
    <col min="13570" max="13574" width="10" style="56" customWidth="1"/>
    <col min="13575" max="13575" width="11.140625" style="56" bestFit="1" customWidth="1"/>
    <col min="13576" max="13576" width="5.140625" style="56" customWidth="1"/>
    <col min="13577" max="13577" width="16.5703125" style="56" customWidth="1"/>
    <col min="13578" max="13578" width="10.140625" style="56" customWidth="1"/>
    <col min="13579" max="13579" width="11.42578125" style="56" customWidth="1"/>
    <col min="13580" max="13580" width="2" style="56" customWidth="1"/>
    <col min="13581" max="13821" width="8.85546875" style="56"/>
    <col min="13822" max="13822" width="4.140625" style="56" customWidth="1"/>
    <col min="13823" max="13823" width="5.85546875" style="56" customWidth="1"/>
    <col min="13824" max="13824" width="23.5703125" style="56" bestFit="1" customWidth="1"/>
    <col min="13825" max="13825" width="12.5703125" style="56" bestFit="1" customWidth="1"/>
    <col min="13826" max="13830" width="10" style="56" customWidth="1"/>
    <col min="13831" max="13831" width="11.140625" style="56" bestFit="1" customWidth="1"/>
    <col min="13832" max="13832" width="5.140625" style="56" customWidth="1"/>
    <col min="13833" max="13833" width="16.5703125" style="56" customWidth="1"/>
    <col min="13834" max="13834" width="10.140625" style="56" customWidth="1"/>
    <col min="13835" max="13835" width="11.42578125" style="56" customWidth="1"/>
    <col min="13836" max="13836" width="2" style="56" customWidth="1"/>
    <col min="13837" max="14077" width="8.85546875" style="56"/>
    <col min="14078" max="14078" width="4.140625" style="56" customWidth="1"/>
    <col min="14079" max="14079" width="5.85546875" style="56" customWidth="1"/>
    <col min="14080" max="14080" width="23.5703125" style="56" bestFit="1" customWidth="1"/>
    <col min="14081" max="14081" width="12.5703125" style="56" bestFit="1" customWidth="1"/>
    <col min="14082" max="14086" width="10" style="56" customWidth="1"/>
    <col min="14087" max="14087" width="11.140625" style="56" bestFit="1" customWidth="1"/>
    <col min="14088" max="14088" width="5.140625" style="56" customWidth="1"/>
    <col min="14089" max="14089" width="16.5703125" style="56" customWidth="1"/>
    <col min="14090" max="14090" width="10.140625" style="56" customWidth="1"/>
    <col min="14091" max="14091" width="11.42578125" style="56" customWidth="1"/>
    <col min="14092" max="14092" width="2" style="56" customWidth="1"/>
    <col min="14093" max="14333" width="8.85546875" style="56"/>
    <col min="14334" max="14334" width="4.140625" style="56" customWidth="1"/>
    <col min="14335" max="14335" width="5.85546875" style="56" customWidth="1"/>
    <col min="14336" max="14336" width="23.5703125" style="56" bestFit="1" customWidth="1"/>
    <col min="14337" max="14337" width="12.5703125" style="56" bestFit="1" customWidth="1"/>
    <col min="14338" max="14342" width="10" style="56" customWidth="1"/>
    <col min="14343" max="14343" width="11.140625" style="56" bestFit="1" customWidth="1"/>
    <col min="14344" max="14344" width="5.140625" style="56" customWidth="1"/>
    <col min="14345" max="14345" width="16.5703125" style="56" customWidth="1"/>
    <col min="14346" max="14346" width="10.140625" style="56" customWidth="1"/>
    <col min="14347" max="14347" width="11.42578125" style="56" customWidth="1"/>
    <col min="14348" max="14348" width="2" style="56" customWidth="1"/>
    <col min="14349" max="14589" width="8.85546875" style="56"/>
    <col min="14590" max="14590" width="4.140625" style="56" customWidth="1"/>
    <col min="14591" max="14591" width="5.85546875" style="56" customWidth="1"/>
    <col min="14592" max="14592" width="23.5703125" style="56" bestFit="1" customWidth="1"/>
    <col min="14593" max="14593" width="12.5703125" style="56" bestFit="1" customWidth="1"/>
    <col min="14594" max="14598" width="10" style="56" customWidth="1"/>
    <col min="14599" max="14599" width="11.140625" style="56" bestFit="1" customWidth="1"/>
    <col min="14600" max="14600" width="5.140625" style="56" customWidth="1"/>
    <col min="14601" max="14601" width="16.5703125" style="56" customWidth="1"/>
    <col min="14602" max="14602" width="10.140625" style="56" customWidth="1"/>
    <col min="14603" max="14603" width="11.42578125" style="56" customWidth="1"/>
    <col min="14604" max="14604" width="2" style="56" customWidth="1"/>
    <col min="14605" max="14845" width="8.85546875" style="56"/>
    <col min="14846" max="14846" width="4.140625" style="56" customWidth="1"/>
    <col min="14847" max="14847" width="5.85546875" style="56" customWidth="1"/>
    <col min="14848" max="14848" width="23.5703125" style="56" bestFit="1" customWidth="1"/>
    <col min="14849" max="14849" width="12.5703125" style="56" bestFit="1" customWidth="1"/>
    <col min="14850" max="14854" width="10" style="56" customWidth="1"/>
    <col min="14855" max="14855" width="11.140625" style="56" bestFit="1" customWidth="1"/>
    <col min="14856" max="14856" width="5.140625" style="56" customWidth="1"/>
    <col min="14857" max="14857" width="16.5703125" style="56" customWidth="1"/>
    <col min="14858" max="14858" width="10.140625" style="56" customWidth="1"/>
    <col min="14859" max="14859" width="11.42578125" style="56" customWidth="1"/>
    <col min="14860" max="14860" width="2" style="56" customWidth="1"/>
    <col min="14861" max="15101" width="8.85546875" style="56"/>
    <col min="15102" max="15102" width="4.140625" style="56" customWidth="1"/>
    <col min="15103" max="15103" width="5.85546875" style="56" customWidth="1"/>
    <col min="15104" max="15104" width="23.5703125" style="56" bestFit="1" customWidth="1"/>
    <col min="15105" max="15105" width="12.5703125" style="56" bestFit="1" customWidth="1"/>
    <col min="15106" max="15110" width="10" style="56" customWidth="1"/>
    <col min="15111" max="15111" width="11.140625" style="56" bestFit="1" customWidth="1"/>
    <col min="15112" max="15112" width="5.140625" style="56" customWidth="1"/>
    <col min="15113" max="15113" width="16.5703125" style="56" customWidth="1"/>
    <col min="15114" max="15114" width="10.140625" style="56" customWidth="1"/>
    <col min="15115" max="15115" width="11.42578125" style="56" customWidth="1"/>
    <col min="15116" max="15116" width="2" style="56" customWidth="1"/>
    <col min="15117" max="15357" width="8.85546875" style="56"/>
    <col min="15358" max="15358" width="4.140625" style="56" customWidth="1"/>
    <col min="15359" max="15359" width="5.85546875" style="56" customWidth="1"/>
    <col min="15360" max="15360" width="23.5703125" style="56" bestFit="1" customWidth="1"/>
    <col min="15361" max="15361" width="12.5703125" style="56" bestFit="1" customWidth="1"/>
    <col min="15362" max="15366" width="10" style="56" customWidth="1"/>
    <col min="15367" max="15367" width="11.140625" style="56" bestFit="1" customWidth="1"/>
    <col min="15368" max="15368" width="5.140625" style="56" customWidth="1"/>
    <col min="15369" max="15369" width="16.5703125" style="56" customWidth="1"/>
    <col min="15370" max="15370" width="10.140625" style="56" customWidth="1"/>
    <col min="15371" max="15371" width="11.42578125" style="56" customWidth="1"/>
    <col min="15372" max="15372" width="2" style="56" customWidth="1"/>
    <col min="15373" max="15613" width="8.85546875" style="56"/>
    <col min="15614" max="15614" width="4.140625" style="56" customWidth="1"/>
    <col min="15615" max="15615" width="5.85546875" style="56" customWidth="1"/>
    <col min="15616" max="15616" width="23.5703125" style="56" bestFit="1" customWidth="1"/>
    <col min="15617" max="15617" width="12.5703125" style="56" bestFit="1" customWidth="1"/>
    <col min="15618" max="15622" width="10" style="56" customWidth="1"/>
    <col min="15623" max="15623" width="11.140625" style="56" bestFit="1" customWidth="1"/>
    <col min="15624" max="15624" width="5.140625" style="56" customWidth="1"/>
    <col min="15625" max="15625" width="16.5703125" style="56" customWidth="1"/>
    <col min="15626" max="15626" width="10.140625" style="56" customWidth="1"/>
    <col min="15627" max="15627" width="11.42578125" style="56" customWidth="1"/>
    <col min="15628" max="15628" width="2" style="56" customWidth="1"/>
    <col min="15629" max="15869" width="8.85546875" style="56"/>
    <col min="15870" max="15870" width="4.140625" style="56" customWidth="1"/>
    <col min="15871" max="15871" width="5.85546875" style="56" customWidth="1"/>
    <col min="15872" max="15872" width="23.5703125" style="56" bestFit="1" customWidth="1"/>
    <col min="15873" max="15873" width="12.5703125" style="56" bestFit="1" customWidth="1"/>
    <col min="15874" max="15878" width="10" style="56" customWidth="1"/>
    <col min="15879" max="15879" width="11.140625" style="56" bestFit="1" customWidth="1"/>
    <col min="15880" max="15880" width="5.140625" style="56" customWidth="1"/>
    <col min="15881" max="15881" width="16.5703125" style="56" customWidth="1"/>
    <col min="15882" max="15882" width="10.140625" style="56" customWidth="1"/>
    <col min="15883" max="15883" width="11.42578125" style="56" customWidth="1"/>
    <col min="15884" max="15884" width="2" style="56" customWidth="1"/>
    <col min="15885" max="16125" width="8.85546875" style="56"/>
    <col min="16126" max="16126" width="4.140625" style="56" customWidth="1"/>
    <col min="16127" max="16127" width="5.85546875" style="56" customWidth="1"/>
    <col min="16128" max="16128" width="23.5703125" style="56" bestFit="1" customWidth="1"/>
    <col min="16129" max="16129" width="12.5703125" style="56" bestFit="1" customWidth="1"/>
    <col min="16130" max="16134" width="10" style="56" customWidth="1"/>
    <col min="16135" max="16135" width="11.140625" style="56" bestFit="1" customWidth="1"/>
    <col min="16136" max="16136" width="5.140625" style="56" customWidth="1"/>
    <col min="16137" max="16137" width="16.5703125" style="56" customWidth="1"/>
    <col min="16138" max="16138" width="10.140625" style="56" customWidth="1"/>
    <col min="16139" max="16139" width="11.42578125" style="56" customWidth="1"/>
    <col min="16140" max="16140" width="2" style="56" customWidth="1"/>
    <col min="16141" max="16354" width="8.85546875" style="56"/>
    <col min="16355" max="16384" width="8.85546875" style="56" customWidth="1"/>
  </cols>
  <sheetData>
    <row r="1" spans="1:16" ht="18.75" x14ac:dyDescent="0.3">
      <c r="A1" s="214" t="s">
        <v>199</v>
      </c>
      <c r="E1" s="847" t="s">
        <v>618</v>
      </c>
      <c r="F1" s="847"/>
    </row>
    <row r="2" spans="1:16" ht="21" x14ac:dyDescent="0.35">
      <c r="A2" s="188" t="s">
        <v>195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5.75" x14ac:dyDescent="0.25">
      <c r="A3" s="216" t="s">
        <v>538</v>
      </c>
      <c r="B3" s="69"/>
    </row>
    <row r="4" spans="1:16" ht="15.75" x14ac:dyDescent="0.2">
      <c r="A4" s="25"/>
      <c r="B4" s="69"/>
    </row>
    <row r="5" spans="1:16" ht="13.5" thickBot="1" x14ac:dyDescent="0.25">
      <c r="B5" s="70"/>
      <c r="C5" s="70"/>
      <c r="D5" s="70"/>
      <c r="E5" s="70"/>
      <c r="F5" s="70"/>
      <c r="G5" s="70"/>
      <c r="H5" s="70"/>
      <c r="I5" s="71"/>
    </row>
    <row r="6" spans="1:16" s="75" customFormat="1" ht="26.25" thickBot="1" x14ac:dyDescent="0.25">
      <c r="A6" s="170"/>
      <c r="B6" s="171">
        <v>44927</v>
      </c>
      <c r="C6" s="171">
        <v>44958</v>
      </c>
      <c r="D6" s="171">
        <v>44986</v>
      </c>
      <c r="E6" s="171">
        <v>45017</v>
      </c>
      <c r="F6" s="171">
        <v>45047</v>
      </c>
      <c r="G6" s="171">
        <v>45078</v>
      </c>
      <c r="H6" s="171">
        <v>45108</v>
      </c>
      <c r="I6" s="171">
        <v>45139</v>
      </c>
      <c r="J6" s="171">
        <v>45170</v>
      </c>
      <c r="K6" s="171">
        <v>45200</v>
      </c>
      <c r="L6" s="171">
        <v>45231</v>
      </c>
      <c r="M6" s="171">
        <v>45261</v>
      </c>
      <c r="N6" s="501" t="s">
        <v>539</v>
      </c>
      <c r="O6" s="501" t="s">
        <v>536</v>
      </c>
      <c r="P6" s="501" t="s">
        <v>200</v>
      </c>
    </row>
    <row r="7" spans="1:16" s="75" customFormat="1" ht="15" x14ac:dyDescent="0.25">
      <c r="A7" s="366" t="s">
        <v>23</v>
      </c>
      <c r="B7" s="172">
        <v>31682.031811646622</v>
      </c>
      <c r="C7" s="172">
        <v>31682.031811646622</v>
      </c>
      <c r="D7" s="172">
        <v>31682.031811646622</v>
      </c>
      <c r="E7" s="315">
        <v>0</v>
      </c>
      <c r="F7" s="315">
        <v>0</v>
      </c>
      <c r="G7" s="315">
        <v>0</v>
      </c>
      <c r="H7" s="315">
        <v>0</v>
      </c>
      <c r="I7" s="315">
        <v>0</v>
      </c>
      <c r="J7" s="315">
        <v>0</v>
      </c>
      <c r="K7" s="315">
        <v>0</v>
      </c>
      <c r="L7" s="172">
        <v>31682.031811646622</v>
      </c>
      <c r="M7" s="172">
        <v>31682.031811646622</v>
      </c>
      <c r="N7" s="784">
        <v>158410.15905823311</v>
      </c>
      <c r="O7" s="784">
        <v>158423.51831057327</v>
      </c>
      <c r="P7" s="784">
        <v>-13.35925234016031</v>
      </c>
    </row>
    <row r="8" spans="1:16" s="75" customFormat="1" ht="15" x14ac:dyDescent="0.25">
      <c r="A8" s="366" t="s">
        <v>24</v>
      </c>
      <c r="B8" s="172">
        <v>47963.568760209979</v>
      </c>
      <c r="C8" s="172">
        <v>47963.568760209979</v>
      </c>
      <c r="D8" s="172">
        <v>47963.568760209979</v>
      </c>
      <c r="E8" s="315">
        <v>0</v>
      </c>
      <c r="F8" s="315">
        <v>0</v>
      </c>
      <c r="G8" s="315">
        <v>0</v>
      </c>
      <c r="H8" s="315">
        <v>0</v>
      </c>
      <c r="I8" s="315">
        <v>0</v>
      </c>
      <c r="J8" s="315">
        <v>0</v>
      </c>
      <c r="K8" s="315">
        <v>0</v>
      </c>
      <c r="L8" s="172">
        <v>47963.568760209979</v>
      </c>
      <c r="M8" s="172">
        <v>47963.568760209979</v>
      </c>
      <c r="N8" s="784">
        <v>239817.84380104989</v>
      </c>
      <c r="O8" s="784">
        <v>239646.77526941118</v>
      </c>
      <c r="P8" s="784">
        <v>171.06853163870983</v>
      </c>
    </row>
    <row r="9" spans="1:16" s="75" customFormat="1" ht="15" x14ac:dyDescent="0.25">
      <c r="A9" s="366" t="s">
        <v>25</v>
      </c>
      <c r="B9" s="172">
        <v>21743.484504628526</v>
      </c>
      <c r="C9" s="172">
        <v>21743.484504628526</v>
      </c>
      <c r="D9" s="172">
        <v>21743.484504628526</v>
      </c>
      <c r="E9" s="315">
        <v>0</v>
      </c>
      <c r="F9" s="315">
        <v>0</v>
      </c>
      <c r="G9" s="315">
        <v>0</v>
      </c>
      <c r="H9" s="315">
        <v>0</v>
      </c>
      <c r="I9" s="315">
        <v>0</v>
      </c>
      <c r="J9" s="315">
        <v>0</v>
      </c>
      <c r="K9" s="315">
        <v>0</v>
      </c>
      <c r="L9" s="172">
        <v>21743.484504628526</v>
      </c>
      <c r="M9" s="172">
        <v>21743.484504628526</v>
      </c>
      <c r="N9" s="784">
        <v>108717.42252314262</v>
      </c>
      <c r="O9" s="784">
        <v>108639.8714554664</v>
      </c>
      <c r="P9" s="784">
        <v>77.551067676220555</v>
      </c>
    </row>
    <row r="10" spans="1:16" s="75" customFormat="1" ht="15" x14ac:dyDescent="0.25">
      <c r="A10" s="366" t="s">
        <v>140</v>
      </c>
      <c r="B10" s="172">
        <v>46082.539119700858</v>
      </c>
      <c r="C10" s="172">
        <v>46082.539119700858</v>
      </c>
      <c r="D10" s="172">
        <v>46082.539119700858</v>
      </c>
      <c r="E10" s="315">
        <v>0</v>
      </c>
      <c r="F10" s="315">
        <v>0</v>
      </c>
      <c r="G10" s="315">
        <v>0</v>
      </c>
      <c r="H10" s="315">
        <v>0</v>
      </c>
      <c r="I10" s="315">
        <v>0</v>
      </c>
      <c r="J10" s="315">
        <v>0</v>
      </c>
      <c r="K10" s="315">
        <v>0</v>
      </c>
      <c r="L10" s="172">
        <v>46082.539119700858</v>
      </c>
      <c r="M10" s="172">
        <v>46082.539119700858</v>
      </c>
      <c r="N10" s="784">
        <v>230412.69559850427</v>
      </c>
      <c r="O10" s="784">
        <v>240873.20080642856</v>
      </c>
      <c r="P10" s="784">
        <v>-10460.505207924289</v>
      </c>
    </row>
    <row r="11" spans="1:16" s="75" customFormat="1" ht="15" x14ac:dyDescent="0.25">
      <c r="A11" s="366" t="s">
        <v>26</v>
      </c>
      <c r="B11" s="172">
        <v>31462.505340539105</v>
      </c>
      <c r="C11" s="172">
        <v>31462.505340539105</v>
      </c>
      <c r="D11" s="172">
        <v>31462.505340539105</v>
      </c>
      <c r="E11" s="315">
        <v>0</v>
      </c>
      <c r="F11" s="315">
        <v>0</v>
      </c>
      <c r="G11" s="315">
        <v>0</v>
      </c>
      <c r="H11" s="315">
        <v>0</v>
      </c>
      <c r="I11" s="315">
        <v>0</v>
      </c>
      <c r="J11" s="315">
        <v>0</v>
      </c>
      <c r="K11" s="315">
        <v>0</v>
      </c>
      <c r="L11" s="172">
        <v>31462.505340539105</v>
      </c>
      <c r="M11" s="172">
        <v>31462.505340539105</v>
      </c>
      <c r="N11" s="784">
        <v>157312.52670269553</v>
      </c>
      <c r="O11" s="784">
        <v>157312.55772704715</v>
      </c>
      <c r="P11" s="784">
        <v>-3.1024351628730074E-2</v>
      </c>
    </row>
    <row r="12" spans="1:16" s="75" customFormat="1" ht="15" x14ac:dyDescent="0.25">
      <c r="A12" s="367" t="s">
        <v>13</v>
      </c>
      <c r="B12" s="172">
        <v>10021.788830700718</v>
      </c>
      <c r="C12" s="172">
        <v>10021.788830700718</v>
      </c>
      <c r="D12" s="172">
        <v>10021.788830700718</v>
      </c>
      <c r="E12" s="315">
        <v>0</v>
      </c>
      <c r="F12" s="315">
        <v>0</v>
      </c>
      <c r="G12" s="315">
        <v>0</v>
      </c>
      <c r="H12" s="315">
        <v>0</v>
      </c>
      <c r="I12" s="315">
        <v>0</v>
      </c>
      <c r="J12" s="315">
        <v>0</v>
      </c>
      <c r="K12" s="315">
        <v>0</v>
      </c>
      <c r="L12" s="172">
        <v>10021.788830700718</v>
      </c>
      <c r="M12" s="172">
        <v>10021.788830700718</v>
      </c>
      <c r="N12" s="784">
        <v>50108.944153503588</v>
      </c>
      <c r="O12" s="784">
        <v>50178.559594739258</v>
      </c>
      <c r="P12" s="784">
        <v>-69.615441235670005</v>
      </c>
    </row>
    <row r="13" spans="1:16" s="75" customFormat="1" ht="15" x14ac:dyDescent="0.25">
      <c r="A13" s="368" t="s">
        <v>141</v>
      </c>
      <c r="B13" s="173">
        <v>4279.7565893333349</v>
      </c>
      <c r="C13" s="173">
        <v>4279.7565893333349</v>
      </c>
      <c r="D13" s="173">
        <v>4279.7565893333349</v>
      </c>
      <c r="E13" s="173">
        <v>4279.7565893333349</v>
      </c>
      <c r="F13" s="173">
        <v>4279.7565893333349</v>
      </c>
      <c r="G13" s="173">
        <v>4279.7565893333349</v>
      </c>
      <c r="H13" s="173">
        <v>4279.7565893333349</v>
      </c>
      <c r="I13" s="173">
        <v>4279.7565893333349</v>
      </c>
      <c r="J13" s="173">
        <v>4279.7565893333349</v>
      </c>
      <c r="K13" s="173">
        <v>4279.7565893333349</v>
      </c>
      <c r="L13" s="173">
        <v>4279.7565893333349</v>
      </c>
      <c r="M13" s="173">
        <v>4279.7565893333349</v>
      </c>
      <c r="N13" s="785">
        <v>51357.07907200003</v>
      </c>
      <c r="O13" s="785">
        <v>43183.652192000009</v>
      </c>
      <c r="P13" s="785">
        <v>8173.4268800000209</v>
      </c>
    </row>
    <row r="14" spans="1:16" s="75" customFormat="1" ht="15.75" thickBot="1" x14ac:dyDescent="0.3">
      <c r="A14" s="367" t="s">
        <v>5</v>
      </c>
      <c r="B14" s="172">
        <v>193235.67495675909</v>
      </c>
      <c r="C14" s="172">
        <v>193235.67495675909</v>
      </c>
      <c r="D14" s="172">
        <v>193235.67495675909</v>
      </c>
      <c r="E14" s="172">
        <v>4279.7565893333349</v>
      </c>
      <c r="F14" s="172">
        <v>4279.7565893333349</v>
      </c>
      <c r="G14" s="172">
        <v>4279.7565893333349</v>
      </c>
      <c r="H14" s="172">
        <v>4279.7565893333349</v>
      </c>
      <c r="I14" s="172">
        <v>4279.7565893333349</v>
      </c>
      <c r="J14" s="172">
        <v>4279.7565893333349</v>
      </c>
      <c r="K14" s="172">
        <v>4279.7565893333349</v>
      </c>
      <c r="L14" s="172">
        <v>193235.67495675909</v>
      </c>
      <c r="M14" s="172">
        <v>193235.67495675909</v>
      </c>
      <c r="N14" s="784">
        <v>996136.67090912908</v>
      </c>
      <c r="O14" s="784">
        <v>998258.13535566581</v>
      </c>
      <c r="P14" s="784">
        <v>-2121.464446536731</v>
      </c>
    </row>
    <row r="15" spans="1:16" s="75" customFormat="1" ht="16.5" thickTop="1" thickBot="1" x14ac:dyDescent="0.3">
      <c r="A15" s="367" t="s">
        <v>142</v>
      </c>
      <c r="B15" s="311" t="s">
        <v>617</v>
      </c>
      <c r="C15" s="311" t="s">
        <v>617</v>
      </c>
      <c r="D15" s="311" t="s">
        <v>617</v>
      </c>
      <c r="E15" s="311" t="s">
        <v>617</v>
      </c>
      <c r="F15" s="311" t="s">
        <v>617</v>
      </c>
      <c r="G15" s="311" t="s">
        <v>617</v>
      </c>
      <c r="H15" s="311" t="s">
        <v>617</v>
      </c>
      <c r="I15" s="311" t="s">
        <v>617</v>
      </c>
      <c r="J15" s="311" t="s">
        <v>617</v>
      </c>
      <c r="K15" s="311" t="s">
        <v>617</v>
      </c>
      <c r="L15" s="311" t="s">
        <v>617</v>
      </c>
      <c r="M15" s="311" t="s">
        <v>617</v>
      </c>
      <c r="N15" s="311" t="s">
        <v>617</v>
      </c>
      <c r="O15" s="311" t="s">
        <v>617</v>
      </c>
      <c r="P15" s="311" t="s">
        <v>617</v>
      </c>
    </row>
    <row r="16" spans="1:16" s="75" customFormat="1" ht="15.75" thickTop="1" x14ac:dyDescent="0.25">
      <c r="A16" s="367" t="s">
        <v>143</v>
      </c>
      <c r="B16" s="311" t="s">
        <v>617</v>
      </c>
      <c r="C16" s="311" t="s">
        <v>617</v>
      </c>
      <c r="D16" s="311" t="s">
        <v>617</v>
      </c>
      <c r="E16" s="311" t="s">
        <v>617</v>
      </c>
      <c r="F16" s="311" t="s">
        <v>617</v>
      </c>
      <c r="G16" s="311" t="s">
        <v>617</v>
      </c>
      <c r="H16" s="311" t="s">
        <v>617</v>
      </c>
      <c r="I16" s="311" t="s">
        <v>617</v>
      </c>
      <c r="J16" s="311" t="s">
        <v>617</v>
      </c>
      <c r="K16" s="311" t="s">
        <v>617</v>
      </c>
      <c r="L16" s="311" t="s">
        <v>617</v>
      </c>
      <c r="M16" s="311" t="s">
        <v>617</v>
      </c>
      <c r="N16" s="311" t="s">
        <v>617</v>
      </c>
      <c r="O16" s="311" t="s">
        <v>617</v>
      </c>
      <c r="P16" s="311" t="s">
        <v>617</v>
      </c>
    </row>
    <row r="17" spans="1:16" s="75" customFormat="1" ht="15" x14ac:dyDescent="0.25">
      <c r="A17" s="369" t="s">
        <v>91</v>
      </c>
      <c r="B17" s="316" t="e">
        <v>#VALUE!</v>
      </c>
      <c r="C17" s="316" t="e">
        <v>#VALUE!</v>
      </c>
      <c r="D17" s="316" t="e">
        <v>#VALUE!</v>
      </c>
      <c r="E17" s="316" t="e">
        <v>#VALUE!</v>
      </c>
      <c r="F17" s="316" t="e">
        <v>#VALUE!</v>
      </c>
      <c r="G17" s="316" t="e">
        <v>#VALUE!</v>
      </c>
      <c r="H17" s="316" t="e">
        <v>#VALUE!</v>
      </c>
      <c r="I17" s="316" t="e">
        <v>#VALUE!</v>
      </c>
      <c r="J17" s="316" t="e">
        <v>#VALUE!</v>
      </c>
      <c r="K17" s="316" t="e">
        <v>#VALUE!</v>
      </c>
      <c r="L17" s="316" t="e">
        <v>#VALUE!</v>
      </c>
      <c r="M17" s="316" t="e">
        <v>#VALUE!</v>
      </c>
      <c r="N17" s="785" t="e">
        <v>#VALUE!</v>
      </c>
      <c r="O17" s="785">
        <v>171444.04757430265</v>
      </c>
      <c r="P17" s="785" t="e">
        <v>#VALUE!</v>
      </c>
    </row>
    <row r="18" spans="1:16" s="75" customFormat="1" ht="15.75" thickBot="1" x14ac:dyDescent="0.3">
      <c r="A18" s="370" t="s">
        <v>144</v>
      </c>
      <c r="B18" s="174" t="e">
        <v>#VALUE!</v>
      </c>
      <c r="C18" s="174" t="e">
        <v>#VALUE!</v>
      </c>
      <c r="D18" s="174" t="e">
        <v>#VALUE!</v>
      </c>
      <c r="E18" s="174" t="e">
        <v>#VALUE!</v>
      </c>
      <c r="F18" s="174" t="e">
        <v>#VALUE!</v>
      </c>
      <c r="G18" s="174" t="e">
        <v>#VALUE!</v>
      </c>
      <c r="H18" s="174" t="e">
        <v>#VALUE!</v>
      </c>
      <c r="I18" s="174" t="e">
        <v>#VALUE!</v>
      </c>
      <c r="J18" s="174" t="e">
        <v>#VALUE!</v>
      </c>
      <c r="K18" s="174" t="e">
        <v>#VALUE!</v>
      </c>
      <c r="L18" s="174" t="e">
        <v>#VALUE!</v>
      </c>
      <c r="M18" s="174" t="e">
        <v>#VALUE!</v>
      </c>
      <c r="N18" s="786" t="e">
        <v>#VALUE!</v>
      </c>
      <c r="O18" s="786">
        <v>826814.08778136317</v>
      </c>
      <c r="P18" s="786" t="e">
        <v>#VALUE!</v>
      </c>
    </row>
    <row r="19" spans="1:16" s="75" customFormat="1" ht="6.75" customHeight="1" thickTop="1" x14ac:dyDescent="0.2">
      <c r="A19" s="127"/>
      <c r="B19" s="127"/>
      <c r="C19" s="127"/>
      <c r="D19" s="112"/>
      <c r="E19" s="112"/>
      <c r="F19" s="112"/>
    </row>
    <row r="20" spans="1:16" s="75" customFormat="1" ht="18.75" customHeight="1" x14ac:dyDescent="0.2">
      <c r="A20" s="317" t="s">
        <v>557</v>
      </c>
      <c r="B20" s="127"/>
      <c r="C20" s="127"/>
      <c r="D20" s="112"/>
      <c r="E20" s="112"/>
      <c r="F20" s="112"/>
    </row>
    <row r="21" spans="1:16" s="75" customFormat="1" x14ac:dyDescent="0.2"/>
    <row r="22" spans="1:16" s="75" customFormat="1" ht="38.25" x14ac:dyDescent="0.2">
      <c r="A22" s="175"/>
      <c r="B22" s="318" t="s">
        <v>145</v>
      </c>
      <c r="C22" s="319" t="s">
        <v>146</v>
      </c>
      <c r="D22" s="318" t="s">
        <v>520</v>
      </c>
      <c r="E22" s="318" t="s">
        <v>147</v>
      </c>
      <c r="F22" s="318" t="s">
        <v>148</v>
      </c>
      <c r="G22" s="318" t="s">
        <v>149</v>
      </c>
      <c r="H22" s="318" t="s">
        <v>150</v>
      </c>
      <c r="I22" s="318" t="s">
        <v>151</v>
      </c>
      <c r="J22" s="318" t="s">
        <v>152</v>
      </c>
      <c r="K22" s="318" t="s">
        <v>153</v>
      </c>
      <c r="L22" s="320" t="s">
        <v>154</v>
      </c>
    </row>
    <row r="23" spans="1:16" s="75" customFormat="1" ht="13.5" thickBot="1" x14ac:dyDescent="0.25">
      <c r="A23" s="176"/>
      <c r="B23" s="321" t="s">
        <v>155</v>
      </c>
      <c r="C23" s="322" t="s">
        <v>156</v>
      </c>
      <c r="D23" s="323" t="s">
        <v>157</v>
      </c>
      <c r="E23" s="323" t="s">
        <v>158</v>
      </c>
      <c r="F23" s="324" t="s">
        <v>159</v>
      </c>
      <c r="G23" s="324" t="s">
        <v>160</v>
      </c>
      <c r="H23" s="324" t="s">
        <v>158</v>
      </c>
      <c r="I23" s="324" t="s">
        <v>158</v>
      </c>
      <c r="J23" s="324" t="s">
        <v>161</v>
      </c>
      <c r="K23" s="325" t="s">
        <v>157</v>
      </c>
      <c r="L23" s="326" t="s">
        <v>161</v>
      </c>
    </row>
    <row r="24" spans="1:16" s="75" customFormat="1" ht="14.25" thickTop="1" thickBot="1" x14ac:dyDescent="0.25">
      <c r="A24" s="177" t="s">
        <v>141</v>
      </c>
      <c r="B24" s="178">
        <v>2</v>
      </c>
      <c r="C24" s="311" t="s">
        <v>617</v>
      </c>
      <c r="D24" s="311" t="s">
        <v>617</v>
      </c>
      <c r="E24" s="311" t="s">
        <v>617</v>
      </c>
      <c r="F24" s="327">
        <v>140000</v>
      </c>
      <c r="G24" s="178">
        <v>211</v>
      </c>
      <c r="H24" s="311" t="s">
        <v>617</v>
      </c>
      <c r="I24" s="311" t="s">
        <v>617</v>
      </c>
      <c r="J24" s="311" t="s">
        <v>617</v>
      </c>
      <c r="K24" s="311" t="s">
        <v>617</v>
      </c>
      <c r="L24" s="328">
        <v>51357.079072000022</v>
      </c>
    </row>
    <row r="25" spans="1:16" s="75" customFormat="1" ht="7.5" customHeight="1" thickTop="1" x14ac:dyDescent="0.2"/>
    <row r="26" spans="1:16" s="75" customFormat="1" ht="24" customHeight="1" x14ac:dyDescent="0.2">
      <c r="A26" s="317" t="s">
        <v>162</v>
      </c>
    </row>
    <row r="27" spans="1:16" s="75" customFormat="1" x14ac:dyDescent="0.2"/>
    <row r="28" spans="1:16" s="75" customFormat="1" ht="29.1" customHeight="1" x14ac:dyDescent="0.2">
      <c r="A28" s="329"/>
      <c r="B28" s="318" t="s">
        <v>145</v>
      </c>
      <c r="C28" s="319" t="s">
        <v>163</v>
      </c>
      <c r="D28" s="318" t="s">
        <v>520</v>
      </c>
      <c r="E28" s="318" t="s">
        <v>147</v>
      </c>
      <c r="F28" s="318" t="s">
        <v>148</v>
      </c>
      <c r="G28" s="318" t="s">
        <v>164</v>
      </c>
      <c r="H28" s="318" t="s">
        <v>150</v>
      </c>
      <c r="I28" s="320" t="s">
        <v>154</v>
      </c>
      <c r="J28" s="330"/>
    </row>
    <row r="29" spans="1:16" s="75" customFormat="1" ht="17.100000000000001" customHeight="1" thickBot="1" x14ac:dyDescent="0.25">
      <c r="A29" s="331"/>
      <c r="B29" s="321" t="s">
        <v>155</v>
      </c>
      <c r="C29" s="322" t="s">
        <v>156</v>
      </c>
      <c r="D29" s="323" t="s">
        <v>157</v>
      </c>
      <c r="E29" s="324" t="s">
        <v>158</v>
      </c>
      <c r="F29" s="324" t="s">
        <v>159</v>
      </c>
      <c r="G29" s="324" t="s">
        <v>165</v>
      </c>
      <c r="H29" s="324" t="s">
        <v>158</v>
      </c>
      <c r="I29" s="326" t="s">
        <v>161</v>
      </c>
      <c r="J29" s="323"/>
    </row>
    <row r="30" spans="1:16" s="75" customFormat="1" ht="14.25" thickTop="1" thickBot="1" x14ac:dyDescent="0.25">
      <c r="A30" s="332" t="s">
        <v>23</v>
      </c>
      <c r="B30" s="333">
        <v>148</v>
      </c>
      <c r="C30" s="311" t="s">
        <v>617</v>
      </c>
      <c r="D30" s="311" t="s">
        <v>617</v>
      </c>
      <c r="E30" s="311" t="s">
        <v>617</v>
      </c>
      <c r="F30" s="334">
        <v>140000</v>
      </c>
      <c r="G30" s="333">
        <v>5</v>
      </c>
      <c r="H30" s="311" t="s">
        <v>617</v>
      </c>
      <c r="I30" s="335">
        <v>158410.15905823311</v>
      </c>
      <c r="J30" s="336"/>
    </row>
    <row r="31" spans="1:16" s="75" customFormat="1" ht="14.25" thickTop="1" thickBot="1" x14ac:dyDescent="0.25">
      <c r="A31" s="331" t="s">
        <v>24</v>
      </c>
      <c r="B31" s="333">
        <v>208</v>
      </c>
      <c r="C31" s="311" t="s">
        <v>617</v>
      </c>
      <c r="D31" s="311" t="s">
        <v>617</v>
      </c>
      <c r="E31" s="311" t="s">
        <v>617</v>
      </c>
      <c r="F31" s="334">
        <v>140000</v>
      </c>
      <c r="G31" s="333">
        <v>5</v>
      </c>
      <c r="H31" s="311" t="s">
        <v>617</v>
      </c>
      <c r="I31" s="337">
        <v>239817.84380104989</v>
      </c>
      <c r="J31" s="336"/>
      <c r="K31" s="179"/>
      <c r="L31" s="180"/>
      <c r="M31" s="180"/>
      <c r="N31" s="180"/>
    </row>
    <row r="32" spans="1:16" s="75" customFormat="1" ht="14.25" thickTop="1" thickBot="1" x14ac:dyDescent="0.25">
      <c r="A32" s="331" t="s">
        <v>25</v>
      </c>
      <c r="B32" s="333">
        <v>108</v>
      </c>
      <c r="C32" s="311" t="s">
        <v>617</v>
      </c>
      <c r="D32" s="311" t="s">
        <v>617</v>
      </c>
      <c r="E32" s="311" t="s">
        <v>617</v>
      </c>
      <c r="F32" s="334">
        <v>140000</v>
      </c>
      <c r="G32" s="333">
        <v>5</v>
      </c>
      <c r="H32" s="311" t="s">
        <v>617</v>
      </c>
      <c r="I32" s="337">
        <v>108717.42252314262</v>
      </c>
      <c r="J32" s="336"/>
      <c r="K32" s="179"/>
      <c r="L32" s="180"/>
      <c r="M32" s="180"/>
    </row>
    <row r="33" spans="1:13" s="75" customFormat="1" ht="14.25" thickTop="1" thickBot="1" x14ac:dyDescent="0.25">
      <c r="A33" s="331" t="s">
        <v>18</v>
      </c>
      <c r="B33" s="333">
        <v>271</v>
      </c>
      <c r="C33" s="311" t="s">
        <v>617</v>
      </c>
      <c r="D33" s="311" t="s">
        <v>617</v>
      </c>
      <c r="E33" s="311" t="s">
        <v>617</v>
      </c>
      <c r="F33" s="334">
        <v>140000</v>
      </c>
      <c r="G33" s="333">
        <v>5</v>
      </c>
      <c r="H33" s="311" t="s">
        <v>617</v>
      </c>
      <c r="I33" s="337">
        <v>230412.69559850427</v>
      </c>
      <c r="J33" s="336"/>
      <c r="K33" s="179"/>
      <c r="L33" s="180"/>
      <c r="M33" s="180"/>
    </row>
    <row r="34" spans="1:13" s="75" customFormat="1" ht="14.25" thickTop="1" thickBot="1" x14ac:dyDescent="0.25">
      <c r="A34" s="331" t="s">
        <v>26</v>
      </c>
      <c r="B34" s="333">
        <v>148</v>
      </c>
      <c r="C34" s="311" t="s">
        <v>617</v>
      </c>
      <c r="D34" s="311" t="s">
        <v>617</v>
      </c>
      <c r="E34" s="311" t="s">
        <v>617</v>
      </c>
      <c r="F34" s="334">
        <v>140000</v>
      </c>
      <c r="G34" s="333">
        <v>5</v>
      </c>
      <c r="H34" s="311" t="s">
        <v>617</v>
      </c>
      <c r="I34" s="337">
        <v>157312.52670269553</v>
      </c>
      <c r="J34" s="336"/>
      <c r="K34" s="179"/>
      <c r="L34" s="180"/>
      <c r="M34" s="180"/>
    </row>
    <row r="35" spans="1:13" s="75" customFormat="1" ht="13.5" thickTop="1" x14ac:dyDescent="0.2">
      <c r="A35" s="338" t="s">
        <v>13</v>
      </c>
      <c r="B35" s="333">
        <v>166</v>
      </c>
      <c r="C35" s="311" t="s">
        <v>617</v>
      </c>
      <c r="D35" s="311" t="s">
        <v>617</v>
      </c>
      <c r="E35" s="311" t="s">
        <v>617</v>
      </c>
      <c r="F35" s="334">
        <v>140000</v>
      </c>
      <c r="G35" s="333">
        <v>5</v>
      </c>
      <c r="H35" s="311" t="s">
        <v>617</v>
      </c>
      <c r="I35" s="337">
        <v>50108.944153503588</v>
      </c>
      <c r="J35" s="336"/>
      <c r="K35" s="179"/>
      <c r="L35" s="180"/>
      <c r="M35" s="180"/>
    </row>
    <row r="36" spans="1:13" s="75" customFormat="1" ht="13.5" thickBot="1" x14ac:dyDescent="0.25">
      <c r="A36" s="339" t="s">
        <v>5</v>
      </c>
      <c r="B36" s="340"/>
      <c r="C36" s="341"/>
      <c r="D36" s="341"/>
      <c r="E36" s="327"/>
      <c r="F36" s="342"/>
      <c r="G36" s="342"/>
      <c r="H36" s="327"/>
      <c r="I36" s="328">
        <v>944779.59183712909</v>
      </c>
      <c r="J36" s="343"/>
      <c r="K36" s="179"/>
      <c r="L36" s="180"/>
      <c r="M36" s="180"/>
    </row>
    <row r="37" spans="1:13" s="75" customFormat="1" ht="13.5" thickTop="1" x14ac:dyDescent="0.2">
      <c r="A37" s="344" t="s">
        <v>166</v>
      </c>
    </row>
    <row r="38" spans="1:13" s="75" customFormat="1" ht="6" customHeight="1" x14ac:dyDescent="0.2">
      <c r="A38" s="345"/>
    </row>
    <row r="39" spans="1:13" s="75" customFormat="1" ht="21.75" customHeight="1" x14ac:dyDescent="0.2">
      <c r="A39" s="317" t="s">
        <v>167</v>
      </c>
      <c r="B39" s="317"/>
      <c r="C39" s="317"/>
      <c r="D39" s="317"/>
      <c r="E39" s="317"/>
    </row>
    <row r="40" spans="1:13" s="75" customFormat="1" x14ac:dyDescent="0.2">
      <c r="A40" s="345"/>
    </row>
    <row r="41" spans="1:13" s="75" customFormat="1" ht="50.85" customHeight="1" x14ac:dyDescent="0.2">
      <c r="A41" s="346"/>
      <c r="B41" s="318" t="s">
        <v>145</v>
      </c>
      <c r="C41" s="318" t="s">
        <v>146</v>
      </c>
      <c r="D41" s="318" t="s">
        <v>520</v>
      </c>
      <c r="E41" s="318" t="s">
        <v>147</v>
      </c>
      <c r="F41" s="318" t="s">
        <v>148</v>
      </c>
      <c r="G41" s="318" t="s">
        <v>168</v>
      </c>
      <c r="H41" s="318" t="s">
        <v>169</v>
      </c>
      <c r="I41" s="318" t="s">
        <v>170</v>
      </c>
      <c r="J41" s="318" t="s">
        <v>171</v>
      </c>
      <c r="K41" s="318" t="s">
        <v>151</v>
      </c>
      <c r="L41" s="318" t="s">
        <v>152</v>
      </c>
      <c r="M41" s="320" t="s">
        <v>153</v>
      </c>
    </row>
    <row r="42" spans="1:13" s="75" customFormat="1" ht="26.1" customHeight="1" thickBot="1" x14ac:dyDescent="0.25">
      <c r="A42" s="347"/>
      <c r="B42" s="348" t="s">
        <v>155</v>
      </c>
      <c r="C42" s="348" t="s">
        <v>156</v>
      </c>
      <c r="D42" s="348" t="s">
        <v>157</v>
      </c>
      <c r="E42" s="348" t="s">
        <v>158</v>
      </c>
      <c r="F42" s="348" t="s">
        <v>172</v>
      </c>
      <c r="G42" s="348" t="s">
        <v>165</v>
      </c>
      <c r="H42" s="348" t="s">
        <v>158</v>
      </c>
      <c r="I42" s="348" t="s">
        <v>158</v>
      </c>
      <c r="J42" s="349" t="s">
        <v>173</v>
      </c>
      <c r="K42" s="348" t="s">
        <v>158</v>
      </c>
      <c r="L42" s="325" t="s">
        <v>161</v>
      </c>
      <c r="M42" s="350" t="s">
        <v>157</v>
      </c>
    </row>
    <row r="43" spans="1:13" s="75" customFormat="1" ht="14.25" thickTop="1" thickBot="1" x14ac:dyDescent="0.25">
      <c r="A43" s="331" t="s">
        <v>23</v>
      </c>
      <c r="B43" s="333">
        <v>148</v>
      </c>
      <c r="C43" s="311" t="s">
        <v>617</v>
      </c>
      <c r="D43" s="311" t="s">
        <v>617</v>
      </c>
      <c r="E43" s="311" t="s">
        <v>617</v>
      </c>
      <c r="F43" s="334">
        <v>140000</v>
      </c>
      <c r="G43" s="333">
        <v>48</v>
      </c>
      <c r="H43" s="311" t="s">
        <v>617</v>
      </c>
      <c r="I43" s="333">
        <v>83202</v>
      </c>
      <c r="J43" s="351" t="s">
        <v>624</v>
      </c>
      <c r="K43" s="333">
        <v>-30191</v>
      </c>
      <c r="L43" s="352">
        <v>67416.502999999997</v>
      </c>
      <c r="M43" s="311" t="s">
        <v>617</v>
      </c>
    </row>
    <row r="44" spans="1:13" s="75" customFormat="1" ht="14.25" thickTop="1" thickBot="1" x14ac:dyDescent="0.25">
      <c r="A44" s="331" t="s">
        <v>24</v>
      </c>
      <c r="B44" s="333">
        <v>208</v>
      </c>
      <c r="C44" s="311" t="s">
        <v>617</v>
      </c>
      <c r="D44" s="311" t="s">
        <v>617</v>
      </c>
      <c r="E44" s="311" t="s">
        <v>617</v>
      </c>
      <c r="F44" s="334">
        <v>140000</v>
      </c>
      <c r="G44" s="333">
        <v>48</v>
      </c>
      <c r="H44" s="311" t="s">
        <v>617</v>
      </c>
      <c r="I44" s="333">
        <v>147588</v>
      </c>
      <c r="J44" s="351" t="s">
        <v>625</v>
      </c>
      <c r="K44" s="333">
        <v>15104</v>
      </c>
      <c r="L44" s="336">
        <v>-33727.232000000004</v>
      </c>
      <c r="M44" s="311" t="s">
        <v>617</v>
      </c>
    </row>
    <row r="45" spans="1:13" s="75" customFormat="1" ht="14.25" thickTop="1" thickBot="1" x14ac:dyDescent="0.25">
      <c r="A45" s="331" t="s">
        <v>25</v>
      </c>
      <c r="B45" s="333">
        <v>108</v>
      </c>
      <c r="C45" s="311" t="s">
        <v>617</v>
      </c>
      <c r="D45" s="311" t="s">
        <v>617</v>
      </c>
      <c r="E45" s="311" t="s">
        <v>617</v>
      </c>
      <c r="F45" s="334">
        <v>140000</v>
      </c>
      <c r="G45" s="333">
        <v>48</v>
      </c>
      <c r="H45" s="311" t="s">
        <v>617</v>
      </c>
      <c r="I45" s="333">
        <v>147588</v>
      </c>
      <c r="J45" s="351" t="s">
        <v>625</v>
      </c>
      <c r="K45" s="333">
        <v>15104</v>
      </c>
      <c r="L45" s="336">
        <v>-33727.232000000004</v>
      </c>
      <c r="M45" s="311" t="s">
        <v>617</v>
      </c>
    </row>
    <row r="46" spans="1:13" s="75" customFormat="1" ht="14.25" thickTop="1" thickBot="1" x14ac:dyDescent="0.25">
      <c r="A46" s="331" t="s">
        <v>18</v>
      </c>
      <c r="B46" s="333">
        <v>245</v>
      </c>
      <c r="C46" s="311" t="s">
        <v>617</v>
      </c>
      <c r="D46" s="311" t="s">
        <v>617</v>
      </c>
      <c r="E46" s="311" t="s">
        <v>617</v>
      </c>
      <c r="F46" s="334">
        <v>140000</v>
      </c>
      <c r="G46" s="333">
        <v>48</v>
      </c>
      <c r="H46" s="311" t="s">
        <v>617</v>
      </c>
      <c r="I46" s="333">
        <v>60000</v>
      </c>
      <c r="J46" s="351" t="s">
        <v>625</v>
      </c>
      <c r="K46" s="333">
        <v>0</v>
      </c>
      <c r="L46" s="336">
        <v>0</v>
      </c>
      <c r="M46" s="311" t="s">
        <v>617</v>
      </c>
    </row>
    <row r="47" spans="1:13" s="75" customFormat="1" ht="14.25" thickTop="1" thickBot="1" x14ac:dyDescent="0.25">
      <c r="A47" s="331" t="s">
        <v>26</v>
      </c>
      <c r="B47" s="333">
        <v>148</v>
      </c>
      <c r="C47" s="311" t="s">
        <v>617</v>
      </c>
      <c r="D47" s="311" t="s">
        <v>617</v>
      </c>
      <c r="E47" s="311" t="s">
        <v>617</v>
      </c>
      <c r="F47" s="334">
        <v>140000</v>
      </c>
      <c r="G47" s="333">
        <v>48</v>
      </c>
      <c r="H47" s="311" t="s">
        <v>617</v>
      </c>
      <c r="I47" s="333">
        <v>23184</v>
      </c>
      <c r="J47" s="351" t="s">
        <v>625</v>
      </c>
      <c r="K47" s="333">
        <v>3408</v>
      </c>
      <c r="L47" s="336">
        <v>-7610.0640000000003</v>
      </c>
      <c r="M47" s="311" t="s">
        <v>617</v>
      </c>
    </row>
    <row r="48" spans="1:13" s="75" customFormat="1" ht="13.5" thickTop="1" x14ac:dyDescent="0.2">
      <c r="A48" s="338" t="s">
        <v>13</v>
      </c>
      <c r="B48" s="333">
        <v>165</v>
      </c>
      <c r="C48" s="311" t="s">
        <v>617</v>
      </c>
      <c r="D48" s="311" t="s">
        <v>617</v>
      </c>
      <c r="E48" s="311" t="s">
        <v>617</v>
      </c>
      <c r="F48" s="334">
        <v>140000</v>
      </c>
      <c r="G48" s="333">
        <v>48</v>
      </c>
      <c r="H48" s="311" t="s">
        <v>617</v>
      </c>
      <c r="I48" s="333">
        <v>18774</v>
      </c>
      <c r="J48" s="353" t="s">
        <v>624</v>
      </c>
      <c r="K48" s="333">
        <v>-139866.25</v>
      </c>
      <c r="L48" s="336">
        <v>312321.33624999999</v>
      </c>
      <c r="M48" s="311" t="s">
        <v>617</v>
      </c>
    </row>
    <row r="49" spans="1:13" s="75" customFormat="1" ht="13.5" thickBot="1" x14ac:dyDescent="0.25">
      <c r="A49" s="339" t="s">
        <v>5</v>
      </c>
      <c r="B49" s="354"/>
      <c r="C49" s="672"/>
      <c r="D49" s="672"/>
      <c r="E49" s="327"/>
      <c r="F49" s="342"/>
      <c r="G49" s="342"/>
      <c r="H49" s="327"/>
      <c r="I49" s="342"/>
      <c r="J49" s="355"/>
      <c r="K49" s="342"/>
      <c r="L49" s="356"/>
      <c r="M49" s="673"/>
    </row>
    <row r="50" spans="1:13" s="75" customFormat="1" ht="13.5" thickTop="1" x14ac:dyDescent="0.2">
      <c r="A50" s="181" t="s">
        <v>174</v>
      </c>
    </row>
    <row r="51" spans="1:13" s="75" customFormat="1" x14ac:dyDescent="0.2"/>
    <row r="52" spans="1:13" s="75" customFormat="1" x14ac:dyDescent="0.2">
      <c r="A52" s="839" t="s">
        <v>175</v>
      </c>
      <c r="B52" s="839"/>
      <c r="C52" s="839"/>
      <c r="D52" s="839"/>
      <c r="E52" s="839"/>
    </row>
    <row r="53" spans="1:13" s="75" customFormat="1" x14ac:dyDescent="0.2">
      <c r="A53" s="577">
        <v>44439</v>
      </c>
      <c r="B53" s="576"/>
      <c r="C53" s="576"/>
      <c r="D53" s="576"/>
      <c r="E53" s="576"/>
    </row>
    <row r="54" spans="1:13" s="75" customFormat="1" ht="13.5" thickBot="1" x14ac:dyDescent="0.25">
      <c r="A54" s="357"/>
      <c r="B54" s="312" t="s">
        <v>176</v>
      </c>
      <c r="C54" s="313" t="s">
        <v>177</v>
      </c>
      <c r="D54" s="313" t="s">
        <v>178</v>
      </c>
      <c r="E54" s="314" t="s">
        <v>232</v>
      </c>
      <c r="F54" s="78"/>
      <c r="G54" s="78"/>
    </row>
    <row r="55" spans="1:13" s="75" customFormat="1" ht="14.25" thickTop="1" thickBot="1" x14ac:dyDescent="0.25">
      <c r="A55" s="331" t="s">
        <v>43</v>
      </c>
      <c r="B55" s="311" t="s">
        <v>617</v>
      </c>
      <c r="C55" s="311" t="s">
        <v>617</v>
      </c>
      <c r="D55" s="311" t="s">
        <v>617</v>
      </c>
      <c r="E55" s="358">
        <v>15100061</v>
      </c>
      <c r="F55" s="78"/>
      <c r="G55" s="78"/>
    </row>
    <row r="56" spans="1:13" s="75" customFormat="1" ht="14.25" thickTop="1" thickBot="1" x14ac:dyDescent="0.25">
      <c r="A56" s="331" t="s">
        <v>13</v>
      </c>
      <c r="B56" s="311" t="s">
        <v>617</v>
      </c>
      <c r="C56" s="311" t="s">
        <v>617</v>
      </c>
      <c r="D56" s="311" t="s">
        <v>617</v>
      </c>
      <c r="E56" s="358">
        <v>15111001</v>
      </c>
      <c r="F56" s="78"/>
      <c r="G56" s="78"/>
    </row>
    <row r="57" spans="1:13" s="75" customFormat="1" ht="14.25" thickTop="1" thickBot="1" x14ac:dyDescent="0.25">
      <c r="A57" s="331" t="s">
        <v>18</v>
      </c>
      <c r="B57" s="311" t="s">
        <v>617</v>
      </c>
      <c r="C57" s="311" t="s">
        <v>617</v>
      </c>
      <c r="D57" s="311" t="s">
        <v>617</v>
      </c>
      <c r="E57" s="358">
        <v>15100271</v>
      </c>
      <c r="F57" s="78"/>
      <c r="G57" s="78"/>
    </row>
    <row r="58" spans="1:13" s="75" customFormat="1" ht="14.25" thickTop="1" thickBot="1" x14ac:dyDescent="0.25">
      <c r="A58" s="331" t="s">
        <v>179</v>
      </c>
      <c r="B58" s="311" t="s">
        <v>617</v>
      </c>
      <c r="C58" s="311" t="s">
        <v>617</v>
      </c>
      <c r="D58" s="311" t="s">
        <v>617</v>
      </c>
      <c r="E58" s="358">
        <v>15100091</v>
      </c>
      <c r="F58" s="78"/>
      <c r="G58" s="78"/>
    </row>
    <row r="59" spans="1:13" s="75" customFormat="1" ht="14.25" thickTop="1" thickBot="1" x14ac:dyDescent="0.25">
      <c r="A59" s="331" t="s">
        <v>79</v>
      </c>
      <c r="B59" s="311" t="s">
        <v>617</v>
      </c>
      <c r="C59" s="311" t="s">
        <v>617</v>
      </c>
      <c r="D59" s="311" t="s">
        <v>617</v>
      </c>
      <c r="E59" s="358">
        <v>15100101</v>
      </c>
      <c r="F59" s="78"/>
      <c r="G59" s="78"/>
    </row>
    <row r="60" spans="1:13" s="75" customFormat="1" ht="14.25" thickTop="1" thickBot="1" x14ac:dyDescent="0.25">
      <c r="A60" s="338" t="s">
        <v>80</v>
      </c>
      <c r="B60" s="311" t="s">
        <v>617</v>
      </c>
      <c r="C60" s="311" t="s">
        <v>617</v>
      </c>
      <c r="D60" s="311" t="s">
        <v>617</v>
      </c>
      <c r="E60" s="358">
        <v>15100081</v>
      </c>
      <c r="F60" s="78"/>
      <c r="G60" s="78"/>
    </row>
    <row r="61" spans="1:13" s="75" customFormat="1" ht="14.25" thickTop="1" thickBot="1" x14ac:dyDescent="0.25">
      <c r="A61" s="339" t="s">
        <v>180</v>
      </c>
      <c r="B61" s="311" t="s">
        <v>617</v>
      </c>
      <c r="C61" s="311" t="s">
        <v>617</v>
      </c>
      <c r="D61" s="311" t="s">
        <v>617</v>
      </c>
      <c r="E61" s="359"/>
      <c r="F61" s="78"/>
      <c r="G61" s="78"/>
      <c r="H61" s="360"/>
      <c r="I61" s="360"/>
      <c r="J61" s="360"/>
    </row>
    <row r="62" spans="1:13" s="75" customFormat="1" ht="27.75" customHeight="1" thickTop="1" thickBot="1" x14ac:dyDescent="0.25">
      <c r="A62" s="49"/>
      <c r="B62" s="361"/>
      <c r="C62" s="361"/>
      <c r="D62" s="362"/>
      <c r="E62" s="361"/>
    </row>
    <row r="63" spans="1:13" s="75" customFormat="1" ht="14.25" thickTop="1" thickBot="1" x14ac:dyDescent="0.25">
      <c r="A63" s="840" t="s">
        <v>181</v>
      </c>
      <c r="B63" s="840"/>
      <c r="C63" s="840"/>
      <c r="D63" s="311" t="s">
        <v>617</v>
      </c>
      <c r="E63" s="361"/>
    </row>
    <row r="64" spans="1:13" s="75" customFormat="1" ht="14.25" thickTop="1" thickBot="1" x14ac:dyDescent="0.25">
      <c r="A64" s="363" t="s">
        <v>182</v>
      </c>
      <c r="B64" s="364"/>
      <c r="C64" s="364"/>
      <c r="D64" s="311" t="s">
        <v>617</v>
      </c>
      <c r="E64" s="365"/>
    </row>
    <row r="65" spans="1:4" s="75" customFormat="1" ht="13.5" thickTop="1" x14ac:dyDescent="0.2">
      <c r="A65" s="49"/>
      <c r="B65" s="361"/>
      <c r="C65" s="361"/>
      <c r="D65" s="361"/>
    </row>
    <row r="67" spans="1:4" x14ac:dyDescent="0.2">
      <c r="A67" s="39" t="s">
        <v>560</v>
      </c>
    </row>
    <row r="68" spans="1:4" x14ac:dyDescent="0.2">
      <c r="A68" s="44" t="s">
        <v>587</v>
      </c>
    </row>
  </sheetData>
  <mergeCells count="2">
    <mergeCell ref="A52:E52"/>
    <mergeCell ref="A63:C63"/>
  </mergeCells>
  <conditionalFormatting sqref="A67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scale="63" fitToHeight="0" orientation="landscape" r:id="rId1"/>
  <headerFooter alignWithMargins="0">
    <oddFooter>&amp;L&amp;P of &amp;N&amp;C&amp;A&amp;R&amp;D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P16"/>
  <sheetViews>
    <sheetView workbookViewId="0">
      <selection activeCell="L22" sqref="L22"/>
    </sheetView>
  </sheetViews>
  <sheetFormatPr defaultColWidth="8.85546875" defaultRowHeight="12.75" x14ac:dyDescent="0.2"/>
  <cols>
    <col min="1" max="1" width="27.140625" style="26" customWidth="1"/>
    <col min="2" max="2" width="11.5703125" style="26" customWidth="1"/>
    <col min="3" max="3" width="11.42578125" style="26" customWidth="1"/>
    <col min="4" max="4" width="10.5703125" style="26" customWidth="1"/>
    <col min="5" max="5" width="9.42578125" style="26" customWidth="1"/>
    <col min="6" max="6" width="10.140625" style="26" customWidth="1"/>
    <col min="7" max="7" width="10.85546875" style="26" customWidth="1"/>
    <col min="8" max="8" width="9.85546875" style="26" customWidth="1"/>
    <col min="9" max="13" width="9.5703125" style="26" bestFit="1" customWidth="1"/>
    <col min="14" max="14" width="11.42578125" style="26" bestFit="1" customWidth="1"/>
    <col min="15" max="15" width="11.85546875" style="26" bestFit="1" customWidth="1"/>
    <col min="16" max="16" width="10.85546875" style="26" customWidth="1"/>
    <col min="17" max="16384" width="8.85546875" style="26"/>
  </cols>
  <sheetData>
    <row r="1" spans="1:16" ht="18.75" x14ac:dyDescent="0.3">
      <c r="A1" s="214" t="s">
        <v>199</v>
      </c>
    </row>
    <row r="2" spans="1:16" ht="20.25" x14ac:dyDescent="0.3">
      <c r="A2" s="107" t="s">
        <v>196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16" ht="15.75" x14ac:dyDescent="0.25">
      <c r="A3" s="216" t="s">
        <v>538</v>
      </c>
    </row>
    <row r="4" spans="1:16" ht="16.5" thickBot="1" x14ac:dyDescent="0.3">
      <c r="I4" s="848"/>
      <c r="J4" s="848" t="s">
        <v>618</v>
      </c>
    </row>
    <row r="5" spans="1:16" ht="54" customHeight="1" thickBot="1" x14ac:dyDescent="0.3">
      <c r="A5" s="671"/>
      <c r="B5" s="87" t="s">
        <v>545</v>
      </c>
      <c r="C5" s="87" t="s">
        <v>546</v>
      </c>
      <c r="D5" s="87" t="s">
        <v>547</v>
      </c>
      <c r="E5" s="87" t="s">
        <v>548</v>
      </c>
      <c r="F5" s="87" t="s">
        <v>549</v>
      </c>
      <c r="G5" s="87" t="s">
        <v>550</v>
      </c>
      <c r="H5" s="87" t="s">
        <v>551</v>
      </c>
      <c r="I5" s="87" t="s">
        <v>552</v>
      </c>
      <c r="J5" s="87" t="s">
        <v>553</v>
      </c>
      <c r="K5" s="87" t="s">
        <v>554</v>
      </c>
      <c r="L5" s="87" t="s">
        <v>555</v>
      </c>
      <c r="M5" s="87" t="s">
        <v>556</v>
      </c>
      <c r="N5" s="118" t="s">
        <v>539</v>
      </c>
      <c r="O5" s="118" t="s">
        <v>536</v>
      </c>
      <c r="P5" s="118" t="s">
        <v>200</v>
      </c>
    </row>
    <row r="6" spans="1:16" ht="14.25" thickTop="1" thickBot="1" x14ac:dyDescent="0.25">
      <c r="A6" s="27" t="s">
        <v>82</v>
      </c>
      <c r="B6" s="407" t="s">
        <v>626</v>
      </c>
      <c r="C6" s="407" t="s">
        <v>626</v>
      </c>
      <c r="D6" s="407" t="s">
        <v>626</v>
      </c>
      <c r="E6" s="407" t="s">
        <v>626</v>
      </c>
      <c r="F6" s="407" t="s">
        <v>626</v>
      </c>
      <c r="G6" s="407" t="s">
        <v>626</v>
      </c>
      <c r="H6" s="407" t="s">
        <v>626</v>
      </c>
      <c r="I6" s="407" t="s">
        <v>626</v>
      </c>
      <c r="J6" s="407" t="s">
        <v>626</v>
      </c>
      <c r="K6" s="407" t="s">
        <v>626</v>
      </c>
      <c r="L6" s="407" t="s">
        <v>626</v>
      </c>
      <c r="M6" s="407" t="s">
        <v>626</v>
      </c>
      <c r="N6" s="689">
        <v>432917.68279999989</v>
      </c>
      <c r="O6" s="693">
        <v>498554.53559753078</v>
      </c>
      <c r="P6" s="695">
        <v>-65636.852797530883</v>
      </c>
    </row>
    <row r="7" spans="1:16" ht="14.25" thickTop="1" thickBot="1" x14ac:dyDescent="0.25">
      <c r="A7" s="27" t="s">
        <v>83</v>
      </c>
      <c r="B7" s="407" t="s">
        <v>626</v>
      </c>
      <c r="C7" s="407" t="s">
        <v>626</v>
      </c>
      <c r="D7" s="407" t="s">
        <v>626</v>
      </c>
      <c r="E7" s="407" t="s">
        <v>626</v>
      </c>
      <c r="F7" s="407" t="s">
        <v>626</v>
      </c>
      <c r="G7" s="407" t="s">
        <v>626</v>
      </c>
      <c r="H7" s="407" t="s">
        <v>626</v>
      </c>
      <c r="I7" s="407" t="s">
        <v>626</v>
      </c>
      <c r="J7" s="407" t="s">
        <v>626</v>
      </c>
      <c r="K7" s="407" t="s">
        <v>626</v>
      </c>
      <c r="L7" s="407" t="s">
        <v>626</v>
      </c>
      <c r="M7" s="407" t="s">
        <v>626</v>
      </c>
      <c r="N7" s="690">
        <v>389296.49809999997</v>
      </c>
      <c r="O7" s="693">
        <v>343958.96423950605</v>
      </c>
      <c r="P7" s="696">
        <v>45337.533860493917</v>
      </c>
    </row>
    <row r="8" spans="1:16" ht="14.25" thickTop="1" thickBot="1" x14ac:dyDescent="0.25">
      <c r="A8" s="27" t="s">
        <v>84</v>
      </c>
      <c r="B8" s="407" t="s">
        <v>626</v>
      </c>
      <c r="C8" s="407" t="s">
        <v>626</v>
      </c>
      <c r="D8" s="407" t="s">
        <v>626</v>
      </c>
      <c r="E8" s="407" t="s">
        <v>626</v>
      </c>
      <c r="F8" s="407" t="s">
        <v>626</v>
      </c>
      <c r="G8" s="407" t="s">
        <v>626</v>
      </c>
      <c r="H8" s="407" t="s">
        <v>626</v>
      </c>
      <c r="I8" s="407" t="s">
        <v>626</v>
      </c>
      <c r="J8" s="407" t="s">
        <v>626</v>
      </c>
      <c r="K8" s="407" t="s">
        <v>626</v>
      </c>
      <c r="L8" s="407" t="s">
        <v>626</v>
      </c>
      <c r="M8" s="407" t="s">
        <v>626</v>
      </c>
      <c r="N8" s="690">
        <v>206711.69150000002</v>
      </c>
      <c r="O8" s="693">
        <v>111709.9469271605</v>
      </c>
      <c r="P8" s="696">
        <v>95001.744572839511</v>
      </c>
    </row>
    <row r="9" spans="1:16" ht="14.25" thickTop="1" thickBot="1" x14ac:dyDescent="0.25">
      <c r="A9" s="27" t="s">
        <v>85</v>
      </c>
      <c r="B9" s="407" t="s">
        <v>626</v>
      </c>
      <c r="C9" s="407" t="s">
        <v>626</v>
      </c>
      <c r="D9" s="407" t="s">
        <v>626</v>
      </c>
      <c r="E9" s="407" t="s">
        <v>626</v>
      </c>
      <c r="F9" s="407" t="s">
        <v>626</v>
      </c>
      <c r="G9" s="407" t="s">
        <v>626</v>
      </c>
      <c r="H9" s="407" t="s">
        <v>626</v>
      </c>
      <c r="I9" s="407" t="s">
        <v>626</v>
      </c>
      <c r="J9" s="407" t="s">
        <v>626</v>
      </c>
      <c r="K9" s="407" t="s">
        <v>626</v>
      </c>
      <c r="L9" s="407" t="s">
        <v>626</v>
      </c>
      <c r="M9" s="407" t="s">
        <v>626</v>
      </c>
      <c r="N9" s="690">
        <v>206711.69150000002</v>
      </c>
      <c r="O9" s="693">
        <v>90763.83626419754</v>
      </c>
      <c r="P9" s="696">
        <v>115947.85523580248</v>
      </c>
    </row>
    <row r="10" spans="1:16" ht="14.25" thickTop="1" thickBot="1" x14ac:dyDescent="0.25">
      <c r="A10" s="27" t="s">
        <v>86</v>
      </c>
      <c r="B10" s="407" t="s">
        <v>626</v>
      </c>
      <c r="C10" s="407" t="s">
        <v>626</v>
      </c>
      <c r="D10" s="407" t="s">
        <v>626</v>
      </c>
      <c r="E10" s="407" t="s">
        <v>626</v>
      </c>
      <c r="F10" s="407" t="s">
        <v>626</v>
      </c>
      <c r="G10" s="407" t="s">
        <v>626</v>
      </c>
      <c r="H10" s="407" t="s">
        <v>626</v>
      </c>
      <c r="I10" s="407" t="s">
        <v>626</v>
      </c>
      <c r="J10" s="407" t="s">
        <v>626</v>
      </c>
      <c r="K10" s="407" t="s">
        <v>626</v>
      </c>
      <c r="L10" s="407" t="s">
        <v>626</v>
      </c>
      <c r="M10" s="407" t="s">
        <v>626</v>
      </c>
      <c r="N10" s="690">
        <v>410905.29819999996</v>
      </c>
      <c r="O10" s="693">
        <v>62650.006298765438</v>
      </c>
      <c r="P10" s="696">
        <v>348255.29190123454</v>
      </c>
    </row>
    <row r="11" spans="1:16" ht="14.25" thickTop="1" thickBot="1" x14ac:dyDescent="0.25">
      <c r="A11" s="28" t="s">
        <v>87</v>
      </c>
      <c r="B11" s="407" t="s">
        <v>626</v>
      </c>
      <c r="C11" s="407" t="s">
        <v>626</v>
      </c>
      <c r="D11" s="407" t="s">
        <v>626</v>
      </c>
      <c r="E11" s="407" t="s">
        <v>626</v>
      </c>
      <c r="F11" s="407" t="s">
        <v>626</v>
      </c>
      <c r="G11" s="407" t="s">
        <v>626</v>
      </c>
      <c r="H11" s="407" t="s">
        <v>626</v>
      </c>
      <c r="I11" s="407" t="s">
        <v>626</v>
      </c>
      <c r="J11" s="407" t="s">
        <v>626</v>
      </c>
      <c r="K11" s="407" t="s">
        <v>626</v>
      </c>
      <c r="L11" s="407" t="s">
        <v>626</v>
      </c>
      <c r="M11" s="407" t="s">
        <v>626</v>
      </c>
      <c r="N11" s="691">
        <v>425397.37879999995</v>
      </c>
      <c r="O11" s="694">
        <v>127531.41970246914</v>
      </c>
      <c r="P11" s="697">
        <v>297865.95909753081</v>
      </c>
    </row>
    <row r="12" spans="1:16" ht="14.25" thickTop="1" thickBot="1" x14ac:dyDescent="0.25">
      <c r="A12" s="374" t="s">
        <v>88</v>
      </c>
      <c r="B12" s="407" t="s">
        <v>626</v>
      </c>
      <c r="C12" s="407" t="s">
        <v>626</v>
      </c>
      <c r="D12" s="407" t="s">
        <v>626</v>
      </c>
      <c r="E12" s="407" t="s">
        <v>626</v>
      </c>
      <c r="F12" s="407" t="s">
        <v>626</v>
      </c>
      <c r="G12" s="407" t="s">
        <v>626</v>
      </c>
      <c r="H12" s="407" t="s">
        <v>626</v>
      </c>
      <c r="I12" s="407" t="s">
        <v>626</v>
      </c>
      <c r="J12" s="407" t="s">
        <v>626</v>
      </c>
      <c r="K12" s="407" t="s">
        <v>626</v>
      </c>
      <c r="L12" s="407" t="s">
        <v>626</v>
      </c>
      <c r="M12" s="407" t="s">
        <v>626</v>
      </c>
      <c r="N12" s="690">
        <v>2071940.2408999996</v>
      </c>
      <c r="O12" s="725">
        <v>1235168.7090296296</v>
      </c>
      <c r="P12" s="691">
        <v>836771.53187037003</v>
      </c>
    </row>
    <row r="13" spans="1:16" ht="15.75" thickTop="1" x14ac:dyDescent="0.25">
      <c r="A13" s="29" t="s">
        <v>89</v>
      </c>
      <c r="B13" s="407" t="s">
        <v>626</v>
      </c>
      <c r="C13" s="407" t="s">
        <v>626</v>
      </c>
      <c r="D13" s="407" t="s">
        <v>626</v>
      </c>
      <c r="E13" s="407" t="s">
        <v>626</v>
      </c>
      <c r="F13" s="407" t="s">
        <v>626</v>
      </c>
      <c r="G13" s="407" t="s">
        <v>626</v>
      </c>
      <c r="H13" s="407" t="s">
        <v>626</v>
      </c>
      <c r="I13" s="407" t="s">
        <v>626</v>
      </c>
      <c r="J13" s="407" t="s">
        <v>626</v>
      </c>
      <c r="K13" s="407" t="s">
        <v>626</v>
      </c>
      <c r="L13" s="407" t="s">
        <v>626</v>
      </c>
      <c r="M13" s="407" t="s">
        <v>626</v>
      </c>
      <c r="N13" s="692">
        <v>-2071940.2408999996</v>
      </c>
      <c r="O13" s="726">
        <v>-1235168.7090296296</v>
      </c>
      <c r="P13" s="698">
        <v>-836771.53187037003</v>
      </c>
    </row>
    <row r="14" spans="1:16" ht="16.350000000000001" customHeight="1" x14ac:dyDescent="0.2"/>
    <row r="15" spans="1:16" x14ac:dyDescent="0.2">
      <c r="A15" s="39" t="s">
        <v>560</v>
      </c>
    </row>
    <row r="16" spans="1:16" x14ac:dyDescent="0.2">
      <c r="A16" s="44" t="s">
        <v>587</v>
      </c>
    </row>
  </sheetData>
  <conditionalFormatting sqref="A15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  <pageSetup scale="66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  <pageSetUpPr fitToPage="1"/>
  </sheetPr>
  <dimension ref="A1:E24"/>
  <sheetViews>
    <sheetView workbookViewId="0">
      <selection activeCell="J15" sqref="J15"/>
    </sheetView>
  </sheetViews>
  <sheetFormatPr defaultColWidth="8.85546875" defaultRowHeight="15" x14ac:dyDescent="0.25"/>
  <cols>
    <col min="1" max="1" width="5" style="32" customWidth="1"/>
    <col min="2" max="2" width="36.42578125" style="32" customWidth="1"/>
    <col min="3" max="3" width="12.140625" style="21" customWidth="1"/>
    <col min="4" max="4" width="11.140625" style="32" customWidth="1"/>
    <col min="5" max="5" width="10.140625" style="32" bestFit="1" customWidth="1"/>
    <col min="6" max="16384" width="8.85546875" style="32"/>
  </cols>
  <sheetData>
    <row r="1" spans="1:5" ht="18.75" x14ac:dyDescent="0.3">
      <c r="A1" s="214" t="s">
        <v>199</v>
      </c>
    </row>
    <row r="2" spans="1:5" ht="21" x14ac:dyDescent="0.35">
      <c r="A2" s="188" t="s">
        <v>192</v>
      </c>
      <c r="B2" s="33"/>
      <c r="C2" s="849" t="s">
        <v>618</v>
      </c>
      <c r="D2" s="849"/>
      <c r="E2" s="33"/>
    </row>
    <row r="3" spans="1:5" ht="15.75" x14ac:dyDescent="0.25">
      <c r="A3" s="216" t="s">
        <v>538</v>
      </c>
    </row>
    <row r="4" spans="1:5" ht="15.75" x14ac:dyDescent="0.25">
      <c r="A4" s="25"/>
    </row>
    <row r="5" spans="1:5" x14ac:dyDescent="0.25">
      <c r="A5" s="75"/>
      <c r="B5" s="75"/>
      <c r="C5" s="117"/>
      <c r="D5" s="75"/>
      <c r="E5" s="75"/>
    </row>
    <row r="6" spans="1:5" ht="16.5" thickBot="1" x14ac:dyDescent="0.3">
      <c r="A6" s="72" t="s">
        <v>30</v>
      </c>
      <c r="B6" s="113"/>
      <c r="C6" s="126"/>
      <c r="D6" s="119"/>
      <c r="E6" s="119"/>
    </row>
    <row r="7" spans="1:5" ht="27" thickBot="1" x14ac:dyDescent="0.3">
      <c r="A7" s="121" t="s">
        <v>205</v>
      </c>
      <c r="B7" s="76"/>
      <c r="C7" s="118" t="s">
        <v>539</v>
      </c>
      <c r="D7" s="118" t="s">
        <v>541</v>
      </c>
      <c r="E7" s="118" t="s">
        <v>200</v>
      </c>
    </row>
    <row r="8" spans="1:5" x14ac:dyDescent="0.25">
      <c r="A8" s="127"/>
      <c r="B8" s="113" t="s">
        <v>138</v>
      </c>
      <c r="C8" s="788">
        <v>12</v>
      </c>
      <c r="D8" s="788">
        <v>12</v>
      </c>
      <c r="E8" s="128"/>
    </row>
    <row r="9" spans="1:5" x14ac:dyDescent="0.25">
      <c r="A9" s="77"/>
      <c r="B9" s="122" t="s">
        <v>206</v>
      </c>
      <c r="C9" s="789"/>
      <c r="D9" s="787"/>
      <c r="E9" s="81"/>
    </row>
    <row r="10" spans="1:5" ht="15.75" thickBot="1" x14ac:dyDescent="0.3">
      <c r="A10" s="77"/>
      <c r="B10" s="73" t="s">
        <v>27</v>
      </c>
      <c r="C10" s="790"/>
      <c r="D10" s="787"/>
      <c r="E10" s="81"/>
    </row>
    <row r="11" spans="1:5" ht="16.5" thickTop="1" thickBot="1" x14ac:dyDescent="0.3">
      <c r="A11" s="117"/>
      <c r="B11" s="74" t="s">
        <v>105</v>
      </c>
      <c r="C11" s="295" t="s">
        <v>622</v>
      </c>
      <c r="D11" s="295" t="s">
        <v>622</v>
      </c>
      <c r="E11" s="295" t="s">
        <v>622</v>
      </c>
    </row>
    <row r="12" spans="1:5" ht="16.5" thickTop="1" thickBot="1" x14ac:dyDescent="0.3">
      <c r="A12" s="117"/>
      <c r="B12" s="74" t="s">
        <v>101</v>
      </c>
      <c r="C12" s="295" t="s">
        <v>622</v>
      </c>
      <c r="D12" s="295" t="s">
        <v>622</v>
      </c>
      <c r="E12" s="295" t="s">
        <v>622</v>
      </c>
    </row>
    <row r="13" spans="1:5" ht="16.5" thickTop="1" thickBot="1" x14ac:dyDescent="0.3">
      <c r="A13" s="117"/>
      <c r="B13" s="74" t="s">
        <v>102</v>
      </c>
      <c r="C13" s="295" t="s">
        <v>622</v>
      </c>
      <c r="D13" s="295" t="s">
        <v>622</v>
      </c>
      <c r="E13" s="295" t="s">
        <v>622</v>
      </c>
    </row>
    <row r="14" spans="1:5" ht="16.5" thickTop="1" thickBot="1" x14ac:dyDescent="0.3">
      <c r="A14" s="117"/>
      <c r="B14" s="239" t="s">
        <v>28</v>
      </c>
      <c r="C14" s="295" t="s">
        <v>622</v>
      </c>
      <c r="D14" s="295" t="s">
        <v>622</v>
      </c>
      <c r="E14" s="295" t="s">
        <v>622</v>
      </c>
    </row>
    <row r="15" spans="1:5" ht="16.5" thickTop="1" thickBot="1" x14ac:dyDescent="0.3">
      <c r="A15" s="117"/>
      <c r="B15" s="123" t="s">
        <v>103</v>
      </c>
      <c r="C15" s="295" t="s">
        <v>622</v>
      </c>
      <c r="D15" s="295" t="s">
        <v>622</v>
      </c>
      <c r="E15" s="295" t="s">
        <v>622</v>
      </c>
    </row>
    <row r="16" spans="1:5" ht="16.5" thickTop="1" thickBot="1" x14ac:dyDescent="0.3">
      <c r="A16" s="117"/>
      <c r="B16" s="73" t="s">
        <v>29</v>
      </c>
      <c r="C16" s="295" t="s">
        <v>622</v>
      </c>
      <c r="D16" s="295" t="s">
        <v>622</v>
      </c>
      <c r="E16" s="295" t="s">
        <v>622</v>
      </c>
    </row>
    <row r="17" spans="1:5" ht="16.5" thickTop="1" thickBot="1" x14ac:dyDescent="0.3">
      <c r="A17" s="117"/>
      <c r="B17" s="239" t="s">
        <v>31</v>
      </c>
      <c r="C17" s="295" t="s">
        <v>622</v>
      </c>
      <c r="D17" s="295" t="s">
        <v>622</v>
      </c>
      <c r="E17" s="295" t="s">
        <v>622</v>
      </c>
    </row>
    <row r="18" spans="1:5" ht="16.5" thickTop="1" thickBot="1" x14ac:dyDescent="0.3">
      <c r="A18" s="117"/>
      <c r="B18" s="75" t="s">
        <v>104</v>
      </c>
      <c r="C18" s="295" t="s">
        <v>622</v>
      </c>
      <c r="D18" s="295" t="s">
        <v>622</v>
      </c>
      <c r="E18" s="295" t="s">
        <v>622</v>
      </c>
    </row>
    <row r="19" spans="1:5" ht="16.5" thickTop="1" thickBot="1" x14ac:dyDescent="0.3">
      <c r="A19" s="117"/>
      <c r="B19" s="75"/>
      <c r="C19" s="295" t="s">
        <v>622</v>
      </c>
      <c r="D19" s="295" t="s">
        <v>622</v>
      </c>
      <c r="E19" s="295" t="s">
        <v>622</v>
      </c>
    </row>
    <row r="20" spans="1:5" ht="16.5" thickTop="1" thickBot="1" x14ac:dyDescent="0.3">
      <c r="A20" s="117"/>
      <c r="B20" s="124" t="s">
        <v>99</v>
      </c>
      <c r="C20" s="295" t="s">
        <v>622</v>
      </c>
      <c r="D20" s="295" t="s">
        <v>622</v>
      </c>
      <c r="E20" s="295" t="s">
        <v>622</v>
      </c>
    </row>
    <row r="21" spans="1:5" ht="15.75" thickTop="1" x14ac:dyDescent="0.25">
      <c r="A21" s="117"/>
      <c r="B21" s="125" t="s">
        <v>100</v>
      </c>
      <c r="C21" s="295" t="s">
        <v>622</v>
      </c>
      <c r="D21" s="295" t="s">
        <v>622</v>
      </c>
      <c r="E21" s="295" t="s">
        <v>622</v>
      </c>
    </row>
    <row r="22" spans="1:5" x14ac:dyDescent="0.25">
      <c r="A22" s="117"/>
      <c r="B22" s="78"/>
      <c r="C22" s="120"/>
      <c r="D22" s="79"/>
      <c r="E22" s="117"/>
    </row>
    <row r="23" spans="1:5" x14ac:dyDescent="0.25">
      <c r="A23" s="39" t="s">
        <v>560</v>
      </c>
    </row>
    <row r="24" spans="1:5" x14ac:dyDescent="0.25">
      <c r="A24" s="44"/>
    </row>
  </sheetData>
  <conditionalFormatting sqref="A23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rintOptions horizontalCentered="1"/>
  <pageMargins left="0.7" right="0.7" top="0.75" bottom="0.75" header="0.3" footer="0.3"/>
  <pageSetup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0"/>
  <sheetViews>
    <sheetView tabSelected="1" topLeftCell="A4" zoomScaleNormal="100" workbookViewId="0">
      <selection activeCell="B7" sqref="B7"/>
    </sheetView>
  </sheetViews>
  <sheetFormatPr defaultColWidth="8.85546875" defaultRowHeight="15" x14ac:dyDescent="0.25"/>
  <cols>
    <col min="1" max="1" width="44.7109375" style="32" customWidth="1"/>
    <col min="2" max="2" width="17.42578125" style="32" customWidth="1"/>
    <col min="3" max="3" width="18.7109375" style="32" customWidth="1"/>
    <col min="4" max="4" width="13.42578125" style="32" bestFit="1" customWidth="1"/>
    <col min="5" max="5" width="14.5703125" style="791" customWidth="1"/>
    <col min="6" max="6" width="5.140625" style="791" bestFit="1" customWidth="1"/>
    <col min="7" max="7" width="16" style="791" bestFit="1" customWidth="1"/>
    <col min="8" max="8" width="13.42578125" style="168" bestFit="1" customWidth="1"/>
    <col min="9" max="9" width="10.140625" style="168" bestFit="1" customWidth="1"/>
    <col min="10" max="16384" width="8.85546875" style="168"/>
  </cols>
  <sheetData>
    <row r="1" spans="1:11" ht="18.75" x14ac:dyDescent="0.3">
      <c r="A1" s="462" t="s">
        <v>199</v>
      </c>
      <c r="B1" s="462"/>
    </row>
    <row r="2" spans="1:11" ht="21" x14ac:dyDescent="0.35">
      <c r="A2" s="463" t="s">
        <v>81</v>
      </c>
      <c r="B2" s="463"/>
      <c r="K2" s="169"/>
    </row>
    <row r="3" spans="1:11" ht="15.75" x14ac:dyDescent="0.25">
      <c r="A3" s="464" t="s">
        <v>538</v>
      </c>
      <c r="B3" s="464"/>
      <c r="K3" s="169"/>
    </row>
    <row r="4" spans="1:11" s="169" customFormat="1" ht="27" thickBot="1" x14ac:dyDescent="0.3">
      <c r="A4" s="75"/>
      <c r="B4" s="465" t="s">
        <v>539</v>
      </c>
      <c r="C4" s="465" t="s">
        <v>536</v>
      </c>
      <c r="D4" s="465" t="s">
        <v>200</v>
      </c>
      <c r="E4" s="791"/>
      <c r="F4" s="791"/>
      <c r="G4" s="791"/>
    </row>
    <row r="5" spans="1:11" s="169" customFormat="1" x14ac:dyDescent="0.25">
      <c r="A5" s="75"/>
      <c r="B5" s="802" t="s">
        <v>585</v>
      </c>
      <c r="C5" s="802" t="s">
        <v>558</v>
      </c>
      <c r="D5" s="467"/>
      <c r="E5" s="791"/>
      <c r="F5" s="791"/>
      <c r="G5" s="791"/>
    </row>
    <row r="6" spans="1:11" s="169" customFormat="1" x14ac:dyDescent="0.25">
      <c r="A6" s="716" t="s">
        <v>570</v>
      </c>
      <c r="B6" s="792">
        <v>624689.81733059359</v>
      </c>
      <c r="C6" s="793">
        <v>4446183.8</v>
      </c>
      <c r="D6" s="793">
        <f t="shared" ref="D6:D22" si="0">B6-C6</f>
        <v>-3821493.9826694061</v>
      </c>
      <c r="E6" s="714"/>
      <c r="F6" s="714"/>
      <c r="G6" s="714"/>
      <c r="K6" s="168"/>
    </row>
    <row r="7" spans="1:11" s="169" customFormat="1" x14ac:dyDescent="0.25">
      <c r="A7" s="716" t="s">
        <v>571</v>
      </c>
      <c r="B7" s="792">
        <v>4859696.339186714</v>
      </c>
      <c r="C7" s="793">
        <v>2727.73</v>
      </c>
      <c r="D7" s="793">
        <f t="shared" si="0"/>
        <v>4856968.6091867136</v>
      </c>
      <c r="E7" s="714"/>
      <c r="F7" s="714"/>
      <c r="G7" s="714"/>
      <c r="K7" s="168"/>
    </row>
    <row r="8" spans="1:11" s="169" customFormat="1" x14ac:dyDescent="0.25">
      <c r="A8" s="716" t="s">
        <v>572</v>
      </c>
      <c r="B8" s="792">
        <v>6069053.7000000002</v>
      </c>
      <c r="C8" s="793">
        <v>2727475.53</v>
      </c>
      <c r="D8" s="793">
        <f t="shared" si="0"/>
        <v>3341578.1700000004</v>
      </c>
      <c r="E8" s="714"/>
      <c r="F8" s="714"/>
      <c r="G8" s="714"/>
      <c r="K8" s="168"/>
    </row>
    <row r="9" spans="1:11" s="169" customFormat="1" x14ac:dyDescent="0.25">
      <c r="A9" s="716" t="s">
        <v>573</v>
      </c>
      <c r="B9" s="792">
        <v>635213.83040334482</v>
      </c>
      <c r="C9" s="793">
        <v>1878464.55</v>
      </c>
      <c r="D9" s="793">
        <f t="shared" si="0"/>
        <v>-1243250.7195966551</v>
      </c>
      <c r="E9" s="714"/>
      <c r="F9" s="714"/>
      <c r="G9" s="714"/>
      <c r="K9" s="168"/>
    </row>
    <row r="10" spans="1:11" s="169" customFormat="1" x14ac:dyDescent="0.25">
      <c r="A10" s="716" t="s">
        <v>574</v>
      </c>
      <c r="B10" s="792">
        <v>2643403.2858047914</v>
      </c>
      <c r="C10" s="793">
        <v>0</v>
      </c>
      <c r="D10" s="793">
        <f t="shared" si="0"/>
        <v>2643403.2858047914</v>
      </c>
      <c r="E10" s="714"/>
      <c r="F10" s="714"/>
      <c r="G10" s="714"/>
      <c r="K10" s="168"/>
    </row>
    <row r="11" spans="1:11" s="169" customFormat="1" x14ac:dyDescent="0.25">
      <c r="A11" s="716" t="s">
        <v>575</v>
      </c>
      <c r="B11" s="792">
        <v>1900000</v>
      </c>
      <c r="C11" s="793">
        <v>1276250.58</v>
      </c>
      <c r="D11" s="793">
        <f t="shared" si="0"/>
        <v>623749.41999999993</v>
      </c>
      <c r="E11" s="714"/>
      <c r="F11" s="714"/>
      <c r="G11" s="714"/>
      <c r="K11" s="168"/>
    </row>
    <row r="12" spans="1:11" s="169" customFormat="1" x14ac:dyDescent="0.25">
      <c r="A12" s="716" t="s">
        <v>576</v>
      </c>
      <c r="B12" s="792">
        <v>1520022.8289145869</v>
      </c>
      <c r="C12" s="793">
        <v>1606920.7100000002</v>
      </c>
      <c r="D12" s="793">
        <f t="shared" si="0"/>
        <v>-86897.881085413275</v>
      </c>
      <c r="E12" s="714"/>
      <c r="F12" s="714"/>
      <c r="G12" s="714"/>
      <c r="K12" s="168"/>
    </row>
    <row r="13" spans="1:11" s="169" customFormat="1" x14ac:dyDescent="0.25">
      <c r="A13" s="716" t="s">
        <v>577</v>
      </c>
      <c r="B13" s="792">
        <v>1163085.8045979999</v>
      </c>
      <c r="C13" s="793">
        <v>1539467.87</v>
      </c>
      <c r="D13" s="793">
        <f t="shared" si="0"/>
        <v>-376382.06540200021</v>
      </c>
      <c r="E13" s="714"/>
      <c r="F13" s="714"/>
      <c r="G13" s="714"/>
      <c r="K13" s="168"/>
    </row>
    <row r="14" spans="1:11" s="169" customFormat="1" x14ac:dyDescent="0.25">
      <c r="A14" s="716" t="s">
        <v>578</v>
      </c>
      <c r="B14" s="792">
        <v>1633276.2767424155</v>
      </c>
      <c r="C14" s="793">
        <v>2060669.73</v>
      </c>
      <c r="D14" s="793">
        <f t="shared" si="0"/>
        <v>-427393.45325758448</v>
      </c>
      <c r="E14" s="714"/>
      <c r="F14" s="714"/>
      <c r="G14" s="714"/>
      <c r="K14" s="168"/>
    </row>
    <row r="15" spans="1:11" s="169" customFormat="1" x14ac:dyDescent="0.25">
      <c r="A15" s="109" t="s">
        <v>51</v>
      </c>
      <c r="B15" s="792"/>
      <c r="C15" s="793">
        <v>-38215284</v>
      </c>
      <c r="D15" s="793">
        <f t="shared" si="0"/>
        <v>38215284</v>
      </c>
      <c r="E15" s="714"/>
      <c r="F15" s="714"/>
      <c r="G15" s="714"/>
      <c r="K15" s="168"/>
    </row>
    <row r="16" spans="1:11" s="169" customFormat="1" x14ac:dyDescent="0.25">
      <c r="A16" s="716" t="s">
        <v>579</v>
      </c>
      <c r="B16" s="792">
        <v>938672.65983283496</v>
      </c>
      <c r="C16" s="793">
        <v>1140785.3499999999</v>
      </c>
      <c r="D16" s="793">
        <f t="shared" si="0"/>
        <v>-202112.6901671649</v>
      </c>
      <c r="E16" s="714"/>
      <c r="F16" s="714"/>
      <c r="G16" s="714"/>
      <c r="K16" s="168"/>
    </row>
    <row r="17" spans="1:11" s="169" customFormat="1" x14ac:dyDescent="0.25">
      <c r="A17" s="716" t="s">
        <v>580</v>
      </c>
      <c r="B17" s="792">
        <v>50000</v>
      </c>
      <c r="C17" s="793">
        <v>0</v>
      </c>
      <c r="D17" s="793">
        <f t="shared" si="0"/>
        <v>50000</v>
      </c>
      <c r="E17" s="714"/>
      <c r="F17" s="714"/>
      <c r="G17" s="714"/>
      <c r="K17" s="168"/>
    </row>
    <row r="18" spans="1:11" s="169" customFormat="1" x14ac:dyDescent="0.25">
      <c r="A18" s="716" t="s">
        <v>581</v>
      </c>
      <c r="B18" s="792">
        <v>352400.68263589998</v>
      </c>
      <c r="C18" s="793">
        <v>255033.89</v>
      </c>
      <c r="D18" s="793">
        <f t="shared" si="0"/>
        <v>97366.792635899968</v>
      </c>
      <c r="E18" s="714"/>
      <c r="F18" s="714"/>
      <c r="G18" s="714"/>
      <c r="K18" s="168"/>
    </row>
    <row r="19" spans="1:11" s="169" customFormat="1" x14ac:dyDescent="0.25">
      <c r="A19" s="716" t="s">
        <v>582</v>
      </c>
      <c r="B19" s="792">
        <v>257020.34123042721</v>
      </c>
      <c r="C19" s="793">
        <v>267410.38</v>
      </c>
      <c r="D19" s="793">
        <f t="shared" si="0"/>
        <v>-10390.038769572799</v>
      </c>
      <c r="E19" s="714"/>
      <c r="F19" s="714"/>
      <c r="G19" s="714"/>
      <c r="K19" s="168"/>
    </row>
    <row r="20" spans="1:11" s="169" customFormat="1" x14ac:dyDescent="0.25">
      <c r="A20" s="716" t="s">
        <v>583</v>
      </c>
      <c r="B20" s="792">
        <v>76777.188891915197</v>
      </c>
      <c r="C20" s="793">
        <v>144694.35</v>
      </c>
      <c r="D20" s="793">
        <f t="shared" si="0"/>
        <v>-67917.161108084809</v>
      </c>
      <c r="E20" s="714"/>
      <c r="F20" s="714"/>
      <c r="G20" s="714"/>
      <c r="K20" s="168"/>
    </row>
    <row r="21" spans="1:11" s="169" customFormat="1" x14ac:dyDescent="0.25">
      <c r="A21" s="716" t="s">
        <v>584</v>
      </c>
      <c r="B21" s="792">
        <v>57326.967705963347</v>
      </c>
      <c r="C21" s="793">
        <v>73601.16</v>
      </c>
      <c r="D21" s="793">
        <f t="shared" si="0"/>
        <v>-16274.192294036657</v>
      </c>
      <c r="E21" s="714"/>
      <c r="F21" s="714"/>
      <c r="G21" s="714"/>
      <c r="K21" s="168"/>
    </row>
    <row r="22" spans="1:11" s="169" customFormat="1" x14ac:dyDescent="0.25">
      <c r="A22" s="716" t="s">
        <v>589</v>
      </c>
      <c r="B22" s="792"/>
      <c r="C22" s="793">
        <v>30291</v>
      </c>
      <c r="D22" s="793">
        <f t="shared" si="0"/>
        <v>-30291</v>
      </c>
      <c r="E22" s="714"/>
      <c r="F22" s="714"/>
      <c r="G22" s="714"/>
      <c r="K22" s="168"/>
    </row>
    <row r="23" spans="1:11" s="169" customFormat="1" x14ac:dyDescent="0.25">
      <c r="A23" s="719" t="s">
        <v>590</v>
      </c>
      <c r="B23" s="794"/>
      <c r="C23" s="795">
        <f>SUM(C6:C22)</f>
        <v>-20765307.369999994</v>
      </c>
      <c r="D23" s="796"/>
      <c r="E23" s="714"/>
      <c r="F23" s="714"/>
      <c r="G23" s="714"/>
      <c r="K23" s="168"/>
    </row>
    <row r="24" spans="1:11" s="169" customFormat="1" x14ac:dyDescent="0.25">
      <c r="A24" s="109" t="s">
        <v>135</v>
      </c>
      <c r="B24" s="792"/>
      <c r="C24" s="797">
        <v>38215284</v>
      </c>
      <c r="D24" s="793"/>
      <c r="E24" s="714"/>
      <c r="F24" s="714"/>
      <c r="G24" s="714"/>
      <c r="K24" s="168"/>
    </row>
    <row r="25" spans="1:11" s="169" customFormat="1" x14ac:dyDescent="0.25">
      <c r="A25" s="715" t="s">
        <v>591</v>
      </c>
      <c r="B25" s="798">
        <f>SUM(B6:B21)</f>
        <v>22780639.723277483</v>
      </c>
      <c r="C25" s="796">
        <f>SUM(C23:C24)</f>
        <v>17449976.630000006</v>
      </c>
      <c r="D25" s="795">
        <f t="shared" ref="D25:D27" si="1">B25-C25</f>
        <v>5330663.0932774767</v>
      </c>
      <c r="E25" s="714"/>
      <c r="F25" s="714"/>
      <c r="G25" s="714"/>
      <c r="K25" s="168"/>
    </row>
    <row r="26" spans="1:11" s="169" customFormat="1" x14ac:dyDescent="0.25">
      <c r="A26" s="109" t="s">
        <v>136</v>
      </c>
      <c r="B26" s="799">
        <f>-B8</f>
        <v>-6069053.7000000002</v>
      </c>
      <c r="C26" s="797">
        <v>-2727475.53</v>
      </c>
      <c r="D26" s="797">
        <f t="shared" si="1"/>
        <v>-3341578.1700000004</v>
      </c>
      <c r="E26" s="714"/>
      <c r="F26" s="714"/>
      <c r="G26" s="714"/>
      <c r="K26" s="168"/>
    </row>
    <row r="27" spans="1:11" s="169" customFormat="1" ht="15.75" thickBot="1" x14ac:dyDescent="0.3">
      <c r="A27" s="546" t="s">
        <v>134</v>
      </c>
      <c r="B27" s="800">
        <f>SUM(B25:B26)</f>
        <v>16711586.023277484</v>
      </c>
      <c r="C27" s="800">
        <f>SUM(C25:C26)</f>
        <v>14722501.100000007</v>
      </c>
      <c r="D27" s="800">
        <f t="shared" si="1"/>
        <v>1989084.9232774768</v>
      </c>
      <c r="E27" s="714"/>
      <c r="F27" s="714"/>
      <c r="G27" s="714"/>
      <c r="K27" s="168"/>
    </row>
    <row r="29" spans="1:11" x14ac:dyDescent="0.25">
      <c r="A29" s="36" t="s">
        <v>559</v>
      </c>
      <c r="B29" s="37"/>
    </row>
    <row r="30" spans="1:11" x14ac:dyDescent="0.25">
      <c r="A30" s="39" t="s">
        <v>560</v>
      </c>
      <c r="B30" s="39"/>
    </row>
  </sheetData>
  <conditionalFormatting sqref="A30:B30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rintOptions horizontalCentered="1"/>
  <pageMargins left="0.7" right="0.7" top="0.75" bottom="0.75" header="0.3" footer="0.3"/>
  <pageSetup scale="97" fitToWidth="0" orientation="landscape" r:id="rId1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B79"/>
  <sheetViews>
    <sheetView workbookViewId="0">
      <selection activeCell="F20" sqref="F20"/>
    </sheetView>
  </sheetViews>
  <sheetFormatPr defaultColWidth="8.85546875" defaultRowHeight="15" x14ac:dyDescent="0.25"/>
  <cols>
    <col min="1" max="1" width="6.42578125" style="32" customWidth="1"/>
    <col min="2" max="2" width="25.42578125" style="32" customWidth="1"/>
    <col min="3" max="13" width="10.5703125" style="6" bestFit="1" customWidth="1"/>
    <col min="14" max="14" width="12.85546875" style="6" customWidth="1"/>
    <col min="15" max="16" width="12.140625" style="6" customWidth="1"/>
    <col min="17" max="17" width="12.140625" style="32" customWidth="1"/>
    <col min="18" max="18" width="13.85546875" style="33" customWidth="1"/>
    <col min="19" max="19" width="12.140625" style="33" customWidth="1"/>
    <col min="20" max="20" width="1.85546875" style="33" customWidth="1"/>
    <col min="21" max="21" width="12.85546875" style="33" bestFit="1" customWidth="1"/>
    <col min="22" max="22" width="11.85546875" style="33" customWidth="1"/>
    <col min="23" max="23" width="1.85546875" style="33" customWidth="1"/>
    <col min="24" max="24" width="12.140625" style="33" customWidth="1"/>
    <col min="25" max="25" width="13" style="33" customWidth="1"/>
    <col min="26" max="26" width="1.140625" style="33" customWidth="1"/>
    <col min="27" max="27" width="12.140625" style="33" customWidth="1"/>
    <col min="28" max="28" width="11.42578125" style="33" customWidth="1"/>
    <col min="29" max="29" width="8.85546875" style="32"/>
    <col min="30" max="30" width="10.140625" style="32" bestFit="1" customWidth="1"/>
    <col min="31" max="16384" width="8.85546875" style="32"/>
  </cols>
  <sheetData>
    <row r="1" spans="1:28" ht="18.75" x14ac:dyDescent="0.3">
      <c r="A1" s="214" t="s">
        <v>199</v>
      </c>
      <c r="B1" s="134"/>
      <c r="C1" s="135"/>
      <c r="D1" s="135"/>
      <c r="E1" s="135"/>
      <c r="F1" s="135"/>
      <c r="G1" s="135"/>
      <c r="I1" s="47"/>
      <c r="J1" s="135"/>
      <c r="K1" s="135"/>
      <c r="L1" s="135"/>
      <c r="M1" s="135"/>
      <c r="N1" s="135"/>
      <c r="O1" s="135"/>
      <c r="P1" s="135"/>
      <c r="Q1" s="134"/>
      <c r="R1" s="136"/>
      <c r="S1" s="136"/>
      <c r="T1" s="136"/>
      <c r="U1" s="136"/>
      <c r="V1" s="136"/>
      <c r="W1" s="136"/>
    </row>
    <row r="2" spans="1:28" ht="21" x14ac:dyDescent="0.35">
      <c r="A2" s="215" t="s">
        <v>197</v>
      </c>
      <c r="B2" s="134"/>
      <c r="C2" s="135"/>
      <c r="D2" s="135"/>
      <c r="E2" s="135"/>
      <c r="F2" s="135"/>
      <c r="G2" s="135"/>
      <c r="I2" s="137"/>
      <c r="J2" s="135"/>
      <c r="K2" s="135"/>
      <c r="L2" s="135"/>
      <c r="M2" s="135"/>
      <c r="N2" s="135"/>
      <c r="O2" s="135"/>
      <c r="P2" s="135"/>
      <c r="Q2" s="134"/>
      <c r="R2" s="136"/>
      <c r="S2" s="136"/>
      <c r="T2" s="136"/>
      <c r="U2" s="136"/>
      <c r="V2" s="136"/>
      <c r="W2" s="136"/>
    </row>
    <row r="3" spans="1:28" ht="18.75" x14ac:dyDescent="0.3">
      <c r="A3" s="216" t="s">
        <v>538</v>
      </c>
      <c r="B3" s="134"/>
      <c r="C3" s="135"/>
      <c r="D3" s="135"/>
      <c r="E3" s="135"/>
      <c r="F3" s="135"/>
      <c r="G3" s="138"/>
      <c r="I3" s="137"/>
      <c r="J3" s="138"/>
      <c r="K3" s="138"/>
      <c r="L3" s="138"/>
      <c r="M3" s="138"/>
      <c r="N3" s="138"/>
      <c r="O3" s="135"/>
      <c r="P3" s="135"/>
      <c r="Q3" s="134"/>
      <c r="R3" s="136"/>
      <c r="S3" s="136"/>
      <c r="T3" s="136"/>
      <c r="U3" s="136"/>
      <c r="V3" s="136"/>
      <c r="W3" s="136"/>
    </row>
    <row r="4" spans="1:28" ht="27.6" customHeight="1" x14ac:dyDescent="0.3">
      <c r="B4" s="139"/>
      <c r="C4" s="138"/>
      <c r="D4" s="138"/>
      <c r="E4" s="138"/>
      <c r="F4" s="138"/>
      <c r="G4" s="138" t="s">
        <v>616</v>
      </c>
      <c r="I4" s="137"/>
      <c r="J4" s="138"/>
      <c r="K4" s="138"/>
      <c r="L4" s="138"/>
      <c r="M4" s="138"/>
      <c r="N4" s="138"/>
      <c r="O4" s="135"/>
      <c r="P4" s="135"/>
      <c r="Q4" s="139"/>
      <c r="R4" s="136"/>
      <c r="S4" s="136"/>
      <c r="T4" s="136"/>
      <c r="U4" s="136"/>
      <c r="V4" s="136"/>
      <c r="W4" s="136"/>
    </row>
    <row r="5" spans="1:28" ht="30" customHeight="1" x14ac:dyDescent="0.25">
      <c r="B5" s="134"/>
      <c r="C5" s="130"/>
      <c r="D5" s="140"/>
      <c r="E5" s="140"/>
      <c r="F5" s="140"/>
      <c r="G5" s="130"/>
      <c r="I5" s="141"/>
      <c r="J5" s="130"/>
      <c r="K5" s="130"/>
      <c r="L5" s="130"/>
      <c r="O5" s="142"/>
      <c r="P5" s="142"/>
      <c r="Q5" s="134"/>
      <c r="R5" s="143"/>
      <c r="S5" s="143"/>
      <c r="T5" s="143"/>
      <c r="U5" s="143"/>
      <c r="V5" s="143"/>
      <c r="W5" s="143"/>
    </row>
    <row r="6" spans="1:28" ht="58.5" customHeight="1" thickBot="1" x14ac:dyDescent="0.3">
      <c r="A6" s="226" t="s">
        <v>211</v>
      </c>
      <c r="B6" s="218" t="s">
        <v>201</v>
      </c>
      <c r="C6" s="665">
        <v>44927</v>
      </c>
      <c r="D6" s="144">
        <v>44958</v>
      </c>
      <c r="E6" s="144">
        <v>44986</v>
      </c>
      <c r="F6" s="144">
        <v>45017</v>
      </c>
      <c r="G6" s="145">
        <v>45047</v>
      </c>
      <c r="H6" s="145">
        <v>45078</v>
      </c>
      <c r="I6" s="145">
        <v>45108</v>
      </c>
      <c r="J6" s="145">
        <v>45139</v>
      </c>
      <c r="K6" s="145">
        <v>45170</v>
      </c>
      <c r="L6" s="145">
        <v>45200</v>
      </c>
      <c r="M6" s="145">
        <v>45231</v>
      </c>
      <c r="N6" s="728">
        <v>45261</v>
      </c>
      <c r="O6" s="655" t="s">
        <v>539</v>
      </c>
      <c r="P6" s="651" t="s">
        <v>536</v>
      </c>
      <c r="Q6" s="650" t="s">
        <v>200</v>
      </c>
      <c r="R6" s="146"/>
      <c r="S6" s="146"/>
      <c r="T6" s="146"/>
      <c r="U6" s="146"/>
      <c r="V6" s="146"/>
      <c r="W6" s="146"/>
      <c r="X6" s="147"/>
      <c r="Y6" s="146"/>
      <c r="Z6" s="148"/>
      <c r="AA6" s="146"/>
      <c r="AB6" s="146"/>
    </row>
    <row r="7" spans="1:28" ht="16.5" thickTop="1" thickBot="1" x14ac:dyDescent="0.3">
      <c r="A7" s="97">
        <v>501</v>
      </c>
      <c r="B7" s="166" t="s">
        <v>118</v>
      </c>
      <c r="C7" s="30" t="s">
        <v>617</v>
      </c>
      <c r="D7" s="30" t="s">
        <v>617</v>
      </c>
      <c r="E7" s="30" t="s">
        <v>617</v>
      </c>
      <c r="F7" s="30" t="s">
        <v>617</v>
      </c>
      <c r="G7" s="30" t="s">
        <v>617</v>
      </c>
      <c r="H7" s="30" t="s">
        <v>617</v>
      </c>
      <c r="I7" s="30" t="s">
        <v>617</v>
      </c>
      <c r="J7" s="30" t="s">
        <v>617</v>
      </c>
      <c r="K7" s="30" t="s">
        <v>617</v>
      </c>
      <c r="L7" s="30" t="s">
        <v>617</v>
      </c>
      <c r="M7" s="30" t="s">
        <v>617</v>
      </c>
      <c r="N7" s="30" t="s">
        <v>617</v>
      </c>
      <c r="O7" s="657">
        <v>47133.028890000001</v>
      </c>
      <c r="P7" s="31">
        <v>41753.818174172084</v>
      </c>
      <c r="Q7" s="652">
        <v>5379.2107158279177</v>
      </c>
      <c r="R7" s="149"/>
      <c r="S7" s="149"/>
      <c r="T7" s="149"/>
      <c r="U7" s="149"/>
      <c r="V7" s="149"/>
      <c r="W7" s="149"/>
      <c r="X7" s="149"/>
      <c r="Y7" s="149"/>
      <c r="AA7" s="149"/>
      <c r="AB7" s="149"/>
    </row>
    <row r="8" spans="1:28" ht="16.5" thickTop="1" thickBot="1" x14ac:dyDescent="0.3">
      <c r="A8" s="97">
        <v>547</v>
      </c>
      <c r="B8" s="98" t="s">
        <v>185</v>
      </c>
      <c r="C8" s="30" t="s">
        <v>617</v>
      </c>
      <c r="D8" s="30" t="s">
        <v>617</v>
      </c>
      <c r="E8" s="30" t="s">
        <v>617</v>
      </c>
      <c r="F8" s="30" t="s">
        <v>617</v>
      </c>
      <c r="G8" s="30" t="s">
        <v>617</v>
      </c>
      <c r="H8" s="30" t="s">
        <v>617</v>
      </c>
      <c r="I8" s="30" t="s">
        <v>617</v>
      </c>
      <c r="J8" s="30" t="s">
        <v>617</v>
      </c>
      <c r="K8" s="30" t="s">
        <v>617</v>
      </c>
      <c r="L8" s="30" t="s">
        <v>617</v>
      </c>
      <c r="M8" s="30" t="s">
        <v>617</v>
      </c>
      <c r="N8" s="30" t="s">
        <v>617</v>
      </c>
      <c r="O8" s="657">
        <v>211780.5991982111</v>
      </c>
      <c r="P8" s="31">
        <v>155199.11017137842</v>
      </c>
      <c r="Q8" s="685">
        <v>56581.489026832685</v>
      </c>
      <c r="R8" s="149"/>
      <c r="S8" s="149"/>
      <c r="T8" s="149"/>
      <c r="U8" s="149"/>
      <c r="V8" s="149"/>
      <c r="W8" s="149"/>
      <c r="X8" s="149"/>
      <c r="Y8" s="149"/>
      <c r="AA8" s="149"/>
      <c r="AB8" s="149"/>
    </row>
    <row r="9" spans="1:28" ht="16.5" thickTop="1" thickBot="1" x14ac:dyDescent="0.3">
      <c r="A9" s="97" t="s">
        <v>218</v>
      </c>
      <c r="B9" s="98" t="s">
        <v>219</v>
      </c>
      <c r="C9" s="30" t="s">
        <v>617</v>
      </c>
      <c r="D9" s="30" t="s">
        <v>617</v>
      </c>
      <c r="E9" s="30" t="s">
        <v>617</v>
      </c>
      <c r="F9" s="30" t="s">
        <v>617</v>
      </c>
      <c r="G9" s="30" t="s">
        <v>617</v>
      </c>
      <c r="H9" s="30" t="s">
        <v>617</v>
      </c>
      <c r="I9" s="30" t="s">
        <v>617</v>
      </c>
      <c r="J9" s="30" t="s">
        <v>617</v>
      </c>
      <c r="K9" s="30" t="s">
        <v>617</v>
      </c>
      <c r="L9" s="30" t="s">
        <v>617</v>
      </c>
      <c r="M9" s="30" t="s">
        <v>617</v>
      </c>
      <c r="N9" s="30" t="s">
        <v>617</v>
      </c>
      <c r="O9" s="657">
        <v>77608.997270000007</v>
      </c>
      <c r="P9" s="31">
        <v>14178.879207000002</v>
      </c>
      <c r="Q9" s="685">
        <v>63430.118063000002</v>
      </c>
      <c r="R9" s="149"/>
      <c r="S9" s="149"/>
      <c r="T9" s="149"/>
      <c r="U9" s="149"/>
      <c r="V9" s="149"/>
      <c r="W9" s="149"/>
      <c r="X9" s="149"/>
      <c r="Y9" s="149"/>
      <c r="AA9" s="149"/>
      <c r="AB9" s="149"/>
    </row>
    <row r="10" spans="1:28" ht="16.5" thickTop="1" thickBot="1" x14ac:dyDescent="0.3">
      <c r="A10" s="277" t="s">
        <v>0</v>
      </c>
      <c r="B10" s="98" t="s">
        <v>119</v>
      </c>
      <c r="C10" s="30" t="s">
        <v>617</v>
      </c>
      <c r="D10" s="30" t="s">
        <v>617</v>
      </c>
      <c r="E10" s="30" t="s">
        <v>617</v>
      </c>
      <c r="F10" s="30" t="s">
        <v>617</v>
      </c>
      <c r="G10" s="30" t="s">
        <v>617</v>
      </c>
      <c r="H10" s="30" t="s">
        <v>617</v>
      </c>
      <c r="I10" s="30" t="s">
        <v>617</v>
      </c>
      <c r="J10" s="30" t="s">
        <v>617</v>
      </c>
      <c r="K10" s="30" t="s">
        <v>617</v>
      </c>
      <c r="L10" s="30" t="s">
        <v>617</v>
      </c>
      <c r="M10" s="30" t="s">
        <v>617</v>
      </c>
      <c r="N10" s="30" t="s">
        <v>617</v>
      </c>
      <c r="O10" s="657">
        <v>187002.68174375733</v>
      </c>
      <c r="P10" s="31">
        <v>154629.58259088211</v>
      </c>
      <c r="Q10" s="685">
        <v>32373.09915287522</v>
      </c>
      <c r="R10" s="149"/>
      <c r="S10" s="149"/>
      <c r="T10" s="149"/>
      <c r="U10" s="149"/>
      <c r="V10" s="149"/>
      <c r="W10" s="149"/>
      <c r="X10" s="149"/>
      <c r="Y10" s="149"/>
      <c r="AA10" s="149"/>
      <c r="AB10" s="149"/>
    </row>
    <row r="11" spans="1:28" ht="16.5" thickTop="1" thickBot="1" x14ac:dyDescent="0.3">
      <c r="A11" s="277" t="s">
        <v>2</v>
      </c>
      <c r="B11" s="98" t="s">
        <v>120</v>
      </c>
      <c r="C11" s="30" t="s">
        <v>617</v>
      </c>
      <c r="D11" s="30" t="s">
        <v>617</v>
      </c>
      <c r="E11" s="30" t="s">
        <v>617</v>
      </c>
      <c r="F11" s="30" t="s">
        <v>617</v>
      </c>
      <c r="G11" s="30" t="s">
        <v>617</v>
      </c>
      <c r="H11" s="30" t="s">
        <v>617</v>
      </c>
      <c r="I11" s="30" t="s">
        <v>617</v>
      </c>
      <c r="J11" s="30" t="s">
        <v>617</v>
      </c>
      <c r="K11" s="30" t="s">
        <v>617</v>
      </c>
      <c r="L11" s="30" t="s">
        <v>617</v>
      </c>
      <c r="M11" s="30" t="s">
        <v>617</v>
      </c>
      <c r="N11" s="30" t="s">
        <v>617</v>
      </c>
      <c r="O11" s="657">
        <v>115482.18069287675</v>
      </c>
      <c r="P11" s="31">
        <v>75775.032755105276</v>
      </c>
      <c r="Q11" s="685">
        <v>39707.147937771471</v>
      </c>
      <c r="R11" s="149"/>
      <c r="S11" s="149"/>
      <c r="T11" s="149"/>
      <c r="U11" s="149"/>
      <c r="V11" s="149"/>
      <c r="W11" s="149"/>
      <c r="X11" s="149"/>
      <c r="Y11" s="149"/>
      <c r="AA11" s="149"/>
      <c r="AB11" s="149"/>
    </row>
    <row r="12" spans="1:28" ht="16.5" thickTop="1" thickBot="1" x14ac:dyDescent="0.3">
      <c r="A12" s="97">
        <v>555</v>
      </c>
      <c r="B12" s="98" t="s">
        <v>190</v>
      </c>
      <c r="C12" s="30" t="s">
        <v>617</v>
      </c>
      <c r="D12" s="30" t="s">
        <v>617</v>
      </c>
      <c r="E12" s="30" t="s">
        <v>617</v>
      </c>
      <c r="F12" s="30" t="s">
        <v>617</v>
      </c>
      <c r="G12" s="30" t="s">
        <v>617</v>
      </c>
      <c r="H12" s="30" t="s">
        <v>617</v>
      </c>
      <c r="I12" s="30" t="s">
        <v>617</v>
      </c>
      <c r="J12" s="30" t="s">
        <v>617</v>
      </c>
      <c r="K12" s="30" t="s">
        <v>617</v>
      </c>
      <c r="L12" s="30" t="s">
        <v>617</v>
      </c>
      <c r="M12" s="30" t="s">
        <v>617</v>
      </c>
      <c r="N12" s="30" t="s">
        <v>617</v>
      </c>
      <c r="O12" s="657">
        <v>283262.667487895</v>
      </c>
      <c r="P12" s="31">
        <v>283341.49241290003</v>
      </c>
      <c r="Q12" s="685">
        <v>-78.82492500502849</v>
      </c>
      <c r="R12" s="149"/>
      <c r="S12" s="149"/>
      <c r="T12" s="149"/>
      <c r="U12" s="149"/>
      <c r="V12" s="149"/>
      <c r="W12" s="149"/>
      <c r="X12" s="149"/>
      <c r="Y12" s="149"/>
      <c r="AA12" s="149"/>
      <c r="AB12" s="149"/>
    </row>
    <row r="13" spans="1:28" ht="16.5" thickTop="1" thickBot="1" x14ac:dyDescent="0.3">
      <c r="A13" s="97">
        <v>447</v>
      </c>
      <c r="B13" s="98" t="s">
        <v>121</v>
      </c>
      <c r="C13" s="30" t="s">
        <v>617</v>
      </c>
      <c r="D13" s="30" t="s">
        <v>617</v>
      </c>
      <c r="E13" s="30" t="s">
        <v>617</v>
      </c>
      <c r="F13" s="30" t="s">
        <v>617</v>
      </c>
      <c r="G13" s="30" t="s">
        <v>617</v>
      </c>
      <c r="H13" s="30" t="s">
        <v>617</v>
      </c>
      <c r="I13" s="30" t="s">
        <v>617</v>
      </c>
      <c r="J13" s="30" t="s">
        <v>617</v>
      </c>
      <c r="K13" s="30" t="s">
        <v>617</v>
      </c>
      <c r="L13" s="30" t="s">
        <v>617</v>
      </c>
      <c r="M13" s="30" t="s">
        <v>617</v>
      </c>
      <c r="N13" s="30" t="s">
        <v>617</v>
      </c>
      <c r="O13" s="657">
        <v>-128535.20191999999</v>
      </c>
      <c r="P13" s="31">
        <v>-46206.031410176467</v>
      </c>
      <c r="Q13" s="685">
        <v>-82329.170509823525</v>
      </c>
      <c r="R13" s="149"/>
      <c r="S13" s="149"/>
      <c r="T13" s="149"/>
      <c r="U13" s="149"/>
      <c r="V13" s="149"/>
      <c r="W13" s="149"/>
      <c r="X13" s="149"/>
      <c r="Y13" s="149"/>
      <c r="AA13" s="149"/>
      <c r="AB13" s="149"/>
    </row>
    <row r="14" spans="1:28" ht="16.5" thickTop="1" thickBot="1" x14ac:dyDescent="0.3">
      <c r="A14" s="277">
        <v>565</v>
      </c>
      <c r="B14" s="98" t="s">
        <v>1</v>
      </c>
      <c r="C14" s="30" t="s">
        <v>617</v>
      </c>
      <c r="D14" s="30" t="s">
        <v>617</v>
      </c>
      <c r="E14" s="30" t="s">
        <v>617</v>
      </c>
      <c r="F14" s="30" t="s">
        <v>617</v>
      </c>
      <c r="G14" s="30" t="s">
        <v>617</v>
      </c>
      <c r="H14" s="30" t="s">
        <v>617</v>
      </c>
      <c r="I14" s="30" t="s">
        <v>617</v>
      </c>
      <c r="J14" s="30" t="s">
        <v>617</v>
      </c>
      <c r="K14" s="30" t="s">
        <v>617</v>
      </c>
      <c r="L14" s="30" t="s">
        <v>617</v>
      </c>
      <c r="M14" s="30" t="s">
        <v>617</v>
      </c>
      <c r="N14" s="30" t="s">
        <v>617</v>
      </c>
      <c r="O14" s="657">
        <v>135862.20025238866</v>
      </c>
      <c r="P14" s="31">
        <v>128266.3580567457</v>
      </c>
      <c r="Q14" s="685">
        <v>7595.8421956429665</v>
      </c>
      <c r="R14" s="149"/>
      <c r="S14" s="149"/>
      <c r="T14" s="149"/>
      <c r="U14" s="149"/>
      <c r="V14" s="149"/>
      <c r="W14" s="149"/>
      <c r="X14" s="149"/>
      <c r="Y14" s="149"/>
      <c r="AA14" s="149"/>
      <c r="AB14" s="149"/>
    </row>
    <row r="15" spans="1:28" ht="16.5" thickTop="1" thickBot="1" x14ac:dyDescent="0.3">
      <c r="A15" s="277">
        <v>456</v>
      </c>
      <c r="B15" s="98" t="s">
        <v>122</v>
      </c>
      <c r="C15" s="30" t="s">
        <v>617</v>
      </c>
      <c r="D15" s="30" t="s">
        <v>617</v>
      </c>
      <c r="E15" s="30" t="s">
        <v>617</v>
      </c>
      <c r="F15" s="30" t="s">
        <v>617</v>
      </c>
      <c r="G15" s="30" t="s">
        <v>617</v>
      </c>
      <c r="H15" s="30" t="s">
        <v>617</v>
      </c>
      <c r="I15" s="30" t="s">
        <v>617</v>
      </c>
      <c r="J15" s="30" t="s">
        <v>617</v>
      </c>
      <c r="K15" s="30" t="s">
        <v>617</v>
      </c>
      <c r="L15" s="30" t="s">
        <v>617</v>
      </c>
      <c r="M15" s="30" t="s">
        <v>617</v>
      </c>
      <c r="N15" s="30" t="s">
        <v>617</v>
      </c>
      <c r="O15" s="657">
        <v>-43938.971690573824</v>
      </c>
      <c r="P15" s="31">
        <v>-57639.705130644856</v>
      </c>
      <c r="Q15" s="685">
        <v>13700.733440071032</v>
      </c>
      <c r="U15" s="20"/>
      <c r="X15" s="111"/>
      <c r="Y15" s="20"/>
    </row>
    <row r="16" spans="1:28" s="150" customFormat="1" ht="16.5" thickTop="1" thickBot="1" x14ac:dyDescent="0.3">
      <c r="A16" s="97">
        <v>557</v>
      </c>
      <c r="B16" s="98" t="s">
        <v>114</v>
      </c>
      <c r="C16" s="30" t="s">
        <v>617</v>
      </c>
      <c r="D16" s="30" t="s">
        <v>617</v>
      </c>
      <c r="E16" s="30" t="s">
        <v>617</v>
      </c>
      <c r="F16" s="30" t="s">
        <v>617</v>
      </c>
      <c r="G16" s="30" t="s">
        <v>617</v>
      </c>
      <c r="H16" s="30" t="s">
        <v>617</v>
      </c>
      <c r="I16" s="30" t="s">
        <v>617</v>
      </c>
      <c r="J16" s="30" t="s">
        <v>617</v>
      </c>
      <c r="K16" s="30" t="s">
        <v>617</v>
      </c>
      <c r="L16" s="30" t="s">
        <v>617</v>
      </c>
      <c r="M16" s="30" t="s">
        <v>617</v>
      </c>
      <c r="N16" s="30" t="s">
        <v>617</v>
      </c>
      <c r="O16" s="657">
        <v>16711.586023277483</v>
      </c>
      <c r="P16" s="31">
        <v>14722.501100000007</v>
      </c>
      <c r="Q16" s="685">
        <v>1989.0849232774763</v>
      </c>
      <c r="R16" s="38"/>
      <c r="S16" s="38"/>
      <c r="T16" s="38"/>
      <c r="U16" s="38"/>
      <c r="V16" s="38"/>
      <c r="W16" s="38"/>
      <c r="X16" s="38"/>
      <c r="Y16" s="38"/>
      <c r="Z16" s="111"/>
      <c r="AA16" s="38"/>
      <c r="AB16" s="38"/>
    </row>
    <row r="17" spans="1:24" ht="16.5" thickTop="1" thickBot="1" x14ac:dyDescent="0.3">
      <c r="A17" s="217"/>
      <c r="B17" s="217" t="s">
        <v>3</v>
      </c>
      <c r="C17" s="30" t="s">
        <v>617</v>
      </c>
      <c r="D17" s="30" t="s">
        <v>617</v>
      </c>
      <c r="E17" s="30" t="s">
        <v>617</v>
      </c>
      <c r="F17" s="30" t="s">
        <v>617</v>
      </c>
      <c r="G17" s="30" t="s">
        <v>617</v>
      </c>
      <c r="H17" s="30" t="s">
        <v>617</v>
      </c>
      <c r="I17" s="30" t="s">
        <v>617</v>
      </c>
      <c r="J17" s="30" t="s">
        <v>617</v>
      </c>
      <c r="K17" s="30" t="s">
        <v>617</v>
      </c>
      <c r="L17" s="30" t="s">
        <v>617</v>
      </c>
      <c r="M17" s="30" t="s">
        <v>617</v>
      </c>
      <c r="N17" s="30" t="s">
        <v>617</v>
      </c>
      <c r="O17" s="658">
        <v>902369.76794783236</v>
      </c>
      <c r="P17" s="684">
        <v>764021.03792736237</v>
      </c>
      <c r="Q17" s="654">
        <v>138348.73002047022</v>
      </c>
      <c r="R17" s="3"/>
      <c r="U17" s="20"/>
      <c r="X17" s="151"/>
    </row>
    <row r="18" spans="1:24" ht="10.35" customHeight="1" thickTop="1" x14ac:dyDescent="0.25">
      <c r="A18" s="97"/>
      <c r="B18" s="98"/>
      <c r="C18" s="664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729"/>
      <c r="O18" s="656"/>
      <c r="P18" s="659"/>
      <c r="Q18" s="653"/>
      <c r="R18" s="3"/>
      <c r="U18" s="20"/>
      <c r="X18" s="151"/>
    </row>
    <row r="19" spans="1:24" x14ac:dyDescent="0.25">
      <c r="A19" s="152"/>
      <c r="B19" s="167" t="s">
        <v>139</v>
      </c>
      <c r="C19" s="662">
        <v>2247721.9785346095</v>
      </c>
      <c r="D19" s="663">
        <v>1898576.9922288</v>
      </c>
      <c r="E19" s="663">
        <v>1982654.0163478998</v>
      </c>
      <c r="F19" s="663">
        <v>1679386.9831762998</v>
      </c>
      <c r="G19" s="663">
        <v>1615204.0015315397</v>
      </c>
      <c r="H19" s="663">
        <v>1471298.0008405251</v>
      </c>
      <c r="I19" s="663">
        <v>1562055.9831401992</v>
      </c>
      <c r="J19" s="663">
        <v>1602797.9940214001</v>
      </c>
      <c r="K19" s="663">
        <v>1490062.0066180003</v>
      </c>
      <c r="L19" s="663">
        <v>1669150.9899714999</v>
      </c>
      <c r="M19" s="663">
        <v>1904225.9972879998</v>
      </c>
      <c r="N19" s="660">
        <v>2227654.9783804994</v>
      </c>
      <c r="O19" s="661">
        <v>21350789.922079273</v>
      </c>
      <c r="P19" s="660">
        <v>20803205.018951166</v>
      </c>
      <c r="Q19" s="666">
        <v>547584.90312810615</v>
      </c>
      <c r="R19" s="153"/>
      <c r="U19" s="153"/>
    </row>
    <row r="20" spans="1:24" x14ac:dyDescent="0.25">
      <c r="O20" s="4"/>
      <c r="P20" s="5"/>
      <c r="R20" s="3"/>
    </row>
    <row r="21" spans="1:24" s="33" customFormat="1" ht="13.5" customHeight="1" x14ac:dyDescent="0.25">
      <c r="A21" s="39" t="s">
        <v>560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376"/>
      <c r="P21" s="156"/>
    </row>
    <row r="22" spans="1:24" s="33" customFormat="1" ht="13.5" customHeight="1" x14ac:dyDescent="0.25">
      <c r="A22" s="44" t="s">
        <v>587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821"/>
      <c r="P22" s="821"/>
    </row>
    <row r="23" spans="1:24" s="33" customFormat="1" ht="13.5" customHeight="1" x14ac:dyDescent="0.25">
      <c r="A23" s="131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722"/>
      <c r="P23" s="156"/>
      <c r="Q23" s="157"/>
    </row>
    <row r="24" spans="1:24" s="33" customFormat="1" ht="13.5" customHeight="1" x14ac:dyDescent="0.25">
      <c r="A24" s="131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6"/>
      <c r="P24" s="156"/>
      <c r="Q24" s="157"/>
    </row>
    <row r="25" spans="1:24" s="33" customFormat="1" ht="13.5" customHeight="1" x14ac:dyDescent="0.25">
      <c r="A25" s="131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6"/>
      <c r="P25" s="156"/>
      <c r="Q25" s="157"/>
    </row>
    <row r="26" spans="1:24" s="33" customFormat="1" ht="13.5" customHeight="1" x14ac:dyDescent="0.25">
      <c r="A26" s="131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6"/>
      <c r="P26" s="156"/>
      <c r="Q26" s="157"/>
    </row>
    <row r="27" spans="1:24" s="33" customFormat="1" ht="13.5" customHeight="1" x14ac:dyDescent="0.25">
      <c r="A27" s="131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6"/>
      <c r="P27" s="103"/>
      <c r="Q27" s="157"/>
    </row>
    <row r="28" spans="1:24" s="33" customFormat="1" ht="13.5" customHeight="1" x14ac:dyDescent="0.25">
      <c r="A28" s="131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376"/>
      <c r="P28" s="103"/>
      <c r="Q28" s="157"/>
    </row>
    <row r="29" spans="1:24" s="33" customFormat="1" x14ac:dyDescent="0.25">
      <c r="A29" s="39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6"/>
      <c r="P29" s="103"/>
      <c r="Q29" s="157"/>
    </row>
    <row r="30" spans="1:24" s="33" customForma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156"/>
      <c r="P30" s="103"/>
      <c r="Q30" s="45"/>
    </row>
    <row r="31" spans="1:24" s="33" customFormat="1" x14ac:dyDescent="0.25">
      <c r="A31" s="39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6"/>
      <c r="P31" s="103"/>
      <c r="Q31" s="157"/>
    </row>
    <row r="32" spans="1:24" s="33" customForma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156"/>
      <c r="P32" s="103"/>
      <c r="Q32" s="45"/>
    </row>
    <row r="33" spans="1:17" s="33" customFormat="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156"/>
      <c r="P33" s="103"/>
      <c r="Q33" s="45"/>
    </row>
    <row r="34" spans="1:17" s="33" customFormat="1" ht="18.75" x14ac:dyDescent="0.3">
      <c r="A34" s="39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6"/>
      <c r="P34" s="103"/>
      <c r="Q34" s="154"/>
    </row>
    <row r="35" spans="1:17" s="33" customFormat="1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03"/>
      <c r="Q35" s="156"/>
    </row>
    <row r="36" spans="1:17" s="33" customFormat="1" ht="18.75" x14ac:dyDescent="0.3">
      <c r="A36" s="131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4"/>
      <c r="P36" s="158"/>
      <c r="Q36" s="157"/>
    </row>
    <row r="37" spans="1:17" s="33" customFormat="1" x14ac:dyDescent="0.25">
      <c r="A37" s="131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6"/>
      <c r="P37" s="158"/>
      <c r="Q37" s="157"/>
    </row>
    <row r="38" spans="1:17" s="33" customFormat="1" x14ac:dyDescent="0.25">
      <c r="A38" s="131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8"/>
      <c r="Q38" s="157"/>
    </row>
    <row r="39" spans="1:17" s="33" customFormat="1" x14ac:dyDescent="0.25">
      <c r="A39" s="131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8"/>
      <c r="Q39" s="157"/>
    </row>
    <row r="40" spans="1:17" s="33" customFormat="1" x14ac:dyDescent="0.25">
      <c r="A40" s="131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8"/>
      <c r="Q40" s="157"/>
    </row>
    <row r="41" spans="1:17" s="33" customFormat="1" x14ac:dyDescent="0.25">
      <c r="A41" s="131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8"/>
      <c r="Q41" s="157"/>
    </row>
    <row r="42" spans="1:17" s="33" customFormat="1" x14ac:dyDescent="0.25">
      <c r="A42" s="131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8"/>
      <c r="Q42" s="157"/>
    </row>
    <row r="43" spans="1:17" s="33" customFormat="1" x14ac:dyDescent="0.25">
      <c r="A43" s="39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  <c r="Q43" s="157"/>
    </row>
    <row r="44" spans="1:17" s="33" customFormat="1" x14ac:dyDescent="0.25">
      <c r="A44" s="45"/>
      <c r="B44" s="45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7"/>
      <c r="P44" s="158"/>
      <c r="Q44" s="45"/>
    </row>
    <row r="45" spans="1:17" s="33" customFormat="1" x14ac:dyDescent="0.25">
      <c r="A45" s="39"/>
      <c r="B45" s="157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57"/>
      <c r="P45" s="158"/>
      <c r="Q45" s="157"/>
    </row>
    <row r="46" spans="1:17" s="33" customFormat="1" x14ac:dyDescent="0.25">
      <c r="A46" s="39"/>
      <c r="B46" s="157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59"/>
      <c r="P46" s="158"/>
      <c r="Q46" s="157"/>
    </row>
    <row r="47" spans="1:17" s="33" customFormat="1" ht="18.75" x14ac:dyDescent="0.3">
      <c r="A47" s="39"/>
      <c r="B47" s="154"/>
      <c r="C47" s="102"/>
      <c r="D47" s="102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60"/>
      <c r="P47" s="158"/>
      <c r="Q47" s="154"/>
    </row>
    <row r="48" spans="1:17" s="33" customFormat="1" x14ac:dyDescent="0.25">
      <c r="A48" s="156"/>
      <c r="B48" s="156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60"/>
      <c r="P48" s="158"/>
      <c r="Q48" s="156"/>
    </row>
    <row r="49" spans="1:17" s="33" customFormat="1" x14ac:dyDescent="0.25">
      <c r="A49" s="131"/>
      <c r="B49" s="157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55"/>
      <c r="P49" s="158"/>
      <c r="Q49" s="157"/>
    </row>
    <row r="50" spans="1:17" s="33" customFormat="1" x14ac:dyDescent="0.25">
      <c r="A50" s="131"/>
      <c r="B50" s="157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03"/>
      <c r="P50" s="158"/>
      <c r="Q50" s="157"/>
    </row>
    <row r="51" spans="1:17" s="33" customFormat="1" x14ac:dyDescent="0.25">
      <c r="A51" s="131"/>
      <c r="B51" s="157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58"/>
      <c r="Q51" s="157"/>
    </row>
    <row r="52" spans="1:17" s="33" customFormat="1" x14ac:dyDescent="0.25">
      <c r="A52" s="131"/>
      <c r="B52" s="157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58"/>
      <c r="Q52" s="157"/>
    </row>
    <row r="53" spans="1:17" s="33" customFormat="1" x14ac:dyDescent="0.25">
      <c r="A53" s="131"/>
      <c r="B53" s="157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58"/>
      <c r="Q53" s="157"/>
    </row>
    <row r="54" spans="1:17" s="33" customFormat="1" x14ac:dyDescent="0.25">
      <c r="A54" s="131"/>
      <c r="B54" s="157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58"/>
      <c r="Q54" s="157"/>
    </row>
    <row r="55" spans="1:17" s="33" customFormat="1" x14ac:dyDescent="0.25">
      <c r="A55" s="131"/>
      <c r="B55" s="157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1"/>
      <c r="P55" s="158"/>
      <c r="Q55" s="157"/>
    </row>
    <row r="56" spans="1:17" s="33" customFormat="1" x14ac:dyDescent="0.25">
      <c r="A56" s="39"/>
      <c r="B56" s="157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58"/>
      <c r="Q56" s="157"/>
    </row>
    <row r="57" spans="1:17" s="33" customFormat="1" x14ac:dyDescent="0.25">
      <c r="A57" s="45"/>
      <c r="B57" s="45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61"/>
      <c r="P57" s="158"/>
      <c r="Q57" s="45"/>
    </row>
    <row r="58" spans="1:17" s="33" customFormat="1" x14ac:dyDescent="0.25">
      <c r="A58" s="39"/>
      <c r="B58" s="157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1"/>
      <c r="P58" s="158"/>
      <c r="Q58" s="157"/>
    </row>
    <row r="59" spans="1:17" s="33" customFormat="1" x14ac:dyDescent="0.25">
      <c r="A59" s="45"/>
      <c r="B59" s="45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9"/>
      <c r="P59" s="158"/>
      <c r="Q59" s="45"/>
    </row>
    <row r="60" spans="1:17" s="33" customFormat="1" x14ac:dyDescent="0.25">
      <c r="A60" s="45"/>
      <c r="B60" s="45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60"/>
      <c r="P60" s="158"/>
      <c r="Q60" s="45"/>
    </row>
    <row r="61" spans="1:17" s="33" customFormat="1" ht="18.75" x14ac:dyDescent="0.3">
      <c r="A61" s="39"/>
      <c r="B61" s="154"/>
      <c r="C61" s="163"/>
      <c r="D61" s="163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8"/>
      <c r="P61" s="158"/>
      <c r="Q61" s="154"/>
    </row>
    <row r="62" spans="1:17" s="33" customFormat="1" x14ac:dyDescent="0.25">
      <c r="A62" s="156"/>
      <c r="B62" s="156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58"/>
      <c r="P62" s="158"/>
      <c r="Q62" s="156"/>
    </row>
    <row r="63" spans="1:17" s="33" customFormat="1" x14ac:dyDescent="0.25">
      <c r="A63" s="131"/>
      <c r="B63" s="157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4"/>
      <c r="P63" s="158"/>
      <c r="Q63" s="157"/>
    </row>
    <row r="64" spans="1:17" s="33" customFormat="1" x14ac:dyDescent="0.25">
      <c r="A64" s="131"/>
      <c r="B64" s="157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03"/>
      <c r="P64" s="158"/>
      <c r="Q64" s="157"/>
    </row>
    <row r="65" spans="1:17" s="33" customFormat="1" x14ac:dyDescent="0.25">
      <c r="A65" s="131"/>
      <c r="B65" s="157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58"/>
      <c r="Q65" s="157"/>
    </row>
    <row r="66" spans="1:17" s="33" customFormat="1" x14ac:dyDescent="0.25">
      <c r="A66" s="131"/>
      <c r="B66" s="157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58"/>
      <c r="Q66" s="157"/>
    </row>
    <row r="67" spans="1:17" s="33" customFormat="1" x14ac:dyDescent="0.25">
      <c r="A67" s="131"/>
      <c r="B67" s="157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58"/>
      <c r="Q67" s="157"/>
    </row>
    <row r="68" spans="1:17" s="33" customFormat="1" x14ac:dyDescent="0.25">
      <c r="A68" s="131"/>
      <c r="B68" s="157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58"/>
      <c r="Q68" s="157"/>
    </row>
    <row r="69" spans="1:17" s="33" customFormat="1" x14ac:dyDescent="0.25">
      <c r="A69" s="131"/>
      <c r="B69" s="157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1"/>
      <c r="P69" s="158"/>
      <c r="Q69" s="157"/>
    </row>
    <row r="70" spans="1:17" s="33" customFormat="1" x14ac:dyDescent="0.25">
      <c r="A70" s="39"/>
      <c r="B70" s="157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58"/>
      <c r="Q70" s="157"/>
    </row>
    <row r="71" spans="1:17" s="33" customFormat="1" x14ac:dyDescent="0.25">
      <c r="A71" s="45"/>
      <c r="B71" s="45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61"/>
      <c r="P71" s="158"/>
      <c r="Q71" s="45"/>
    </row>
    <row r="72" spans="1:17" s="33" customFormat="1" x14ac:dyDescent="0.25">
      <c r="A72" s="39"/>
      <c r="B72" s="157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1"/>
      <c r="P72" s="158"/>
      <c r="Q72" s="157"/>
    </row>
    <row r="73" spans="1:17" s="33" customFormat="1" x14ac:dyDescent="0.25">
      <c r="A73" s="39"/>
      <c r="B73" s="157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59"/>
      <c r="P73" s="158"/>
      <c r="Q73" s="157"/>
    </row>
    <row r="74" spans="1:17" s="33" customFormat="1" x14ac:dyDescent="0.25">
      <c r="A74" s="45"/>
      <c r="B74" s="45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0"/>
      <c r="P74" s="158"/>
      <c r="Q74" s="45"/>
    </row>
    <row r="75" spans="1:17" s="33" customFormat="1" x14ac:dyDescent="0.25"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60"/>
      <c r="P75" s="158"/>
    </row>
    <row r="76" spans="1:17" s="33" customFormat="1" x14ac:dyDescent="0.25"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65"/>
      <c r="P76" s="158"/>
    </row>
    <row r="77" spans="1:17" s="33" customFormat="1" x14ac:dyDescent="0.25"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</row>
    <row r="78" spans="1:17" x14ac:dyDescent="0.25">
      <c r="O78" s="158"/>
      <c r="P78" s="158"/>
    </row>
    <row r="79" spans="1:17" x14ac:dyDescent="0.25">
      <c r="O79" s="158"/>
      <c r="P79" s="158"/>
    </row>
  </sheetData>
  <pageMargins left="0.7" right="0.7" top="0.75" bottom="0.75" header="0.3" footer="0.3"/>
  <pageSetup scale="62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R92"/>
  <sheetViews>
    <sheetView topLeftCell="A41" workbookViewId="0">
      <selection activeCell="D48" sqref="D48"/>
    </sheetView>
  </sheetViews>
  <sheetFormatPr defaultColWidth="9.140625" defaultRowHeight="12.75" x14ac:dyDescent="0.2"/>
  <cols>
    <col min="1" max="1" width="6.140625" style="56" customWidth="1"/>
    <col min="2" max="2" width="37" style="83" customWidth="1"/>
    <col min="3" max="4" width="11.85546875" style="56" customWidth="1"/>
    <col min="5" max="5" width="12.140625" style="56" customWidth="1"/>
    <col min="6" max="6" width="1.5703125" style="43" customWidth="1"/>
    <col min="7" max="7" width="12.140625" style="56" customWidth="1"/>
    <col min="8" max="9" width="11.85546875" style="56" customWidth="1"/>
    <col min="10" max="10" width="2.140625" style="43" customWidth="1"/>
    <col min="11" max="13" width="12.85546875" style="56" customWidth="1"/>
    <col min="14" max="14" width="2.42578125" style="56" customWidth="1"/>
    <col min="15" max="16" width="13.5703125" style="56" customWidth="1"/>
    <col min="17" max="17" width="14.85546875" style="56" customWidth="1"/>
    <col min="18" max="16384" width="9.140625" style="56"/>
  </cols>
  <sheetData>
    <row r="1" spans="1:18" ht="18.75" x14ac:dyDescent="0.3">
      <c r="A1" s="214" t="s">
        <v>199</v>
      </c>
    </row>
    <row r="2" spans="1:18" ht="21" x14ac:dyDescent="0.35">
      <c r="A2" s="188" t="s">
        <v>198</v>
      </c>
      <c r="B2" s="188"/>
      <c r="C2" s="188"/>
      <c r="D2" s="188"/>
      <c r="E2" s="188"/>
      <c r="F2" s="212"/>
      <c r="G2" s="188"/>
      <c r="H2" s="188"/>
      <c r="I2" s="188"/>
      <c r="J2" s="212"/>
      <c r="K2" s="188"/>
      <c r="L2" s="188"/>
      <c r="M2" s="188"/>
    </row>
    <row r="3" spans="1:18" ht="15.75" x14ac:dyDescent="0.25">
      <c r="A3" s="216" t="s">
        <v>538</v>
      </c>
      <c r="B3" s="133"/>
      <c r="C3" s="133"/>
      <c r="D3" s="133" t="s">
        <v>618</v>
      </c>
      <c r="E3" s="133"/>
      <c r="F3" s="193"/>
      <c r="G3" s="133"/>
      <c r="H3" s="133"/>
      <c r="I3" s="133"/>
      <c r="J3" s="193"/>
      <c r="K3" s="133"/>
      <c r="L3" s="133"/>
      <c r="M3" s="133"/>
    </row>
    <row r="4" spans="1:18" ht="14.85" customHeight="1" x14ac:dyDescent="0.2">
      <c r="A4" s="70"/>
      <c r="B4" s="70"/>
      <c r="C4" s="70"/>
      <c r="D4" s="70"/>
      <c r="E4" s="70"/>
      <c r="F4" s="194"/>
      <c r="G4" s="70"/>
      <c r="H4" s="70"/>
      <c r="I4" s="70"/>
      <c r="J4" s="194"/>
      <c r="K4" s="70"/>
      <c r="L4" s="70"/>
      <c r="M4" s="70"/>
    </row>
    <row r="5" spans="1:18" ht="14.85" customHeight="1" x14ac:dyDescent="0.2">
      <c r="A5" s="70"/>
      <c r="B5" s="70"/>
      <c r="C5" s="70"/>
      <c r="D5" s="70"/>
      <c r="E5" s="70"/>
      <c r="F5" s="194"/>
      <c r="G5" s="70"/>
      <c r="H5" s="70"/>
      <c r="I5" s="70"/>
      <c r="J5" s="194"/>
      <c r="K5" s="70"/>
      <c r="L5" s="70"/>
      <c r="M5" s="70"/>
    </row>
    <row r="6" spans="1:18" x14ac:dyDescent="0.2">
      <c r="A6" s="70"/>
      <c r="B6" s="70"/>
      <c r="C6" s="70"/>
      <c r="D6" s="70"/>
      <c r="E6" s="70"/>
      <c r="F6" s="194"/>
      <c r="G6" s="70"/>
      <c r="H6" s="70"/>
      <c r="I6" s="70"/>
      <c r="J6" s="194"/>
      <c r="K6" s="70"/>
      <c r="L6" s="70"/>
      <c r="M6" s="70"/>
    </row>
    <row r="7" spans="1:18" ht="15.75" x14ac:dyDescent="0.25">
      <c r="B7" s="241" t="s">
        <v>201</v>
      </c>
      <c r="C7" s="831" t="s">
        <v>539</v>
      </c>
      <c r="D7" s="832"/>
      <c r="E7" s="833"/>
      <c r="F7" s="129"/>
      <c r="G7" s="831" t="s">
        <v>536</v>
      </c>
      <c r="H7" s="832"/>
      <c r="I7" s="833"/>
      <c r="J7" s="41"/>
      <c r="K7" s="831" t="s">
        <v>200</v>
      </c>
      <c r="L7" s="832"/>
      <c r="M7" s="833"/>
      <c r="O7" s="831" t="s">
        <v>214</v>
      </c>
      <c r="P7" s="832"/>
      <c r="Q7" s="833"/>
      <c r="R7" s="642"/>
    </row>
    <row r="8" spans="1:18" ht="30.75" thickBot="1" x14ac:dyDescent="0.3">
      <c r="A8" s="78" t="s">
        <v>211</v>
      </c>
      <c r="B8" s="219" t="s">
        <v>183</v>
      </c>
      <c r="C8" s="280" t="s">
        <v>526</v>
      </c>
      <c r="D8" s="281" t="s">
        <v>527</v>
      </c>
      <c r="E8" s="282" t="s">
        <v>5</v>
      </c>
      <c r="F8" s="187"/>
      <c r="G8" s="280" t="s">
        <v>526</v>
      </c>
      <c r="H8" s="281" t="s">
        <v>527</v>
      </c>
      <c r="I8" s="282" t="s">
        <v>5</v>
      </c>
      <c r="J8" s="187"/>
      <c r="K8" s="280" t="s">
        <v>526</v>
      </c>
      <c r="L8" s="281" t="s">
        <v>527</v>
      </c>
      <c r="M8" s="282" t="s">
        <v>5</v>
      </c>
      <c r="O8" s="251" t="s">
        <v>539</v>
      </c>
      <c r="P8" s="251" t="s">
        <v>536</v>
      </c>
      <c r="Q8" s="251" t="s">
        <v>200</v>
      </c>
    </row>
    <row r="9" spans="1:18" ht="16.5" thickTop="1" thickBot="1" x14ac:dyDescent="0.3">
      <c r="A9" s="109" t="s">
        <v>0</v>
      </c>
      <c r="B9" s="283" t="s">
        <v>8</v>
      </c>
      <c r="C9" s="208">
        <v>0</v>
      </c>
      <c r="D9" s="208">
        <v>0</v>
      </c>
      <c r="E9" s="284">
        <v>0</v>
      </c>
      <c r="F9" s="286"/>
      <c r="G9" s="208">
        <v>0</v>
      </c>
      <c r="H9" s="208">
        <v>0</v>
      </c>
      <c r="I9" s="284">
        <v>0</v>
      </c>
      <c r="J9" s="272"/>
      <c r="K9" s="208">
        <v>0</v>
      </c>
      <c r="L9" s="208">
        <v>0</v>
      </c>
      <c r="M9" s="284">
        <v>0</v>
      </c>
      <c r="O9" s="246" t="s">
        <v>619</v>
      </c>
      <c r="P9" s="246" t="s">
        <v>619</v>
      </c>
      <c r="Q9" s="246" t="s">
        <v>619</v>
      </c>
    </row>
    <row r="10" spans="1:18" ht="16.5" thickTop="1" thickBot="1" x14ac:dyDescent="0.3">
      <c r="A10" s="109" t="s">
        <v>0</v>
      </c>
      <c r="B10" s="273" t="s">
        <v>9</v>
      </c>
      <c r="C10" s="208">
        <v>0</v>
      </c>
      <c r="D10" s="208">
        <v>0</v>
      </c>
      <c r="E10" s="268">
        <v>0</v>
      </c>
      <c r="F10" s="286"/>
      <c r="G10" s="208">
        <v>0</v>
      </c>
      <c r="H10" s="208">
        <v>0</v>
      </c>
      <c r="I10" s="268">
        <v>0</v>
      </c>
      <c r="J10" s="272"/>
      <c r="K10" s="208">
        <v>0</v>
      </c>
      <c r="L10" s="208">
        <v>0</v>
      </c>
      <c r="M10" s="268">
        <v>0</v>
      </c>
      <c r="O10" s="246" t="s">
        <v>619</v>
      </c>
      <c r="P10" s="246" t="s">
        <v>619</v>
      </c>
      <c r="Q10" s="246" t="s">
        <v>619</v>
      </c>
    </row>
    <row r="11" spans="1:18" ht="16.5" thickTop="1" thickBot="1" x14ac:dyDescent="0.3">
      <c r="A11" s="109" t="s">
        <v>0</v>
      </c>
      <c r="B11" s="184" t="s">
        <v>210</v>
      </c>
      <c r="C11" s="270">
        <v>0</v>
      </c>
      <c r="D11" s="208">
        <v>0</v>
      </c>
      <c r="E11" s="268">
        <v>0</v>
      </c>
      <c r="F11" s="286"/>
      <c r="G11" s="270">
        <v>0</v>
      </c>
      <c r="H11" s="208">
        <v>0</v>
      </c>
      <c r="I11" s="268">
        <v>0</v>
      </c>
      <c r="J11" s="272"/>
      <c r="K11" s="208">
        <v>0</v>
      </c>
      <c r="L11" s="208">
        <v>0</v>
      </c>
      <c r="M11" s="268">
        <v>0</v>
      </c>
      <c r="O11" s="246" t="s">
        <v>619</v>
      </c>
      <c r="P11" s="246" t="s">
        <v>619</v>
      </c>
      <c r="Q11" s="246" t="s">
        <v>619</v>
      </c>
    </row>
    <row r="12" spans="1:18" ht="16.5" thickTop="1" thickBot="1" x14ac:dyDescent="0.3">
      <c r="A12" s="109" t="s">
        <v>0</v>
      </c>
      <c r="B12" s="273" t="s">
        <v>41</v>
      </c>
      <c r="C12" s="208">
        <v>0</v>
      </c>
      <c r="D12" s="208">
        <v>0</v>
      </c>
      <c r="E12" s="268">
        <v>0</v>
      </c>
      <c r="F12" s="286"/>
      <c r="G12" s="208">
        <v>0</v>
      </c>
      <c r="H12" s="208">
        <v>0</v>
      </c>
      <c r="I12" s="268">
        <v>0</v>
      </c>
      <c r="J12" s="272"/>
      <c r="K12" s="278">
        <v>0</v>
      </c>
      <c r="L12" s="278">
        <v>0</v>
      </c>
      <c r="M12" s="285">
        <v>0</v>
      </c>
      <c r="N12" s="111"/>
      <c r="O12" s="279">
        <v>-236977.60279999996</v>
      </c>
      <c r="P12" s="208">
        <v>-196256.59669999999</v>
      </c>
      <c r="Q12" s="268">
        <v>-40721.00609999997</v>
      </c>
    </row>
    <row r="13" spans="1:18" ht="16.5" thickTop="1" thickBot="1" x14ac:dyDescent="0.3">
      <c r="A13" s="109" t="s">
        <v>0</v>
      </c>
      <c r="B13" s="52" t="s">
        <v>46</v>
      </c>
      <c r="C13" s="246" t="s">
        <v>617</v>
      </c>
      <c r="D13" s="246" t="s">
        <v>617</v>
      </c>
      <c r="E13" s="246" t="s">
        <v>617</v>
      </c>
      <c r="F13" s="208"/>
      <c r="G13" s="246" t="s">
        <v>617</v>
      </c>
      <c r="H13" s="246" t="s">
        <v>617</v>
      </c>
      <c r="I13" s="246" t="s">
        <v>617</v>
      </c>
      <c r="J13" s="209"/>
      <c r="K13" s="246" t="s">
        <v>617</v>
      </c>
      <c r="L13" s="246" t="s">
        <v>617</v>
      </c>
      <c r="M13" s="246" t="s">
        <v>617</v>
      </c>
      <c r="N13" s="291"/>
      <c r="O13" s="270">
        <v>706913.42500000005</v>
      </c>
      <c r="P13" s="208">
        <v>603606.75394749991</v>
      </c>
      <c r="Q13" s="268">
        <v>103306.67105250014</v>
      </c>
    </row>
    <row r="14" spans="1:18" ht="16.5" thickTop="1" thickBot="1" x14ac:dyDescent="0.3">
      <c r="A14" s="109" t="s">
        <v>0</v>
      </c>
      <c r="B14" s="52" t="s">
        <v>45</v>
      </c>
      <c r="C14" s="246" t="s">
        <v>617</v>
      </c>
      <c r="D14" s="246" t="s">
        <v>617</v>
      </c>
      <c r="E14" s="246" t="s">
        <v>617</v>
      </c>
      <c r="F14" s="208"/>
      <c r="G14" s="246" t="s">
        <v>617</v>
      </c>
      <c r="H14" s="246" t="s">
        <v>617</v>
      </c>
      <c r="I14" s="246" t="s">
        <v>617</v>
      </c>
      <c r="J14" s="209"/>
      <c r="K14" s="246" t="s">
        <v>617</v>
      </c>
      <c r="L14" s="246" t="s">
        <v>617</v>
      </c>
      <c r="M14" s="246" t="s">
        <v>617</v>
      </c>
      <c r="N14" s="291"/>
      <c r="O14" s="270">
        <v>1800250.051</v>
      </c>
      <c r="P14" s="208">
        <v>1515858.6556712498</v>
      </c>
      <c r="Q14" s="268">
        <v>284391.39532875014</v>
      </c>
    </row>
    <row r="15" spans="1:18" ht="16.5" thickTop="1" thickBot="1" x14ac:dyDescent="0.3">
      <c r="A15" s="109" t="s">
        <v>0</v>
      </c>
      <c r="B15" s="52" t="s">
        <v>47</v>
      </c>
      <c r="C15" s="246" t="s">
        <v>617</v>
      </c>
      <c r="D15" s="246" t="s">
        <v>617</v>
      </c>
      <c r="E15" s="246" t="s">
        <v>617</v>
      </c>
      <c r="F15" s="208"/>
      <c r="G15" s="246" t="s">
        <v>617</v>
      </c>
      <c r="H15" s="246" t="s">
        <v>617</v>
      </c>
      <c r="I15" s="246" t="s">
        <v>617</v>
      </c>
      <c r="J15" s="209"/>
      <c r="K15" s="246" t="s">
        <v>617</v>
      </c>
      <c r="L15" s="246" t="s">
        <v>617</v>
      </c>
      <c r="M15" s="246" t="s">
        <v>617</v>
      </c>
      <c r="N15" s="291"/>
      <c r="O15" s="270">
        <v>1334246.1359999999</v>
      </c>
      <c r="P15" s="208">
        <v>1048566.7787387501</v>
      </c>
      <c r="Q15" s="268">
        <v>285679.3572612498</v>
      </c>
    </row>
    <row r="16" spans="1:18" ht="16.5" thickTop="1" thickBot="1" x14ac:dyDescent="0.3">
      <c r="A16" s="109" t="s">
        <v>0</v>
      </c>
      <c r="B16" s="52" t="s">
        <v>67</v>
      </c>
      <c r="C16" s="246" t="s">
        <v>617</v>
      </c>
      <c r="D16" s="246" t="s">
        <v>617</v>
      </c>
      <c r="E16" s="246" t="s">
        <v>617</v>
      </c>
      <c r="F16" s="208"/>
      <c r="G16" s="246" t="s">
        <v>617</v>
      </c>
      <c r="H16" s="246" t="s">
        <v>617</v>
      </c>
      <c r="I16" s="246" t="s">
        <v>617</v>
      </c>
      <c r="J16" s="209"/>
      <c r="K16" s="246" t="s">
        <v>617</v>
      </c>
      <c r="L16" s="246" t="s">
        <v>617</v>
      </c>
      <c r="M16" s="246" t="s">
        <v>617</v>
      </c>
      <c r="N16" s="291"/>
      <c r="O16" s="292">
        <v>461558.71879999997</v>
      </c>
      <c r="P16" s="208">
        <v>413810.2092865</v>
      </c>
      <c r="Q16" s="268">
        <v>47748.509513499972</v>
      </c>
    </row>
    <row r="17" spans="1:17" ht="16.5" thickTop="1" thickBot="1" x14ac:dyDescent="0.3">
      <c r="A17" s="109">
        <v>501</v>
      </c>
      <c r="B17" s="184" t="s">
        <v>48</v>
      </c>
      <c r="C17" s="246" t="s">
        <v>617</v>
      </c>
      <c r="D17" s="246" t="s">
        <v>617</v>
      </c>
      <c r="E17" s="246" t="s">
        <v>617</v>
      </c>
      <c r="F17" s="208"/>
      <c r="G17" s="246" t="s">
        <v>617</v>
      </c>
      <c r="H17" s="246" t="s">
        <v>617</v>
      </c>
      <c r="I17" s="246" t="s">
        <v>617</v>
      </c>
      <c r="J17" s="209"/>
      <c r="K17" s="246" t="s">
        <v>617</v>
      </c>
      <c r="L17" s="246" t="s">
        <v>617</v>
      </c>
      <c r="M17" s="246" t="s">
        <v>617</v>
      </c>
      <c r="O17" s="246" t="s">
        <v>617</v>
      </c>
      <c r="P17" s="246" t="s">
        <v>617</v>
      </c>
      <c r="Q17" s="246" t="s">
        <v>617</v>
      </c>
    </row>
    <row r="18" spans="1:17" ht="16.5" thickTop="1" thickBot="1" x14ac:dyDescent="0.3">
      <c r="A18" s="109">
        <v>547</v>
      </c>
      <c r="B18" s="183" t="s">
        <v>10</v>
      </c>
      <c r="C18" s="246" t="s">
        <v>617</v>
      </c>
      <c r="D18" s="246" t="s">
        <v>617</v>
      </c>
      <c r="E18" s="246" t="s">
        <v>617</v>
      </c>
      <c r="F18" s="208"/>
      <c r="G18" s="246" t="s">
        <v>617</v>
      </c>
      <c r="H18" s="246" t="s">
        <v>617</v>
      </c>
      <c r="I18" s="246" t="s">
        <v>617</v>
      </c>
      <c r="J18" s="209"/>
      <c r="K18" s="246" t="s">
        <v>617</v>
      </c>
      <c r="L18" s="246" t="s">
        <v>617</v>
      </c>
      <c r="M18" s="246" t="s">
        <v>617</v>
      </c>
      <c r="O18" s="246" t="s">
        <v>617</v>
      </c>
      <c r="P18" s="246" t="s">
        <v>617</v>
      </c>
      <c r="Q18" s="246" t="s">
        <v>617</v>
      </c>
    </row>
    <row r="19" spans="1:17" ht="16.5" thickTop="1" thickBot="1" x14ac:dyDescent="0.3">
      <c r="A19" s="109">
        <v>547</v>
      </c>
      <c r="B19" s="185" t="s">
        <v>11</v>
      </c>
      <c r="C19" s="246" t="s">
        <v>617</v>
      </c>
      <c r="D19" s="246" t="s">
        <v>617</v>
      </c>
      <c r="E19" s="246" t="s">
        <v>617</v>
      </c>
      <c r="F19" s="208"/>
      <c r="G19" s="246" t="s">
        <v>617</v>
      </c>
      <c r="H19" s="246" t="s">
        <v>617</v>
      </c>
      <c r="I19" s="246" t="s">
        <v>617</v>
      </c>
      <c r="J19" s="209"/>
      <c r="K19" s="246" t="s">
        <v>617</v>
      </c>
      <c r="L19" s="246" t="s">
        <v>617</v>
      </c>
      <c r="M19" s="246" t="s">
        <v>617</v>
      </c>
      <c r="O19" s="246" t="s">
        <v>617</v>
      </c>
      <c r="P19" s="246" t="s">
        <v>617</v>
      </c>
      <c r="Q19" s="246" t="s">
        <v>617</v>
      </c>
    </row>
    <row r="20" spans="1:17" ht="16.5" thickTop="1" thickBot="1" x14ac:dyDescent="0.3">
      <c r="A20" s="109">
        <v>547</v>
      </c>
      <c r="B20" s="184" t="s">
        <v>12</v>
      </c>
      <c r="C20" s="246" t="s">
        <v>617</v>
      </c>
      <c r="D20" s="246" t="s">
        <v>617</v>
      </c>
      <c r="E20" s="246" t="s">
        <v>617</v>
      </c>
      <c r="F20" s="208"/>
      <c r="G20" s="246" t="s">
        <v>617</v>
      </c>
      <c r="H20" s="246" t="s">
        <v>617</v>
      </c>
      <c r="I20" s="246" t="s">
        <v>617</v>
      </c>
      <c r="J20" s="209"/>
      <c r="K20" s="246" t="s">
        <v>617</v>
      </c>
      <c r="L20" s="246" t="s">
        <v>617</v>
      </c>
      <c r="M20" s="246" t="s">
        <v>617</v>
      </c>
      <c r="O20" s="246" t="s">
        <v>617</v>
      </c>
      <c r="P20" s="246" t="s">
        <v>617</v>
      </c>
      <c r="Q20" s="246" t="s">
        <v>617</v>
      </c>
    </row>
    <row r="21" spans="1:17" ht="16.5" thickTop="1" thickBot="1" x14ac:dyDescent="0.3">
      <c r="A21" s="109">
        <v>547</v>
      </c>
      <c r="B21" s="183" t="s">
        <v>34</v>
      </c>
      <c r="C21" s="246" t="s">
        <v>617</v>
      </c>
      <c r="D21" s="246" t="s">
        <v>617</v>
      </c>
      <c r="E21" s="246" t="s">
        <v>617</v>
      </c>
      <c r="F21" s="208"/>
      <c r="G21" s="246" t="s">
        <v>617</v>
      </c>
      <c r="H21" s="246" t="s">
        <v>617</v>
      </c>
      <c r="I21" s="246" t="s">
        <v>617</v>
      </c>
      <c r="J21" s="209"/>
      <c r="K21" s="246" t="s">
        <v>617</v>
      </c>
      <c r="L21" s="246" t="s">
        <v>617</v>
      </c>
      <c r="M21" s="246" t="s">
        <v>617</v>
      </c>
      <c r="O21" s="246" t="s">
        <v>617</v>
      </c>
      <c r="P21" s="246" t="s">
        <v>617</v>
      </c>
      <c r="Q21" s="246" t="s">
        <v>617</v>
      </c>
    </row>
    <row r="22" spans="1:17" ht="16.5" thickTop="1" thickBot="1" x14ac:dyDescent="0.3">
      <c r="A22" s="109">
        <v>547</v>
      </c>
      <c r="B22" s="184" t="s">
        <v>13</v>
      </c>
      <c r="C22" s="246" t="s">
        <v>617</v>
      </c>
      <c r="D22" s="246" t="s">
        <v>617</v>
      </c>
      <c r="E22" s="246" t="s">
        <v>617</v>
      </c>
      <c r="F22" s="208"/>
      <c r="G22" s="246" t="s">
        <v>617</v>
      </c>
      <c r="H22" s="246" t="s">
        <v>617</v>
      </c>
      <c r="I22" s="246" t="s">
        <v>617</v>
      </c>
      <c r="J22" s="209"/>
      <c r="K22" s="246" t="s">
        <v>617</v>
      </c>
      <c r="L22" s="246" t="s">
        <v>617</v>
      </c>
      <c r="M22" s="246" t="s">
        <v>617</v>
      </c>
      <c r="O22" s="246" t="s">
        <v>617</v>
      </c>
      <c r="P22" s="246" t="s">
        <v>617</v>
      </c>
      <c r="Q22" s="246" t="s">
        <v>617</v>
      </c>
    </row>
    <row r="23" spans="1:17" ht="16.5" thickTop="1" thickBot="1" x14ac:dyDescent="0.3">
      <c r="A23" s="109">
        <v>547</v>
      </c>
      <c r="B23" s="183" t="s">
        <v>14</v>
      </c>
      <c r="C23" s="246" t="s">
        <v>617</v>
      </c>
      <c r="D23" s="246" t="s">
        <v>617</v>
      </c>
      <c r="E23" s="246" t="s">
        <v>617</v>
      </c>
      <c r="F23" s="208"/>
      <c r="G23" s="246" t="s">
        <v>617</v>
      </c>
      <c r="H23" s="246" t="s">
        <v>617</v>
      </c>
      <c r="I23" s="246" t="s">
        <v>617</v>
      </c>
      <c r="J23" s="209"/>
      <c r="K23" s="246" t="s">
        <v>617</v>
      </c>
      <c r="L23" s="246" t="s">
        <v>617</v>
      </c>
      <c r="M23" s="246" t="s">
        <v>617</v>
      </c>
      <c r="O23" s="246" t="s">
        <v>617</v>
      </c>
      <c r="P23" s="246" t="s">
        <v>617</v>
      </c>
      <c r="Q23" s="246" t="s">
        <v>617</v>
      </c>
    </row>
    <row r="24" spans="1:17" ht="16.5" thickTop="1" thickBot="1" x14ac:dyDescent="0.3">
      <c r="A24" s="109">
        <v>547</v>
      </c>
      <c r="B24" s="183" t="s">
        <v>15</v>
      </c>
      <c r="C24" s="246" t="s">
        <v>617</v>
      </c>
      <c r="D24" s="246" t="s">
        <v>617</v>
      </c>
      <c r="E24" s="246" t="s">
        <v>617</v>
      </c>
      <c r="F24" s="208"/>
      <c r="G24" s="246" t="s">
        <v>617</v>
      </c>
      <c r="H24" s="246" t="s">
        <v>617</v>
      </c>
      <c r="I24" s="246" t="s">
        <v>617</v>
      </c>
      <c r="J24" s="209"/>
      <c r="K24" s="246" t="s">
        <v>617</v>
      </c>
      <c r="L24" s="246" t="s">
        <v>617</v>
      </c>
      <c r="M24" s="246" t="s">
        <v>617</v>
      </c>
      <c r="O24" s="246" t="s">
        <v>617</v>
      </c>
      <c r="P24" s="246" t="s">
        <v>617</v>
      </c>
      <c r="Q24" s="246" t="s">
        <v>617</v>
      </c>
    </row>
    <row r="25" spans="1:17" ht="16.5" thickTop="1" thickBot="1" x14ac:dyDescent="0.3">
      <c r="A25" s="109">
        <v>547</v>
      </c>
      <c r="B25" s="183" t="s">
        <v>16</v>
      </c>
      <c r="C25" s="246" t="s">
        <v>617</v>
      </c>
      <c r="D25" s="246" t="s">
        <v>617</v>
      </c>
      <c r="E25" s="246" t="s">
        <v>617</v>
      </c>
      <c r="F25" s="208"/>
      <c r="G25" s="246" t="s">
        <v>617</v>
      </c>
      <c r="H25" s="246" t="s">
        <v>617</v>
      </c>
      <c r="I25" s="246" t="s">
        <v>617</v>
      </c>
      <c r="J25" s="209"/>
      <c r="K25" s="246" t="s">
        <v>617</v>
      </c>
      <c r="L25" s="246" t="s">
        <v>617</v>
      </c>
      <c r="M25" s="246" t="s">
        <v>617</v>
      </c>
      <c r="O25" s="246" t="s">
        <v>617</v>
      </c>
      <c r="P25" s="246" t="s">
        <v>617</v>
      </c>
      <c r="Q25" s="246" t="s">
        <v>617</v>
      </c>
    </row>
    <row r="26" spans="1:17" ht="16.5" thickTop="1" thickBot="1" x14ac:dyDescent="0.3">
      <c r="A26" s="109">
        <v>547</v>
      </c>
      <c r="B26" s="184" t="s">
        <v>17</v>
      </c>
      <c r="C26" s="246" t="s">
        <v>617</v>
      </c>
      <c r="D26" s="246" t="s">
        <v>617</v>
      </c>
      <c r="E26" s="246" t="s">
        <v>617</v>
      </c>
      <c r="F26" s="208"/>
      <c r="G26" s="246" t="s">
        <v>617</v>
      </c>
      <c r="H26" s="246" t="s">
        <v>617</v>
      </c>
      <c r="I26" s="246" t="s">
        <v>617</v>
      </c>
      <c r="J26" s="209"/>
      <c r="K26" s="246" t="s">
        <v>617</v>
      </c>
      <c r="L26" s="246" t="s">
        <v>617</v>
      </c>
      <c r="M26" s="246" t="s">
        <v>617</v>
      </c>
      <c r="O26" s="246" t="s">
        <v>617</v>
      </c>
      <c r="P26" s="246" t="s">
        <v>617</v>
      </c>
      <c r="Q26" s="246" t="s">
        <v>617</v>
      </c>
    </row>
    <row r="27" spans="1:17" ht="16.5" thickTop="1" thickBot="1" x14ac:dyDescent="0.3">
      <c r="A27" s="109">
        <v>547</v>
      </c>
      <c r="B27" s="183" t="s">
        <v>18</v>
      </c>
      <c r="C27" s="246" t="s">
        <v>617</v>
      </c>
      <c r="D27" s="246" t="s">
        <v>617</v>
      </c>
      <c r="E27" s="246" t="s">
        <v>617</v>
      </c>
      <c r="F27" s="208"/>
      <c r="G27" s="246" t="s">
        <v>617</v>
      </c>
      <c r="H27" s="246" t="s">
        <v>617</v>
      </c>
      <c r="I27" s="246" t="s">
        <v>617</v>
      </c>
      <c r="J27" s="209"/>
      <c r="K27" s="246" t="s">
        <v>617</v>
      </c>
      <c r="L27" s="246" t="s">
        <v>617</v>
      </c>
      <c r="M27" s="246" t="s">
        <v>617</v>
      </c>
      <c r="O27" s="246" t="s">
        <v>617</v>
      </c>
      <c r="P27" s="246" t="s">
        <v>617</v>
      </c>
      <c r="Q27" s="246" t="s">
        <v>617</v>
      </c>
    </row>
    <row r="28" spans="1:17" ht="16.5" thickTop="1" thickBot="1" x14ac:dyDescent="0.3">
      <c r="A28" s="109">
        <v>548</v>
      </c>
      <c r="B28" s="184" t="s">
        <v>43</v>
      </c>
      <c r="C28" s="246" t="s">
        <v>617</v>
      </c>
      <c r="D28" s="246" t="s">
        <v>617</v>
      </c>
      <c r="E28" s="246" t="s">
        <v>617</v>
      </c>
      <c r="F28" s="208"/>
      <c r="G28" s="246" t="s">
        <v>617</v>
      </c>
      <c r="H28" s="246" t="s">
        <v>617</v>
      </c>
      <c r="I28" s="246" t="s">
        <v>617</v>
      </c>
      <c r="J28" s="209"/>
      <c r="K28" s="246" t="s">
        <v>617</v>
      </c>
      <c r="L28" s="246" t="s">
        <v>617</v>
      </c>
      <c r="M28" s="246" t="s">
        <v>617</v>
      </c>
      <c r="O28" s="246" t="s">
        <v>617</v>
      </c>
      <c r="P28" s="246" t="s">
        <v>617</v>
      </c>
      <c r="Q28" s="246" t="s">
        <v>617</v>
      </c>
    </row>
    <row r="29" spans="1:17" ht="16.5" thickTop="1" thickBot="1" x14ac:dyDescent="0.3">
      <c r="A29" s="109">
        <v>555</v>
      </c>
      <c r="B29" s="184" t="s">
        <v>42</v>
      </c>
      <c r="C29" s="246" t="s">
        <v>617</v>
      </c>
      <c r="D29" s="246" t="s">
        <v>617</v>
      </c>
      <c r="E29" s="246" t="s">
        <v>617</v>
      </c>
      <c r="F29" s="208"/>
      <c r="G29" s="246" t="s">
        <v>617</v>
      </c>
      <c r="H29" s="246" t="s">
        <v>617</v>
      </c>
      <c r="I29" s="246" t="s">
        <v>617</v>
      </c>
      <c r="J29" s="209"/>
      <c r="K29" s="246" t="s">
        <v>617</v>
      </c>
      <c r="L29" s="246" t="s">
        <v>617</v>
      </c>
      <c r="M29" s="246" t="s">
        <v>617</v>
      </c>
      <c r="O29" s="246" t="s">
        <v>617</v>
      </c>
      <c r="P29" s="246" t="s">
        <v>617</v>
      </c>
      <c r="Q29" s="246" t="s">
        <v>617</v>
      </c>
    </row>
    <row r="30" spans="1:17" ht="16.5" thickTop="1" thickBot="1" x14ac:dyDescent="0.3">
      <c r="A30" s="109">
        <v>555</v>
      </c>
      <c r="B30" s="184" t="s">
        <v>346</v>
      </c>
      <c r="C30" s="246" t="s">
        <v>617</v>
      </c>
      <c r="D30" s="246" t="s">
        <v>617</v>
      </c>
      <c r="E30" s="246" t="s">
        <v>617</v>
      </c>
      <c r="F30" s="208"/>
      <c r="G30" s="246" t="s">
        <v>617</v>
      </c>
      <c r="H30" s="246" t="s">
        <v>617</v>
      </c>
      <c r="I30" s="246" t="s">
        <v>617</v>
      </c>
      <c r="J30" s="209"/>
      <c r="K30" s="246" t="s">
        <v>617</v>
      </c>
      <c r="L30" s="246" t="s">
        <v>617</v>
      </c>
      <c r="M30" s="246" t="s">
        <v>617</v>
      </c>
      <c r="O30" s="246" t="s">
        <v>617</v>
      </c>
      <c r="P30" s="246" t="s">
        <v>617</v>
      </c>
      <c r="Q30" s="246" t="s">
        <v>617</v>
      </c>
    </row>
    <row r="31" spans="1:17" ht="16.5" thickTop="1" thickBot="1" x14ac:dyDescent="0.3">
      <c r="A31" s="83" t="s">
        <v>218</v>
      </c>
      <c r="B31" s="184" t="s">
        <v>353</v>
      </c>
      <c r="C31" s="246" t="s">
        <v>617</v>
      </c>
      <c r="D31" s="246" t="s">
        <v>617</v>
      </c>
      <c r="E31" s="246" t="s">
        <v>617</v>
      </c>
      <c r="F31" s="208"/>
      <c r="G31" s="246" t="s">
        <v>617</v>
      </c>
      <c r="H31" s="246" t="s">
        <v>617</v>
      </c>
      <c r="I31" s="246" t="s">
        <v>617</v>
      </c>
      <c r="J31" s="209"/>
      <c r="K31" s="246" t="s">
        <v>617</v>
      </c>
      <c r="L31" s="246" t="s">
        <v>617</v>
      </c>
      <c r="M31" s="246" t="s">
        <v>617</v>
      </c>
      <c r="O31" s="246" t="s">
        <v>617</v>
      </c>
      <c r="P31" s="246" t="s">
        <v>617</v>
      </c>
      <c r="Q31" s="246" t="s">
        <v>617</v>
      </c>
    </row>
    <row r="32" spans="1:17" ht="16.5" thickTop="1" thickBot="1" x14ac:dyDescent="0.3">
      <c r="A32" s="83" t="s">
        <v>218</v>
      </c>
      <c r="B32" s="184" t="s">
        <v>357</v>
      </c>
      <c r="C32" s="246" t="s">
        <v>617</v>
      </c>
      <c r="D32" s="246" t="s">
        <v>617</v>
      </c>
      <c r="E32" s="246" t="s">
        <v>617</v>
      </c>
      <c r="F32" s="208"/>
      <c r="G32" s="246" t="s">
        <v>617</v>
      </c>
      <c r="H32" s="246" t="s">
        <v>617</v>
      </c>
      <c r="I32" s="246" t="s">
        <v>617</v>
      </c>
      <c r="J32" s="209"/>
      <c r="K32" s="246" t="s">
        <v>617</v>
      </c>
      <c r="L32" s="246" t="s">
        <v>617</v>
      </c>
      <c r="M32" s="246" t="s">
        <v>617</v>
      </c>
      <c r="O32" s="246" t="s">
        <v>617</v>
      </c>
      <c r="P32" s="246" t="s">
        <v>617</v>
      </c>
      <c r="Q32" s="246" t="s">
        <v>617</v>
      </c>
    </row>
    <row r="33" spans="1:17" ht="16.5" thickTop="1" thickBot="1" x14ac:dyDescent="0.3">
      <c r="A33" s="83" t="s">
        <v>218</v>
      </c>
      <c r="B33" s="184" t="s">
        <v>349</v>
      </c>
      <c r="C33" s="279">
        <v>0</v>
      </c>
      <c r="D33" s="208">
        <v>0</v>
      </c>
      <c r="E33" s="267">
        <v>0</v>
      </c>
      <c r="F33" s="208"/>
      <c r="G33" s="279">
        <v>0</v>
      </c>
      <c r="H33" s="208">
        <v>0</v>
      </c>
      <c r="I33" s="267">
        <v>0</v>
      </c>
      <c r="J33" s="209"/>
      <c r="K33" s="279">
        <v>0</v>
      </c>
      <c r="L33" s="208">
        <v>0</v>
      </c>
      <c r="M33" s="267">
        <v>0</v>
      </c>
      <c r="O33" s="246" t="s">
        <v>617</v>
      </c>
      <c r="P33" s="246" t="s">
        <v>617</v>
      </c>
      <c r="Q33" s="246" t="s">
        <v>617</v>
      </c>
    </row>
    <row r="34" spans="1:17" ht="16.5" thickTop="1" thickBot="1" x14ac:dyDescent="0.3">
      <c r="A34" s="83" t="s">
        <v>218</v>
      </c>
      <c r="B34" s="273" t="s">
        <v>128</v>
      </c>
      <c r="C34" s="208">
        <v>0</v>
      </c>
      <c r="D34" s="208">
        <v>0</v>
      </c>
      <c r="E34" s="268">
        <v>0</v>
      </c>
      <c r="F34" s="208"/>
      <c r="G34" s="270">
        <v>0</v>
      </c>
      <c r="H34" s="208">
        <v>0</v>
      </c>
      <c r="I34" s="268">
        <v>0</v>
      </c>
      <c r="J34" s="209"/>
      <c r="K34" s="270">
        <v>0</v>
      </c>
      <c r="L34" s="208">
        <v>0</v>
      </c>
      <c r="M34" s="268">
        <v>0</v>
      </c>
      <c r="O34" s="246" t="s">
        <v>617</v>
      </c>
      <c r="P34" s="246" t="s">
        <v>617</v>
      </c>
      <c r="Q34" s="246" t="s">
        <v>617</v>
      </c>
    </row>
    <row r="35" spans="1:17" ht="16.5" thickTop="1" thickBot="1" x14ac:dyDescent="0.3">
      <c r="A35" s="83" t="s">
        <v>218</v>
      </c>
      <c r="B35" s="273" t="s">
        <v>361</v>
      </c>
      <c r="C35" s="208">
        <v>0</v>
      </c>
      <c r="D35" s="208">
        <v>0</v>
      </c>
      <c r="E35" s="268">
        <v>0</v>
      </c>
      <c r="F35" s="208"/>
      <c r="G35" s="270">
        <v>0</v>
      </c>
      <c r="H35" s="208">
        <v>0</v>
      </c>
      <c r="I35" s="268">
        <v>0</v>
      </c>
      <c r="J35" s="209"/>
      <c r="K35" s="270">
        <v>0</v>
      </c>
      <c r="L35" s="208">
        <v>0</v>
      </c>
      <c r="M35" s="268">
        <v>0</v>
      </c>
      <c r="O35" s="246" t="s">
        <v>617</v>
      </c>
      <c r="P35" s="246" t="s">
        <v>617</v>
      </c>
      <c r="Q35" s="246" t="s">
        <v>617</v>
      </c>
    </row>
    <row r="36" spans="1:17" ht="16.5" thickTop="1" thickBot="1" x14ac:dyDescent="0.3">
      <c r="A36" s="83" t="s">
        <v>218</v>
      </c>
      <c r="B36" s="273" t="s">
        <v>354</v>
      </c>
      <c r="C36" s="208">
        <v>0</v>
      </c>
      <c r="D36" s="208">
        <v>0</v>
      </c>
      <c r="E36" s="268">
        <v>0</v>
      </c>
      <c r="F36" s="208"/>
      <c r="G36" s="292">
        <v>0</v>
      </c>
      <c r="H36" s="208">
        <v>0</v>
      </c>
      <c r="I36" s="268">
        <v>0</v>
      </c>
      <c r="J36" s="209"/>
      <c r="K36" s="270">
        <v>0</v>
      </c>
      <c r="L36" s="208">
        <v>0</v>
      </c>
      <c r="M36" s="268">
        <v>0</v>
      </c>
      <c r="O36" s="246" t="s">
        <v>617</v>
      </c>
      <c r="P36" s="246" t="s">
        <v>617</v>
      </c>
      <c r="Q36" s="246" t="s">
        <v>617</v>
      </c>
    </row>
    <row r="37" spans="1:17" ht="16.5" thickTop="1" thickBot="1" x14ac:dyDescent="0.3">
      <c r="A37" s="83" t="s">
        <v>218</v>
      </c>
      <c r="B37" s="184" t="s">
        <v>351</v>
      </c>
      <c r="C37" s="246" t="s">
        <v>617</v>
      </c>
      <c r="D37" s="246" t="s">
        <v>617</v>
      </c>
      <c r="E37" s="246" t="s">
        <v>617</v>
      </c>
      <c r="F37" s="208"/>
      <c r="G37" s="246" t="s">
        <v>617</v>
      </c>
      <c r="H37" s="246" t="s">
        <v>617</v>
      </c>
      <c r="I37" s="246" t="s">
        <v>617</v>
      </c>
      <c r="J37" s="209"/>
      <c r="K37" s="246" t="s">
        <v>617</v>
      </c>
      <c r="L37" s="246" t="s">
        <v>617</v>
      </c>
      <c r="M37" s="246" t="s">
        <v>617</v>
      </c>
      <c r="O37" s="246" t="s">
        <v>617</v>
      </c>
      <c r="P37" s="246" t="s">
        <v>617</v>
      </c>
      <c r="Q37" s="246" t="s">
        <v>617</v>
      </c>
    </row>
    <row r="38" spans="1:17" ht="16.5" thickTop="1" thickBot="1" x14ac:dyDescent="0.3">
      <c r="A38" s="83" t="s">
        <v>218</v>
      </c>
      <c r="B38" s="184" t="s">
        <v>348</v>
      </c>
      <c r="C38" s="246" t="s">
        <v>617</v>
      </c>
      <c r="D38" s="246" t="s">
        <v>617</v>
      </c>
      <c r="E38" s="246" t="s">
        <v>617</v>
      </c>
      <c r="F38" s="208"/>
      <c r="G38" s="246" t="s">
        <v>617</v>
      </c>
      <c r="H38" s="246" t="s">
        <v>617</v>
      </c>
      <c r="I38" s="246" t="s">
        <v>617</v>
      </c>
      <c r="J38" s="209"/>
      <c r="K38" s="246" t="s">
        <v>617</v>
      </c>
      <c r="L38" s="246" t="s">
        <v>617</v>
      </c>
      <c r="M38" s="246" t="s">
        <v>617</v>
      </c>
      <c r="O38" s="246" t="s">
        <v>617</v>
      </c>
      <c r="P38" s="246" t="s">
        <v>617</v>
      </c>
      <c r="Q38" s="246" t="s">
        <v>617</v>
      </c>
    </row>
    <row r="39" spans="1:17" ht="16.5" thickTop="1" thickBot="1" x14ac:dyDescent="0.3">
      <c r="A39" s="83" t="s">
        <v>218</v>
      </c>
      <c r="B39" s="184" t="s">
        <v>537</v>
      </c>
      <c r="C39" s="246" t="s">
        <v>617</v>
      </c>
      <c r="D39" s="246" t="s">
        <v>617</v>
      </c>
      <c r="E39" s="246" t="s">
        <v>617</v>
      </c>
      <c r="F39" s="208"/>
      <c r="G39" s="246" t="s">
        <v>617</v>
      </c>
      <c r="H39" s="246" t="s">
        <v>617</v>
      </c>
      <c r="I39" s="246" t="s">
        <v>617</v>
      </c>
      <c r="J39" s="209"/>
      <c r="K39" s="246" t="s">
        <v>617</v>
      </c>
      <c r="L39" s="246" t="s">
        <v>617</v>
      </c>
      <c r="M39" s="246" t="s">
        <v>617</v>
      </c>
      <c r="O39" s="246" t="s">
        <v>617</v>
      </c>
      <c r="P39" s="246" t="s">
        <v>617</v>
      </c>
      <c r="Q39" s="246" t="s">
        <v>617</v>
      </c>
    </row>
    <row r="40" spans="1:17" ht="16.5" thickTop="1" thickBot="1" x14ac:dyDescent="0.3">
      <c r="A40" s="109" t="s">
        <v>0</v>
      </c>
      <c r="B40" s="184" t="s">
        <v>350</v>
      </c>
      <c r="C40" s="246" t="s">
        <v>617</v>
      </c>
      <c r="D40" s="246" t="s">
        <v>617</v>
      </c>
      <c r="E40" s="246" t="s">
        <v>617</v>
      </c>
      <c r="F40" s="208"/>
      <c r="G40" s="246" t="s">
        <v>617</v>
      </c>
      <c r="H40" s="246" t="s">
        <v>617</v>
      </c>
      <c r="I40" s="246" t="s">
        <v>617</v>
      </c>
      <c r="J40" s="209"/>
      <c r="K40" s="246" t="s">
        <v>617</v>
      </c>
      <c r="L40" s="246" t="s">
        <v>617</v>
      </c>
      <c r="M40" s="246" t="s">
        <v>617</v>
      </c>
      <c r="O40" s="246" t="s">
        <v>617</v>
      </c>
      <c r="P40" s="246" t="s">
        <v>617</v>
      </c>
      <c r="Q40" s="246" t="s">
        <v>617</v>
      </c>
    </row>
    <row r="41" spans="1:17" ht="16.5" thickTop="1" thickBot="1" x14ac:dyDescent="0.3">
      <c r="A41" s="109" t="s">
        <v>0</v>
      </c>
      <c r="B41" s="184" t="s">
        <v>347</v>
      </c>
      <c r="C41" s="246" t="s">
        <v>617</v>
      </c>
      <c r="D41" s="246" t="s">
        <v>617</v>
      </c>
      <c r="E41" s="246" t="s">
        <v>617</v>
      </c>
      <c r="F41" s="208"/>
      <c r="G41" s="246" t="s">
        <v>617</v>
      </c>
      <c r="H41" s="246" t="s">
        <v>617</v>
      </c>
      <c r="I41" s="246" t="s">
        <v>617</v>
      </c>
      <c r="J41" s="209"/>
      <c r="K41" s="246" t="s">
        <v>617</v>
      </c>
      <c r="L41" s="246" t="s">
        <v>617</v>
      </c>
      <c r="M41" s="246" t="s">
        <v>617</v>
      </c>
      <c r="O41" s="246" t="s">
        <v>617</v>
      </c>
      <c r="P41" s="246" t="s">
        <v>617</v>
      </c>
      <c r="Q41" s="246" t="s">
        <v>617</v>
      </c>
    </row>
    <row r="42" spans="1:17" ht="16.5" thickTop="1" thickBot="1" x14ac:dyDescent="0.3">
      <c r="A42" s="109">
        <v>555</v>
      </c>
      <c r="B42" s="184" t="s">
        <v>358</v>
      </c>
      <c r="C42" s="246" t="s">
        <v>617</v>
      </c>
      <c r="D42" s="246" t="s">
        <v>617</v>
      </c>
      <c r="E42" s="246" t="s">
        <v>617</v>
      </c>
      <c r="F42" s="208"/>
      <c r="G42" s="246" t="s">
        <v>617</v>
      </c>
      <c r="H42" s="246" t="s">
        <v>617</v>
      </c>
      <c r="I42" s="246" t="s">
        <v>617</v>
      </c>
      <c r="J42" s="209"/>
      <c r="K42" s="246" t="s">
        <v>617</v>
      </c>
      <c r="L42" s="246" t="s">
        <v>617</v>
      </c>
      <c r="M42" s="246" t="s">
        <v>617</v>
      </c>
      <c r="O42" s="246" t="s">
        <v>617</v>
      </c>
      <c r="P42" s="246" t="s">
        <v>617</v>
      </c>
      <c r="Q42" s="246" t="s">
        <v>617</v>
      </c>
    </row>
    <row r="43" spans="1:17" ht="15.75" thickTop="1" x14ac:dyDescent="0.25">
      <c r="A43" s="109">
        <v>555</v>
      </c>
      <c r="B43" s="184" t="s">
        <v>345</v>
      </c>
      <c r="C43" s="246" t="s">
        <v>617</v>
      </c>
      <c r="D43" s="246" t="s">
        <v>617</v>
      </c>
      <c r="E43" s="246" t="s">
        <v>617</v>
      </c>
      <c r="F43" s="208"/>
      <c r="G43" s="246" t="s">
        <v>617</v>
      </c>
      <c r="H43" s="246" t="s">
        <v>617</v>
      </c>
      <c r="I43" s="246" t="s">
        <v>617</v>
      </c>
      <c r="J43" s="209"/>
      <c r="K43" s="246" t="s">
        <v>617</v>
      </c>
      <c r="L43" s="246" t="s">
        <v>617</v>
      </c>
      <c r="M43" s="246" t="s">
        <v>617</v>
      </c>
      <c r="O43" s="246" t="s">
        <v>617</v>
      </c>
      <c r="P43" s="246" t="s">
        <v>617</v>
      </c>
      <c r="Q43" s="246" t="s">
        <v>617</v>
      </c>
    </row>
    <row r="44" spans="1:17" ht="15.75" thickBot="1" x14ac:dyDescent="0.3">
      <c r="A44" s="109">
        <v>555</v>
      </c>
      <c r="B44" s="184" t="s">
        <v>19</v>
      </c>
      <c r="C44" s="270">
        <v>0</v>
      </c>
      <c r="D44" s="208">
        <v>0</v>
      </c>
      <c r="E44" s="268">
        <v>0</v>
      </c>
      <c r="F44" s="208"/>
      <c r="G44" s="270">
        <v>0</v>
      </c>
      <c r="H44" s="208">
        <v>0</v>
      </c>
      <c r="I44" s="208">
        <v>0</v>
      </c>
      <c r="J44" s="272"/>
      <c r="K44" s="292">
        <v>0</v>
      </c>
      <c r="L44" s="208">
        <v>0</v>
      </c>
      <c r="M44" s="269">
        <v>0</v>
      </c>
      <c r="N44" s="345"/>
      <c r="O44" s="270">
        <v>7000.1307400000005</v>
      </c>
      <c r="P44" s="208">
        <v>7000</v>
      </c>
      <c r="Q44" s="268">
        <v>0.13074000000051456</v>
      </c>
    </row>
    <row r="45" spans="1:17" ht="16.5" thickTop="1" thickBot="1" x14ac:dyDescent="0.3">
      <c r="A45" s="109">
        <v>555</v>
      </c>
      <c r="B45" s="184" t="s">
        <v>44</v>
      </c>
      <c r="C45" s="246" t="s">
        <v>617</v>
      </c>
      <c r="D45" s="246" t="s">
        <v>617</v>
      </c>
      <c r="E45" s="246" t="s">
        <v>617</v>
      </c>
      <c r="F45" s="208"/>
      <c r="G45" s="246" t="s">
        <v>617</v>
      </c>
      <c r="H45" s="246" t="s">
        <v>617</v>
      </c>
      <c r="I45" s="246" t="s">
        <v>617</v>
      </c>
      <c r="J45" s="209"/>
      <c r="K45" s="246" t="s">
        <v>617</v>
      </c>
      <c r="L45" s="246" t="s">
        <v>617</v>
      </c>
      <c r="M45" s="246" t="s">
        <v>617</v>
      </c>
      <c r="O45" s="246" t="s">
        <v>617</v>
      </c>
      <c r="P45" s="246" t="s">
        <v>617</v>
      </c>
      <c r="Q45" s="246" t="s">
        <v>617</v>
      </c>
    </row>
    <row r="46" spans="1:17" ht="16.5" thickTop="1" thickBot="1" x14ac:dyDescent="0.3">
      <c r="A46" s="109">
        <v>555</v>
      </c>
      <c r="B46" s="273" t="s">
        <v>4</v>
      </c>
      <c r="C46" s="208">
        <v>0</v>
      </c>
      <c r="D46" s="208">
        <v>0</v>
      </c>
      <c r="E46" s="267">
        <v>0</v>
      </c>
      <c r="F46" s="268"/>
      <c r="G46" s="208">
        <v>0</v>
      </c>
      <c r="H46" s="208">
        <v>0</v>
      </c>
      <c r="I46" s="267">
        <v>0</v>
      </c>
      <c r="J46" s="271"/>
      <c r="K46" s="208">
        <v>0</v>
      </c>
      <c r="L46" s="208">
        <v>0</v>
      </c>
      <c r="M46" s="267">
        <v>0</v>
      </c>
      <c r="N46" s="345"/>
      <c r="O46" s="727">
        <v>3.8999999815132469E-3</v>
      </c>
      <c r="P46" s="208">
        <v>-3.300000200397335E-3</v>
      </c>
      <c r="Q46" s="268">
        <v>7.2000001819105819E-3</v>
      </c>
    </row>
    <row r="47" spans="1:17" ht="16.5" thickTop="1" thickBot="1" x14ac:dyDescent="0.3">
      <c r="A47" s="109">
        <v>555</v>
      </c>
      <c r="B47" s="184" t="s">
        <v>593</v>
      </c>
      <c r="C47" s="246" t="s">
        <v>617</v>
      </c>
      <c r="D47" s="246" t="s">
        <v>617</v>
      </c>
      <c r="E47" s="246" t="s">
        <v>617</v>
      </c>
      <c r="F47" s="208"/>
      <c r="G47" s="264"/>
      <c r="H47" s="265"/>
      <c r="I47" s="266"/>
      <c r="J47" s="209"/>
      <c r="K47" s="246" t="s">
        <v>617</v>
      </c>
      <c r="L47" s="246" t="s">
        <v>617</v>
      </c>
      <c r="M47" s="246" t="s">
        <v>617</v>
      </c>
      <c r="N47" s="345"/>
      <c r="O47" s="246" t="s">
        <v>617</v>
      </c>
      <c r="P47" s="246" t="s">
        <v>617</v>
      </c>
      <c r="Q47" s="246" t="s">
        <v>617</v>
      </c>
    </row>
    <row r="48" spans="1:17" ht="15.75" thickTop="1" x14ac:dyDescent="0.25">
      <c r="A48" s="109">
        <v>555</v>
      </c>
      <c r="B48" s="273" t="s">
        <v>355</v>
      </c>
      <c r="C48" s="208">
        <v>1102.8039779000001</v>
      </c>
      <c r="D48" s="208">
        <v>0</v>
      </c>
      <c r="E48" s="268">
        <v>1102.8039779000001</v>
      </c>
      <c r="F48" s="268"/>
      <c r="G48" s="208">
        <v>1102.8039778999996</v>
      </c>
      <c r="H48" s="208">
        <v>0</v>
      </c>
      <c r="I48" s="268">
        <v>1102.8039778999996</v>
      </c>
      <c r="J48" s="271"/>
      <c r="K48" s="208">
        <v>0</v>
      </c>
      <c r="L48" s="208">
        <v>0</v>
      </c>
      <c r="M48" s="268">
        <v>0</v>
      </c>
      <c r="N48" s="345"/>
      <c r="O48" s="279">
        <v>20651.759999999998</v>
      </c>
      <c r="P48" s="208">
        <v>20651.759999999998</v>
      </c>
      <c r="Q48" s="268">
        <v>0</v>
      </c>
    </row>
    <row r="49" spans="1:17" ht="15" x14ac:dyDescent="0.25">
      <c r="A49" s="109" t="s">
        <v>0</v>
      </c>
      <c r="B49" s="273" t="s">
        <v>352</v>
      </c>
      <c r="C49" s="208">
        <v>3512.8869850000001</v>
      </c>
      <c r="D49" s="208">
        <v>0</v>
      </c>
      <c r="E49" s="268">
        <v>3512.8869850000001</v>
      </c>
      <c r="F49" s="268"/>
      <c r="G49" s="208">
        <v>3477.1034789999994</v>
      </c>
      <c r="H49" s="208">
        <v>0</v>
      </c>
      <c r="I49" s="268">
        <v>3477.1034789999994</v>
      </c>
      <c r="J49" s="271"/>
      <c r="K49" s="208">
        <v>35.783506000000671</v>
      </c>
      <c r="L49" s="208">
        <v>0</v>
      </c>
      <c r="M49" s="268">
        <v>35.783506000000671</v>
      </c>
      <c r="N49" s="345"/>
      <c r="O49" s="270">
        <v>41164.097150000001</v>
      </c>
      <c r="P49" s="208">
        <v>41164.097150000009</v>
      </c>
      <c r="Q49" s="268">
        <v>0</v>
      </c>
    </row>
    <row r="50" spans="1:17" ht="15" x14ac:dyDescent="0.25">
      <c r="A50" s="109" t="s">
        <v>0</v>
      </c>
      <c r="B50" s="273" t="s">
        <v>359</v>
      </c>
      <c r="C50" s="208">
        <v>5399.3252889999994</v>
      </c>
      <c r="D50" s="208">
        <v>0</v>
      </c>
      <c r="E50" s="268">
        <v>5399.3252889999994</v>
      </c>
      <c r="F50" s="268"/>
      <c r="G50" s="208">
        <v>5399.3252890000003</v>
      </c>
      <c r="H50" s="208">
        <v>0</v>
      </c>
      <c r="I50" s="268">
        <v>5399.3252890000003</v>
      </c>
      <c r="J50" s="271"/>
      <c r="K50" s="208">
        <v>0</v>
      </c>
      <c r="L50" s="208">
        <v>0</v>
      </c>
      <c r="M50" s="268">
        <v>0</v>
      </c>
      <c r="N50" s="345"/>
      <c r="O50" s="270">
        <v>71991.003900000011</v>
      </c>
      <c r="P50" s="208">
        <v>71991.003899999967</v>
      </c>
      <c r="Q50" s="268">
        <v>0</v>
      </c>
    </row>
    <row r="51" spans="1:17" ht="15" x14ac:dyDescent="0.25">
      <c r="A51" s="109" t="s">
        <v>0</v>
      </c>
      <c r="B51" s="273" t="s">
        <v>360</v>
      </c>
      <c r="C51" s="208">
        <v>0</v>
      </c>
      <c r="D51" s="208">
        <v>0</v>
      </c>
      <c r="E51" s="268">
        <v>0</v>
      </c>
      <c r="F51" s="268"/>
      <c r="G51" s="208">
        <v>992.99920930000008</v>
      </c>
      <c r="H51" s="208">
        <v>0</v>
      </c>
      <c r="I51" s="268">
        <v>992.99920930000008</v>
      </c>
      <c r="J51" s="271"/>
      <c r="K51" s="208">
        <v>-992.99920930000008</v>
      </c>
      <c r="L51" s="208">
        <v>0</v>
      </c>
      <c r="M51" s="268">
        <v>-992.99920930000008</v>
      </c>
      <c r="N51" s="345"/>
      <c r="O51" s="270">
        <v>0</v>
      </c>
      <c r="P51" s="208">
        <v>13239.989458300002</v>
      </c>
      <c r="Q51" s="268">
        <v>-13239.989458300002</v>
      </c>
    </row>
    <row r="52" spans="1:17" ht="15.75" thickBot="1" x14ac:dyDescent="0.3">
      <c r="A52" s="109">
        <v>555</v>
      </c>
      <c r="B52" s="273" t="s">
        <v>356</v>
      </c>
      <c r="C52" s="208">
        <v>9038.7925986999999</v>
      </c>
      <c r="D52" s="208">
        <v>0</v>
      </c>
      <c r="E52" s="268">
        <v>9038.7925986999999</v>
      </c>
      <c r="F52" s="268"/>
      <c r="G52" s="208">
        <v>12029.69930699999</v>
      </c>
      <c r="H52" s="208">
        <v>0</v>
      </c>
      <c r="I52" s="268">
        <v>12029.69930699999</v>
      </c>
      <c r="J52" s="271"/>
      <c r="K52" s="211">
        <v>-2990.90670829999</v>
      </c>
      <c r="L52" s="211">
        <v>0</v>
      </c>
      <c r="M52" s="269">
        <v>-2990.90670829999</v>
      </c>
      <c r="N52" s="345"/>
      <c r="O52" s="292">
        <v>121690.14348999997</v>
      </c>
      <c r="P52" s="208">
        <v>154461.83999999994</v>
      </c>
      <c r="Q52" s="268">
        <v>-32771.696509999965</v>
      </c>
    </row>
    <row r="53" spans="1:17" ht="16.5" thickTop="1" thickBot="1" x14ac:dyDescent="0.3">
      <c r="A53" s="109">
        <v>447</v>
      </c>
      <c r="B53" s="184" t="s">
        <v>212</v>
      </c>
      <c r="C53" s="246" t="s">
        <v>617</v>
      </c>
      <c r="D53" s="246" t="s">
        <v>617</v>
      </c>
      <c r="E53" s="246" t="s">
        <v>617</v>
      </c>
      <c r="F53" s="208"/>
      <c r="G53" s="246" t="s">
        <v>617</v>
      </c>
      <c r="H53" s="246" t="s">
        <v>617</v>
      </c>
      <c r="I53" s="246" t="s">
        <v>617</v>
      </c>
      <c r="J53" s="209"/>
      <c r="K53" s="246" t="s">
        <v>617</v>
      </c>
      <c r="L53" s="246" t="s">
        <v>617</v>
      </c>
      <c r="M53" s="246" t="s">
        <v>617</v>
      </c>
      <c r="O53" s="246" t="s">
        <v>617</v>
      </c>
      <c r="P53" s="247" t="s">
        <v>617</v>
      </c>
      <c r="Q53" s="248" t="s">
        <v>617</v>
      </c>
    </row>
    <row r="54" spans="1:17" ht="16.5" thickTop="1" thickBot="1" x14ac:dyDescent="0.3">
      <c r="A54" s="109">
        <v>555</v>
      </c>
      <c r="B54" s="184" t="s">
        <v>213</v>
      </c>
      <c r="C54" s="246" t="s">
        <v>617</v>
      </c>
      <c r="D54" s="246" t="s">
        <v>617</v>
      </c>
      <c r="E54" s="246" t="s">
        <v>617</v>
      </c>
      <c r="F54" s="208"/>
      <c r="G54" s="246" t="s">
        <v>617</v>
      </c>
      <c r="H54" s="246" t="s">
        <v>617</v>
      </c>
      <c r="I54" s="246" t="s">
        <v>617</v>
      </c>
      <c r="J54" s="209"/>
      <c r="K54" s="246" t="s">
        <v>617</v>
      </c>
      <c r="L54" s="246" t="s">
        <v>617</v>
      </c>
      <c r="M54" s="246" t="s">
        <v>617</v>
      </c>
      <c r="O54" s="246" t="s">
        <v>617</v>
      </c>
      <c r="P54" s="207" t="s">
        <v>617</v>
      </c>
      <c r="Q54" s="249" t="s">
        <v>617</v>
      </c>
    </row>
    <row r="55" spans="1:17" ht="16.5" thickTop="1" thickBot="1" x14ac:dyDescent="0.3">
      <c r="A55" s="109" t="s">
        <v>2</v>
      </c>
      <c r="B55" s="184" t="s">
        <v>599</v>
      </c>
      <c r="C55" s="246" t="s">
        <v>617</v>
      </c>
      <c r="D55" s="246" t="s">
        <v>617</v>
      </c>
      <c r="E55" s="246" t="s">
        <v>617</v>
      </c>
      <c r="F55" s="208"/>
      <c r="G55" s="246" t="s">
        <v>617</v>
      </c>
      <c r="H55" s="246" t="s">
        <v>617</v>
      </c>
      <c r="I55" s="246" t="s">
        <v>617</v>
      </c>
      <c r="J55" s="209"/>
      <c r="K55" s="246" t="s">
        <v>617</v>
      </c>
      <c r="L55" s="246" t="s">
        <v>617</v>
      </c>
      <c r="M55" s="246" t="s">
        <v>617</v>
      </c>
      <c r="O55" s="246" t="s">
        <v>617</v>
      </c>
      <c r="P55" s="207" t="s">
        <v>617</v>
      </c>
      <c r="Q55" s="249" t="s">
        <v>617</v>
      </c>
    </row>
    <row r="56" spans="1:17" ht="16.5" thickTop="1" thickBot="1" x14ac:dyDescent="0.3">
      <c r="A56" s="109">
        <v>447</v>
      </c>
      <c r="B56" s="184" t="s">
        <v>598</v>
      </c>
      <c r="C56" s="246" t="s">
        <v>617</v>
      </c>
      <c r="D56" s="246" t="s">
        <v>617</v>
      </c>
      <c r="E56" s="246" t="s">
        <v>617</v>
      </c>
      <c r="F56" s="208"/>
      <c r="G56" s="246" t="s">
        <v>617</v>
      </c>
      <c r="H56" s="246" t="s">
        <v>617</v>
      </c>
      <c r="I56" s="246" t="s">
        <v>617</v>
      </c>
      <c r="J56" s="209"/>
      <c r="K56" s="246" t="s">
        <v>617</v>
      </c>
      <c r="L56" s="246" t="s">
        <v>617</v>
      </c>
      <c r="M56" s="246" t="s">
        <v>617</v>
      </c>
      <c r="O56" s="246" t="s">
        <v>617</v>
      </c>
      <c r="P56" s="207" t="s">
        <v>617</v>
      </c>
      <c r="Q56" s="249" t="s">
        <v>617</v>
      </c>
    </row>
    <row r="57" spans="1:17" ht="16.5" thickTop="1" thickBot="1" x14ac:dyDescent="0.3">
      <c r="A57" s="109" t="s">
        <v>2</v>
      </c>
      <c r="B57" s="184" t="s">
        <v>597</v>
      </c>
      <c r="C57" s="246" t="s">
        <v>617</v>
      </c>
      <c r="D57" s="246" t="s">
        <v>617</v>
      </c>
      <c r="E57" s="246" t="s">
        <v>617</v>
      </c>
      <c r="F57" s="208"/>
      <c r="G57" s="246" t="s">
        <v>617</v>
      </c>
      <c r="H57" s="246" t="s">
        <v>617</v>
      </c>
      <c r="I57" s="246" t="s">
        <v>617</v>
      </c>
      <c r="J57" s="209"/>
      <c r="K57" s="246" t="s">
        <v>617</v>
      </c>
      <c r="L57" s="246" t="s">
        <v>617</v>
      </c>
      <c r="M57" s="246" t="s">
        <v>617</v>
      </c>
      <c r="O57" s="246" t="s">
        <v>617</v>
      </c>
      <c r="P57" s="207" t="s">
        <v>617</v>
      </c>
      <c r="Q57" s="249" t="s">
        <v>617</v>
      </c>
    </row>
    <row r="58" spans="1:17" ht="16.5" thickTop="1" thickBot="1" x14ac:dyDescent="0.3">
      <c r="A58" s="109">
        <v>447</v>
      </c>
      <c r="B58" s="184" t="s">
        <v>567</v>
      </c>
      <c r="C58" s="246" t="s">
        <v>617</v>
      </c>
      <c r="D58" s="246" t="s">
        <v>617</v>
      </c>
      <c r="E58" s="246" t="s">
        <v>617</v>
      </c>
      <c r="F58" s="208"/>
      <c r="G58" s="246" t="s">
        <v>617</v>
      </c>
      <c r="H58" s="246" t="s">
        <v>617</v>
      </c>
      <c r="I58" s="246" t="s">
        <v>617</v>
      </c>
      <c r="J58" s="209"/>
      <c r="K58" s="246" t="s">
        <v>617</v>
      </c>
      <c r="L58" s="246" t="s">
        <v>617</v>
      </c>
      <c r="M58" s="246" t="s">
        <v>617</v>
      </c>
      <c r="O58" s="246" t="s">
        <v>617</v>
      </c>
      <c r="P58" s="210" t="s">
        <v>617</v>
      </c>
      <c r="Q58" s="250" t="s">
        <v>617</v>
      </c>
    </row>
    <row r="59" spans="1:17" ht="16.5" thickTop="1" thickBot="1" x14ac:dyDescent="0.3">
      <c r="A59" s="109" t="s">
        <v>0</v>
      </c>
      <c r="B59" s="184" t="s">
        <v>203</v>
      </c>
      <c r="C59" s="246" t="s">
        <v>617</v>
      </c>
      <c r="D59" s="246" t="s">
        <v>617</v>
      </c>
      <c r="E59" s="246" t="s">
        <v>617</v>
      </c>
      <c r="F59" s="208"/>
      <c r="G59" s="246" t="s">
        <v>617</v>
      </c>
      <c r="H59" s="246" t="s">
        <v>617</v>
      </c>
      <c r="I59" s="246" t="s">
        <v>617</v>
      </c>
      <c r="J59" s="209"/>
      <c r="K59" s="246" t="s">
        <v>617</v>
      </c>
      <c r="L59" s="246" t="s">
        <v>617</v>
      </c>
      <c r="M59" s="246" t="s">
        <v>617</v>
      </c>
      <c r="N59" s="291"/>
      <c r="O59" s="270">
        <v>0</v>
      </c>
      <c r="P59" s="208">
        <v>0</v>
      </c>
      <c r="Q59" s="268">
        <v>0</v>
      </c>
    </row>
    <row r="60" spans="1:17" ht="16.5" thickTop="1" thickBot="1" x14ac:dyDescent="0.3">
      <c r="A60" s="109">
        <v>565</v>
      </c>
      <c r="B60" s="184" t="s">
        <v>514</v>
      </c>
      <c r="C60" s="246" t="s">
        <v>617</v>
      </c>
      <c r="D60" s="246" t="s">
        <v>617</v>
      </c>
      <c r="E60" s="246" t="s">
        <v>617</v>
      </c>
      <c r="F60" s="208"/>
      <c r="G60" s="246" t="s">
        <v>617</v>
      </c>
      <c r="H60" s="246" t="s">
        <v>617</v>
      </c>
      <c r="I60" s="246" t="s">
        <v>617</v>
      </c>
      <c r="J60" s="209"/>
      <c r="K60" s="246" t="s">
        <v>617</v>
      </c>
      <c r="L60" s="246" t="s">
        <v>617</v>
      </c>
      <c r="M60" s="246" t="s">
        <v>617</v>
      </c>
      <c r="N60" s="291"/>
      <c r="O60" s="270">
        <v>0</v>
      </c>
      <c r="P60" s="208">
        <v>0</v>
      </c>
      <c r="Q60" s="268">
        <v>0</v>
      </c>
    </row>
    <row r="61" spans="1:17" ht="16.5" thickTop="1" thickBot="1" x14ac:dyDescent="0.3">
      <c r="A61" s="109">
        <v>565</v>
      </c>
      <c r="B61" s="184" t="s">
        <v>111</v>
      </c>
      <c r="C61" s="246" t="s">
        <v>617</v>
      </c>
      <c r="D61" s="246" t="s">
        <v>617</v>
      </c>
      <c r="E61" s="246" t="s">
        <v>617</v>
      </c>
      <c r="F61" s="208"/>
      <c r="G61" s="246" t="s">
        <v>617</v>
      </c>
      <c r="H61" s="246" t="s">
        <v>617</v>
      </c>
      <c r="I61" s="246" t="s">
        <v>617</v>
      </c>
      <c r="J61" s="209"/>
      <c r="K61" s="246" t="s">
        <v>617</v>
      </c>
      <c r="L61" s="246" t="s">
        <v>617</v>
      </c>
      <c r="M61" s="246" t="s">
        <v>617</v>
      </c>
      <c r="N61" s="291"/>
      <c r="O61" s="270">
        <v>0</v>
      </c>
      <c r="P61" s="208">
        <v>0</v>
      </c>
      <c r="Q61" s="268">
        <v>0</v>
      </c>
    </row>
    <row r="62" spans="1:17" ht="16.5" thickTop="1" thickBot="1" x14ac:dyDescent="0.3">
      <c r="A62" s="109">
        <v>565</v>
      </c>
      <c r="B62" s="184" t="s">
        <v>186</v>
      </c>
      <c r="C62" s="246" t="s">
        <v>617</v>
      </c>
      <c r="D62" s="246" t="s">
        <v>617</v>
      </c>
      <c r="E62" s="246" t="s">
        <v>617</v>
      </c>
      <c r="F62" s="208"/>
      <c r="G62" s="246" t="s">
        <v>617</v>
      </c>
      <c r="H62" s="246" t="s">
        <v>617</v>
      </c>
      <c r="I62" s="246" t="s">
        <v>617</v>
      </c>
      <c r="J62" s="209"/>
      <c r="K62" s="246" t="s">
        <v>617</v>
      </c>
      <c r="L62" s="246" t="s">
        <v>617</v>
      </c>
      <c r="M62" s="246" t="s">
        <v>617</v>
      </c>
      <c r="N62" s="291"/>
      <c r="O62" s="270">
        <v>0</v>
      </c>
      <c r="P62" s="208">
        <v>0</v>
      </c>
      <c r="Q62" s="268">
        <v>0</v>
      </c>
    </row>
    <row r="63" spans="1:17" ht="16.5" thickTop="1" thickBot="1" x14ac:dyDescent="0.3">
      <c r="A63" s="109">
        <v>456</v>
      </c>
      <c r="B63" s="184" t="s">
        <v>216</v>
      </c>
      <c r="C63" s="246" t="s">
        <v>617</v>
      </c>
      <c r="D63" s="246" t="s">
        <v>617</v>
      </c>
      <c r="E63" s="246" t="s">
        <v>617</v>
      </c>
      <c r="F63" s="208"/>
      <c r="G63" s="246" t="s">
        <v>617</v>
      </c>
      <c r="H63" s="246" t="s">
        <v>617</v>
      </c>
      <c r="I63" s="246" t="s">
        <v>617</v>
      </c>
      <c r="J63" s="209"/>
      <c r="K63" s="246" t="s">
        <v>617</v>
      </c>
      <c r="L63" s="246" t="s">
        <v>617</v>
      </c>
      <c r="M63" s="246" t="s">
        <v>617</v>
      </c>
      <c r="N63" s="291"/>
      <c r="O63" s="270">
        <v>0</v>
      </c>
      <c r="P63" s="208">
        <v>0</v>
      </c>
      <c r="Q63" s="268">
        <v>0</v>
      </c>
    </row>
    <row r="64" spans="1:17" ht="16.5" thickTop="1" thickBot="1" x14ac:dyDescent="0.3">
      <c r="A64" s="109">
        <v>547</v>
      </c>
      <c r="B64" s="184" t="s">
        <v>108</v>
      </c>
      <c r="C64" s="246" t="s">
        <v>617</v>
      </c>
      <c r="D64" s="246" t="s">
        <v>617</v>
      </c>
      <c r="E64" s="246" t="s">
        <v>617</v>
      </c>
      <c r="F64" s="208"/>
      <c r="G64" s="246" t="s">
        <v>617</v>
      </c>
      <c r="H64" s="246" t="s">
        <v>617</v>
      </c>
      <c r="I64" s="246" t="s">
        <v>617</v>
      </c>
      <c r="J64" s="209"/>
      <c r="K64" s="246" t="s">
        <v>617</v>
      </c>
      <c r="L64" s="246" t="s">
        <v>617</v>
      </c>
      <c r="M64" s="246" t="s">
        <v>617</v>
      </c>
      <c r="N64" s="291"/>
      <c r="O64" s="270">
        <v>0</v>
      </c>
      <c r="P64" s="208">
        <v>0</v>
      </c>
      <c r="Q64" s="268">
        <v>0</v>
      </c>
    </row>
    <row r="65" spans="1:17" ht="16.5" thickTop="1" thickBot="1" x14ac:dyDescent="0.3">
      <c r="A65" s="83" t="s">
        <v>2</v>
      </c>
      <c r="B65" s="184" t="s">
        <v>115</v>
      </c>
      <c r="C65" s="246" t="s">
        <v>617</v>
      </c>
      <c r="D65" s="246" t="s">
        <v>617</v>
      </c>
      <c r="E65" s="246" t="s">
        <v>617</v>
      </c>
      <c r="F65" s="208"/>
      <c r="G65" s="246" t="s">
        <v>617</v>
      </c>
      <c r="H65" s="246" t="s">
        <v>617</v>
      </c>
      <c r="I65" s="246" t="s">
        <v>617</v>
      </c>
      <c r="J65" s="209"/>
      <c r="K65" s="246" t="s">
        <v>617</v>
      </c>
      <c r="L65" s="246" t="s">
        <v>617</v>
      </c>
      <c r="M65" s="246" t="s">
        <v>617</v>
      </c>
      <c r="N65" s="291"/>
      <c r="O65" s="270">
        <v>0</v>
      </c>
      <c r="P65" s="208">
        <v>0</v>
      </c>
      <c r="Q65" s="268">
        <v>0</v>
      </c>
    </row>
    <row r="66" spans="1:17" ht="16.5" thickTop="1" thickBot="1" x14ac:dyDescent="0.3">
      <c r="A66" s="109">
        <v>547</v>
      </c>
      <c r="B66" s="184" t="s">
        <v>184</v>
      </c>
      <c r="C66" s="246" t="s">
        <v>617</v>
      </c>
      <c r="D66" s="246" t="s">
        <v>617</v>
      </c>
      <c r="E66" s="246" t="s">
        <v>617</v>
      </c>
      <c r="F66" s="208"/>
      <c r="G66" s="246" t="s">
        <v>617</v>
      </c>
      <c r="H66" s="246" t="s">
        <v>617</v>
      </c>
      <c r="I66" s="246" t="s">
        <v>617</v>
      </c>
      <c r="J66" s="209"/>
      <c r="K66" s="246" t="s">
        <v>617</v>
      </c>
      <c r="L66" s="246" t="s">
        <v>617</v>
      </c>
      <c r="M66" s="246" t="s">
        <v>617</v>
      </c>
      <c r="N66" s="291"/>
      <c r="O66" s="270">
        <v>0</v>
      </c>
      <c r="P66" s="208">
        <v>0</v>
      </c>
      <c r="Q66" s="268">
        <v>0</v>
      </c>
    </row>
    <row r="67" spans="1:17" ht="16.5" thickTop="1" thickBot="1" x14ac:dyDescent="0.3">
      <c r="A67" s="109">
        <v>547</v>
      </c>
      <c r="B67" s="184" t="s">
        <v>116</v>
      </c>
      <c r="C67" s="246" t="s">
        <v>617</v>
      </c>
      <c r="D67" s="246" t="s">
        <v>617</v>
      </c>
      <c r="E67" s="246" t="s">
        <v>617</v>
      </c>
      <c r="F67" s="208"/>
      <c r="G67" s="246" t="s">
        <v>617</v>
      </c>
      <c r="H67" s="246" t="s">
        <v>617</v>
      </c>
      <c r="I67" s="246" t="s">
        <v>617</v>
      </c>
      <c r="J67" s="209"/>
      <c r="K67" s="246" t="s">
        <v>617</v>
      </c>
      <c r="L67" s="246" t="s">
        <v>617</v>
      </c>
      <c r="M67" s="246" t="s">
        <v>617</v>
      </c>
      <c r="N67" s="291"/>
      <c r="O67" s="270">
        <v>0</v>
      </c>
      <c r="P67" s="208">
        <v>0</v>
      </c>
      <c r="Q67" s="268">
        <v>0</v>
      </c>
    </row>
    <row r="68" spans="1:17" ht="15.6" customHeight="1" thickTop="1" thickBot="1" x14ac:dyDescent="0.3">
      <c r="A68" s="109">
        <v>555</v>
      </c>
      <c r="B68" s="184" t="s">
        <v>189</v>
      </c>
      <c r="C68" s="246" t="s">
        <v>617</v>
      </c>
      <c r="D68" s="246" t="s">
        <v>617</v>
      </c>
      <c r="E68" s="246" t="s">
        <v>617</v>
      </c>
      <c r="F68" s="208"/>
      <c r="G68" s="246" t="s">
        <v>617</v>
      </c>
      <c r="H68" s="246" t="s">
        <v>617</v>
      </c>
      <c r="I68" s="246" t="s">
        <v>617</v>
      </c>
      <c r="J68" s="209"/>
      <c r="K68" s="246" t="s">
        <v>617</v>
      </c>
      <c r="L68" s="246" t="s">
        <v>617</v>
      </c>
      <c r="M68" s="246" t="s">
        <v>617</v>
      </c>
      <c r="N68" s="291"/>
      <c r="O68" s="270">
        <v>0</v>
      </c>
      <c r="P68" s="208">
        <v>0</v>
      </c>
      <c r="Q68" s="268">
        <v>0</v>
      </c>
    </row>
    <row r="69" spans="1:17" ht="15.6" customHeight="1" thickTop="1" thickBot="1" x14ac:dyDescent="0.3">
      <c r="A69" s="109">
        <v>555</v>
      </c>
      <c r="B69" s="52" t="s">
        <v>615</v>
      </c>
      <c r="C69" s="246" t="s">
        <v>617</v>
      </c>
      <c r="D69" s="246" t="s">
        <v>617</v>
      </c>
      <c r="E69" s="246" t="s">
        <v>617</v>
      </c>
      <c r="F69" s="208"/>
      <c r="G69" s="246" t="s">
        <v>617</v>
      </c>
      <c r="H69" s="246" t="s">
        <v>617</v>
      </c>
      <c r="I69" s="246" t="s">
        <v>617</v>
      </c>
      <c r="J69" s="209"/>
      <c r="K69" s="246" t="s">
        <v>617</v>
      </c>
      <c r="L69" s="246" t="s">
        <v>617</v>
      </c>
      <c r="M69" s="246" t="s">
        <v>617</v>
      </c>
      <c r="N69" s="291"/>
      <c r="O69" s="270">
        <v>0</v>
      </c>
      <c r="P69" s="208">
        <v>0</v>
      </c>
      <c r="Q69" s="268">
        <v>0</v>
      </c>
    </row>
    <row r="70" spans="1:17" ht="14.85" customHeight="1" thickTop="1" thickBot="1" x14ac:dyDescent="0.3">
      <c r="A70" s="109">
        <v>555</v>
      </c>
      <c r="B70" s="184" t="s">
        <v>507</v>
      </c>
      <c r="C70" s="246" t="s">
        <v>617</v>
      </c>
      <c r="D70" s="246" t="s">
        <v>617</v>
      </c>
      <c r="E70" s="246" t="s">
        <v>617</v>
      </c>
      <c r="F70" s="208"/>
      <c r="G70" s="246" t="s">
        <v>617</v>
      </c>
      <c r="H70" s="246" t="s">
        <v>617</v>
      </c>
      <c r="I70" s="246" t="s">
        <v>617</v>
      </c>
      <c r="J70" s="209"/>
      <c r="K70" s="246" t="s">
        <v>617</v>
      </c>
      <c r="L70" s="246" t="s">
        <v>617</v>
      </c>
      <c r="M70" s="246" t="s">
        <v>617</v>
      </c>
      <c r="N70" s="291"/>
      <c r="O70" s="270">
        <v>0</v>
      </c>
      <c r="P70" s="208">
        <v>0</v>
      </c>
      <c r="Q70" s="268">
        <v>0</v>
      </c>
    </row>
    <row r="71" spans="1:17" ht="16.5" thickTop="1" thickBot="1" x14ac:dyDescent="0.3">
      <c r="A71" s="109">
        <v>557</v>
      </c>
      <c r="B71" s="184" t="s">
        <v>114</v>
      </c>
      <c r="C71" s="246" t="s">
        <v>617</v>
      </c>
      <c r="D71" s="246" t="s">
        <v>617</v>
      </c>
      <c r="E71" s="246" t="s">
        <v>617</v>
      </c>
      <c r="F71" s="208"/>
      <c r="G71" s="246" t="s">
        <v>617</v>
      </c>
      <c r="H71" s="246" t="s">
        <v>617</v>
      </c>
      <c r="I71" s="246" t="s">
        <v>617</v>
      </c>
      <c r="J71" s="209"/>
      <c r="K71" s="246" t="s">
        <v>617</v>
      </c>
      <c r="L71" s="246" t="s">
        <v>617</v>
      </c>
      <c r="M71" s="246" t="s">
        <v>617</v>
      </c>
      <c r="N71" s="291"/>
      <c r="O71" s="270">
        <v>0</v>
      </c>
      <c r="P71" s="208">
        <v>0</v>
      </c>
      <c r="Q71" s="268">
        <v>0</v>
      </c>
    </row>
    <row r="72" spans="1:17" ht="16.5" thickTop="1" thickBot="1" x14ac:dyDescent="0.3">
      <c r="A72" s="109">
        <v>555</v>
      </c>
      <c r="B72" s="184" t="s">
        <v>586</v>
      </c>
      <c r="C72" s="246" t="s">
        <v>617</v>
      </c>
      <c r="D72" s="246" t="s">
        <v>617</v>
      </c>
      <c r="E72" s="246" t="s">
        <v>617</v>
      </c>
      <c r="F72" s="208"/>
      <c r="G72" s="246" t="s">
        <v>617</v>
      </c>
      <c r="H72" s="246" t="s">
        <v>617</v>
      </c>
      <c r="I72" s="246" t="s">
        <v>617</v>
      </c>
      <c r="J72" s="209"/>
      <c r="K72" s="246" t="s">
        <v>617</v>
      </c>
      <c r="L72" s="246" t="s">
        <v>617</v>
      </c>
      <c r="M72" s="246" t="s">
        <v>617</v>
      </c>
      <c r="N72" s="291"/>
      <c r="O72" s="270">
        <v>0</v>
      </c>
      <c r="P72" s="208">
        <v>0</v>
      </c>
      <c r="Q72" s="268">
        <v>0</v>
      </c>
    </row>
    <row r="73" spans="1:17" ht="15.75" thickTop="1" x14ac:dyDescent="0.25">
      <c r="A73" s="109" t="s">
        <v>2</v>
      </c>
      <c r="B73" s="184" t="s">
        <v>594</v>
      </c>
      <c r="C73" s="246" t="s">
        <v>617</v>
      </c>
      <c r="D73" s="246" t="s">
        <v>617</v>
      </c>
      <c r="E73" s="246" t="s">
        <v>617</v>
      </c>
      <c r="F73" s="208"/>
      <c r="G73" s="246" t="s">
        <v>617</v>
      </c>
      <c r="H73" s="246" t="s">
        <v>617</v>
      </c>
      <c r="I73" s="246" t="s">
        <v>617</v>
      </c>
      <c r="J73" s="209"/>
      <c r="K73" s="246" t="s">
        <v>617</v>
      </c>
      <c r="L73" s="246" t="s">
        <v>617</v>
      </c>
      <c r="M73" s="246" t="s">
        <v>617</v>
      </c>
      <c r="N73" s="291"/>
      <c r="O73" s="270">
        <v>0</v>
      </c>
      <c r="P73" s="208">
        <v>0</v>
      </c>
      <c r="Q73" s="268">
        <v>0</v>
      </c>
    </row>
    <row r="74" spans="1:17" ht="15" x14ac:dyDescent="0.25">
      <c r="B74" s="182" t="s">
        <v>5</v>
      </c>
      <c r="C74" s="202">
        <v>561384.78219809954</v>
      </c>
      <c r="D74" s="203">
        <v>340985.15644592256</v>
      </c>
      <c r="E74" s="204">
        <v>902369.93864402175</v>
      </c>
      <c r="F74" s="205"/>
      <c r="G74" s="202">
        <v>493239.67119162343</v>
      </c>
      <c r="H74" s="203">
        <v>270781.36673573888</v>
      </c>
      <c r="I74" s="204">
        <v>764021.03792736225</v>
      </c>
      <c r="J74" s="205"/>
      <c r="K74" s="202">
        <v>68145.111006476101</v>
      </c>
      <c r="L74" s="203">
        <v>70203.789710183686</v>
      </c>
      <c r="M74" s="204">
        <v>138348.9007166595</v>
      </c>
      <c r="O74" s="258">
        <v>21350789.92207928</v>
      </c>
      <c r="P74" s="731">
        <v>20803205.018951174</v>
      </c>
      <c r="Q74" s="259">
        <v>547584.90312810615</v>
      </c>
    </row>
    <row r="75" spans="1:17" x14ac:dyDescent="0.2">
      <c r="C75" s="132"/>
      <c r="D75" s="114"/>
      <c r="E75" s="114"/>
      <c r="G75" s="114"/>
      <c r="H75" s="114"/>
      <c r="I75" s="114"/>
      <c r="M75" s="334"/>
      <c r="Q75" s="56">
        <v>0</v>
      </c>
    </row>
    <row r="76" spans="1:17" ht="15" x14ac:dyDescent="0.25">
      <c r="A76" s="56">
        <v>501</v>
      </c>
      <c r="B76" s="182" t="s">
        <v>220</v>
      </c>
      <c r="C76" s="196">
        <v>46813.778890000001</v>
      </c>
      <c r="D76" s="197">
        <v>319.25</v>
      </c>
      <c r="E76" s="198">
        <v>47133.028890000001</v>
      </c>
      <c r="F76" s="195"/>
      <c r="G76" s="196">
        <v>41224.12259083875</v>
      </c>
      <c r="H76" s="197">
        <v>529.69558333333327</v>
      </c>
      <c r="I76" s="198">
        <v>41753.818174172084</v>
      </c>
      <c r="J76" s="195"/>
      <c r="K76" s="196">
        <v>5589.6562991612518</v>
      </c>
      <c r="L76" s="197">
        <v>-210.44558333333327</v>
      </c>
      <c r="M76" s="198">
        <v>5379.2107158279177</v>
      </c>
      <c r="O76" s="681">
        <v>2656197.9084999999</v>
      </c>
      <c r="P76" s="732">
        <v>2358662.7981915241</v>
      </c>
      <c r="Q76" s="682">
        <v>297535.11030847579</v>
      </c>
    </row>
    <row r="77" spans="1:17" ht="15" x14ac:dyDescent="0.25">
      <c r="A77" s="56">
        <v>547</v>
      </c>
      <c r="B77" s="182" t="s">
        <v>221</v>
      </c>
      <c r="C77" s="199">
        <v>154591.06713031</v>
      </c>
      <c r="D77" s="200">
        <v>57189.53206790112</v>
      </c>
      <c r="E77" s="201">
        <v>211780.59919821113</v>
      </c>
      <c r="F77" s="10"/>
      <c r="G77" s="199">
        <v>100443.35339801108</v>
      </c>
      <c r="H77" s="200">
        <v>54755.756773367335</v>
      </c>
      <c r="I77" s="201">
        <v>155199.11017137842</v>
      </c>
      <c r="J77" s="10"/>
      <c r="K77" s="199">
        <v>54147.713732298922</v>
      </c>
      <c r="L77" s="200">
        <v>2433.7752945337838</v>
      </c>
      <c r="M77" s="201">
        <v>56581.489026832707</v>
      </c>
      <c r="O77" s="199">
        <v>5087221.8026964385</v>
      </c>
      <c r="P77" s="200">
        <v>3546031.1426764796</v>
      </c>
      <c r="Q77" s="201">
        <v>1541190.6600199589</v>
      </c>
    </row>
    <row r="78" spans="1:17" ht="15" x14ac:dyDescent="0.25">
      <c r="A78" s="83" t="s">
        <v>218</v>
      </c>
      <c r="B78" s="182" t="s">
        <v>222</v>
      </c>
      <c r="C78" s="199">
        <v>77608.997269999993</v>
      </c>
      <c r="D78" s="200">
        <v>0</v>
      </c>
      <c r="E78" s="201">
        <v>77608.997269999993</v>
      </c>
      <c r="F78" s="10"/>
      <c r="G78" s="199">
        <v>14178.879207000002</v>
      </c>
      <c r="H78" s="200">
        <v>0</v>
      </c>
      <c r="I78" s="201">
        <v>14178.879207000002</v>
      </c>
      <c r="J78" s="10"/>
      <c r="K78" s="199">
        <v>63430.118063000002</v>
      </c>
      <c r="L78" s="200">
        <v>0</v>
      </c>
      <c r="M78" s="201">
        <v>63430.118063000002</v>
      </c>
      <c r="O78" s="199">
        <v>4138126.0744800009</v>
      </c>
      <c r="P78" s="200">
        <v>2187059.9112346251</v>
      </c>
      <c r="Q78" s="201">
        <v>1951066.1632453757</v>
      </c>
    </row>
    <row r="79" spans="1:17" ht="15" x14ac:dyDescent="0.25">
      <c r="A79" s="83" t="s">
        <v>0</v>
      </c>
      <c r="B79" s="182" t="s">
        <v>223</v>
      </c>
      <c r="C79" s="199">
        <v>25556.212274000001</v>
      </c>
      <c r="D79" s="200">
        <v>161446.46946975734</v>
      </c>
      <c r="E79" s="201">
        <v>187002.68174375733</v>
      </c>
      <c r="F79" s="10"/>
      <c r="G79" s="199">
        <v>36623.376622300013</v>
      </c>
      <c r="H79" s="200">
        <v>118006.2059685821</v>
      </c>
      <c r="I79" s="201">
        <v>154629.58259088211</v>
      </c>
      <c r="J79" s="10"/>
      <c r="K79" s="199">
        <v>-11067.164348299997</v>
      </c>
      <c r="L79" s="200">
        <v>43440.263501175243</v>
      </c>
      <c r="M79" s="201">
        <v>32373.099152875246</v>
      </c>
      <c r="O79" s="199">
        <v>5451620.9335500002</v>
      </c>
      <c r="P79" s="200">
        <v>4867164.7186832745</v>
      </c>
      <c r="Q79" s="201">
        <v>584456.21486672573</v>
      </c>
    </row>
    <row r="80" spans="1:17" ht="15" x14ac:dyDescent="0.25">
      <c r="A80" s="83">
        <v>555</v>
      </c>
      <c r="B80" s="182" t="s">
        <v>224</v>
      </c>
      <c r="C80" s="199">
        <v>272503.37570560002</v>
      </c>
      <c r="D80" s="200">
        <v>10759.291782294993</v>
      </c>
      <c r="E80" s="201">
        <v>283262.667487895</v>
      </c>
      <c r="F80" s="10"/>
      <c r="G80" s="199">
        <v>272272.12141290004</v>
      </c>
      <c r="H80" s="200">
        <v>11069.370999999999</v>
      </c>
      <c r="I80" s="201">
        <v>283341.49241290003</v>
      </c>
      <c r="J80" s="10"/>
      <c r="K80" s="199">
        <v>231.25429269994493</v>
      </c>
      <c r="L80" s="200">
        <v>-310.07921770500707</v>
      </c>
      <c r="M80" s="201">
        <v>-78.824925005062141</v>
      </c>
      <c r="O80" s="199">
        <v>4370445.2905496396</v>
      </c>
      <c r="P80" s="200">
        <v>5747110.4679688858</v>
      </c>
      <c r="Q80" s="201">
        <v>-1376665.1774192462</v>
      </c>
    </row>
    <row r="81" spans="1:18" ht="15" x14ac:dyDescent="0.25">
      <c r="A81" s="56" t="s">
        <v>2</v>
      </c>
      <c r="B81" s="182" t="s">
        <v>120</v>
      </c>
      <c r="C81" s="199">
        <v>112846.38215199999</v>
      </c>
      <c r="D81" s="200">
        <v>2635.7985408767636</v>
      </c>
      <c r="E81" s="201">
        <v>115482.18069287675</v>
      </c>
      <c r="F81" s="10"/>
      <c r="G81" s="199">
        <v>74703.849370750002</v>
      </c>
      <c r="H81" s="200">
        <v>1071.1833843552679</v>
      </c>
      <c r="I81" s="201">
        <v>75775.032755105276</v>
      </c>
      <c r="J81" s="10"/>
      <c r="K81" s="199">
        <v>38142.532781249996</v>
      </c>
      <c r="L81" s="200">
        <v>1564.6151565214957</v>
      </c>
      <c r="M81" s="201">
        <v>39707.147937771493</v>
      </c>
      <c r="O81" s="199">
        <v>3423071.7902199998</v>
      </c>
      <c r="P81" s="200">
        <v>3518528.7178837494</v>
      </c>
      <c r="Q81" s="201">
        <v>-95456.92766374955</v>
      </c>
    </row>
    <row r="82" spans="1:18" ht="15" x14ac:dyDescent="0.25">
      <c r="A82" s="56">
        <v>447</v>
      </c>
      <c r="B82" s="182" t="s">
        <v>121</v>
      </c>
      <c r="C82" s="199">
        <v>-128535.20191999999</v>
      </c>
      <c r="D82" s="200">
        <v>0</v>
      </c>
      <c r="E82" s="201">
        <v>-128535.20191999999</v>
      </c>
      <c r="F82" s="10"/>
      <c r="G82" s="199">
        <v>-46206.031410176467</v>
      </c>
      <c r="H82" s="200">
        <v>0</v>
      </c>
      <c r="I82" s="201">
        <v>-46206.031410176467</v>
      </c>
      <c r="J82" s="10"/>
      <c r="K82" s="199">
        <v>-82329.17050982354</v>
      </c>
      <c r="L82" s="200">
        <v>0</v>
      </c>
      <c r="M82" s="201">
        <v>-82329.17050982354</v>
      </c>
      <c r="O82" s="199">
        <v>-3775894.4283300005</v>
      </c>
      <c r="P82" s="200">
        <v>-1421352.7376873724</v>
      </c>
      <c r="Q82" s="201">
        <v>-2354541.6906426279</v>
      </c>
    </row>
    <row r="83" spans="1:18" ht="15" x14ac:dyDescent="0.25">
      <c r="A83" s="83">
        <v>565</v>
      </c>
      <c r="B83" s="182" t="s">
        <v>1</v>
      </c>
      <c r="C83" s="199">
        <v>0</v>
      </c>
      <c r="D83" s="200">
        <v>135862.20025238869</v>
      </c>
      <c r="E83" s="201">
        <v>135862.20025238869</v>
      </c>
      <c r="F83" s="10"/>
      <c r="G83" s="199">
        <v>0</v>
      </c>
      <c r="H83" s="200">
        <v>128266.3580567457</v>
      </c>
      <c r="I83" s="201">
        <v>128266.3580567457</v>
      </c>
      <c r="J83" s="10"/>
      <c r="K83" s="199">
        <v>0</v>
      </c>
      <c r="L83" s="200">
        <v>7595.8421956429684</v>
      </c>
      <c r="M83" s="201">
        <v>7595.8421956429684</v>
      </c>
      <c r="O83" s="199">
        <v>0</v>
      </c>
      <c r="P83" s="200">
        <v>0</v>
      </c>
      <c r="Q83" s="201">
        <v>0</v>
      </c>
    </row>
    <row r="84" spans="1:18" ht="15" x14ac:dyDescent="0.25">
      <c r="A84" s="56">
        <v>456</v>
      </c>
      <c r="B84" s="182" t="s">
        <v>122</v>
      </c>
      <c r="C84" s="199">
        <v>0</v>
      </c>
      <c r="D84" s="200">
        <v>-43938.971690573824</v>
      </c>
      <c r="E84" s="201">
        <v>-43938.971690573824</v>
      </c>
      <c r="F84" s="10"/>
      <c r="G84" s="199">
        <v>0</v>
      </c>
      <c r="H84" s="200">
        <v>-57639.705130644856</v>
      </c>
      <c r="I84" s="201">
        <v>-57639.705130644856</v>
      </c>
      <c r="J84" s="10"/>
      <c r="K84" s="199">
        <v>0</v>
      </c>
      <c r="L84" s="200">
        <v>13700.733440071032</v>
      </c>
      <c r="M84" s="201">
        <v>13700.733440071032</v>
      </c>
      <c r="O84" s="199">
        <v>0</v>
      </c>
      <c r="P84" s="200">
        <v>0</v>
      </c>
      <c r="Q84" s="201">
        <v>0</v>
      </c>
    </row>
    <row r="85" spans="1:18" ht="15" x14ac:dyDescent="0.25">
      <c r="A85" s="56">
        <v>557</v>
      </c>
      <c r="B85" s="182" t="s">
        <v>114</v>
      </c>
      <c r="C85" s="199">
        <v>0</v>
      </c>
      <c r="D85" s="200">
        <v>16711.586023277483</v>
      </c>
      <c r="E85" s="201">
        <v>16711.586023277483</v>
      </c>
      <c r="F85" s="10"/>
      <c r="G85" s="199">
        <v>0</v>
      </c>
      <c r="H85" s="200">
        <v>14722.501100000007</v>
      </c>
      <c r="I85" s="201">
        <v>14722.501100000007</v>
      </c>
      <c r="J85" s="10"/>
      <c r="K85" s="199">
        <v>0</v>
      </c>
      <c r="L85" s="200">
        <v>1989.0849232774763</v>
      </c>
      <c r="M85" s="201">
        <v>1989.0849232774763</v>
      </c>
      <c r="O85" s="199">
        <v>0</v>
      </c>
      <c r="P85" s="200">
        <v>0</v>
      </c>
      <c r="Q85" s="201">
        <v>0</v>
      </c>
    </row>
    <row r="86" spans="1:18" ht="15" x14ac:dyDescent="0.25">
      <c r="B86" s="182" t="s">
        <v>5</v>
      </c>
      <c r="C86" s="255">
        <v>561384.61150190991</v>
      </c>
      <c r="D86" s="256">
        <v>340985.15644592256</v>
      </c>
      <c r="E86" s="257">
        <v>902369.76794783259</v>
      </c>
      <c r="F86" s="206"/>
      <c r="G86" s="255">
        <v>493239.67119162338</v>
      </c>
      <c r="H86" s="256">
        <v>270781.36673573893</v>
      </c>
      <c r="I86" s="257">
        <v>764021.03792736237</v>
      </c>
      <c r="J86" s="206"/>
      <c r="K86" s="255">
        <v>68144.940310286591</v>
      </c>
      <c r="L86" s="256">
        <v>70203.789710183657</v>
      </c>
      <c r="M86" s="257">
        <v>138348.73002047022</v>
      </c>
      <c r="O86" s="258">
        <v>21350789.371666078</v>
      </c>
      <c r="P86" s="731">
        <v>20803205.018951166</v>
      </c>
      <c r="Q86" s="259">
        <v>547584.3527149111</v>
      </c>
    </row>
    <row r="87" spans="1:18" ht="6" customHeight="1" x14ac:dyDescent="0.25">
      <c r="B87" s="182"/>
      <c r="C87" s="252"/>
      <c r="D87" s="252"/>
      <c r="E87" s="252"/>
      <c r="F87" s="206"/>
      <c r="G87" s="252"/>
      <c r="H87" s="252"/>
      <c r="I87" s="252"/>
      <c r="J87" s="206"/>
      <c r="K87" s="252"/>
      <c r="L87" s="252"/>
      <c r="M87" s="252"/>
      <c r="O87" s="253"/>
      <c r="P87" s="253"/>
      <c r="Q87" s="253"/>
    </row>
    <row r="88" spans="1:18" ht="15" x14ac:dyDescent="0.25">
      <c r="B88" s="182"/>
      <c r="C88" s="252"/>
      <c r="D88" s="252"/>
      <c r="E88" s="252"/>
      <c r="F88" s="206"/>
      <c r="G88" s="252"/>
      <c r="H88" s="252"/>
      <c r="I88" s="252"/>
      <c r="J88" s="206"/>
      <c r="K88" s="829" t="s">
        <v>564</v>
      </c>
      <c r="L88" s="830"/>
      <c r="M88" s="830"/>
      <c r="N88" s="331"/>
      <c r="O88" s="829" t="s">
        <v>217</v>
      </c>
      <c r="P88" s="830"/>
      <c r="Q88" s="834"/>
      <c r="R88" s="683"/>
    </row>
    <row r="89" spans="1:18" ht="16.350000000000001" customHeight="1" x14ac:dyDescent="0.25">
      <c r="A89" s="39" t="s">
        <v>560</v>
      </c>
      <c r="C89" s="114"/>
      <c r="D89" s="114"/>
      <c r="G89" s="405"/>
      <c r="K89" s="274">
        <v>0.13815786582140574</v>
      </c>
      <c r="L89" s="275">
        <v>0.25926373943853004</v>
      </c>
      <c r="M89" s="276">
        <v>0.18107973884565129</v>
      </c>
      <c r="O89" s="261">
        <v>42.264000278384906</v>
      </c>
      <c r="P89" s="260">
        <v>36.726121635169171</v>
      </c>
      <c r="Q89" s="723">
        <v>5.5378786432157341</v>
      </c>
    </row>
    <row r="90" spans="1:18" ht="16.350000000000001" customHeight="1" x14ac:dyDescent="0.25">
      <c r="A90" s="44" t="s">
        <v>587</v>
      </c>
      <c r="C90" s="114"/>
      <c r="D90" s="114"/>
      <c r="K90" s="254"/>
      <c r="L90" s="254"/>
      <c r="M90" s="254"/>
      <c r="O90" s="263"/>
      <c r="P90" s="263"/>
      <c r="Q90" s="254"/>
    </row>
    <row r="91" spans="1:18" ht="15" x14ac:dyDescent="0.25">
      <c r="C91" s="114"/>
      <c r="D91" s="114"/>
      <c r="K91" s="262"/>
      <c r="L91" s="262"/>
      <c r="M91" s="254"/>
      <c r="O91" s="263"/>
      <c r="P91" s="263"/>
      <c r="Q91" s="263"/>
    </row>
    <row r="92" spans="1:18" x14ac:dyDescent="0.2">
      <c r="O92" s="406"/>
    </row>
  </sheetData>
  <mergeCells count="6">
    <mergeCell ref="K88:M88"/>
    <mergeCell ref="C7:E7"/>
    <mergeCell ref="G7:I7"/>
    <mergeCell ref="K7:M7"/>
    <mergeCell ref="O7:Q7"/>
    <mergeCell ref="O88:Q88"/>
  </mergeCells>
  <pageMargins left="0.7" right="0.7" top="0.75" bottom="0.75" header="0.3" footer="0.3"/>
  <pageSetup scale="60" fitToHeight="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F309"/>
  <sheetViews>
    <sheetView zoomScale="57" zoomScaleNormal="57" zoomScaleSheetLayoutView="100" workbookViewId="0">
      <pane xSplit="3" ySplit="5" topLeftCell="N145" activePane="bottomRight" state="frozen"/>
      <selection pane="topRight" activeCell="D1" sqref="D1"/>
      <selection pane="bottomLeft" activeCell="A6" sqref="A6"/>
      <selection pane="bottomRight" activeCell="AK81" sqref="AK81"/>
    </sheetView>
  </sheetViews>
  <sheetFormatPr defaultColWidth="9.140625" defaultRowHeight="15.75" x14ac:dyDescent="0.25"/>
  <cols>
    <col min="1" max="1" width="6.85546875" style="58" customWidth="1"/>
    <col min="2" max="2" width="6.85546875" style="35" bestFit="1" customWidth="1"/>
    <col min="3" max="3" width="25.140625" style="59" bestFit="1" customWidth="1"/>
    <col min="4" max="12" width="13.42578125" style="60" bestFit="1" customWidth="1"/>
    <col min="13" max="15" width="13.42578125" style="61" bestFit="1" customWidth="1"/>
    <col min="16" max="16" width="14" style="59" bestFit="1" customWidth="1"/>
    <col min="17" max="17" width="5.140625" style="61" bestFit="1" customWidth="1"/>
    <col min="18" max="25" width="13.42578125" style="36" bestFit="1" customWidth="1"/>
    <col min="26" max="27" width="13.42578125" style="39" bestFit="1" customWidth="1"/>
    <col min="28" max="29" width="13.42578125" style="45" bestFit="1" customWidth="1"/>
    <col min="30" max="30" width="11.140625" style="59" customWidth="1"/>
    <col min="31" max="31" width="1.140625" style="36" customWidth="1"/>
    <col min="32" max="32" width="12.85546875" style="59" customWidth="1"/>
    <col min="33" max="16384" width="9.140625" style="36"/>
  </cols>
  <sheetData>
    <row r="1" spans="1:32" ht="18.75" x14ac:dyDescent="0.3">
      <c r="A1" s="214" t="s">
        <v>199</v>
      </c>
      <c r="R1" s="39"/>
    </row>
    <row r="2" spans="1:32" ht="20.85" customHeight="1" x14ac:dyDescent="0.35">
      <c r="A2" s="188" t="s">
        <v>523</v>
      </c>
      <c r="B2" s="36"/>
      <c r="C2" s="3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36"/>
      <c r="Q2" s="395"/>
      <c r="R2" s="841" t="s">
        <v>618</v>
      </c>
      <c r="S2" s="842"/>
      <c r="X2" s="42"/>
      <c r="AB2" s="39"/>
      <c r="AC2" s="39"/>
      <c r="AD2" s="36"/>
      <c r="AF2" s="36"/>
    </row>
    <row r="3" spans="1:32" x14ac:dyDescent="0.2">
      <c r="A3" s="25" t="s">
        <v>538</v>
      </c>
      <c r="B3" s="36"/>
      <c r="C3" s="36"/>
      <c r="D3" s="615">
        <v>2023</v>
      </c>
      <c r="E3" s="615">
        <v>2023</v>
      </c>
      <c r="F3" s="615">
        <v>2023</v>
      </c>
      <c r="G3" s="615">
        <v>2023</v>
      </c>
      <c r="H3" s="615">
        <v>2023</v>
      </c>
      <c r="I3" s="615">
        <v>2023</v>
      </c>
      <c r="J3" s="615">
        <v>2023</v>
      </c>
      <c r="K3" s="615">
        <v>2023</v>
      </c>
      <c r="L3" s="615">
        <v>2023</v>
      </c>
      <c r="M3" s="615">
        <v>2023</v>
      </c>
      <c r="N3" s="615">
        <v>2023</v>
      </c>
      <c r="O3" s="615">
        <v>2023</v>
      </c>
      <c r="P3" s="36"/>
      <c r="Q3" s="615"/>
      <c r="R3" s="615"/>
      <c r="S3" s="615"/>
      <c r="T3" s="615"/>
      <c r="U3" s="615"/>
      <c r="V3" s="615"/>
      <c r="W3" s="615"/>
      <c r="X3" s="615"/>
      <c r="Y3" s="615"/>
      <c r="Z3" s="615"/>
      <c r="AA3" s="615"/>
      <c r="AB3" s="615"/>
      <c r="AC3" s="615"/>
      <c r="AD3" s="36"/>
      <c r="AF3" s="36"/>
    </row>
    <row r="4" spans="1:32" ht="19.5" customHeight="1" x14ac:dyDescent="0.25">
      <c r="A4" s="25"/>
      <c r="B4" s="36"/>
      <c r="C4" s="36"/>
      <c r="D4" s="831" t="s">
        <v>539</v>
      </c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3"/>
      <c r="R4" s="831" t="s">
        <v>536</v>
      </c>
      <c r="S4" s="832"/>
      <c r="T4" s="832"/>
      <c r="U4" s="832"/>
      <c r="V4" s="832"/>
      <c r="W4" s="832"/>
      <c r="X4" s="832"/>
      <c r="Y4" s="832"/>
      <c r="Z4" s="832"/>
      <c r="AA4" s="832"/>
      <c r="AB4" s="832"/>
      <c r="AC4" s="832"/>
      <c r="AD4" s="833"/>
      <c r="AF4" s="36"/>
    </row>
    <row r="5" spans="1:32" ht="27" customHeight="1" x14ac:dyDescent="0.2">
      <c r="A5" s="408" t="s">
        <v>344</v>
      </c>
      <c r="D5" s="396">
        <v>44927</v>
      </c>
      <c r="E5" s="397">
        <v>44958</v>
      </c>
      <c r="F5" s="397">
        <v>44986</v>
      </c>
      <c r="G5" s="397">
        <v>45017</v>
      </c>
      <c r="H5" s="397">
        <v>45047</v>
      </c>
      <c r="I5" s="397">
        <v>45078</v>
      </c>
      <c r="J5" s="397">
        <v>45108</v>
      </c>
      <c r="K5" s="397">
        <v>45139</v>
      </c>
      <c r="L5" s="397">
        <v>45170</v>
      </c>
      <c r="M5" s="397">
        <v>45200</v>
      </c>
      <c r="N5" s="397">
        <v>45231</v>
      </c>
      <c r="O5" s="397">
        <v>45261</v>
      </c>
      <c r="P5" s="733" t="s">
        <v>539</v>
      </c>
      <c r="Q5" s="394"/>
      <c r="R5" s="396">
        <v>44348</v>
      </c>
      <c r="S5" s="397">
        <v>44378</v>
      </c>
      <c r="T5" s="397">
        <v>44409</v>
      </c>
      <c r="U5" s="397">
        <v>44440</v>
      </c>
      <c r="V5" s="397">
        <v>44470</v>
      </c>
      <c r="W5" s="397">
        <v>44501</v>
      </c>
      <c r="X5" s="397">
        <v>44531</v>
      </c>
      <c r="Y5" s="397">
        <v>44562</v>
      </c>
      <c r="Z5" s="397">
        <v>44593</v>
      </c>
      <c r="AA5" s="397">
        <v>44621</v>
      </c>
      <c r="AB5" s="397">
        <v>44652</v>
      </c>
      <c r="AC5" s="738">
        <v>44682</v>
      </c>
      <c r="AD5" s="734" t="s">
        <v>535</v>
      </c>
      <c r="AF5" s="734" t="s">
        <v>200</v>
      </c>
    </row>
    <row r="6" spans="1:32" ht="14.1" customHeight="1" x14ac:dyDescent="0.25">
      <c r="A6" s="296" t="s">
        <v>187</v>
      </c>
      <c r="B6" s="297" t="s">
        <v>211</v>
      </c>
      <c r="C6" s="399" t="s">
        <v>201</v>
      </c>
      <c r="D6" s="398"/>
      <c r="E6" s="61"/>
      <c r="F6" s="61"/>
      <c r="G6" s="61"/>
      <c r="H6" s="61"/>
      <c r="I6" s="61"/>
      <c r="J6" s="61"/>
      <c r="K6" s="61"/>
      <c r="L6" s="61"/>
      <c r="P6" s="735"/>
      <c r="R6" s="240"/>
      <c r="S6" s="39"/>
      <c r="T6" s="39"/>
      <c r="U6" s="39"/>
      <c r="V6" s="39"/>
      <c r="W6" s="39"/>
      <c r="X6" s="39"/>
      <c r="Y6" s="39"/>
      <c r="AD6" s="735"/>
      <c r="AF6" s="735"/>
    </row>
    <row r="7" spans="1:32" s="60" customFormat="1" x14ac:dyDescent="0.25">
      <c r="A7" s="220" t="s">
        <v>7</v>
      </c>
      <c r="B7" s="221" t="s">
        <v>0</v>
      </c>
      <c r="C7" s="183" t="s">
        <v>8</v>
      </c>
      <c r="D7" s="618">
        <v>0</v>
      </c>
      <c r="E7" s="616">
        <v>0</v>
      </c>
      <c r="F7" s="616">
        <v>0</v>
      </c>
      <c r="G7" s="616">
        <v>0</v>
      </c>
      <c r="H7" s="616">
        <v>0</v>
      </c>
      <c r="I7" s="616">
        <v>0</v>
      </c>
      <c r="J7" s="616">
        <v>0</v>
      </c>
      <c r="K7" s="616">
        <v>0</v>
      </c>
      <c r="L7" s="616">
        <v>0</v>
      </c>
      <c r="M7" s="616">
        <v>0</v>
      </c>
      <c r="N7" s="616">
        <v>0</v>
      </c>
      <c r="O7" s="616">
        <v>0</v>
      </c>
      <c r="P7" s="636">
        <v>0</v>
      </c>
      <c r="Q7" s="617"/>
      <c r="R7" s="618">
        <v>0</v>
      </c>
      <c r="S7" s="616">
        <v>0</v>
      </c>
      <c r="T7" s="616">
        <v>0</v>
      </c>
      <c r="U7" s="616">
        <v>0</v>
      </c>
      <c r="V7" s="616">
        <v>0</v>
      </c>
      <c r="W7" s="616">
        <v>0</v>
      </c>
      <c r="X7" s="616">
        <v>0</v>
      </c>
      <c r="Y7" s="616">
        <v>0</v>
      </c>
      <c r="Z7" s="616">
        <v>0</v>
      </c>
      <c r="AA7" s="616">
        <v>0</v>
      </c>
      <c r="AB7" s="616">
        <v>0</v>
      </c>
      <c r="AC7" s="616">
        <v>0</v>
      </c>
      <c r="AD7" s="636">
        <v>0</v>
      </c>
      <c r="AF7" s="636">
        <v>0</v>
      </c>
    </row>
    <row r="8" spans="1:32" s="60" customFormat="1" x14ac:dyDescent="0.25">
      <c r="A8" s="220" t="s">
        <v>7</v>
      </c>
      <c r="B8" s="221" t="s">
        <v>0</v>
      </c>
      <c r="C8" s="184" t="s">
        <v>9</v>
      </c>
      <c r="D8" s="618">
        <v>0</v>
      </c>
      <c r="E8" s="616">
        <v>0</v>
      </c>
      <c r="F8" s="616">
        <v>0</v>
      </c>
      <c r="G8" s="616">
        <v>0</v>
      </c>
      <c r="H8" s="616">
        <v>0</v>
      </c>
      <c r="I8" s="616">
        <v>0</v>
      </c>
      <c r="J8" s="616">
        <v>0</v>
      </c>
      <c r="K8" s="616">
        <v>0</v>
      </c>
      <c r="L8" s="616">
        <v>0</v>
      </c>
      <c r="M8" s="616">
        <v>0</v>
      </c>
      <c r="N8" s="616">
        <v>0</v>
      </c>
      <c r="O8" s="616">
        <v>0</v>
      </c>
      <c r="P8" s="636">
        <v>0</v>
      </c>
      <c r="Q8" s="617"/>
      <c r="R8" s="618">
        <v>0</v>
      </c>
      <c r="S8" s="616">
        <v>0</v>
      </c>
      <c r="T8" s="616">
        <v>0</v>
      </c>
      <c r="U8" s="616">
        <v>0</v>
      </c>
      <c r="V8" s="616">
        <v>0</v>
      </c>
      <c r="W8" s="616">
        <v>0</v>
      </c>
      <c r="X8" s="616">
        <v>0</v>
      </c>
      <c r="Y8" s="616">
        <v>0</v>
      </c>
      <c r="Z8" s="616">
        <v>0</v>
      </c>
      <c r="AA8" s="616">
        <v>0</v>
      </c>
      <c r="AB8" s="616">
        <v>0</v>
      </c>
      <c r="AC8" s="616">
        <v>0</v>
      </c>
      <c r="AD8" s="636">
        <v>0</v>
      </c>
      <c r="AF8" s="636">
        <v>0</v>
      </c>
    </row>
    <row r="9" spans="1:32" s="60" customFormat="1" x14ac:dyDescent="0.25">
      <c r="A9" s="220" t="s">
        <v>7</v>
      </c>
      <c r="B9" s="221" t="s">
        <v>0</v>
      </c>
      <c r="C9" s="184" t="s">
        <v>210</v>
      </c>
      <c r="D9" s="618">
        <v>0</v>
      </c>
      <c r="E9" s="616">
        <v>0</v>
      </c>
      <c r="F9" s="616">
        <v>0</v>
      </c>
      <c r="G9" s="616">
        <v>0</v>
      </c>
      <c r="H9" s="616">
        <v>0</v>
      </c>
      <c r="I9" s="616">
        <v>0</v>
      </c>
      <c r="J9" s="616">
        <v>0</v>
      </c>
      <c r="K9" s="616">
        <v>0</v>
      </c>
      <c r="L9" s="616">
        <v>0</v>
      </c>
      <c r="M9" s="616">
        <v>0</v>
      </c>
      <c r="N9" s="616">
        <v>0</v>
      </c>
      <c r="O9" s="616">
        <v>0</v>
      </c>
      <c r="P9" s="636">
        <v>0</v>
      </c>
      <c r="Q9" s="617"/>
      <c r="R9" s="618">
        <v>0</v>
      </c>
      <c r="S9" s="616">
        <v>0</v>
      </c>
      <c r="T9" s="616">
        <v>0</v>
      </c>
      <c r="U9" s="616">
        <v>0</v>
      </c>
      <c r="V9" s="616">
        <v>0</v>
      </c>
      <c r="W9" s="616">
        <v>0</v>
      </c>
      <c r="X9" s="616">
        <v>0</v>
      </c>
      <c r="Y9" s="616">
        <v>0</v>
      </c>
      <c r="Z9" s="616">
        <v>0</v>
      </c>
      <c r="AA9" s="616">
        <v>0</v>
      </c>
      <c r="AB9" s="616">
        <v>0</v>
      </c>
      <c r="AC9" s="616">
        <v>0</v>
      </c>
      <c r="AD9" s="636">
        <v>0</v>
      </c>
      <c r="AF9" s="636">
        <v>0</v>
      </c>
    </row>
    <row r="10" spans="1:32" s="60" customFormat="1" x14ac:dyDescent="0.25">
      <c r="A10" s="220" t="s">
        <v>7</v>
      </c>
      <c r="B10" s="221" t="s">
        <v>0</v>
      </c>
      <c r="C10" s="184" t="s">
        <v>41</v>
      </c>
      <c r="D10" s="618">
        <v>0</v>
      </c>
      <c r="E10" s="616">
        <v>0</v>
      </c>
      <c r="F10" s="616">
        <v>0</v>
      </c>
      <c r="G10" s="616">
        <v>0</v>
      </c>
      <c r="H10" s="616">
        <v>0</v>
      </c>
      <c r="I10" s="616">
        <v>0</v>
      </c>
      <c r="J10" s="616">
        <v>0</v>
      </c>
      <c r="K10" s="616">
        <v>0</v>
      </c>
      <c r="L10" s="616">
        <v>0</v>
      </c>
      <c r="M10" s="616">
        <v>0</v>
      </c>
      <c r="N10" s="616">
        <v>0</v>
      </c>
      <c r="O10" s="616">
        <v>0</v>
      </c>
      <c r="P10" s="636">
        <v>0</v>
      </c>
      <c r="Q10" s="617"/>
      <c r="R10" s="618">
        <v>0</v>
      </c>
      <c r="S10" s="616">
        <v>0</v>
      </c>
      <c r="T10" s="616">
        <v>0</v>
      </c>
      <c r="U10" s="616">
        <v>0</v>
      </c>
      <c r="V10" s="616">
        <v>0</v>
      </c>
      <c r="W10" s="616">
        <v>0</v>
      </c>
      <c r="X10" s="616">
        <v>0</v>
      </c>
      <c r="Y10" s="616">
        <v>0</v>
      </c>
      <c r="Z10" s="616">
        <v>0</v>
      </c>
      <c r="AA10" s="616">
        <v>0</v>
      </c>
      <c r="AB10" s="616">
        <v>0</v>
      </c>
      <c r="AC10" s="616">
        <v>0</v>
      </c>
      <c r="AD10" s="636">
        <v>0</v>
      </c>
      <c r="AF10" s="636">
        <v>0</v>
      </c>
    </row>
    <row r="11" spans="1:32" s="60" customFormat="1" x14ac:dyDescent="0.25">
      <c r="A11" s="220" t="s">
        <v>7</v>
      </c>
      <c r="B11" s="221" t="s">
        <v>0</v>
      </c>
      <c r="C11" s="184" t="s">
        <v>67</v>
      </c>
      <c r="D11" s="618">
        <v>0</v>
      </c>
      <c r="E11" s="616">
        <v>0</v>
      </c>
      <c r="F11" s="616">
        <v>0</v>
      </c>
      <c r="G11" s="616">
        <v>0</v>
      </c>
      <c r="H11" s="616">
        <v>0</v>
      </c>
      <c r="I11" s="616">
        <v>0</v>
      </c>
      <c r="J11" s="616">
        <v>0</v>
      </c>
      <c r="K11" s="616">
        <v>0</v>
      </c>
      <c r="L11" s="616">
        <v>0</v>
      </c>
      <c r="M11" s="616">
        <v>0</v>
      </c>
      <c r="N11" s="616">
        <v>0</v>
      </c>
      <c r="O11" s="616">
        <v>0</v>
      </c>
      <c r="P11" s="636">
        <v>0</v>
      </c>
      <c r="Q11" s="617"/>
      <c r="R11" s="618">
        <v>0</v>
      </c>
      <c r="S11" s="616">
        <v>0</v>
      </c>
      <c r="T11" s="616">
        <v>0</v>
      </c>
      <c r="U11" s="616">
        <v>0</v>
      </c>
      <c r="V11" s="616">
        <v>0</v>
      </c>
      <c r="W11" s="616">
        <v>0</v>
      </c>
      <c r="X11" s="616">
        <v>0</v>
      </c>
      <c r="Y11" s="616">
        <v>0</v>
      </c>
      <c r="Z11" s="616">
        <v>0</v>
      </c>
      <c r="AA11" s="616">
        <v>0</v>
      </c>
      <c r="AB11" s="616">
        <v>0</v>
      </c>
      <c r="AC11" s="616">
        <v>0</v>
      </c>
      <c r="AD11" s="636">
        <v>0</v>
      </c>
      <c r="AF11" s="636">
        <v>0</v>
      </c>
    </row>
    <row r="12" spans="1:32" s="60" customFormat="1" x14ac:dyDescent="0.25">
      <c r="A12" s="220" t="s">
        <v>7</v>
      </c>
      <c r="B12" s="221" t="s">
        <v>0</v>
      </c>
      <c r="C12" s="184" t="s">
        <v>46</v>
      </c>
      <c r="D12" s="618">
        <v>0</v>
      </c>
      <c r="E12" s="616">
        <v>0</v>
      </c>
      <c r="F12" s="616">
        <v>0</v>
      </c>
      <c r="G12" s="616">
        <v>0</v>
      </c>
      <c r="H12" s="616">
        <v>0</v>
      </c>
      <c r="I12" s="616">
        <v>0</v>
      </c>
      <c r="J12" s="616">
        <v>0</v>
      </c>
      <c r="K12" s="616">
        <v>0</v>
      </c>
      <c r="L12" s="616">
        <v>0</v>
      </c>
      <c r="M12" s="616">
        <v>0</v>
      </c>
      <c r="N12" s="616">
        <v>0</v>
      </c>
      <c r="O12" s="616">
        <v>0</v>
      </c>
      <c r="P12" s="636">
        <v>0</v>
      </c>
      <c r="Q12" s="617"/>
      <c r="R12" s="618">
        <v>0</v>
      </c>
      <c r="S12" s="616">
        <v>0</v>
      </c>
      <c r="T12" s="616">
        <v>0</v>
      </c>
      <c r="U12" s="616">
        <v>0</v>
      </c>
      <c r="V12" s="616">
        <v>0</v>
      </c>
      <c r="W12" s="616">
        <v>0</v>
      </c>
      <c r="X12" s="616">
        <v>0</v>
      </c>
      <c r="Y12" s="616">
        <v>0</v>
      </c>
      <c r="Z12" s="616">
        <v>0</v>
      </c>
      <c r="AA12" s="616">
        <v>0</v>
      </c>
      <c r="AB12" s="616">
        <v>0</v>
      </c>
      <c r="AC12" s="616">
        <v>0</v>
      </c>
      <c r="AD12" s="636">
        <v>0</v>
      </c>
      <c r="AF12" s="636">
        <v>0</v>
      </c>
    </row>
    <row r="13" spans="1:32" s="60" customFormat="1" x14ac:dyDescent="0.25">
      <c r="A13" s="220" t="s">
        <v>7</v>
      </c>
      <c r="B13" s="221" t="s">
        <v>0</v>
      </c>
      <c r="C13" s="184" t="s">
        <v>45</v>
      </c>
      <c r="D13" s="618">
        <v>0</v>
      </c>
      <c r="E13" s="616">
        <v>0</v>
      </c>
      <c r="F13" s="616">
        <v>0</v>
      </c>
      <c r="G13" s="616">
        <v>0</v>
      </c>
      <c r="H13" s="616">
        <v>0</v>
      </c>
      <c r="I13" s="616">
        <v>0</v>
      </c>
      <c r="J13" s="616">
        <v>0</v>
      </c>
      <c r="K13" s="616">
        <v>0</v>
      </c>
      <c r="L13" s="616">
        <v>0</v>
      </c>
      <c r="M13" s="616">
        <v>0</v>
      </c>
      <c r="N13" s="616">
        <v>0</v>
      </c>
      <c r="O13" s="616">
        <v>0</v>
      </c>
      <c r="P13" s="636">
        <v>0</v>
      </c>
      <c r="Q13" s="617"/>
      <c r="R13" s="618">
        <v>0</v>
      </c>
      <c r="S13" s="616">
        <v>0</v>
      </c>
      <c r="T13" s="616">
        <v>0</v>
      </c>
      <c r="U13" s="616">
        <v>0</v>
      </c>
      <c r="V13" s="616">
        <v>0</v>
      </c>
      <c r="W13" s="616">
        <v>0</v>
      </c>
      <c r="X13" s="616">
        <v>0</v>
      </c>
      <c r="Y13" s="616">
        <v>0</v>
      </c>
      <c r="Z13" s="616">
        <v>0</v>
      </c>
      <c r="AA13" s="616">
        <v>0</v>
      </c>
      <c r="AB13" s="616">
        <v>0</v>
      </c>
      <c r="AC13" s="616">
        <v>0</v>
      </c>
      <c r="AD13" s="636">
        <v>0</v>
      </c>
      <c r="AF13" s="636">
        <v>0</v>
      </c>
    </row>
    <row r="14" spans="1:32" s="60" customFormat="1" ht="16.5" thickBot="1" x14ac:dyDescent="0.3">
      <c r="A14" s="220" t="s">
        <v>7</v>
      </c>
      <c r="B14" s="221" t="s">
        <v>0</v>
      </c>
      <c r="C14" s="184" t="s">
        <v>47</v>
      </c>
      <c r="D14" s="620">
        <v>0</v>
      </c>
      <c r="E14" s="619">
        <v>0</v>
      </c>
      <c r="F14" s="619">
        <v>0</v>
      </c>
      <c r="G14" s="619">
        <v>0</v>
      </c>
      <c r="H14" s="619">
        <v>0</v>
      </c>
      <c r="I14" s="619">
        <v>0</v>
      </c>
      <c r="J14" s="619">
        <v>0</v>
      </c>
      <c r="K14" s="619">
        <v>0</v>
      </c>
      <c r="L14" s="619">
        <v>0</v>
      </c>
      <c r="M14" s="619">
        <v>0</v>
      </c>
      <c r="N14" s="619">
        <v>0</v>
      </c>
      <c r="O14" s="619">
        <v>0</v>
      </c>
      <c r="P14" s="636">
        <v>0</v>
      </c>
      <c r="Q14" s="617"/>
      <c r="R14" s="620">
        <v>0</v>
      </c>
      <c r="S14" s="619">
        <v>0</v>
      </c>
      <c r="T14" s="619">
        <v>0</v>
      </c>
      <c r="U14" s="619">
        <v>0</v>
      </c>
      <c r="V14" s="619">
        <v>0</v>
      </c>
      <c r="W14" s="619">
        <v>0</v>
      </c>
      <c r="X14" s="619">
        <v>0</v>
      </c>
      <c r="Y14" s="619">
        <v>0</v>
      </c>
      <c r="Z14" s="619">
        <v>0</v>
      </c>
      <c r="AA14" s="619">
        <v>0</v>
      </c>
      <c r="AB14" s="619">
        <v>0</v>
      </c>
      <c r="AC14" s="619">
        <v>0</v>
      </c>
      <c r="AD14" s="636">
        <v>0</v>
      </c>
      <c r="AF14" s="636">
        <v>0</v>
      </c>
    </row>
    <row r="15" spans="1:32" s="60" customFormat="1" ht="17.25" thickTop="1" thickBot="1" x14ac:dyDescent="0.3">
      <c r="A15" s="220" t="s">
        <v>7</v>
      </c>
      <c r="B15" s="221">
        <v>501</v>
      </c>
      <c r="C15" s="184" t="s">
        <v>48</v>
      </c>
      <c r="D15" s="628">
        <v>4251.1962800000001</v>
      </c>
      <c r="E15" s="629">
        <v>3812.5568800000001</v>
      </c>
      <c r="F15" s="629">
        <v>3767.0153799999998</v>
      </c>
      <c r="G15" s="629">
        <v>3378.47093</v>
      </c>
      <c r="H15" s="629">
        <v>3065.85302</v>
      </c>
      <c r="I15" s="629">
        <v>3232.8117699999998</v>
      </c>
      <c r="J15" s="629">
        <v>4254.98632</v>
      </c>
      <c r="K15" s="629">
        <v>4283.4120000000003</v>
      </c>
      <c r="L15" s="629">
        <v>4108.1325699999998</v>
      </c>
      <c r="M15" s="629">
        <v>4249.3012600000002</v>
      </c>
      <c r="N15" s="701" t="s">
        <v>619</v>
      </c>
      <c r="O15" s="701" t="s">
        <v>619</v>
      </c>
      <c r="P15" s="701" t="s">
        <v>619</v>
      </c>
      <c r="Q15" s="617"/>
      <c r="R15" s="701" t="s">
        <v>619</v>
      </c>
      <c r="S15" s="701" t="s">
        <v>619</v>
      </c>
      <c r="T15" s="701" t="s">
        <v>619</v>
      </c>
      <c r="U15" s="701" t="s">
        <v>619</v>
      </c>
      <c r="V15" s="701" t="s">
        <v>619</v>
      </c>
      <c r="W15" s="701" t="s">
        <v>619</v>
      </c>
      <c r="X15" s="701" t="s">
        <v>619</v>
      </c>
      <c r="Y15" s="701" t="s">
        <v>619</v>
      </c>
      <c r="Z15" s="701" t="s">
        <v>619</v>
      </c>
      <c r="AA15" s="701" t="s">
        <v>619</v>
      </c>
      <c r="AB15" s="701" t="s">
        <v>619</v>
      </c>
      <c r="AC15" s="701" t="s">
        <v>619</v>
      </c>
      <c r="AD15" s="701" t="s">
        <v>619</v>
      </c>
      <c r="AE15" s="701" t="s">
        <v>619</v>
      </c>
      <c r="AF15" s="701" t="s">
        <v>619</v>
      </c>
    </row>
    <row r="16" spans="1:32" s="60" customFormat="1" ht="17.25" thickTop="1" thickBot="1" x14ac:dyDescent="0.3">
      <c r="A16" s="220" t="s">
        <v>7</v>
      </c>
      <c r="B16" s="221">
        <v>547</v>
      </c>
      <c r="C16" s="183" t="s">
        <v>10</v>
      </c>
      <c r="D16" s="621">
        <v>5109.335</v>
      </c>
      <c r="E16" s="622">
        <v>4570.5727500000003</v>
      </c>
      <c r="F16" s="622">
        <v>1438.9582499999999</v>
      </c>
      <c r="G16" s="622">
        <v>1519.14148</v>
      </c>
      <c r="H16" s="622">
        <v>1059.5242900000001</v>
      </c>
      <c r="I16" s="622">
        <v>1476.6417200000001</v>
      </c>
      <c r="J16" s="622">
        <v>3693.9714399999998</v>
      </c>
      <c r="K16" s="622">
        <v>3769.0859999999998</v>
      </c>
      <c r="L16" s="622">
        <v>4059.6752900000001</v>
      </c>
      <c r="M16" s="622">
        <v>4154.0385699999997</v>
      </c>
      <c r="N16" s="701" t="s">
        <v>619</v>
      </c>
      <c r="O16" s="701" t="s">
        <v>619</v>
      </c>
      <c r="P16" s="701" t="s">
        <v>619</v>
      </c>
      <c r="Q16" s="617"/>
      <c r="R16" s="701" t="s">
        <v>619</v>
      </c>
      <c r="S16" s="701" t="s">
        <v>619</v>
      </c>
      <c r="T16" s="701" t="s">
        <v>619</v>
      </c>
      <c r="U16" s="701" t="s">
        <v>619</v>
      </c>
      <c r="V16" s="701" t="s">
        <v>619</v>
      </c>
      <c r="W16" s="701" t="s">
        <v>619</v>
      </c>
      <c r="X16" s="701" t="s">
        <v>619</v>
      </c>
      <c r="Y16" s="701" t="s">
        <v>619</v>
      </c>
      <c r="Z16" s="701" t="s">
        <v>619</v>
      </c>
      <c r="AA16" s="701" t="s">
        <v>619</v>
      </c>
      <c r="AB16" s="701" t="s">
        <v>619</v>
      </c>
      <c r="AC16" s="701" t="s">
        <v>619</v>
      </c>
      <c r="AD16" s="701" t="s">
        <v>619</v>
      </c>
      <c r="AE16" s="701" t="s">
        <v>619</v>
      </c>
      <c r="AF16" s="701" t="s">
        <v>619</v>
      </c>
    </row>
    <row r="17" spans="1:32" s="60" customFormat="1" ht="17.25" thickTop="1" thickBot="1" x14ac:dyDescent="0.3">
      <c r="A17" s="130" t="s">
        <v>7</v>
      </c>
      <c r="B17" s="221">
        <v>547</v>
      </c>
      <c r="C17" s="185" t="s">
        <v>11</v>
      </c>
      <c r="D17" s="621">
        <v>4862.12842</v>
      </c>
      <c r="E17" s="622">
        <v>3762.50513</v>
      </c>
      <c r="F17" s="622">
        <v>1373.6256100000001</v>
      </c>
      <c r="G17" s="622">
        <v>203.721756</v>
      </c>
      <c r="H17" s="622">
        <v>1066.6564900000001</v>
      </c>
      <c r="I17" s="622">
        <v>1512.16553</v>
      </c>
      <c r="J17" s="622">
        <v>3261.86328</v>
      </c>
      <c r="K17" s="622">
        <v>4093.3232400000002</v>
      </c>
      <c r="L17" s="622">
        <v>4453.7659999999996</v>
      </c>
      <c r="M17" s="622">
        <v>176.782974</v>
      </c>
      <c r="N17" s="701" t="s">
        <v>619</v>
      </c>
      <c r="O17" s="701" t="s">
        <v>619</v>
      </c>
      <c r="P17" s="701" t="s">
        <v>619</v>
      </c>
      <c r="Q17" s="617"/>
      <c r="R17" s="701" t="s">
        <v>619</v>
      </c>
      <c r="S17" s="701" t="s">
        <v>619</v>
      </c>
      <c r="T17" s="701" t="s">
        <v>619</v>
      </c>
      <c r="U17" s="701" t="s">
        <v>619</v>
      </c>
      <c r="V17" s="701" t="s">
        <v>619</v>
      </c>
      <c r="W17" s="701" t="s">
        <v>619</v>
      </c>
      <c r="X17" s="701" t="s">
        <v>619</v>
      </c>
      <c r="Y17" s="701" t="s">
        <v>619</v>
      </c>
      <c r="Z17" s="701" t="s">
        <v>619</v>
      </c>
      <c r="AA17" s="701" t="s">
        <v>619</v>
      </c>
      <c r="AB17" s="701" t="s">
        <v>619</v>
      </c>
      <c r="AC17" s="701" t="s">
        <v>619</v>
      </c>
      <c r="AD17" s="701" t="s">
        <v>619</v>
      </c>
      <c r="AE17" s="701" t="s">
        <v>619</v>
      </c>
      <c r="AF17" s="701" t="s">
        <v>619</v>
      </c>
    </row>
    <row r="18" spans="1:32" s="60" customFormat="1" ht="17.25" thickTop="1" thickBot="1" x14ac:dyDescent="0.3">
      <c r="A18" s="130" t="s">
        <v>7</v>
      </c>
      <c r="B18" s="221">
        <v>547</v>
      </c>
      <c r="C18" s="184" t="s">
        <v>12</v>
      </c>
      <c r="D18" s="621">
        <v>634.18039999999996</v>
      </c>
      <c r="E18" s="622">
        <v>1156.3429000000001</v>
      </c>
      <c r="F18" s="622">
        <v>518.46090000000004</v>
      </c>
      <c r="G18" s="622">
        <v>709.957764</v>
      </c>
      <c r="H18" s="622">
        <v>0</v>
      </c>
      <c r="I18" s="622">
        <v>352.13674900000001</v>
      </c>
      <c r="J18" s="622">
        <v>1450.46741</v>
      </c>
      <c r="K18" s="622">
        <v>1941.2896699999999</v>
      </c>
      <c r="L18" s="622">
        <v>2056.5219999999999</v>
      </c>
      <c r="M18" s="622">
        <v>2128.1</v>
      </c>
      <c r="N18" s="701" t="s">
        <v>619</v>
      </c>
      <c r="O18" s="701" t="s">
        <v>619</v>
      </c>
      <c r="P18" s="701" t="s">
        <v>619</v>
      </c>
      <c r="Q18" s="617"/>
      <c r="R18" s="701" t="s">
        <v>619</v>
      </c>
      <c r="S18" s="701" t="s">
        <v>619</v>
      </c>
      <c r="T18" s="701" t="s">
        <v>619</v>
      </c>
      <c r="U18" s="701" t="s">
        <v>619</v>
      </c>
      <c r="V18" s="701" t="s">
        <v>619</v>
      </c>
      <c r="W18" s="701" t="s">
        <v>619</v>
      </c>
      <c r="X18" s="701" t="s">
        <v>619</v>
      </c>
      <c r="Y18" s="701" t="s">
        <v>619</v>
      </c>
      <c r="Z18" s="701" t="s">
        <v>619</v>
      </c>
      <c r="AA18" s="701" t="s">
        <v>619</v>
      </c>
      <c r="AB18" s="701" t="s">
        <v>619</v>
      </c>
      <c r="AC18" s="701" t="s">
        <v>619</v>
      </c>
      <c r="AD18" s="701" t="s">
        <v>619</v>
      </c>
      <c r="AE18" s="701" t="s">
        <v>619</v>
      </c>
      <c r="AF18" s="701" t="s">
        <v>619</v>
      </c>
    </row>
    <row r="19" spans="1:32" s="60" customFormat="1" ht="17.25" thickTop="1" thickBot="1" x14ac:dyDescent="0.3">
      <c r="A19" s="130" t="s">
        <v>7</v>
      </c>
      <c r="B19" s="221">
        <v>547</v>
      </c>
      <c r="C19" s="183" t="s">
        <v>34</v>
      </c>
      <c r="D19" s="621">
        <v>943.66769999999997</v>
      </c>
      <c r="E19" s="622">
        <v>1956.70081</v>
      </c>
      <c r="F19" s="622">
        <v>495.70211799999998</v>
      </c>
      <c r="G19" s="622">
        <v>403.38069999999999</v>
      </c>
      <c r="H19" s="622">
        <v>591.67070000000001</v>
      </c>
      <c r="I19" s="622">
        <v>487.52600000000001</v>
      </c>
      <c r="J19" s="622">
        <v>1883.6962900000001</v>
      </c>
      <c r="K19" s="622">
        <v>1878.26721</v>
      </c>
      <c r="L19" s="622">
        <v>1958.4716800000001</v>
      </c>
      <c r="M19" s="622">
        <v>2013.08215</v>
      </c>
      <c r="N19" s="701" t="s">
        <v>619</v>
      </c>
      <c r="O19" s="701" t="s">
        <v>619</v>
      </c>
      <c r="P19" s="701" t="s">
        <v>619</v>
      </c>
      <c r="Q19" s="617"/>
      <c r="R19" s="701" t="s">
        <v>619</v>
      </c>
      <c r="S19" s="701" t="s">
        <v>619</v>
      </c>
      <c r="T19" s="701" t="s">
        <v>619</v>
      </c>
      <c r="U19" s="701" t="s">
        <v>619</v>
      </c>
      <c r="V19" s="701" t="s">
        <v>619</v>
      </c>
      <c r="W19" s="701" t="s">
        <v>619</v>
      </c>
      <c r="X19" s="701" t="s">
        <v>619</v>
      </c>
      <c r="Y19" s="701" t="s">
        <v>619</v>
      </c>
      <c r="Z19" s="701" t="s">
        <v>619</v>
      </c>
      <c r="AA19" s="701" t="s">
        <v>619</v>
      </c>
      <c r="AB19" s="701" t="s">
        <v>619</v>
      </c>
      <c r="AC19" s="701" t="s">
        <v>619</v>
      </c>
      <c r="AD19" s="701" t="s">
        <v>619</v>
      </c>
      <c r="AE19" s="701" t="s">
        <v>619</v>
      </c>
      <c r="AF19" s="701" t="s">
        <v>619</v>
      </c>
    </row>
    <row r="20" spans="1:32" s="60" customFormat="1" ht="17.25" thickTop="1" thickBot="1" x14ac:dyDescent="0.3">
      <c r="A20" s="130" t="s">
        <v>7</v>
      </c>
      <c r="B20" s="221">
        <v>547</v>
      </c>
      <c r="C20" s="184" t="s">
        <v>13</v>
      </c>
      <c r="D20" s="621">
        <v>287.92755099999999</v>
      </c>
      <c r="E20" s="622">
        <v>693.66876200000002</v>
      </c>
      <c r="F20" s="622">
        <v>235.93862899999999</v>
      </c>
      <c r="G20" s="622">
        <v>0</v>
      </c>
      <c r="H20" s="622">
        <v>1.9829455600000001</v>
      </c>
      <c r="I20" s="622">
        <v>310.22085600000003</v>
      </c>
      <c r="J20" s="622">
        <v>1404.472</v>
      </c>
      <c r="K20" s="622">
        <v>1700.98975</v>
      </c>
      <c r="L20" s="622">
        <v>2321.6280000000002</v>
      </c>
      <c r="M20" s="622">
        <v>453.728973</v>
      </c>
      <c r="N20" s="701" t="s">
        <v>619</v>
      </c>
      <c r="O20" s="701" t="s">
        <v>619</v>
      </c>
      <c r="P20" s="701" t="s">
        <v>619</v>
      </c>
      <c r="Q20" s="617"/>
      <c r="R20" s="701" t="s">
        <v>619</v>
      </c>
      <c r="S20" s="701" t="s">
        <v>619</v>
      </c>
      <c r="T20" s="701" t="s">
        <v>619</v>
      </c>
      <c r="U20" s="701" t="s">
        <v>619</v>
      </c>
      <c r="V20" s="701" t="s">
        <v>619</v>
      </c>
      <c r="W20" s="701" t="s">
        <v>619</v>
      </c>
      <c r="X20" s="701" t="s">
        <v>619</v>
      </c>
      <c r="Y20" s="701" t="s">
        <v>619</v>
      </c>
      <c r="Z20" s="701" t="s">
        <v>619</v>
      </c>
      <c r="AA20" s="701" t="s">
        <v>619</v>
      </c>
      <c r="AB20" s="701" t="s">
        <v>619</v>
      </c>
      <c r="AC20" s="701" t="s">
        <v>619</v>
      </c>
      <c r="AD20" s="701" t="s">
        <v>619</v>
      </c>
      <c r="AE20" s="701" t="s">
        <v>619</v>
      </c>
      <c r="AF20" s="701" t="s">
        <v>619</v>
      </c>
    </row>
    <row r="21" spans="1:32" s="60" customFormat="1" ht="17.25" thickTop="1" thickBot="1" x14ac:dyDescent="0.3">
      <c r="A21" s="130" t="s">
        <v>7</v>
      </c>
      <c r="B21" s="221">
        <v>547</v>
      </c>
      <c r="C21" s="183" t="s">
        <v>14</v>
      </c>
      <c r="D21" s="621">
        <v>0</v>
      </c>
      <c r="E21" s="622">
        <v>173.24878999999999</v>
      </c>
      <c r="F21" s="622">
        <v>114.07064</v>
      </c>
      <c r="G21" s="622">
        <v>97.454149999999998</v>
      </c>
      <c r="H21" s="622">
        <v>0</v>
      </c>
      <c r="I21" s="622">
        <v>0</v>
      </c>
      <c r="J21" s="622">
        <v>56.538011499999996</v>
      </c>
      <c r="K21" s="622">
        <v>2530.7458500000002</v>
      </c>
      <c r="L21" s="622">
        <v>0</v>
      </c>
      <c r="M21" s="622">
        <v>0</v>
      </c>
      <c r="N21" s="701" t="s">
        <v>619</v>
      </c>
      <c r="O21" s="701" t="s">
        <v>619</v>
      </c>
      <c r="P21" s="701" t="s">
        <v>619</v>
      </c>
      <c r="Q21" s="617"/>
      <c r="R21" s="701" t="s">
        <v>619</v>
      </c>
      <c r="S21" s="701" t="s">
        <v>619</v>
      </c>
      <c r="T21" s="701" t="s">
        <v>619</v>
      </c>
      <c r="U21" s="701" t="s">
        <v>619</v>
      </c>
      <c r="V21" s="701" t="s">
        <v>619</v>
      </c>
      <c r="W21" s="701" t="s">
        <v>619</v>
      </c>
      <c r="X21" s="701" t="s">
        <v>619</v>
      </c>
      <c r="Y21" s="701" t="s">
        <v>619</v>
      </c>
      <c r="Z21" s="701" t="s">
        <v>619</v>
      </c>
      <c r="AA21" s="701" t="s">
        <v>619</v>
      </c>
      <c r="AB21" s="701" t="s">
        <v>619</v>
      </c>
      <c r="AC21" s="701" t="s">
        <v>619</v>
      </c>
      <c r="AD21" s="701" t="s">
        <v>619</v>
      </c>
      <c r="AE21" s="701" t="s">
        <v>619</v>
      </c>
      <c r="AF21" s="701" t="s">
        <v>619</v>
      </c>
    </row>
    <row r="22" spans="1:32" s="60" customFormat="1" ht="17.25" thickTop="1" thickBot="1" x14ac:dyDescent="0.3">
      <c r="A22" s="130" t="s">
        <v>7</v>
      </c>
      <c r="B22" s="221">
        <v>547</v>
      </c>
      <c r="C22" s="183" t="s">
        <v>15</v>
      </c>
      <c r="D22" s="621">
        <v>232.80493200000001</v>
      </c>
      <c r="E22" s="622">
        <v>354.23976199999998</v>
      </c>
      <c r="F22" s="622">
        <v>154.77294999999998</v>
      </c>
      <c r="G22" s="622">
        <v>0</v>
      </c>
      <c r="H22" s="622">
        <v>24.497544300000001</v>
      </c>
      <c r="I22" s="622">
        <v>39.783729600000001</v>
      </c>
      <c r="J22" s="622">
        <v>10.74768948</v>
      </c>
      <c r="K22" s="622">
        <v>309.34629899999999</v>
      </c>
      <c r="L22" s="622">
        <v>271.00486799999999</v>
      </c>
      <c r="M22" s="622">
        <v>4.82662177</v>
      </c>
      <c r="N22" s="701" t="s">
        <v>619</v>
      </c>
      <c r="O22" s="701" t="s">
        <v>619</v>
      </c>
      <c r="P22" s="701" t="s">
        <v>619</v>
      </c>
      <c r="Q22" s="617"/>
      <c r="R22" s="701" t="s">
        <v>619</v>
      </c>
      <c r="S22" s="701" t="s">
        <v>619</v>
      </c>
      <c r="T22" s="701" t="s">
        <v>619</v>
      </c>
      <c r="U22" s="701" t="s">
        <v>619</v>
      </c>
      <c r="V22" s="701" t="s">
        <v>619</v>
      </c>
      <c r="W22" s="701" t="s">
        <v>619</v>
      </c>
      <c r="X22" s="701" t="s">
        <v>619</v>
      </c>
      <c r="Y22" s="701" t="s">
        <v>619</v>
      </c>
      <c r="Z22" s="701" t="s">
        <v>619</v>
      </c>
      <c r="AA22" s="701" t="s">
        <v>619</v>
      </c>
      <c r="AB22" s="701" t="s">
        <v>619</v>
      </c>
      <c r="AC22" s="701" t="s">
        <v>619</v>
      </c>
      <c r="AD22" s="701" t="s">
        <v>619</v>
      </c>
      <c r="AE22" s="701" t="s">
        <v>619</v>
      </c>
      <c r="AF22" s="701" t="s">
        <v>619</v>
      </c>
    </row>
    <row r="23" spans="1:32" s="60" customFormat="1" ht="17.25" thickTop="1" thickBot="1" x14ac:dyDescent="0.3">
      <c r="A23" s="130" t="s">
        <v>7</v>
      </c>
      <c r="B23" s="221">
        <v>547</v>
      </c>
      <c r="C23" s="183" t="s">
        <v>16</v>
      </c>
      <c r="D23" s="621">
        <v>1038.0610730000001</v>
      </c>
      <c r="E23" s="622">
        <v>219.43853750000002</v>
      </c>
      <c r="F23" s="622">
        <v>342.75234999999998</v>
      </c>
      <c r="G23" s="622">
        <v>108.8024285</v>
      </c>
      <c r="H23" s="622">
        <v>78.32580759999999</v>
      </c>
      <c r="I23" s="622">
        <v>111.57888</v>
      </c>
      <c r="J23" s="622">
        <v>43.480937100000006</v>
      </c>
      <c r="K23" s="622">
        <v>1783.744201</v>
      </c>
      <c r="L23" s="622">
        <v>117.34623000000001</v>
      </c>
      <c r="M23" s="622">
        <v>31.904923400000001</v>
      </c>
      <c r="N23" s="701" t="s">
        <v>619</v>
      </c>
      <c r="O23" s="701" t="s">
        <v>619</v>
      </c>
      <c r="P23" s="701" t="s">
        <v>619</v>
      </c>
      <c r="Q23" s="617"/>
      <c r="R23" s="701" t="s">
        <v>619</v>
      </c>
      <c r="S23" s="701" t="s">
        <v>619</v>
      </c>
      <c r="T23" s="701" t="s">
        <v>619</v>
      </c>
      <c r="U23" s="701" t="s">
        <v>619</v>
      </c>
      <c r="V23" s="701" t="s">
        <v>619</v>
      </c>
      <c r="W23" s="701" t="s">
        <v>619</v>
      </c>
      <c r="X23" s="701" t="s">
        <v>619</v>
      </c>
      <c r="Y23" s="701" t="s">
        <v>619</v>
      </c>
      <c r="Z23" s="701" t="s">
        <v>619</v>
      </c>
      <c r="AA23" s="701" t="s">
        <v>619</v>
      </c>
      <c r="AB23" s="701" t="s">
        <v>619</v>
      </c>
      <c r="AC23" s="701" t="s">
        <v>619</v>
      </c>
      <c r="AD23" s="701" t="s">
        <v>619</v>
      </c>
      <c r="AE23" s="701" t="s">
        <v>619</v>
      </c>
      <c r="AF23" s="701" t="s">
        <v>619</v>
      </c>
    </row>
    <row r="24" spans="1:32" s="60" customFormat="1" ht="17.25" thickTop="1" thickBot="1" x14ac:dyDescent="0.3">
      <c r="A24" s="130" t="s">
        <v>7</v>
      </c>
      <c r="B24" s="221">
        <v>547</v>
      </c>
      <c r="C24" s="184" t="s">
        <v>17</v>
      </c>
      <c r="D24" s="621">
        <v>423.126644</v>
      </c>
      <c r="E24" s="622">
        <v>219.54504000000003</v>
      </c>
      <c r="F24" s="622">
        <v>908.05675799999995</v>
      </c>
      <c r="G24" s="622">
        <v>59.381017999999997</v>
      </c>
      <c r="H24" s="622">
        <v>164.33839540000002</v>
      </c>
      <c r="I24" s="622">
        <v>185.07421199999999</v>
      </c>
      <c r="J24" s="622">
        <v>43.575392800000003</v>
      </c>
      <c r="K24" s="622">
        <v>1920.0078570000001</v>
      </c>
      <c r="L24" s="622">
        <v>122.2478275</v>
      </c>
      <c r="M24" s="622">
        <v>16.553632700000001</v>
      </c>
      <c r="N24" s="701" t="s">
        <v>619</v>
      </c>
      <c r="O24" s="701" t="s">
        <v>619</v>
      </c>
      <c r="P24" s="701" t="s">
        <v>619</v>
      </c>
      <c r="Q24" s="617"/>
      <c r="R24" s="701" t="s">
        <v>619</v>
      </c>
      <c r="S24" s="701" t="s">
        <v>619</v>
      </c>
      <c r="T24" s="701" t="s">
        <v>619</v>
      </c>
      <c r="U24" s="701" t="s">
        <v>619</v>
      </c>
      <c r="V24" s="701" t="s">
        <v>619</v>
      </c>
      <c r="W24" s="701" t="s">
        <v>619</v>
      </c>
      <c r="X24" s="701" t="s">
        <v>619</v>
      </c>
      <c r="Y24" s="701" t="s">
        <v>619</v>
      </c>
      <c r="Z24" s="701" t="s">
        <v>619</v>
      </c>
      <c r="AA24" s="701" t="s">
        <v>619</v>
      </c>
      <c r="AB24" s="701" t="s">
        <v>619</v>
      </c>
      <c r="AC24" s="701" t="s">
        <v>619</v>
      </c>
      <c r="AD24" s="701" t="s">
        <v>619</v>
      </c>
      <c r="AE24" s="701" t="s">
        <v>619</v>
      </c>
      <c r="AF24" s="701" t="s">
        <v>619</v>
      </c>
    </row>
    <row r="25" spans="1:32" s="60" customFormat="1" ht="17.25" thickTop="1" thickBot="1" x14ac:dyDescent="0.3">
      <c r="A25" s="130" t="s">
        <v>7</v>
      </c>
      <c r="B25" s="221">
        <v>547</v>
      </c>
      <c r="C25" s="183" t="s">
        <v>18</v>
      </c>
      <c r="D25" s="621">
        <v>1823.4311499999999</v>
      </c>
      <c r="E25" s="622">
        <v>2337.5764199999999</v>
      </c>
      <c r="F25" s="622">
        <v>957.27980000000002</v>
      </c>
      <c r="G25" s="622">
        <v>0</v>
      </c>
      <c r="H25" s="622">
        <v>217.00704999999999</v>
      </c>
      <c r="I25" s="622">
        <v>799.04690000000005</v>
      </c>
      <c r="J25" s="622">
        <v>2256.62158</v>
      </c>
      <c r="K25" s="622">
        <v>3420.7558600000002</v>
      </c>
      <c r="L25" s="622">
        <v>4281.22559</v>
      </c>
      <c r="M25" s="622">
        <v>3736.1525900000001</v>
      </c>
      <c r="N25" s="701" t="s">
        <v>619</v>
      </c>
      <c r="O25" s="701" t="s">
        <v>619</v>
      </c>
      <c r="P25" s="701" t="s">
        <v>619</v>
      </c>
      <c r="Q25" s="617"/>
      <c r="R25" s="701" t="s">
        <v>619</v>
      </c>
      <c r="S25" s="701" t="s">
        <v>619</v>
      </c>
      <c r="T25" s="701" t="s">
        <v>619</v>
      </c>
      <c r="U25" s="701" t="s">
        <v>619</v>
      </c>
      <c r="V25" s="701" t="s">
        <v>619</v>
      </c>
      <c r="W25" s="701" t="s">
        <v>619</v>
      </c>
      <c r="X25" s="701" t="s">
        <v>619</v>
      </c>
      <c r="Y25" s="701" t="s">
        <v>619</v>
      </c>
      <c r="Z25" s="701" t="s">
        <v>619</v>
      </c>
      <c r="AA25" s="701" t="s">
        <v>619</v>
      </c>
      <c r="AB25" s="701" t="s">
        <v>619</v>
      </c>
      <c r="AC25" s="701" t="s">
        <v>619</v>
      </c>
      <c r="AD25" s="701" t="s">
        <v>619</v>
      </c>
      <c r="AE25" s="701" t="s">
        <v>619</v>
      </c>
      <c r="AF25" s="701" t="s">
        <v>619</v>
      </c>
    </row>
    <row r="26" spans="1:32" s="60" customFormat="1" ht="17.25" thickTop="1" thickBot="1" x14ac:dyDescent="0.3">
      <c r="A26" s="130" t="s">
        <v>7</v>
      </c>
      <c r="B26" s="221">
        <v>548</v>
      </c>
      <c r="C26" s="184" t="s">
        <v>43</v>
      </c>
      <c r="D26" s="621">
        <v>0</v>
      </c>
      <c r="E26" s="622">
        <v>0.164728656</v>
      </c>
      <c r="F26" s="622">
        <v>0</v>
      </c>
      <c r="G26" s="622">
        <v>0</v>
      </c>
      <c r="H26" s="622">
        <v>0</v>
      </c>
      <c r="I26" s="622">
        <v>5.9675336799999996E-3</v>
      </c>
      <c r="J26" s="622">
        <v>0</v>
      </c>
      <c r="K26" s="622">
        <v>0</v>
      </c>
      <c r="L26" s="622">
        <v>0</v>
      </c>
      <c r="M26" s="622">
        <v>0</v>
      </c>
      <c r="N26" s="701" t="s">
        <v>619</v>
      </c>
      <c r="O26" s="701" t="s">
        <v>619</v>
      </c>
      <c r="P26" s="701" t="s">
        <v>619</v>
      </c>
      <c r="Q26" s="617"/>
      <c r="R26" s="701" t="s">
        <v>619</v>
      </c>
      <c r="S26" s="701" t="s">
        <v>619</v>
      </c>
      <c r="T26" s="701" t="s">
        <v>619</v>
      </c>
      <c r="U26" s="701" t="s">
        <v>619</v>
      </c>
      <c r="V26" s="701" t="s">
        <v>619</v>
      </c>
      <c r="W26" s="701" t="s">
        <v>619</v>
      </c>
      <c r="X26" s="701" t="s">
        <v>619</v>
      </c>
      <c r="Y26" s="701" t="s">
        <v>619</v>
      </c>
      <c r="Z26" s="701" t="s">
        <v>619</v>
      </c>
      <c r="AA26" s="701" t="s">
        <v>619</v>
      </c>
      <c r="AB26" s="701" t="s">
        <v>619</v>
      </c>
      <c r="AC26" s="701" t="s">
        <v>619</v>
      </c>
      <c r="AD26" s="701" t="s">
        <v>619</v>
      </c>
      <c r="AE26" s="701" t="s">
        <v>619</v>
      </c>
      <c r="AF26" s="701" t="s">
        <v>619</v>
      </c>
    </row>
    <row r="27" spans="1:32" s="60" customFormat="1" ht="17.25" thickTop="1" thickBot="1" x14ac:dyDescent="0.3">
      <c r="A27" s="130" t="s">
        <v>7</v>
      </c>
      <c r="B27" s="221">
        <v>555</v>
      </c>
      <c r="C27" s="184" t="s">
        <v>42</v>
      </c>
      <c r="D27" s="621">
        <v>16287.499</v>
      </c>
      <c r="E27" s="622">
        <v>14711.29</v>
      </c>
      <c r="F27" s="622">
        <v>16287.499</v>
      </c>
      <c r="G27" s="622">
        <v>15762.0957</v>
      </c>
      <c r="H27" s="622">
        <v>16287.499</v>
      </c>
      <c r="I27" s="622">
        <v>15762.0957</v>
      </c>
      <c r="J27" s="622">
        <v>16287.499</v>
      </c>
      <c r="K27" s="622">
        <v>16287.499</v>
      </c>
      <c r="L27" s="622">
        <v>15762.0957</v>
      </c>
      <c r="M27" s="622">
        <v>16287.499</v>
      </c>
      <c r="N27" s="701" t="s">
        <v>619</v>
      </c>
      <c r="O27" s="701" t="s">
        <v>619</v>
      </c>
      <c r="P27" s="701" t="s">
        <v>619</v>
      </c>
      <c r="Q27" s="617"/>
      <c r="R27" s="701" t="s">
        <v>619</v>
      </c>
      <c r="S27" s="701" t="s">
        <v>619</v>
      </c>
      <c r="T27" s="701" t="s">
        <v>619</v>
      </c>
      <c r="U27" s="701" t="s">
        <v>619</v>
      </c>
      <c r="V27" s="701" t="s">
        <v>619</v>
      </c>
      <c r="W27" s="701" t="s">
        <v>619</v>
      </c>
      <c r="X27" s="701" t="s">
        <v>619</v>
      </c>
      <c r="Y27" s="701" t="s">
        <v>619</v>
      </c>
      <c r="Z27" s="701" t="s">
        <v>619</v>
      </c>
      <c r="AA27" s="701" t="s">
        <v>619</v>
      </c>
      <c r="AB27" s="701" t="s">
        <v>619</v>
      </c>
      <c r="AC27" s="701" t="s">
        <v>619</v>
      </c>
      <c r="AD27" s="701" t="s">
        <v>619</v>
      </c>
      <c r="AE27" s="701" t="s">
        <v>619</v>
      </c>
      <c r="AF27" s="701" t="s">
        <v>619</v>
      </c>
    </row>
    <row r="28" spans="1:32" s="60" customFormat="1" ht="17.25" thickTop="1" thickBot="1" x14ac:dyDescent="0.3">
      <c r="A28" s="130" t="s">
        <v>7</v>
      </c>
      <c r="B28" s="221" t="s">
        <v>218</v>
      </c>
      <c r="C28" s="184" t="s">
        <v>353</v>
      </c>
      <c r="D28" s="621">
        <v>0</v>
      </c>
      <c r="E28" s="622">
        <v>0</v>
      </c>
      <c r="F28" s="622">
        <v>0</v>
      </c>
      <c r="G28" s="622">
        <v>0</v>
      </c>
      <c r="H28" s="622">
        <v>0</v>
      </c>
      <c r="I28" s="622">
        <v>0</v>
      </c>
      <c r="J28" s="622">
        <v>0</v>
      </c>
      <c r="K28" s="622">
        <v>0</v>
      </c>
      <c r="L28" s="622">
        <v>0</v>
      </c>
      <c r="M28" s="622">
        <v>0</v>
      </c>
      <c r="N28" s="701" t="s">
        <v>619</v>
      </c>
      <c r="O28" s="701" t="s">
        <v>619</v>
      </c>
      <c r="P28" s="701" t="s">
        <v>619</v>
      </c>
      <c r="Q28" s="617"/>
      <c r="R28" s="701" t="s">
        <v>619</v>
      </c>
      <c r="S28" s="701" t="s">
        <v>619</v>
      </c>
      <c r="T28" s="701" t="s">
        <v>619</v>
      </c>
      <c r="U28" s="701" t="s">
        <v>619</v>
      </c>
      <c r="V28" s="701" t="s">
        <v>619</v>
      </c>
      <c r="W28" s="701" t="s">
        <v>619</v>
      </c>
      <c r="X28" s="701" t="s">
        <v>619</v>
      </c>
      <c r="Y28" s="701" t="s">
        <v>619</v>
      </c>
      <c r="Z28" s="701" t="s">
        <v>619</v>
      </c>
      <c r="AA28" s="701" t="s">
        <v>619</v>
      </c>
      <c r="AB28" s="701" t="s">
        <v>619</v>
      </c>
      <c r="AC28" s="701" t="s">
        <v>619</v>
      </c>
      <c r="AD28" s="701" t="s">
        <v>619</v>
      </c>
      <c r="AE28" s="701" t="s">
        <v>619</v>
      </c>
      <c r="AF28" s="701" t="s">
        <v>619</v>
      </c>
    </row>
    <row r="29" spans="1:32" s="60" customFormat="1" ht="17.25" thickTop="1" thickBot="1" x14ac:dyDescent="0.3">
      <c r="A29" s="130" t="s">
        <v>7</v>
      </c>
      <c r="B29" s="221" t="s">
        <v>218</v>
      </c>
      <c r="C29" s="184" t="s">
        <v>357</v>
      </c>
      <c r="D29" s="621">
        <v>0</v>
      </c>
      <c r="E29" s="622">
        <v>0</v>
      </c>
      <c r="F29" s="622">
        <v>0</v>
      </c>
      <c r="G29" s="622">
        <v>0</v>
      </c>
      <c r="H29" s="622">
        <v>0</v>
      </c>
      <c r="I29" s="622">
        <v>0</v>
      </c>
      <c r="J29" s="622">
        <v>0</v>
      </c>
      <c r="K29" s="622">
        <v>0</v>
      </c>
      <c r="L29" s="622">
        <v>0</v>
      </c>
      <c r="M29" s="622">
        <v>0</v>
      </c>
      <c r="N29" s="701" t="s">
        <v>619</v>
      </c>
      <c r="O29" s="701" t="s">
        <v>619</v>
      </c>
      <c r="P29" s="701" t="s">
        <v>619</v>
      </c>
      <c r="Q29" s="617"/>
      <c r="R29" s="701" t="s">
        <v>619</v>
      </c>
      <c r="S29" s="701" t="s">
        <v>619</v>
      </c>
      <c r="T29" s="701" t="s">
        <v>619</v>
      </c>
      <c r="U29" s="701" t="s">
        <v>619</v>
      </c>
      <c r="V29" s="701" t="s">
        <v>619</v>
      </c>
      <c r="W29" s="701" t="s">
        <v>619</v>
      </c>
      <c r="X29" s="701" t="s">
        <v>619</v>
      </c>
      <c r="Y29" s="701" t="s">
        <v>619</v>
      </c>
      <c r="Z29" s="701" t="s">
        <v>619</v>
      </c>
      <c r="AA29" s="701" t="s">
        <v>619</v>
      </c>
      <c r="AB29" s="701" t="s">
        <v>619</v>
      </c>
      <c r="AC29" s="701" t="s">
        <v>619</v>
      </c>
      <c r="AD29" s="701" t="s">
        <v>619</v>
      </c>
      <c r="AE29" s="701" t="s">
        <v>619</v>
      </c>
      <c r="AF29" s="701" t="s">
        <v>619</v>
      </c>
    </row>
    <row r="30" spans="1:32" s="60" customFormat="1" ht="17.25" thickTop="1" thickBot="1" x14ac:dyDescent="0.3">
      <c r="A30" s="130" t="s">
        <v>7</v>
      </c>
      <c r="B30" s="221" t="s">
        <v>218</v>
      </c>
      <c r="C30" s="184" t="s">
        <v>349</v>
      </c>
      <c r="D30" s="621">
        <v>0</v>
      </c>
      <c r="E30" s="622">
        <v>0</v>
      </c>
      <c r="F30" s="622">
        <v>0</v>
      </c>
      <c r="G30" s="622">
        <v>0</v>
      </c>
      <c r="H30" s="622">
        <v>0</v>
      </c>
      <c r="I30" s="622">
        <v>0</v>
      </c>
      <c r="J30" s="622">
        <v>0</v>
      </c>
      <c r="K30" s="622">
        <v>0</v>
      </c>
      <c r="L30" s="622">
        <v>0</v>
      </c>
      <c r="M30" s="622">
        <v>0</v>
      </c>
      <c r="N30" s="701" t="s">
        <v>619</v>
      </c>
      <c r="O30" s="701" t="s">
        <v>619</v>
      </c>
      <c r="P30" s="701" t="s">
        <v>619</v>
      </c>
      <c r="Q30" s="617"/>
      <c r="R30" s="701" t="s">
        <v>619</v>
      </c>
      <c r="S30" s="701" t="s">
        <v>619</v>
      </c>
      <c r="T30" s="701" t="s">
        <v>619</v>
      </c>
      <c r="U30" s="701" t="s">
        <v>619</v>
      </c>
      <c r="V30" s="701" t="s">
        <v>619</v>
      </c>
      <c r="W30" s="701" t="s">
        <v>619</v>
      </c>
      <c r="X30" s="701" t="s">
        <v>619</v>
      </c>
      <c r="Y30" s="701" t="s">
        <v>619</v>
      </c>
      <c r="Z30" s="701" t="s">
        <v>619</v>
      </c>
      <c r="AA30" s="701" t="s">
        <v>619</v>
      </c>
      <c r="AB30" s="701" t="s">
        <v>619</v>
      </c>
      <c r="AC30" s="701" t="s">
        <v>619</v>
      </c>
      <c r="AD30" s="701" t="s">
        <v>619</v>
      </c>
      <c r="AE30" s="701" t="s">
        <v>619</v>
      </c>
      <c r="AF30" s="701" t="s">
        <v>619</v>
      </c>
    </row>
    <row r="31" spans="1:32" s="60" customFormat="1" ht="17.25" thickTop="1" thickBot="1" x14ac:dyDescent="0.3">
      <c r="A31" s="130" t="s">
        <v>7</v>
      </c>
      <c r="B31" s="221" t="s">
        <v>218</v>
      </c>
      <c r="C31" s="184" t="s">
        <v>128</v>
      </c>
      <c r="D31" s="621">
        <v>0</v>
      </c>
      <c r="E31" s="622">
        <v>0</v>
      </c>
      <c r="F31" s="622">
        <v>0</v>
      </c>
      <c r="G31" s="622">
        <v>0</v>
      </c>
      <c r="H31" s="622">
        <v>0</v>
      </c>
      <c r="I31" s="622">
        <v>0</v>
      </c>
      <c r="J31" s="622">
        <v>0</v>
      </c>
      <c r="K31" s="622">
        <v>0</v>
      </c>
      <c r="L31" s="622">
        <v>0</v>
      </c>
      <c r="M31" s="622">
        <v>0</v>
      </c>
      <c r="N31" s="701" t="s">
        <v>619</v>
      </c>
      <c r="O31" s="701" t="s">
        <v>619</v>
      </c>
      <c r="P31" s="701" t="s">
        <v>619</v>
      </c>
      <c r="Q31" s="617"/>
      <c r="R31" s="701" t="s">
        <v>619</v>
      </c>
      <c r="S31" s="701" t="s">
        <v>619</v>
      </c>
      <c r="T31" s="701" t="s">
        <v>619</v>
      </c>
      <c r="U31" s="701" t="s">
        <v>619</v>
      </c>
      <c r="V31" s="701" t="s">
        <v>619</v>
      </c>
      <c r="W31" s="701" t="s">
        <v>619</v>
      </c>
      <c r="X31" s="701" t="s">
        <v>619</v>
      </c>
      <c r="Y31" s="701" t="s">
        <v>619</v>
      </c>
      <c r="Z31" s="701" t="s">
        <v>619</v>
      </c>
      <c r="AA31" s="701" t="s">
        <v>619</v>
      </c>
      <c r="AB31" s="701" t="s">
        <v>619</v>
      </c>
      <c r="AC31" s="701" t="s">
        <v>619</v>
      </c>
      <c r="AD31" s="701" t="s">
        <v>619</v>
      </c>
      <c r="AE31" s="701" t="s">
        <v>619</v>
      </c>
      <c r="AF31" s="701" t="s">
        <v>619</v>
      </c>
    </row>
    <row r="32" spans="1:32" s="60" customFormat="1" ht="17.100000000000001" customHeight="1" thickTop="1" thickBot="1" x14ac:dyDescent="0.3">
      <c r="A32" s="130" t="s">
        <v>7</v>
      </c>
      <c r="B32" s="221" t="s">
        <v>218</v>
      </c>
      <c r="C32" s="184" t="s">
        <v>361</v>
      </c>
      <c r="D32" s="621">
        <v>0</v>
      </c>
      <c r="E32" s="622">
        <v>0</v>
      </c>
      <c r="F32" s="622">
        <v>0</v>
      </c>
      <c r="G32" s="622">
        <v>0</v>
      </c>
      <c r="H32" s="622">
        <v>0</v>
      </c>
      <c r="I32" s="622">
        <v>0</v>
      </c>
      <c r="J32" s="622">
        <v>0</v>
      </c>
      <c r="K32" s="622">
        <v>0</v>
      </c>
      <c r="L32" s="622">
        <v>0</v>
      </c>
      <c r="M32" s="622">
        <v>0</v>
      </c>
      <c r="N32" s="701" t="s">
        <v>619</v>
      </c>
      <c r="O32" s="701" t="s">
        <v>619</v>
      </c>
      <c r="P32" s="701" t="s">
        <v>619</v>
      </c>
      <c r="Q32" s="617"/>
      <c r="R32" s="701" t="s">
        <v>619</v>
      </c>
      <c r="S32" s="701" t="s">
        <v>619</v>
      </c>
      <c r="T32" s="701" t="s">
        <v>619</v>
      </c>
      <c r="U32" s="701" t="s">
        <v>619</v>
      </c>
      <c r="V32" s="701" t="s">
        <v>619</v>
      </c>
      <c r="W32" s="701" t="s">
        <v>619</v>
      </c>
      <c r="X32" s="701" t="s">
        <v>619</v>
      </c>
      <c r="Y32" s="701" t="s">
        <v>619</v>
      </c>
      <c r="Z32" s="701" t="s">
        <v>619</v>
      </c>
      <c r="AA32" s="701" t="s">
        <v>619</v>
      </c>
      <c r="AB32" s="701" t="s">
        <v>619</v>
      </c>
      <c r="AC32" s="701" t="s">
        <v>619</v>
      </c>
      <c r="AD32" s="701" t="s">
        <v>619</v>
      </c>
      <c r="AE32" s="701" t="s">
        <v>619</v>
      </c>
      <c r="AF32" s="701" t="s">
        <v>619</v>
      </c>
    </row>
    <row r="33" spans="1:32" s="60" customFormat="1" ht="17.25" thickTop="1" thickBot="1" x14ac:dyDescent="0.3">
      <c r="A33" s="130" t="s">
        <v>7</v>
      </c>
      <c r="B33" s="221" t="s">
        <v>218</v>
      </c>
      <c r="C33" s="184" t="s">
        <v>354</v>
      </c>
      <c r="D33" s="621">
        <v>0</v>
      </c>
      <c r="E33" s="622">
        <v>0</v>
      </c>
      <c r="F33" s="622">
        <v>0</v>
      </c>
      <c r="G33" s="622">
        <v>0</v>
      </c>
      <c r="H33" s="622">
        <v>0</v>
      </c>
      <c r="I33" s="622">
        <v>0</v>
      </c>
      <c r="J33" s="622">
        <v>0</v>
      </c>
      <c r="K33" s="622">
        <v>0</v>
      </c>
      <c r="L33" s="622">
        <v>0</v>
      </c>
      <c r="M33" s="622">
        <v>0</v>
      </c>
      <c r="N33" s="701" t="s">
        <v>619</v>
      </c>
      <c r="O33" s="701" t="s">
        <v>619</v>
      </c>
      <c r="P33" s="701" t="s">
        <v>619</v>
      </c>
      <c r="Q33" s="617"/>
      <c r="R33" s="701" t="s">
        <v>619</v>
      </c>
      <c r="S33" s="701" t="s">
        <v>619</v>
      </c>
      <c r="T33" s="701" t="s">
        <v>619</v>
      </c>
      <c r="U33" s="701" t="s">
        <v>619</v>
      </c>
      <c r="V33" s="701" t="s">
        <v>619</v>
      </c>
      <c r="W33" s="701" t="s">
        <v>619</v>
      </c>
      <c r="X33" s="701" t="s">
        <v>619</v>
      </c>
      <c r="Y33" s="701" t="s">
        <v>619</v>
      </c>
      <c r="Z33" s="701" t="s">
        <v>619</v>
      </c>
      <c r="AA33" s="701" t="s">
        <v>619</v>
      </c>
      <c r="AB33" s="701" t="s">
        <v>619</v>
      </c>
      <c r="AC33" s="701" t="s">
        <v>619</v>
      </c>
      <c r="AD33" s="701" t="s">
        <v>619</v>
      </c>
      <c r="AE33" s="701" t="s">
        <v>619</v>
      </c>
      <c r="AF33" s="701" t="s">
        <v>619</v>
      </c>
    </row>
    <row r="34" spans="1:32" s="60" customFormat="1" ht="17.25" thickTop="1" thickBot="1" x14ac:dyDescent="0.3">
      <c r="A34" s="130" t="s">
        <v>7</v>
      </c>
      <c r="B34" s="221" t="s">
        <v>218</v>
      </c>
      <c r="C34" s="184" t="s">
        <v>351</v>
      </c>
      <c r="D34" s="621">
        <v>327.09054600000002</v>
      </c>
      <c r="E34" s="622">
        <v>562.67240000000004</v>
      </c>
      <c r="F34" s="622">
        <v>667.7183</v>
      </c>
      <c r="G34" s="622">
        <v>956.77340000000004</v>
      </c>
      <c r="H34" s="622">
        <v>1046.01575</v>
      </c>
      <c r="I34" s="622">
        <v>1177.6931199999999</v>
      </c>
      <c r="J34" s="622">
        <v>1235.67175</v>
      </c>
      <c r="K34" s="622">
        <v>1010.53278</v>
      </c>
      <c r="L34" s="622">
        <v>706.22753899999998</v>
      </c>
      <c r="M34" s="622">
        <v>520.40980000000002</v>
      </c>
      <c r="N34" s="701" t="s">
        <v>619</v>
      </c>
      <c r="O34" s="701" t="s">
        <v>619</v>
      </c>
      <c r="P34" s="701" t="s">
        <v>619</v>
      </c>
      <c r="Q34" s="617"/>
      <c r="R34" s="701" t="s">
        <v>619</v>
      </c>
      <c r="S34" s="701" t="s">
        <v>619</v>
      </c>
      <c r="T34" s="701" t="s">
        <v>619</v>
      </c>
      <c r="U34" s="701" t="s">
        <v>619</v>
      </c>
      <c r="V34" s="701" t="s">
        <v>619</v>
      </c>
      <c r="W34" s="701" t="s">
        <v>619</v>
      </c>
      <c r="X34" s="701" t="s">
        <v>619</v>
      </c>
      <c r="Y34" s="701" t="s">
        <v>619</v>
      </c>
      <c r="Z34" s="701" t="s">
        <v>619</v>
      </c>
      <c r="AA34" s="701" t="s">
        <v>619</v>
      </c>
      <c r="AB34" s="701" t="s">
        <v>619</v>
      </c>
      <c r="AC34" s="701" t="s">
        <v>619</v>
      </c>
      <c r="AD34" s="701" t="s">
        <v>619</v>
      </c>
      <c r="AE34" s="701" t="s">
        <v>619</v>
      </c>
      <c r="AF34" s="701" t="s">
        <v>619</v>
      </c>
    </row>
    <row r="35" spans="1:32" s="60" customFormat="1" ht="17.25" thickTop="1" thickBot="1" x14ac:dyDescent="0.3">
      <c r="A35" s="130" t="s">
        <v>7</v>
      </c>
      <c r="B35" s="221" t="s">
        <v>218</v>
      </c>
      <c r="C35" s="184" t="s">
        <v>348</v>
      </c>
      <c r="D35" s="621">
        <v>2130.4633800000001</v>
      </c>
      <c r="E35" s="622">
        <v>2384.25659</v>
      </c>
      <c r="F35" s="622">
        <v>1559.3927000000001</v>
      </c>
      <c r="G35" s="622">
        <v>2648.38184</v>
      </c>
      <c r="H35" s="622">
        <v>2580.0866700000001</v>
      </c>
      <c r="I35" s="622">
        <v>2976.82764</v>
      </c>
      <c r="J35" s="622">
        <v>3213.2914999999998</v>
      </c>
      <c r="K35" s="622">
        <v>2555.17065</v>
      </c>
      <c r="L35" s="622">
        <v>2137.3745100000001</v>
      </c>
      <c r="M35" s="622">
        <v>1921.3359399999999</v>
      </c>
      <c r="N35" s="701" t="s">
        <v>619</v>
      </c>
      <c r="O35" s="701" t="s">
        <v>619</v>
      </c>
      <c r="P35" s="701" t="s">
        <v>619</v>
      </c>
      <c r="Q35" s="617"/>
      <c r="R35" s="701" t="s">
        <v>619</v>
      </c>
      <c r="S35" s="701" t="s">
        <v>619</v>
      </c>
      <c r="T35" s="701" t="s">
        <v>619</v>
      </c>
      <c r="U35" s="701" t="s">
        <v>619</v>
      </c>
      <c r="V35" s="701" t="s">
        <v>619</v>
      </c>
      <c r="W35" s="701" t="s">
        <v>619</v>
      </c>
      <c r="X35" s="701" t="s">
        <v>619</v>
      </c>
      <c r="Y35" s="701" t="s">
        <v>619</v>
      </c>
      <c r="Z35" s="701" t="s">
        <v>619</v>
      </c>
      <c r="AA35" s="701" t="s">
        <v>619</v>
      </c>
      <c r="AB35" s="701" t="s">
        <v>619</v>
      </c>
      <c r="AC35" s="701" t="s">
        <v>619</v>
      </c>
      <c r="AD35" s="701" t="s">
        <v>619</v>
      </c>
      <c r="AE35" s="701" t="s">
        <v>619</v>
      </c>
      <c r="AF35" s="701" t="s">
        <v>619</v>
      </c>
    </row>
    <row r="36" spans="1:32" s="60" customFormat="1" ht="17.25" thickTop="1" thickBot="1" x14ac:dyDescent="0.3">
      <c r="A36" s="130" t="s">
        <v>7</v>
      </c>
      <c r="B36" s="221" t="s">
        <v>218</v>
      </c>
      <c r="C36" s="184" t="s">
        <v>537</v>
      </c>
      <c r="D36" s="621">
        <v>4087.8150000000001</v>
      </c>
      <c r="E36" s="622">
        <v>3040.3198200000002</v>
      </c>
      <c r="F36" s="622">
        <v>3295.8793900000001</v>
      </c>
      <c r="G36" s="622">
        <v>3339.029</v>
      </c>
      <c r="H36" s="622">
        <v>3335.8415500000001</v>
      </c>
      <c r="I36" s="622">
        <v>3074.3560000000002</v>
      </c>
      <c r="J36" s="622">
        <v>2793.4259999999999</v>
      </c>
      <c r="K36" s="622">
        <v>2795.7773400000001</v>
      </c>
      <c r="L36" s="622">
        <v>2914.0703100000001</v>
      </c>
      <c r="M36" s="622">
        <v>3474.7824700000001</v>
      </c>
      <c r="N36" s="701" t="s">
        <v>619</v>
      </c>
      <c r="O36" s="701" t="s">
        <v>619</v>
      </c>
      <c r="P36" s="701" t="s">
        <v>619</v>
      </c>
      <c r="Q36" s="617"/>
      <c r="R36" s="701" t="s">
        <v>619</v>
      </c>
      <c r="S36" s="701" t="s">
        <v>619</v>
      </c>
      <c r="T36" s="701" t="s">
        <v>619</v>
      </c>
      <c r="U36" s="701" t="s">
        <v>619</v>
      </c>
      <c r="V36" s="701" t="s">
        <v>619</v>
      </c>
      <c r="W36" s="701" t="s">
        <v>619</v>
      </c>
      <c r="X36" s="701" t="s">
        <v>619</v>
      </c>
      <c r="Y36" s="701" t="s">
        <v>619</v>
      </c>
      <c r="Z36" s="701" t="s">
        <v>619</v>
      </c>
      <c r="AA36" s="701" t="s">
        <v>619</v>
      </c>
      <c r="AB36" s="701" t="s">
        <v>619</v>
      </c>
      <c r="AC36" s="701" t="s">
        <v>619</v>
      </c>
      <c r="AD36" s="701" t="s">
        <v>619</v>
      </c>
      <c r="AE36" s="701" t="s">
        <v>619</v>
      </c>
      <c r="AF36" s="701" t="s">
        <v>619</v>
      </c>
    </row>
    <row r="37" spans="1:32" s="60" customFormat="1" ht="17.25" thickTop="1" thickBot="1" x14ac:dyDescent="0.3">
      <c r="A37" s="130" t="s">
        <v>7</v>
      </c>
      <c r="B37" s="221" t="s">
        <v>0</v>
      </c>
      <c r="C37" s="184" t="s">
        <v>350</v>
      </c>
      <c r="D37" s="621">
        <v>0</v>
      </c>
      <c r="E37" s="622">
        <v>0</v>
      </c>
      <c r="F37" s="622">
        <v>0</v>
      </c>
      <c r="G37" s="622">
        <v>0</v>
      </c>
      <c r="H37" s="622">
        <v>0</v>
      </c>
      <c r="I37" s="622">
        <v>0</v>
      </c>
      <c r="J37" s="622">
        <v>0</v>
      </c>
      <c r="K37" s="622">
        <v>0</v>
      </c>
      <c r="L37" s="622">
        <v>0</v>
      </c>
      <c r="M37" s="622">
        <v>0</v>
      </c>
      <c r="N37" s="701" t="s">
        <v>619</v>
      </c>
      <c r="O37" s="701" t="s">
        <v>619</v>
      </c>
      <c r="P37" s="701" t="s">
        <v>619</v>
      </c>
      <c r="Q37" s="617"/>
      <c r="R37" s="701" t="s">
        <v>619</v>
      </c>
      <c r="S37" s="701" t="s">
        <v>619</v>
      </c>
      <c r="T37" s="701" t="s">
        <v>619</v>
      </c>
      <c r="U37" s="701" t="s">
        <v>619</v>
      </c>
      <c r="V37" s="701" t="s">
        <v>619</v>
      </c>
      <c r="W37" s="701" t="s">
        <v>619</v>
      </c>
      <c r="X37" s="701" t="s">
        <v>619</v>
      </c>
      <c r="Y37" s="701" t="s">
        <v>619</v>
      </c>
      <c r="Z37" s="701" t="s">
        <v>619</v>
      </c>
      <c r="AA37" s="701" t="s">
        <v>619</v>
      </c>
      <c r="AB37" s="701" t="s">
        <v>619</v>
      </c>
      <c r="AC37" s="701" t="s">
        <v>619</v>
      </c>
      <c r="AD37" s="701" t="s">
        <v>619</v>
      </c>
      <c r="AE37" s="701" t="s">
        <v>619</v>
      </c>
      <c r="AF37" s="701" t="s">
        <v>619</v>
      </c>
    </row>
    <row r="38" spans="1:32" s="60" customFormat="1" ht="17.25" thickTop="1" thickBot="1" x14ac:dyDescent="0.3">
      <c r="A38" s="130" t="s">
        <v>7</v>
      </c>
      <c r="B38" s="221" t="s">
        <v>0</v>
      </c>
      <c r="C38" s="184" t="s">
        <v>347</v>
      </c>
      <c r="D38" s="621">
        <v>1413.6</v>
      </c>
      <c r="E38" s="622">
        <v>1276.8</v>
      </c>
      <c r="F38" s="622">
        <v>1413.6</v>
      </c>
      <c r="G38" s="622">
        <v>1368</v>
      </c>
      <c r="H38" s="622">
        <v>1413.6</v>
      </c>
      <c r="I38" s="622">
        <v>1368</v>
      </c>
      <c r="J38" s="622">
        <v>1413.6</v>
      </c>
      <c r="K38" s="622">
        <v>1413.6</v>
      </c>
      <c r="L38" s="622">
        <v>1368</v>
      </c>
      <c r="M38" s="622">
        <v>1413.6</v>
      </c>
      <c r="N38" s="701" t="s">
        <v>619</v>
      </c>
      <c r="O38" s="701" t="s">
        <v>619</v>
      </c>
      <c r="P38" s="701" t="s">
        <v>619</v>
      </c>
      <c r="Q38" s="617"/>
      <c r="R38" s="701" t="s">
        <v>619</v>
      </c>
      <c r="S38" s="701" t="s">
        <v>619</v>
      </c>
      <c r="T38" s="701" t="s">
        <v>619</v>
      </c>
      <c r="U38" s="701" t="s">
        <v>619</v>
      </c>
      <c r="V38" s="701" t="s">
        <v>619</v>
      </c>
      <c r="W38" s="701" t="s">
        <v>619</v>
      </c>
      <c r="X38" s="701" t="s">
        <v>619</v>
      </c>
      <c r="Y38" s="701" t="s">
        <v>619</v>
      </c>
      <c r="Z38" s="701" t="s">
        <v>619</v>
      </c>
      <c r="AA38" s="701" t="s">
        <v>619</v>
      </c>
      <c r="AB38" s="701" t="s">
        <v>619</v>
      </c>
      <c r="AC38" s="701" t="s">
        <v>619</v>
      </c>
      <c r="AD38" s="701" t="s">
        <v>619</v>
      </c>
      <c r="AE38" s="701" t="s">
        <v>619</v>
      </c>
      <c r="AF38" s="701" t="s">
        <v>619</v>
      </c>
    </row>
    <row r="39" spans="1:32" s="60" customFormat="1" ht="17.25" thickTop="1" thickBot="1" x14ac:dyDescent="0.3">
      <c r="A39" s="130" t="s">
        <v>7</v>
      </c>
      <c r="B39" s="221">
        <v>555</v>
      </c>
      <c r="C39" s="184" t="s">
        <v>358</v>
      </c>
      <c r="D39" s="621">
        <v>522.37823500000002</v>
      </c>
      <c r="E39" s="622">
        <v>471.82547</v>
      </c>
      <c r="F39" s="622">
        <v>522.37823500000002</v>
      </c>
      <c r="G39" s="622">
        <v>505.52730000000003</v>
      </c>
      <c r="H39" s="622">
        <v>368.737549</v>
      </c>
      <c r="I39" s="622">
        <v>356.84280000000001</v>
      </c>
      <c r="J39" s="622">
        <v>522.37823500000002</v>
      </c>
      <c r="K39" s="622">
        <v>522.37823500000002</v>
      </c>
      <c r="L39" s="622">
        <v>505.52730000000003</v>
      </c>
      <c r="M39" s="622">
        <v>522.37823500000002</v>
      </c>
      <c r="N39" s="701" t="s">
        <v>619</v>
      </c>
      <c r="O39" s="701" t="s">
        <v>619</v>
      </c>
      <c r="P39" s="701" t="s">
        <v>619</v>
      </c>
      <c r="Q39" s="617"/>
      <c r="R39" s="701" t="s">
        <v>619</v>
      </c>
      <c r="S39" s="701" t="s">
        <v>619</v>
      </c>
      <c r="T39" s="701" t="s">
        <v>619</v>
      </c>
      <c r="U39" s="701" t="s">
        <v>619</v>
      </c>
      <c r="V39" s="701" t="s">
        <v>619</v>
      </c>
      <c r="W39" s="701" t="s">
        <v>619</v>
      </c>
      <c r="X39" s="701" t="s">
        <v>619</v>
      </c>
      <c r="Y39" s="701" t="s">
        <v>619</v>
      </c>
      <c r="Z39" s="701" t="s">
        <v>619</v>
      </c>
      <c r="AA39" s="701" t="s">
        <v>619</v>
      </c>
      <c r="AB39" s="701" t="s">
        <v>619</v>
      </c>
      <c r="AC39" s="701" t="s">
        <v>619</v>
      </c>
      <c r="AD39" s="701" t="s">
        <v>619</v>
      </c>
      <c r="AE39" s="701" t="s">
        <v>619</v>
      </c>
      <c r="AF39" s="701" t="s">
        <v>619</v>
      </c>
    </row>
    <row r="40" spans="1:32" s="60" customFormat="1" ht="17.25" thickTop="1" thickBot="1" x14ac:dyDescent="0.3">
      <c r="A40" s="130" t="s">
        <v>7</v>
      </c>
      <c r="B40" s="221">
        <v>555</v>
      </c>
      <c r="C40" s="184" t="s">
        <v>345</v>
      </c>
      <c r="D40" s="623">
        <v>1898</v>
      </c>
      <c r="E40" s="624">
        <v>1822.08</v>
      </c>
      <c r="F40" s="624">
        <v>2049.84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24">
        <v>0</v>
      </c>
      <c r="M40" s="624">
        <v>1973.92</v>
      </c>
      <c r="N40" s="701" t="s">
        <v>619</v>
      </c>
      <c r="O40" s="701" t="s">
        <v>619</v>
      </c>
      <c r="P40" s="701" t="s">
        <v>619</v>
      </c>
      <c r="Q40" s="617"/>
      <c r="R40" s="701" t="s">
        <v>619</v>
      </c>
      <c r="S40" s="701" t="s">
        <v>619</v>
      </c>
      <c r="T40" s="701" t="s">
        <v>619</v>
      </c>
      <c r="U40" s="701" t="s">
        <v>619</v>
      </c>
      <c r="V40" s="701" t="s">
        <v>619</v>
      </c>
      <c r="W40" s="701" t="s">
        <v>619</v>
      </c>
      <c r="X40" s="701" t="s">
        <v>619</v>
      </c>
      <c r="Y40" s="701" t="s">
        <v>619</v>
      </c>
      <c r="Z40" s="701" t="s">
        <v>619</v>
      </c>
      <c r="AA40" s="701" t="s">
        <v>619</v>
      </c>
      <c r="AB40" s="701" t="s">
        <v>619</v>
      </c>
      <c r="AC40" s="701" t="s">
        <v>619</v>
      </c>
      <c r="AD40" s="701" t="s">
        <v>619</v>
      </c>
      <c r="AE40" s="701" t="s">
        <v>619</v>
      </c>
      <c r="AF40" s="701" t="s">
        <v>619</v>
      </c>
    </row>
    <row r="41" spans="1:32" s="60" customFormat="1" ht="17.25" thickTop="1" thickBot="1" x14ac:dyDescent="0.3">
      <c r="A41" s="130" t="s">
        <v>7</v>
      </c>
      <c r="B41" s="221">
        <v>555</v>
      </c>
      <c r="C41" s="184" t="s">
        <v>19</v>
      </c>
      <c r="D41" s="618">
        <v>0</v>
      </c>
      <c r="E41" s="616">
        <v>0</v>
      </c>
      <c r="F41" s="616">
        <v>0</v>
      </c>
      <c r="G41" s="616">
        <v>0</v>
      </c>
      <c r="H41" s="616">
        <v>0</v>
      </c>
      <c r="I41" s="616">
        <v>0</v>
      </c>
      <c r="J41" s="616">
        <v>0</v>
      </c>
      <c r="K41" s="616">
        <v>0</v>
      </c>
      <c r="L41" s="616">
        <v>0</v>
      </c>
      <c r="M41" s="616">
        <v>0</v>
      </c>
      <c r="N41" s="616">
        <v>0</v>
      </c>
      <c r="O41" s="736">
        <v>0</v>
      </c>
      <c r="P41" s="636">
        <v>0</v>
      </c>
      <c r="Q41" s="617"/>
      <c r="R41" s="620">
        <v>0</v>
      </c>
      <c r="S41" s="616">
        <v>0</v>
      </c>
      <c r="T41" s="616">
        <v>0</v>
      </c>
      <c r="U41" s="616">
        <v>0</v>
      </c>
      <c r="V41" s="616">
        <v>0</v>
      </c>
      <c r="W41" s="616">
        <v>0</v>
      </c>
      <c r="X41" s="616">
        <v>0</v>
      </c>
      <c r="Y41" s="616">
        <v>0</v>
      </c>
      <c r="Z41" s="616">
        <v>0</v>
      </c>
      <c r="AA41" s="616">
        <v>0</v>
      </c>
      <c r="AB41" s="616">
        <v>0</v>
      </c>
      <c r="AC41" s="616">
        <v>0</v>
      </c>
      <c r="AD41" s="636">
        <v>0</v>
      </c>
      <c r="AF41" s="636">
        <v>0</v>
      </c>
    </row>
    <row r="42" spans="1:32" s="60" customFormat="1" ht="17.25" thickTop="1" thickBot="1" x14ac:dyDescent="0.3">
      <c r="A42" s="130" t="s">
        <v>7</v>
      </c>
      <c r="B42" s="221">
        <v>555</v>
      </c>
      <c r="C42" s="184" t="s">
        <v>44</v>
      </c>
      <c r="D42" s="625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0</v>
      </c>
      <c r="N42" s="701" t="s">
        <v>619</v>
      </c>
      <c r="O42" s="701" t="s">
        <v>619</v>
      </c>
      <c r="P42" s="701" t="s">
        <v>619</v>
      </c>
      <c r="Q42" s="617"/>
      <c r="R42" s="701" t="s">
        <v>619</v>
      </c>
      <c r="S42" s="701" t="s">
        <v>619</v>
      </c>
      <c r="T42" s="701" t="s">
        <v>619</v>
      </c>
      <c r="U42" s="701" t="s">
        <v>619</v>
      </c>
      <c r="V42" s="701" t="s">
        <v>619</v>
      </c>
      <c r="W42" s="701" t="s">
        <v>619</v>
      </c>
      <c r="X42" s="701" t="s">
        <v>619</v>
      </c>
      <c r="Y42" s="701" t="s">
        <v>619</v>
      </c>
      <c r="Z42" s="701" t="s">
        <v>619</v>
      </c>
      <c r="AA42" s="701" t="s">
        <v>619</v>
      </c>
      <c r="AB42" s="701" t="s">
        <v>619</v>
      </c>
      <c r="AC42" s="701" t="s">
        <v>619</v>
      </c>
      <c r="AD42" s="701" t="s">
        <v>619</v>
      </c>
      <c r="AE42" s="701" t="s">
        <v>619</v>
      </c>
      <c r="AF42" s="701" t="s">
        <v>619</v>
      </c>
    </row>
    <row r="43" spans="1:32" s="60" customFormat="1" ht="17.25" thickTop="1" thickBot="1" x14ac:dyDescent="0.3">
      <c r="A43" s="130" t="s">
        <v>7</v>
      </c>
      <c r="B43" s="221">
        <v>555</v>
      </c>
      <c r="C43" s="184" t="s">
        <v>4</v>
      </c>
      <c r="D43" s="618">
        <v>0</v>
      </c>
      <c r="E43" s="616">
        <v>0</v>
      </c>
      <c r="F43" s="616">
        <v>0</v>
      </c>
      <c r="G43" s="616">
        <v>0</v>
      </c>
      <c r="H43" s="616">
        <v>0</v>
      </c>
      <c r="I43" s="616">
        <v>0</v>
      </c>
      <c r="J43" s="616">
        <v>0</v>
      </c>
      <c r="K43" s="616">
        <v>0</v>
      </c>
      <c r="L43" s="616">
        <v>0</v>
      </c>
      <c r="M43" s="616">
        <v>0</v>
      </c>
      <c r="N43" s="616">
        <v>0</v>
      </c>
      <c r="O43" s="736">
        <v>0</v>
      </c>
      <c r="P43" s="636">
        <v>0</v>
      </c>
      <c r="Q43" s="637"/>
      <c r="R43" s="627">
        <v>0</v>
      </c>
      <c r="S43" s="616">
        <v>0</v>
      </c>
      <c r="T43" s="616">
        <v>0</v>
      </c>
      <c r="U43" s="616">
        <v>0</v>
      </c>
      <c r="V43" s="616">
        <v>0</v>
      </c>
      <c r="W43" s="616">
        <v>0</v>
      </c>
      <c r="X43" s="616">
        <v>0</v>
      </c>
      <c r="Y43" s="616">
        <v>0</v>
      </c>
      <c r="Z43" s="616">
        <v>0</v>
      </c>
      <c r="AA43" s="616">
        <v>0</v>
      </c>
      <c r="AB43" s="616">
        <v>0</v>
      </c>
      <c r="AC43" s="616">
        <v>0</v>
      </c>
      <c r="AD43" s="636">
        <v>0</v>
      </c>
      <c r="AF43" s="636">
        <v>0</v>
      </c>
    </row>
    <row r="44" spans="1:32" s="60" customFormat="1" ht="17.25" thickTop="1" thickBot="1" x14ac:dyDescent="0.3">
      <c r="A44" s="130" t="s">
        <v>7</v>
      </c>
      <c r="B44" s="221">
        <v>555</v>
      </c>
      <c r="C44" s="184" t="s">
        <v>593</v>
      </c>
      <c r="D44" s="625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12558</v>
      </c>
      <c r="J44" s="626">
        <v>12976.6</v>
      </c>
      <c r="K44" s="626">
        <v>12976.6</v>
      </c>
      <c r="L44" s="626">
        <v>12558</v>
      </c>
      <c r="M44" s="626">
        <v>0</v>
      </c>
      <c r="N44" s="701" t="s">
        <v>619</v>
      </c>
      <c r="O44" s="701" t="s">
        <v>619</v>
      </c>
      <c r="P44" s="701" t="s">
        <v>619</v>
      </c>
      <c r="Q44" s="617"/>
      <c r="R44" s="701" t="s">
        <v>619</v>
      </c>
      <c r="S44" s="701" t="s">
        <v>619</v>
      </c>
      <c r="T44" s="701" t="s">
        <v>619</v>
      </c>
      <c r="U44" s="701" t="s">
        <v>619</v>
      </c>
      <c r="V44" s="701" t="s">
        <v>619</v>
      </c>
      <c r="W44" s="701" t="s">
        <v>619</v>
      </c>
      <c r="X44" s="701" t="s">
        <v>619</v>
      </c>
      <c r="Y44" s="701" t="s">
        <v>619</v>
      </c>
      <c r="Z44" s="701" t="s">
        <v>619</v>
      </c>
      <c r="AA44" s="701" t="s">
        <v>619</v>
      </c>
      <c r="AB44" s="701" t="s">
        <v>619</v>
      </c>
      <c r="AC44" s="701" t="s">
        <v>619</v>
      </c>
      <c r="AD44" s="701" t="s">
        <v>619</v>
      </c>
      <c r="AE44" s="701" t="s">
        <v>619</v>
      </c>
      <c r="AF44" s="701" t="s">
        <v>619</v>
      </c>
    </row>
    <row r="45" spans="1:32" s="60" customFormat="1" ht="16.5" thickTop="1" x14ac:dyDescent="0.25">
      <c r="A45" s="130" t="s">
        <v>7</v>
      </c>
      <c r="B45" s="221">
        <v>555</v>
      </c>
      <c r="C45" s="184" t="s">
        <v>355</v>
      </c>
      <c r="D45" s="618">
        <v>133.491455</v>
      </c>
      <c r="E45" s="616">
        <v>107.29555499999999</v>
      </c>
      <c r="F45" s="616">
        <v>108.46180699999999</v>
      </c>
      <c r="G45" s="616">
        <v>84.585599999999999</v>
      </c>
      <c r="H45" s="616">
        <v>72.307869999999994</v>
      </c>
      <c r="I45" s="616">
        <v>64.208160000000007</v>
      </c>
      <c r="J45" s="616">
        <v>70.718689999999995</v>
      </c>
      <c r="K45" s="616">
        <v>70.321389999999994</v>
      </c>
      <c r="L45" s="616">
        <v>66.130560000000003</v>
      </c>
      <c r="M45" s="616">
        <v>79.061904900000002</v>
      </c>
      <c r="N45" s="616">
        <v>110.34575700000001</v>
      </c>
      <c r="O45" s="737">
        <v>135.87522899999999</v>
      </c>
      <c r="P45" s="636">
        <v>1102.8039779000001</v>
      </c>
      <c r="Q45" s="637"/>
      <c r="R45" s="618">
        <v>64.208160000000063</v>
      </c>
      <c r="S45" s="616">
        <v>70.718689999999953</v>
      </c>
      <c r="T45" s="616">
        <v>70.321390000000036</v>
      </c>
      <c r="U45" s="616">
        <v>66.130559999999946</v>
      </c>
      <c r="V45" s="616">
        <v>79.061904899999945</v>
      </c>
      <c r="W45" s="616">
        <v>110.34575699999998</v>
      </c>
      <c r="X45" s="616">
        <v>135.87522899999993</v>
      </c>
      <c r="Y45" s="616">
        <v>133.49145499999997</v>
      </c>
      <c r="Z45" s="616">
        <v>107.29555499999989</v>
      </c>
      <c r="AA45" s="616">
        <v>108.46180699999987</v>
      </c>
      <c r="AB45" s="616">
        <v>84.585600000000085</v>
      </c>
      <c r="AC45" s="616">
        <v>72.307869999999937</v>
      </c>
      <c r="AD45" s="636">
        <v>1102.8039778999996</v>
      </c>
      <c r="AF45" s="636">
        <v>0</v>
      </c>
    </row>
    <row r="46" spans="1:32" s="60" customFormat="1" x14ac:dyDescent="0.25">
      <c r="A46" s="130" t="s">
        <v>7</v>
      </c>
      <c r="B46" s="221" t="s">
        <v>0</v>
      </c>
      <c r="C46" s="184" t="s">
        <v>352</v>
      </c>
      <c r="D46" s="618">
        <v>258.482147</v>
      </c>
      <c r="E46" s="616">
        <v>148.47264100000001</v>
      </c>
      <c r="F46" s="616">
        <v>146.17034899999999</v>
      </c>
      <c r="G46" s="616">
        <v>293.94183299999997</v>
      </c>
      <c r="H46" s="616">
        <v>588.38819999999998</v>
      </c>
      <c r="I46" s="616">
        <v>551.42804000000001</v>
      </c>
      <c r="J46" s="616">
        <v>375.01420000000002</v>
      </c>
      <c r="K46" s="616">
        <v>170.62989999999999</v>
      </c>
      <c r="L46" s="616">
        <v>169.29422</v>
      </c>
      <c r="M46" s="616">
        <v>312.13897700000001</v>
      </c>
      <c r="N46" s="616">
        <v>317.23217799999998</v>
      </c>
      <c r="O46" s="616">
        <v>181.6943</v>
      </c>
      <c r="P46" s="636">
        <v>3512.8869850000001</v>
      </c>
      <c r="Q46" s="637"/>
      <c r="R46" s="618">
        <v>544.46075399999984</v>
      </c>
      <c r="S46" s="616">
        <v>370.18896500000039</v>
      </c>
      <c r="T46" s="616">
        <v>168.434448</v>
      </c>
      <c r="U46" s="616">
        <v>167.11595200000008</v>
      </c>
      <c r="V46" s="616">
        <v>308.12274199999968</v>
      </c>
      <c r="W46" s="616">
        <v>313.1504209999996</v>
      </c>
      <c r="X46" s="616">
        <v>179.35649100000032</v>
      </c>
      <c r="Y46" s="616">
        <v>256.82885700000031</v>
      </c>
      <c r="Z46" s="616">
        <v>147.52297999999988</v>
      </c>
      <c r="AA46" s="616">
        <v>145.23541300000016</v>
      </c>
      <c r="AB46" s="616">
        <v>292.06169999999963</v>
      </c>
      <c r="AC46" s="616">
        <v>584.62475599999948</v>
      </c>
      <c r="AD46" s="636">
        <v>3477.1034789999994</v>
      </c>
      <c r="AF46" s="636">
        <v>35.783506000000671</v>
      </c>
    </row>
    <row r="47" spans="1:32" s="60" customFormat="1" x14ac:dyDescent="0.25">
      <c r="A47" s="130" t="s">
        <v>7</v>
      </c>
      <c r="B47" s="221" t="s">
        <v>0</v>
      </c>
      <c r="C47" s="184" t="s">
        <v>359</v>
      </c>
      <c r="D47" s="618">
        <v>594.72753899999998</v>
      </c>
      <c r="E47" s="616">
        <v>520.20860000000005</v>
      </c>
      <c r="F47" s="616">
        <v>555.477844</v>
      </c>
      <c r="G47" s="616">
        <v>805.52880000000005</v>
      </c>
      <c r="H47" s="616">
        <v>831.77710000000002</v>
      </c>
      <c r="I47" s="616">
        <v>530.63639999999998</v>
      </c>
      <c r="J47" s="616">
        <v>154.54368600000001</v>
      </c>
      <c r="K47" s="616">
        <v>6.5509199999999996</v>
      </c>
      <c r="L47" s="616">
        <v>89.575199999999995</v>
      </c>
      <c r="M47" s="616">
        <v>311.53140000000002</v>
      </c>
      <c r="N47" s="616">
        <v>528.20640000000003</v>
      </c>
      <c r="O47" s="616">
        <v>470.56139999999999</v>
      </c>
      <c r="P47" s="636">
        <v>5399.3252889999994</v>
      </c>
      <c r="Q47" s="637"/>
      <c r="R47" s="618">
        <v>530.63640000000044</v>
      </c>
      <c r="S47" s="616">
        <v>154.54368600000029</v>
      </c>
      <c r="T47" s="616">
        <v>6.5509200000000076</v>
      </c>
      <c r="U47" s="616">
        <v>89.575200000000152</v>
      </c>
      <c r="V47" s="616">
        <v>311.53139999999991</v>
      </c>
      <c r="W47" s="616">
        <v>528.20640000000014</v>
      </c>
      <c r="X47" s="616">
        <v>470.56139999999931</v>
      </c>
      <c r="Y47" s="616">
        <v>594.72753899999964</v>
      </c>
      <c r="Z47" s="616">
        <v>520.20860000000027</v>
      </c>
      <c r="AA47" s="616">
        <v>555.47784400000069</v>
      </c>
      <c r="AB47" s="616">
        <v>805.52880000000005</v>
      </c>
      <c r="AC47" s="616">
        <v>831.77709999999956</v>
      </c>
      <c r="AD47" s="636">
        <v>5399.3252890000003</v>
      </c>
      <c r="AF47" s="636">
        <v>0</v>
      </c>
    </row>
    <row r="48" spans="1:32" s="60" customFormat="1" x14ac:dyDescent="0.25">
      <c r="A48" s="130" t="s">
        <v>7</v>
      </c>
      <c r="B48" s="221" t="s">
        <v>0</v>
      </c>
      <c r="C48" s="184" t="s">
        <v>360</v>
      </c>
      <c r="D48" s="618">
        <v>0</v>
      </c>
      <c r="E48" s="616">
        <v>0</v>
      </c>
      <c r="F48" s="616">
        <v>0</v>
      </c>
      <c r="G48" s="616">
        <v>0</v>
      </c>
      <c r="H48" s="616">
        <v>0</v>
      </c>
      <c r="I48" s="616">
        <v>0</v>
      </c>
      <c r="J48" s="616">
        <v>0</v>
      </c>
      <c r="K48" s="616">
        <v>0</v>
      </c>
      <c r="L48" s="616">
        <v>0</v>
      </c>
      <c r="M48" s="616">
        <v>0</v>
      </c>
      <c r="N48" s="616">
        <v>0</v>
      </c>
      <c r="O48" s="616">
        <v>0</v>
      </c>
      <c r="P48" s="636">
        <v>0</v>
      </c>
      <c r="Q48" s="637"/>
      <c r="R48" s="618">
        <v>101.51114700000011</v>
      </c>
      <c r="S48" s="616">
        <v>29.441196400000042</v>
      </c>
      <c r="T48" s="616">
        <v>0.98051759999999921</v>
      </c>
      <c r="U48" s="616">
        <v>4.4985239999999944</v>
      </c>
      <c r="V48" s="616">
        <v>48.1788367999999</v>
      </c>
      <c r="W48" s="616">
        <v>95.765655500000122</v>
      </c>
      <c r="X48" s="616">
        <v>85.54630999999992</v>
      </c>
      <c r="Y48" s="616">
        <v>110.013046</v>
      </c>
      <c r="Z48" s="616">
        <v>95.281600000000068</v>
      </c>
      <c r="AA48" s="616">
        <v>103.2674939999999</v>
      </c>
      <c r="AB48" s="616">
        <v>154.98918199999983</v>
      </c>
      <c r="AC48" s="616">
        <v>163.52570000000009</v>
      </c>
      <c r="AD48" s="636">
        <v>992.99920930000008</v>
      </c>
      <c r="AF48" s="636">
        <v>-992.99920930000008</v>
      </c>
    </row>
    <row r="49" spans="1:32" s="60" customFormat="1" ht="16.5" thickBot="1" x14ac:dyDescent="0.3">
      <c r="A49" s="130" t="s">
        <v>7</v>
      </c>
      <c r="B49" s="221">
        <v>555</v>
      </c>
      <c r="C49" s="184" t="s">
        <v>356</v>
      </c>
      <c r="D49" s="618">
        <v>661.88650749999999</v>
      </c>
      <c r="E49" s="616">
        <v>644.97266400000001</v>
      </c>
      <c r="F49" s="616">
        <v>765.65058799999997</v>
      </c>
      <c r="G49" s="616">
        <v>779.23583499999995</v>
      </c>
      <c r="H49" s="616">
        <v>879.53387500000008</v>
      </c>
      <c r="I49" s="616">
        <v>865.58929499999999</v>
      </c>
      <c r="J49" s="616">
        <v>900.42840000000001</v>
      </c>
      <c r="K49" s="616">
        <v>824.57780000000002</v>
      </c>
      <c r="L49" s="616">
        <v>732.71295099999998</v>
      </c>
      <c r="M49" s="616">
        <v>684.86854599999992</v>
      </c>
      <c r="N49" s="616">
        <v>662.29638199999999</v>
      </c>
      <c r="O49" s="619">
        <v>637.03975519999995</v>
      </c>
      <c r="P49" s="636">
        <v>9038.7925986999999</v>
      </c>
      <c r="Q49" s="637"/>
      <c r="R49" s="620">
        <v>1380.9272499999975</v>
      </c>
      <c r="S49" s="616">
        <v>1440.6932399999973</v>
      </c>
      <c r="T49" s="616">
        <v>1391.2708699999971</v>
      </c>
      <c r="U49" s="616">
        <v>1217.7246100000009</v>
      </c>
      <c r="V49" s="616">
        <v>1146.1112100000014</v>
      </c>
      <c r="W49" s="616">
        <v>1075.3806199999976</v>
      </c>
      <c r="X49" s="616">
        <v>1011.4799199999991</v>
      </c>
      <c r="Y49" s="616">
        <v>556.37329999999952</v>
      </c>
      <c r="Z49" s="616">
        <v>540.82130000000052</v>
      </c>
      <c r="AA49" s="616">
        <v>687.47320000000025</v>
      </c>
      <c r="AB49" s="616">
        <v>747.38464399999953</v>
      </c>
      <c r="AC49" s="616">
        <v>834.05914299999915</v>
      </c>
      <c r="AD49" s="636">
        <v>12029.69930699999</v>
      </c>
      <c r="AF49" s="636">
        <v>-2990.90670829999</v>
      </c>
    </row>
    <row r="50" spans="1:32" s="60" customFormat="1" ht="17.25" thickTop="1" thickBot="1" x14ac:dyDescent="0.3">
      <c r="A50" s="130" t="s">
        <v>7</v>
      </c>
      <c r="B50" s="221">
        <v>447</v>
      </c>
      <c r="C50" s="184" t="s">
        <v>212</v>
      </c>
      <c r="D50" s="628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0</v>
      </c>
      <c r="N50" s="701" t="s">
        <v>619</v>
      </c>
      <c r="O50" s="701" t="s">
        <v>619</v>
      </c>
      <c r="P50" s="701" t="s">
        <v>619</v>
      </c>
      <c r="Q50" s="617"/>
      <c r="R50" s="701" t="s">
        <v>619</v>
      </c>
      <c r="S50" s="701" t="s">
        <v>619</v>
      </c>
      <c r="T50" s="701" t="s">
        <v>619</v>
      </c>
      <c r="U50" s="701" t="s">
        <v>619</v>
      </c>
      <c r="V50" s="701" t="s">
        <v>619</v>
      </c>
      <c r="W50" s="701" t="s">
        <v>619</v>
      </c>
      <c r="X50" s="701" t="s">
        <v>619</v>
      </c>
      <c r="Y50" s="701" t="s">
        <v>619</v>
      </c>
      <c r="Z50" s="701" t="s">
        <v>619</v>
      </c>
      <c r="AA50" s="701" t="s">
        <v>619</v>
      </c>
      <c r="AB50" s="701" t="s">
        <v>619</v>
      </c>
      <c r="AC50" s="701" t="s">
        <v>619</v>
      </c>
      <c r="AD50" s="701" t="s">
        <v>619</v>
      </c>
      <c r="AE50" s="701" t="s">
        <v>619</v>
      </c>
      <c r="AF50" s="701" t="s">
        <v>619</v>
      </c>
    </row>
    <row r="51" spans="1:32" s="60" customFormat="1" ht="17.25" thickTop="1" thickBot="1" x14ac:dyDescent="0.3">
      <c r="A51" s="130" t="s">
        <v>7</v>
      </c>
      <c r="B51" s="221">
        <v>555</v>
      </c>
      <c r="C51" s="184" t="s">
        <v>213</v>
      </c>
      <c r="D51" s="621">
        <v>567.5</v>
      </c>
      <c r="E51" s="622">
        <v>544.79999999999995</v>
      </c>
      <c r="F51" s="622">
        <v>612.9</v>
      </c>
      <c r="G51" s="622">
        <v>0</v>
      </c>
      <c r="H51" s="622">
        <v>0</v>
      </c>
      <c r="I51" s="622">
        <v>0</v>
      </c>
      <c r="J51" s="622">
        <v>0</v>
      </c>
      <c r="K51" s="622">
        <v>0</v>
      </c>
      <c r="L51" s="622">
        <v>0</v>
      </c>
      <c r="M51" s="622">
        <v>0</v>
      </c>
      <c r="N51" s="701" t="s">
        <v>619</v>
      </c>
      <c r="O51" s="701" t="s">
        <v>619</v>
      </c>
      <c r="P51" s="701" t="s">
        <v>619</v>
      </c>
      <c r="Q51" s="617"/>
      <c r="R51" s="701" t="s">
        <v>619</v>
      </c>
      <c r="S51" s="701" t="s">
        <v>619</v>
      </c>
      <c r="T51" s="701" t="s">
        <v>619</v>
      </c>
      <c r="U51" s="701" t="s">
        <v>619</v>
      </c>
      <c r="V51" s="701" t="s">
        <v>619</v>
      </c>
      <c r="W51" s="701" t="s">
        <v>619</v>
      </c>
      <c r="X51" s="701" t="s">
        <v>619</v>
      </c>
      <c r="Y51" s="701" t="s">
        <v>619</v>
      </c>
      <c r="Z51" s="701" t="s">
        <v>619</v>
      </c>
      <c r="AA51" s="701" t="s">
        <v>619</v>
      </c>
      <c r="AB51" s="701" t="s">
        <v>619</v>
      </c>
      <c r="AC51" s="701" t="s">
        <v>619</v>
      </c>
      <c r="AD51" s="701" t="s">
        <v>619</v>
      </c>
      <c r="AE51" s="701" t="s">
        <v>619</v>
      </c>
      <c r="AF51" s="701" t="s">
        <v>619</v>
      </c>
    </row>
    <row r="52" spans="1:32" s="60" customFormat="1" ht="17.25" thickTop="1" thickBot="1" x14ac:dyDescent="0.3">
      <c r="A52" s="130" t="s">
        <v>7</v>
      </c>
      <c r="B52" s="221" t="s">
        <v>2</v>
      </c>
      <c r="C52" s="184" t="s">
        <v>569</v>
      </c>
      <c r="D52" s="621">
        <v>21610.32</v>
      </c>
      <c r="E52" s="622">
        <v>10756.843800000001</v>
      </c>
      <c r="F52" s="622">
        <v>14177.2227</v>
      </c>
      <c r="G52" s="622">
        <v>7204.5450000000001</v>
      </c>
      <c r="H52" s="622">
        <v>3868.5414999999998</v>
      </c>
      <c r="I52" s="622">
        <v>1288.17822</v>
      </c>
      <c r="J52" s="622">
        <v>351.25662199999999</v>
      </c>
      <c r="K52" s="622">
        <v>509.02429999999998</v>
      </c>
      <c r="L52" s="622">
        <v>68.92165</v>
      </c>
      <c r="M52" s="622">
        <v>1922.8099400000001</v>
      </c>
      <c r="N52" s="701" t="s">
        <v>619</v>
      </c>
      <c r="O52" s="701" t="s">
        <v>619</v>
      </c>
      <c r="P52" s="701" t="s">
        <v>619</v>
      </c>
      <c r="Q52" s="617"/>
      <c r="R52" s="701" t="s">
        <v>619</v>
      </c>
      <c r="S52" s="701" t="s">
        <v>619</v>
      </c>
      <c r="T52" s="701" t="s">
        <v>619</v>
      </c>
      <c r="U52" s="701" t="s">
        <v>619</v>
      </c>
      <c r="V52" s="701" t="s">
        <v>619</v>
      </c>
      <c r="W52" s="701" t="s">
        <v>619</v>
      </c>
      <c r="X52" s="701" t="s">
        <v>619</v>
      </c>
      <c r="Y52" s="701" t="s">
        <v>619</v>
      </c>
      <c r="Z52" s="701" t="s">
        <v>619</v>
      </c>
      <c r="AA52" s="701" t="s">
        <v>619</v>
      </c>
      <c r="AB52" s="701" t="s">
        <v>619</v>
      </c>
      <c r="AC52" s="701" t="s">
        <v>619</v>
      </c>
      <c r="AD52" s="701" t="s">
        <v>619</v>
      </c>
      <c r="AE52" s="701" t="s">
        <v>619</v>
      </c>
      <c r="AF52" s="701" t="s">
        <v>619</v>
      </c>
    </row>
    <row r="53" spans="1:32" s="60" customFormat="1" ht="17.25" thickTop="1" thickBot="1" x14ac:dyDescent="0.3">
      <c r="A53" s="130" t="s">
        <v>7</v>
      </c>
      <c r="B53" s="221">
        <v>447</v>
      </c>
      <c r="C53" s="184" t="s">
        <v>568</v>
      </c>
      <c r="D53" s="621">
        <v>-296.96469999999999</v>
      </c>
      <c r="E53" s="622">
        <v>-5384.0119999999997</v>
      </c>
      <c r="F53" s="622">
        <v>-1743.4010000000001</v>
      </c>
      <c r="G53" s="622">
        <v>-2005.53027</v>
      </c>
      <c r="H53" s="622">
        <v>-553.36559999999997</v>
      </c>
      <c r="I53" s="622">
        <v>-4476.1357399999997</v>
      </c>
      <c r="J53" s="622">
        <v>-13061.949199999999</v>
      </c>
      <c r="K53" s="622">
        <v>-17993.033200000002</v>
      </c>
      <c r="L53" s="622">
        <v>-18316.439999999999</v>
      </c>
      <c r="M53" s="622">
        <v>-9839.5589999999993</v>
      </c>
      <c r="N53" s="701" t="s">
        <v>619</v>
      </c>
      <c r="O53" s="701" t="s">
        <v>619</v>
      </c>
      <c r="P53" s="701" t="s">
        <v>619</v>
      </c>
      <c r="Q53" s="617"/>
      <c r="R53" s="701" t="s">
        <v>619</v>
      </c>
      <c r="S53" s="701" t="s">
        <v>619</v>
      </c>
      <c r="T53" s="701" t="s">
        <v>619</v>
      </c>
      <c r="U53" s="701" t="s">
        <v>619</v>
      </c>
      <c r="V53" s="701" t="s">
        <v>619</v>
      </c>
      <c r="W53" s="701" t="s">
        <v>619</v>
      </c>
      <c r="X53" s="701" t="s">
        <v>619</v>
      </c>
      <c r="Y53" s="701" t="s">
        <v>619</v>
      </c>
      <c r="Z53" s="701" t="s">
        <v>619</v>
      </c>
      <c r="AA53" s="701" t="s">
        <v>619</v>
      </c>
      <c r="AB53" s="701" t="s">
        <v>619</v>
      </c>
      <c r="AC53" s="701" t="s">
        <v>619</v>
      </c>
      <c r="AD53" s="701" t="s">
        <v>619</v>
      </c>
      <c r="AE53" s="701" t="s">
        <v>619</v>
      </c>
      <c r="AF53" s="701" t="s">
        <v>619</v>
      </c>
    </row>
    <row r="54" spans="1:32" s="60" customFormat="1" ht="17.25" thickTop="1" thickBot="1" x14ac:dyDescent="0.3">
      <c r="A54" s="130" t="s">
        <v>7</v>
      </c>
      <c r="B54" s="221" t="s">
        <v>2</v>
      </c>
      <c r="C54" s="184" t="s">
        <v>566</v>
      </c>
      <c r="D54" s="621">
        <v>2147.4562999999998</v>
      </c>
      <c r="E54" s="622">
        <v>4772.6480000000001</v>
      </c>
      <c r="F54" s="622">
        <v>2689.61816</v>
      </c>
      <c r="G54" s="622">
        <v>1260.3894</v>
      </c>
      <c r="H54" s="622">
        <v>803.04250000000002</v>
      </c>
      <c r="I54" s="622">
        <v>1037.96</v>
      </c>
      <c r="J54" s="622">
        <v>1810.2394999999999</v>
      </c>
      <c r="K54" s="622">
        <v>2372.3879999999999</v>
      </c>
      <c r="L54" s="622">
        <v>3748.7446300000001</v>
      </c>
      <c r="M54" s="622">
        <v>5139.8095700000003</v>
      </c>
      <c r="N54" s="701" t="s">
        <v>619</v>
      </c>
      <c r="O54" s="701" t="s">
        <v>619</v>
      </c>
      <c r="P54" s="701" t="s">
        <v>619</v>
      </c>
      <c r="Q54" s="617"/>
      <c r="R54" s="701" t="s">
        <v>619</v>
      </c>
      <c r="S54" s="701" t="s">
        <v>619</v>
      </c>
      <c r="T54" s="701" t="s">
        <v>619</v>
      </c>
      <c r="U54" s="701" t="s">
        <v>619</v>
      </c>
      <c r="V54" s="701" t="s">
        <v>619</v>
      </c>
      <c r="W54" s="701" t="s">
        <v>619</v>
      </c>
      <c r="X54" s="701" t="s">
        <v>619</v>
      </c>
      <c r="Y54" s="701" t="s">
        <v>619</v>
      </c>
      <c r="Z54" s="701" t="s">
        <v>619</v>
      </c>
      <c r="AA54" s="701" t="s">
        <v>619</v>
      </c>
      <c r="AB54" s="701" t="s">
        <v>619</v>
      </c>
      <c r="AC54" s="701" t="s">
        <v>619</v>
      </c>
      <c r="AD54" s="701" t="s">
        <v>619</v>
      </c>
      <c r="AE54" s="701" t="s">
        <v>619</v>
      </c>
      <c r="AF54" s="701" t="s">
        <v>619</v>
      </c>
    </row>
    <row r="55" spans="1:32" s="60" customFormat="1" ht="17.25" thickTop="1" thickBot="1" x14ac:dyDescent="0.3">
      <c r="A55" s="130" t="s">
        <v>7</v>
      </c>
      <c r="B55" s="221">
        <v>447</v>
      </c>
      <c r="C55" s="184" t="s">
        <v>567</v>
      </c>
      <c r="D55" s="621">
        <v>-8752.2960000000003</v>
      </c>
      <c r="E55" s="622">
        <v>-3250.4540000000002</v>
      </c>
      <c r="F55" s="622">
        <v>-1373.37024</v>
      </c>
      <c r="G55" s="622">
        <v>-1822.6345200000001</v>
      </c>
      <c r="H55" s="622">
        <v>-3572.9872999999998</v>
      </c>
      <c r="I55" s="622">
        <v>-2276.5140000000001</v>
      </c>
      <c r="J55" s="622">
        <v>-3186.10718</v>
      </c>
      <c r="K55" s="622">
        <v>-3487.3447299999998</v>
      </c>
      <c r="L55" s="622">
        <v>-1737.54675</v>
      </c>
      <c r="M55" s="622">
        <v>-667.3125</v>
      </c>
      <c r="N55" s="701" t="s">
        <v>619</v>
      </c>
      <c r="O55" s="701" t="s">
        <v>619</v>
      </c>
      <c r="P55" s="701" t="s">
        <v>619</v>
      </c>
      <c r="Q55" s="617"/>
      <c r="R55" s="701" t="s">
        <v>619</v>
      </c>
      <c r="S55" s="701" t="s">
        <v>619</v>
      </c>
      <c r="T55" s="701" t="s">
        <v>619</v>
      </c>
      <c r="U55" s="701" t="s">
        <v>619</v>
      </c>
      <c r="V55" s="701" t="s">
        <v>619</v>
      </c>
      <c r="W55" s="701" t="s">
        <v>619</v>
      </c>
      <c r="X55" s="701" t="s">
        <v>619</v>
      </c>
      <c r="Y55" s="701" t="s">
        <v>619</v>
      </c>
      <c r="Z55" s="701" t="s">
        <v>619</v>
      </c>
      <c r="AA55" s="701" t="s">
        <v>619</v>
      </c>
      <c r="AB55" s="701" t="s">
        <v>619</v>
      </c>
      <c r="AC55" s="701" t="s">
        <v>619</v>
      </c>
      <c r="AD55" s="701" t="s">
        <v>619</v>
      </c>
      <c r="AE55" s="701" t="s">
        <v>619</v>
      </c>
      <c r="AF55" s="701" t="s">
        <v>619</v>
      </c>
    </row>
    <row r="56" spans="1:32" s="60" customFormat="1" ht="15.75" customHeight="1" thickTop="1" thickBot="1" x14ac:dyDescent="0.3">
      <c r="A56" s="130" t="s">
        <v>7</v>
      </c>
      <c r="B56" s="221" t="s">
        <v>2</v>
      </c>
      <c r="C56" s="184" t="s">
        <v>594</v>
      </c>
      <c r="D56" s="621">
        <v>0</v>
      </c>
      <c r="E56" s="622">
        <v>0</v>
      </c>
      <c r="F56" s="622">
        <v>0</v>
      </c>
      <c r="G56" s="622">
        <v>0</v>
      </c>
      <c r="H56" s="622">
        <v>0</v>
      </c>
      <c r="I56" s="622">
        <v>0</v>
      </c>
      <c r="J56" s="622">
        <v>0</v>
      </c>
      <c r="K56" s="622">
        <v>0</v>
      </c>
      <c r="L56" s="622">
        <v>0</v>
      </c>
      <c r="M56" s="622">
        <v>0</v>
      </c>
      <c r="N56" s="701" t="s">
        <v>619</v>
      </c>
      <c r="O56" s="701" t="s">
        <v>619</v>
      </c>
      <c r="P56" s="701" t="s">
        <v>619</v>
      </c>
      <c r="Q56" s="617"/>
      <c r="R56" s="701" t="s">
        <v>619</v>
      </c>
      <c r="S56" s="701" t="s">
        <v>619</v>
      </c>
      <c r="T56" s="701" t="s">
        <v>619</v>
      </c>
      <c r="U56" s="701" t="s">
        <v>619</v>
      </c>
      <c r="V56" s="701" t="s">
        <v>619</v>
      </c>
      <c r="W56" s="701" t="s">
        <v>619</v>
      </c>
      <c r="X56" s="701" t="s">
        <v>619</v>
      </c>
      <c r="Y56" s="701" t="s">
        <v>619</v>
      </c>
      <c r="Z56" s="701" t="s">
        <v>619</v>
      </c>
      <c r="AA56" s="701" t="s">
        <v>619</v>
      </c>
      <c r="AB56" s="701" t="s">
        <v>619</v>
      </c>
      <c r="AC56" s="701" t="s">
        <v>619</v>
      </c>
      <c r="AD56" s="701" t="s">
        <v>619</v>
      </c>
      <c r="AE56" s="701" t="s">
        <v>619</v>
      </c>
      <c r="AF56" s="701" t="s">
        <v>619</v>
      </c>
    </row>
    <row r="57" spans="1:32" s="60" customFormat="1" ht="17.25" thickTop="1" thickBot="1" x14ac:dyDescent="0.3">
      <c r="A57" s="130" t="s">
        <v>7</v>
      </c>
      <c r="B57" s="221" t="s">
        <v>2</v>
      </c>
      <c r="C57" s="184" t="s">
        <v>595</v>
      </c>
      <c r="D57" s="630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0</v>
      </c>
      <c r="M57" s="631">
        <v>0</v>
      </c>
      <c r="N57" s="701" t="s">
        <v>619</v>
      </c>
      <c r="O57" s="701" t="s">
        <v>619</v>
      </c>
      <c r="P57" s="701" t="s">
        <v>619</v>
      </c>
      <c r="Q57" s="617"/>
      <c r="R57" s="701" t="s">
        <v>619</v>
      </c>
      <c r="S57" s="701" t="s">
        <v>619</v>
      </c>
      <c r="T57" s="701" t="s">
        <v>619</v>
      </c>
      <c r="U57" s="701" t="s">
        <v>619</v>
      </c>
      <c r="V57" s="701" t="s">
        <v>619</v>
      </c>
      <c r="W57" s="701" t="s">
        <v>619</v>
      </c>
      <c r="X57" s="701" t="s">
        <v>619</v>
      </c>
      <c r="Y57" s="701" t="s">
        <v>619</v>
      </c>
      <c r="Z57" s="701" t="s">
        <v>619</v>
      </c>
      <c r="AA57" s="701" t="s">
        <v>619</v>
      </c>
      <c r="AB57" s="701" t="s">
        <v>619</v>
      </c>
      <c r="AC57" s="701" t="s">
        <v>619</v>
      </c>
      <c r="AD57" s="701" t="s">
        <v>619</v>
      </c>
      <c r="AE57" s="701" t="s">
        <v>619</v>
      </c>
      <c r="AF57" s="701" t="s">
        <v>619</v>
      </c>
    </row>
    <row r="58" spans="1:32" s="643" customFormat="1" ht="17.25" thickTop="1" thickBot="1" x14ac:dyDescent="0.3">
      <c r="A58" s="222" t="s">
        <v>7</v>
      </c>
      <c r="B58" s="641"/>
      <c r="C58" s="635" t="s">
        <v>5</v>
      </c>
      <c r="D58" s="640">
        <v>63197.308559500001</v>
      </c>
      <c r="E58" s="632">
        <v>52386.580050156008</v>
      </c>
      <c r="F58" s="632">
        <v>52041.671217999996</v>
      </c>
      <c r="G58" s="632">
        <v>37660.179144499998</v>
      </c>
      <c r="H58" s="632">
        <v>34218.874906860008</v>
      </c>
      <c r="I58" s="632">
        <v>43366.157949133682</v>
      </c>
      <c r="J58" s="632">
        <v>44217.031553879991</v>
      </c>
      <c r="K58" s="632">
        <v>47665.640321999999</v>
      </c>
      <c r="L58" s="632">
        <v>44522.707875500004</v>
      </c>
      <c r="M58" s="632">
        <v>41021.745977769991</v>
      </c>
      <c r="N58" s="701" t="s">
        <v>619</v>
      </c>
      <c r="O58" s="701" t="s">
        <v>619</v>
      </c>
      <c r="P58" s="701" t="s">
        <v>619</v>
      </c>
      <c r="Q58" s="638"/>
      <c r="R58" s="701" t="s">
        <v>619</v>
      </c>
      <c r="S58" s="701" t="s">
        <v>619</v>
      </c>
      <c r="T58" s="701" t="s">
        <v>619</v>
      </c>
      <c r="U58" s="701" t="s">
        <v>619</v>
      </c>
      <c r="V58" s="701" t="s">
        <v>619</v>
      </c>
      <c r="W58" s="701" t="s">
        <v>619</v>
      </c>
      <c r="X58" s="701" t="s">
        <v>619</v>
      </c>
      <c r="Y58" s="701" t="s">
        <v>619</v>
      </c>
      <c r="Z58" s="701" t="s">
        <v>619</v>
      </c>
      <c r="AA58" s="701" t="s">
        <v>619</v>
      </c>
      <c r="AB58" s="701" t="s">
        <v>619</v>
      </c>
      <c r="AC58" s="701" t="s">
        <v>619</v>
      </c>
      <c r="AD58" s="701" t="s">
        <v>619</v>
      </c>
      <c r="AE58" s="701" t="s">
        <v>619</v>
      </c>
      <c r="AF58" s="701" t="s">
        <v>619</v>
      </c>
    </row>
    <row r="59" spans="1:32" s="60" customFormat="1" ht="17.25" thickTop="1" thickBot="1" x14ac:dyDescent="0.3">
      <c r="A59" s="130"/>
      <c r="B59" s="221"/>
      <c r="C59" s="614" t="s">
        <v>117</v>
      </c>
      <c r="D59" s="633">
        <v>63197.308559500001</v>
      </c>
      <c r="E59" s="634">
        <v>52386.580050156008</v>
      </c>
      <c r="F59" s="634">
        <v>52041.671217999996</v>
      </c>
      <c r="G59" s="634">
        <v>37660.179144499998</v>
      </c>
      <c r="H59" s="634">
        <v>34218.874906860008</v>
      </c>
      <c r="I59" s="634">
        <v>43366.157949133682</v>
      </c>
      <c r="J59" s="634">
        <v>44217.031553879991</v>
      </c>
      <c r="K59" s="634">
        <v>47665.640321999999</v>
      </c>
      <c r="L59" s="634">
        <v>44522.707875500004</v>
      </c>
      <c r="M59" s="634">
        <v>41021.745977769991</v>
      </c>
      <c r="N59" s="701" t="s">
        <v>619</v>
      </c>
      <c r="O59" s="701" t="s">
        <v>619</v>
      </c>
      <c r="P59" s="701" t="s">
        <v>619</v>
      </c>
      <c r="Q59" s="617"/>
      <c r="R59" s="701" t="s">
        <v>619</v>
      </c>
      <c r="S59" s="701" t="s">
        <v>619</v>
      </c>
      <c r="T59" s="701" t="s">
        <v>619</v>
      </c>
      <c r="U59" s="701" t="s">
        <v>619</v>
      </c>
      <c r="V59" s="701" t="s">
        <v>619</v>
      </c>
      <c r="W59" s="701" t="s">
        <v>619</v>
      </c>
      <c r="X59" s="701" t="s">
        <v>619</v>
      </c>
      <c r="Y59" s="701" t="s">
        <v>619</v>
      </c>
      <c r="Z59" s="701" t="s">
        <v>619</v>
      </c>
      <c r="AA59" s="701" t="s">
        <v>619</v>
      </c>
      <c r="AB59" s="701" t="s">
        <v>619</v>
      </c>
      <c r="AC59" s="701" t="s">
        <v>619</v>
      </c>
      <c r="AD59" s="701" t="s">
        <v>619</v>
      </c>
      <c r="AE59" s="701" t="s">
        <v>619</v>
      </c>
      <c r="AF59" s="701" t="s">
        <v>619</v>
      </c>
    </row>
    <row r="60" spans="1:32" s="389" customFormat="1" ht="12" thickTop="1" x14ac:dyDescent="0.2">
      <c r="A60" s="386"/>
      <c r="B60" s="387"/>
      <c r="C60" s="382" t="s">
        <v>341</v>
      </c>
      <c r="D60" s="383">
        <v>0</v>
      </c>
      <c r="E60" s="383">
        <v>0</v>
      </c>
      <c r="F60" s="383">
        <v>0</v>
      </c>
      <c r="G60" s="383">
        <v>0</v>
      </c>
      <c r="H60" s="383">
        <v>0</v>
      </c>
      <c r="I60" s="383">
        <v>0</v>
      </c>
      <c r="J60" s="383">
        <v>0</v>
      </c>
      <c r="K60" s="383">
        <v>0</v>
      </c>
      <c r="L60" s="383">
        <v>0</v>
      </c>
      <c r="M60" s="383">
        <v>0</v>
      </c>
      <c r="N60" s="383">
        <v>0</v>
      </c>
      <c r="O60" s="383"/>
      <c r="P60" s="382"/>
      <c r="Q60" s="388"/>
      <c r="R60" s="383">
        <v>-5.6575463531771675E-4</v>
      </c>
      <c r="S60" s="383">
        <v>-1.9239456196373794E-3</v>
      </c>
      <c r="T60" s="383">
        <v>7.5481624298845418E-4</v>
      </c>
      <c r="U60" s="383">
        <v>1.2673751189140603E-4</v>
      </c>
      <c r="V60" s="383">
        <v>-2.0949937461409718E-3</v>
      </c>
      <c r="W60" s="383">
        <v>9.6476236649323255E-5</v>
      </c>
      <c r="X60" s="383">
        <v>-2.5757999901543371E-3</v>
      </c>
      <c r="Y60" s="383">
        <v>-1.1927749583264813E-3</v>
      </c>
      <c r="Z60" s="383">
        <v>-2.7670023700920865E-4</v>
      </c>
      <c r="AA60" s="383">
        <v>4.7980250383261591E-4</v>
      </c>
      <c r="AB60" s="383">
        <v>6.2951700238045305E-4</v>
      </c>
      <c r="AC60" s="639">
        <v>-3.5983362322440371E-3</v>
      </c>
      <c r="AD60" s="382"/>
      <c r="AF60" s="382"/>
    </row>
    <row r="61" spans="1:32" ht="15" x14ac:dyDescent="0.25">
      <c r="A61" s="130"/>
      <c r="B61" s="224"/>
      <c r="C61" s="390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390"/>
      <c r="Q61" s="208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390"/>
      <c r="AF61" s="390"/>
    </row>
    <row r="62" spans="1:32" thickBot="1" x14ac:dyDescent="0.3">
      <c r="A62" s="296" t="s">
        <v>187</v>
      </c>
      <c r="B62" s="297" t="s">
        <v>211</v>
      </c>
      <c r="C62" s="391" t="s">
        <v>226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391"/>
      <c r="Q62" s="287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391"/>
      <c r="AF62" s="391"/>
    </row>
    <row r="63" spans="1:32" ht="16.5" thickTop="1" thickBot="1" x14ac:dyDescent="0.3">
      <c r="A63" s="130" t="s">
        <v>225</v>
      </c>
      <c r="B63" s="221" t="s">
        <v>0</v>
      </c>
      <c r="C63" s="183" t="s">
        <v>8</v>
      </c>
      <c r="D63" s="700">
        <v>24344.127</v>
      </c>
      <c r="E63" s="701">
        <v>16964.386699999999</v>
      </c>
      <c r="F63" s="701">
        <v>18641.355500000001</v>
      </c>
      <c r="G63" s="701">
        <v>18578.05</v>
      </c>
      <c r="H63" s="701">
        <v>24485.599999999999</v>
      </c>
      <c r="I63" s="701">
        <v>45276.19</v>
      </c>
      <c r="J63" s="701">
        <v>41636.9375</v>
      </c>
      <c r="K63" s="701">
        <v>29519.89</v>
      </c>
      <c r="L63" s="701">
        <v>21014.398399999998</v>
      </c>
      <c r="M63" s="701">
        <v>31199.3652</v>
      </c>
      <c r="N63" s="701" t="s">
        <v>619</v>
      </c>
      <c r="O63" s="701" t="s">
        <v>619</v>
      </c>
      <c r="P63" s="701" t="s">
        <v>619</v>
      </c>
      <c r="Q63" s="644"/>
      <c r="R63" s="701" t="s">
        <v>619</v>
      </c>
      <c r="S63" s="701" t="s">
        <v>619</v>
      </c>
      <c r="T63" s="701" t="s">
        <v>619</v>
      </c>
      <c r="U63" s="701" t="s">
        <v>619</v>
      </c>
      <c r="V63" s="701" t="s">
        <v>619</v>
      </c>
      <c r="W63" s="701" t="s">
        <v>619</v>
      </c>
      <c r="X63" s="701" t="s">
        <v>619</v>
      </c>
      <c r="Y63" s="701" t="s">
        <v>619</v>
      </c>
      <c r="Z63" s="701" t="s">
        <v>619</v>
      </c>
      <c r="AA63" s="701" t="s">
        <v>619</v>
      </c>
      <c r="AB63" s="701" t="s">
        <v>619</v>
      </c>
      <c r="AC63" s="701" t="s">
        <v>619</v>
      </c>
      <c r="AD63" s="701" t="s">
        <v>619</v>
      </c>
      <c r="AF63" s="701" t="s">
        <v>619</v>
      </c>
    </row>
    <row r="64" spans="1:32" ht="16.5" thickTop="1" thickBot="1" x14ac:dyDescent="0.3">
      <c r="A64" s="130" t="s">
        <v>225</v>
      </c>
      <c r="B64" s="221" t="s">
        <v>0</v>
      </c>
      <c r="C64" s="184" t="s">
        <v>9</v>
      </c>
      <c r="D64" s="645">
        <v>21076.162100000001</v>
      </c>
      <c r="E64" s="702">
        <v>16264.824199999999</v>
      </c>
      <c r="F64" s="702">
        <v>14907.983399999999</v>
      </c>
      <c r="G64" s="702">
        <v>14704.4668</v>
      </c>
      <c r="H64" s="702">
        <v>24471.757799999999</v>
      </c>
      <c r="I64" s="702">
        <v>43906.265599999999</v>
      </c>
      <c r="J64" s="702">
        <v>40498.175799999997</v>
      </c>
      <c r="K64" s="702">
        <v>23638.9434</v>
      </c>
      <c r="L64" s="702">
        <v>20547.9512</v>
      </c>
      <c r="M64" s="702">
        <v>33601.74</v>
      </c>
      <c r="N64" s="701" t="s">
        <v>619</v>
      </c>
      <c r="O64" s="701" t="s">
        <v>619</v>
      </c>
      <c r="P64" s="701" t="s">
        <v>619</v>
      </c>
      <c r="Q64" s="644"/>
      <c r="R64" s="701" t="s">
        <v>619</v>
      </c>
      <c r="S64" s="701" t="s">
        <v>619</v>
      </c>
      <c r="T64" s="701" t="s">
        <v>619</v>
      </c>
      <c r="U64" s="701" t="s">
        <v>619</v>
      </c>
      <c r="V64" s="701" t="s">
        <v>619</v>
      </c>
      <c r="W64" s="701" t="s">
        <v>619</v>
      </c>
      <c r="X64" s="701" t="s">
        <v>619</v>
      </c>
      <c r="Y64" s="701" t="s">
        <v>619</v>
      </c>
      <c r="Z64" s="701" t="s">
        <v>619</v>
      </c>
      <c r="AA64" s="701" t="s">
        <v>619</v>
      </c>
      <c r="AB64" s="701" t="s">
        <v>619</v>
      </c>
      <c r="AC64" s="701" t="s">
        <v>619</v>
      </c>
      <c r="AD64" s="701" t="s">
        <v>619</v>
      </c>
      <c r="AF64" s="701" t="s">
        <v>619</v>
      </c>
    </row>
    <row r="65" spans="1:32" ht="16.5" thickTop="1" thickBot="1" x14ac:dyDescent="0.3">
      <c r="A65" s="130" t="s">
        <v>225</v>
      </c>
      <c r="B65" s="221" t="s">
        <v>0</v>
      </c>
      <c r="C65" s="184" t="s">
        <v>210</v>
      </c>
      <c r="D65" s="703">
        <v>26855.0579</v>
      </c>
      <c r="E65" s="704">
        <v>23843.422000000002</v>
      </c>
      <c r="F65" s="704">
        <v>25896.4575</v>
      </c>
      <c r="G65" s="704">
        <v>30449.919910000001</v>
      </c>
      <c r="H65" s="704">
        <v>28444.269</v>
      </c>
      <c r="I65" s="704">
        <v>24444.343710000001</v>
      </c>
      <c r="J65" s="704">
        <v>18710.821</v>
      </c>
      <c r="K65" s="704">
        <v>6025.6826199999996</v>
      </c>
      <c r="L65" s="704">
        <v>7702.7817400000004</v>
      </c>
      <c r="M65" s="704">
        <v>17940.134299999998</v>
      </c>
      <c r="N65" s="701" t="s">
        <v>619</v>
      </c>
      <c r="O65" s="701" t="s">
        <v>619</v>
      </c>
      <c r="P65" s="701" t="s">
        <v>619</v>
      </c>
      <c r="Q65" s="644"/>
      <c r="R65" s="701" t="s">
        <v>619</v>
      </c>
      <c r="S65" s="701" t="s">
        <v>619</v>
      </c>
      <c r="T65" s="701" t="s">
        <v>619</v>
      </c>
      <c r="U65" s="701" t="s">
        <v>619</v>
      </c>
      <c r="V65" s="701" t="s">
        <v>619</v>
      </c>
      <c r="W65" s="701" t="s">
        <v>619</v>
      </c>
      <c r="X65" s="701" t="s">
        <v>619</v>
      </c>
      <c r="Y65" s="701" t="s">
        <v>619</v>
      </c>
      <c r="Z65" s="701" t="s">
        <v>619</v>
      </c>
      <c r="AA65" s="701" t="s">
        <v>619</v>
      </c>
      <c r="AB65" s="701" t="s">
        <v>619</v>
      </c>
      <c r="AC65" s="701" t="s">
        <v>619</v>
      </c>
      <c r="AD65" s="701" t="s">
        <v>619</v>
      </c>
      <c r="AF65" s="701" t="s">
        <v>619</v>
      </c>
    </row>
    <row r="66" spans="1:32" thickTop="1" x14ac:dyDescent="0.25">
      <c r="A66" s="130" t="s">
        <v>225</v>
      </c>
      <c r="B66" s="221" t="s">
        <v>0</v>
      </c>
      <c r="C66" s="184" t="s">
        <v>41</v>
      </c>
      <c r="D66" s="705">
        <v>-19078.642599999999</v>
      </c>
      <c r="E66" s="706">
        <v>-17516.855500000001</v>
      </c>
      <c r="F66" s="706">
        <v>-20282.456999999999</v>
      </c>
      <c r="G66" s="706">
        <v>-19488.527300000002</v>
      </c>
      <c r="H66" s="706">
        <v>-21047.61</v>
      </c>
      <c r="I66" s="706">
        <v>-20268.0684</v>
      </c>
      <c r="J66" s="706">
        <v>-20268.0684</v>
      </c>
      <c r="K66" s="706">
        <v>-21047.61</v>
      </c>
      <c r="L66" s="706">
        <v>-19633.706999999999</v>
      </c>
      <c r="M66" s="706">
        <v>-19633.706999999999</v>
      </c>
      <c r="N66" s="706">
        <v>-19633.706999999999</v>
      </c>
      <c r="O66" s="706">
        <v>-19078.642599999999</v>
      </c>
      <c r="P66" s="647">
        <v>-236977.60279999996</v>
      </c>
      <c r="Q66" s="647"/>
      <c r="R66" s="705">
        <v>-17660.28520000002</v>
      </c>
      <c r="S66" s="706">
        <v>-18339.52729999998</v>
      </c>
      <c r="T66" s="706">
        <v>-17660.28520000002</v>
      </c>
      <c r="U66" s="706">
        <v>-16810.867199999986</v>
      </c>
      <c r="V66" s="706">
        <v>-15872.788100000002</v>
      </c>
      <c r="W66" s="706">
        <v>-15877.313500000004</v>
      </c>
      <c r="X66" s="706">
        <v>-15691.293900000004</v>
      </c>
      <c r="Y66" s="706">
        <v>-15037.068399999993</v>
      </c>
      <c r="Z66" s="706">
        <v>-13801.870000000004</v>
      </c>
      <c r="AA66" s="706">
        <v>-16334.887700000003</v>
      </c>
      <c r="AB66" s="706">
        <v>-16585.205099999992</v>
      </c>
      <c r="AC66" s="706">
        <v>-16585.205099999992</v>
      </c>
      <c r="AD66" s="648">
        <v>-196256.59669999999</v>
      </c>
      <c r="AF66" s="647">
        <v>-40721.00609999997</v>
      </c>
    </row>
    <row r="67" spans="1:32" ht="15" x14ac:dyDescent="0.25">
      <c r="A67" s="130" t="s">
        <v>225</v>
      </c>
      <c r="B67" s="221" t="s">
        <v>0</v>
      </c>
      <c r="C67" s="184" t="s">
        <v>67</v>
      </c>
      <c r="D67" s="707">
        <v>46219.798000000003</v>
      </c>
      <c r="E67" s="706">
        <v>40190.764800000004</v>
      </c>
      <c r="F67" s="706">
        <v>34200.132799999999</v>
      </c>
      <c r="G67" s="706">
        <v>33746.460999999996</v>
      </c>
      <c r="H67" s="706">
        <v>45433.839899999999</v>
      </c>
      <c r="I67" s="706">
        <v>44348.361399999994</v>
      </c>
      <c r="J67" s="706">
        <v>46301.503899999996</v>
      </c>
      <c r="K67" s="706">
        <v>37035.061199999996</v>
      </c>
      <c r="L67" s="706">
        <v>27385.280299999999</v>
      </c>
      <c r="M67" s="706">
        <v>28261.71</v>
      </c>
      <c r="N67" s="706">
        <v>36709.357000000004</v>
      </c>
      <c r="O67" s="706">
        <v>41726.448499999999</v>
      </c>
      <c r="P67" s="647">
        <v>461558.71879999997</v>
      </c>
      <c r="Q67" s="647"/>
      <c r="R67" s="707">
        <v>36168.858887499991</v>
      </c>
      <c r="S67" s="706">
        <v>35342.019263749986</v>
      </c>
      <c r="T67" s="706">
        <v>37825.792181249992</v>
      </c>
      <c r="U67" s="706">
        <v>27928.416626249993</v>
      </c>
      <c r="V67" s="706">
        <v>27812.132131375001</v>
      </c>
      <c r="W67" s="706">
        <v>35335.898144999999</v>
      </c>
      <c r="X67" s="706">
        <v>38036.689092500004</v>
      </c>
      <c r="Y67" s="706">
        <v>39588.185878749995</v>
      </c>
      <c r="Z67" s="706">
        <v>33790.308620000003</v>
      </c>
      <c r="AA67" s="706">
        <v>33514.364632500008</v>
      </c>
      <c r="AB67" s="706">
        <v>32558.208282624997</v>
      </c>
      <c r="AC67" s="706">
        <v>35909.335544999994</v>
      </c>
      <c r="AD67" s="648">
        <v>413810.2092865</v>
      </c>
      <c r="AF67" s="647">
        <v>47748.509513499972</v>
      </c>
    </row>
    <row r="68" spans="1:32" ht="15" x14ac:dyDescent="0.25">
      <c r="A68" s="130" t="s">
        <v>225</v>
      </c>
      <c r="B68" s="221" t="s">
        <v>0</v>
      </c>
      <c r="C68" s="184" t="s">
        <v>46</v>
      </c>
      <c r="D68" s="707">
        <v>80316.56</v>
      </c>
      <c r="E68" s="706">
        <v>67753.414099999995</v>
      </c>
      <c r="F68" s="706">
        <v>58564.832000000002</v>
      </c>
      <c r="G68" s="706">
        <v>51864.816400000003</v>
      </c>
      <c r="H68" s="706">
        <v>54904.503900000003</v>
      </c>
      <c r="I68" s="706">
        <v>43943.22</v>
      </c>
      <c r="J68" s="706">
        <v>69280.399999999994</v>
      </c>
      <c r="K68" s="706">
        <v>55436.97</v>
      </c>
      <c r="L68" s="706">
        <v>47952.38</v>
      </c>
      <c r="M68" s="706">
        <v>47680.453099999999</v>
      </c>
      <c r="N68" s="706">
        <v>61522.105499999998</v>
      </c>
      <c r="O68" s="706">
        <v>67693.77</v>
      </c>
      <c r="P68" s="647">
        <v>706913.42500000005</v>
      </c>
      <c r="Q68" s="647"/>
      <c r="R68" s="707">
        <v>51682.939623749982</v>
      </c>
      <c r="S68" s="706">
        <v>51171.307138750009</v>
      </c>
      <c r="T68" s="706">
        <v>53096.138767499979</v>
      </c>
      <c r="U68" s="706">
        <v>40337.140857499988</v>
      </c>
      <c r="V68" s="706">
        <v>40639.079291250004</v>
      </c>
      <c r="W68" s="706">
        <v>50183.065685000016</v>
      </c>
      <c r="X68" s="706">
        <v>54284.092692500002</v>
      </c>
      <c r="Y68" s="706">
        <v>59342.747672500016</v>
      </c>
      <c r="Z68" s="706">
        <v>51801.614877499982</v>
      </c>
      <c r="AA68" s="706">
        <v>48583.680963750012</v>
      </c>
      <c r="AB68" s="706">
        <v>47920.999228749992</v>
      </c>
      <c r="AC68" s="706">
        <v>54563.947148749998</v>
      </c>
      <c r="AD68" s="648">
        <v>603606.75394749991</v>
      </c>
      <c r="AF68" s="647">
        <v>103306.67105250014</v>
      </c>
    </row>
    <row r="69" spans="1:32" ht="15" x14ac:dyDescent="0.25">
      <c r="A69" s="130" t="s">
        <v>225</v>
      </c>
      <c r="B69" s="221" t="s">
        <v>0</v>
      </c>
      <c r="C69" s="184" t="s">
        <v>45</v>
      </c>
      <c r="D69" s="707">
        <v>175088.56299999999</v>
      </c>
      <c r="E69" s="706">
        <v>148842.57800000001</v>
      </c>
      <c r="F69" s="706">
        <v>128195.656</v>
      </c>
      <c r="G69" s="706">
        <v>142348.625</v>
      </c>
      <c r="H69" s="706">
        <v>179959.21900000001</v>
      </c>
      <c r="I69" s="706">
        <v>185966.21900000001</v>
      </c>
      <c r="J69" s="706">
        <v>182017.109</v>
      </c>
      <c r="K69" s="706">
        <v>154559.375</v>
      </c>
      <c r="L69" s="706">
        <v>104219.359</v>
      </c>
      <c r="M69" s="706">
        <v>107327.164</v>
      </c>
      <c r="N69" s="706">
        <v>138842.70000000001</v>
      </c>
      <c r="O69" s="706">
        <v>152883.484</v>
      </c>
      <c r="P69" s="647">
        <v>1800250.051</v>
      </c>
      <c r="Q69" s="647"/>
      <c r="R69" s="707">
        <v>155764.65116249997</v>
      </c>
      <c r="S69" s="706">
        <v>142357.93271250001</v>
      </c>
      <c r="T69" s="706">
        <v>134841.1570375</v>
      </c>
      <c r="U69" s="706">
        <v>88788.724422499974</v>
      </c>
      <c r="V69" s="706">
        <v>89308.017344999986</v>
      </c>
      <c r="W69" s="706">
        <v>115455.13176000005</v>
      </c>
      <c r="X69" s="706">
        <v>126770.33655500002</v>
      </c>
      <c r="Y69" s="706">
        <v>146418.58486249999</v>
      </c>
      <c r="Z69" s="706">
        <v>125601.69834125</v>
      </c>
      <c r="AA69" s="706">
        <v>112488.41141499998</v>
      </c>
      <c r="AB69" s="706">
        <v>121713.67270750002</v>
      </c>
      <c r="AC69" s="706">
        <v>156350.33734999999</v>
      </c>
      <c r="AD69" s="648">
        <v>1515858.6556712498</v>
      </c>
      <c r="AF69" s="647">
        <v>284391.39532875014</v>
      </c>
    </row>
    <row r="70" spans="1:32" thickBot="1" x14ac:dyDescent="0.3">
      <c r="A70" s="130" t="s">
        <v>225</v>
      </c>
      <c r="B70" s="221" t="s">
        <v>0</v>
      </c>
      <c r="C70" s="184" t="s">
        <v>47</v>
      </c>
      <c r="D70" s="707">
        <v>115038.69500000001</v>
      </c>
      <c r="E70" s="706">
        <v>90713.05</v>
      </c>
      <c r="F70" s="706">
        <v>98261.55</v>
      </c>
      <c r="G70" s="706">
        <v>104543.133</v>
      </c>
      <c r="H70" s="706">
        <v>137040.79999999999</v>
      </c>
      <c r="I70" s="706">
        <v>142166.56299999999</v>
      </c>
      <c r="J70" s="706">
        <v>155010.20000000001</v>
      </c>
      <c r="K70" s="706">
        <v>132494.1</v>
      </c>
      <c r="L70" s="706">
        <v>83792.875</v>
      </c>
      <c r="M70" s="706">
        <v>84344.77</v>
      </c>
      <c r="N70" s="706">
        <v>92412.69</v>
      </c>
      <c r="O70" s="706">
        <v>98427.71</v>
      </c>
      <c r="P70" s="647">
        <v>1334246.1359999999</v>
      </c>
      <c r="Q70" s="647"/>
      <c r="R70" s="707">
        <v>135054.50232500001</v>
      </c>
      <c r="S70" s="706">
        <v>130946.91800499998</v>
      </c>
      <c r="T70" s="706">
        <v>123987.62774999999</v>
      </c>
      <c r="U70" s="706">
        <v>72471.923768750014</v>
      </c>
      <c r="V70" s="706">
        <v>58233.993393750003</v>
      </c>
      <c r="W70" s="706">
        <v>72749.349016250024</v>
      </c>
      <c r="X70" s="706">
        <v>63614.484962500006</v>
      </c>
      <c r="Y70" s="706">
        <v>70226.291662500022</v>
      </c>
      <c r="Z70" s="706">
        <v>60926.965784999986</v>
      </c>
      <c r="AA70" s="706">
        <v>68735.049172499988</v>
      </c>
      <c r="AB70" s="706">
        <v>86010.657193750041</v>
      </c>
      <c r="AC70" s="706">
        <v>105609.01570375</v>
      </c>
      <c r="AD70" s="648">
        <v>1048566.7787387501</v>
      </c>
      <c r="AF70" s="647">
        <v>285679.3572612498</v>
      </c>
    </row>
    <row r="71" spans="1:32" ht="16.5" thickTop="1" thickBot="1" x14ac:dyDescent="0.3">
      <c r="A71" s="130" t="s">
        <v>225</v>
      </c>
      <c r="B71" s="221">
        <v>501</v>
      </c>
      <c r="C71" s="184" t="s">
        <v>48</v>
      </c>
      <c r="D71" s="700">
        <v>243129.266</v>
      </c>
      <c r="E71" s="701">
        <v>217865.64</v>
      </c>
      <c r="F71" s="701">
        <v>212283.2</v>
      </c>
      <c r="G71" s="701">
        <v>188423.6244</v>
      </c>
      <c r="H71" s="701">
        <v>167613.76000000001</v>
      </c>
      <c r="I71" s="701">
        <v>179144.02409999998</v>
      </c>
      <c r="J71" s="701">
        <v>243370.71799999999</v>
      </c>
      <c r="K71" s="701">
        <v>245181.64</v>
      </c>
      <c r="L71" s="701">
        <v>234908.70299999998</v>
      </c>
      <c r="M71" s="701">
        <v>243008.53200000001</v>
      </c>
      <c r="N71" s="701" t="s">
        <v>619</v>
      </c>
      <c r="O71" s="701" t="s">
        <v>619</v>
      </c>
      <c r="P71" s="701" t="s">
        <v>619</v>
      </c>
      <c r="Q71" s="644"/>
      <c r="R71" s="701" t="s">
        <v>619</v>
      </c>
      <c r="S71" s="701" t="s">
        <v>619</v>
      </c>
      <c r="T71" s="701" t="s">
        <v>619</v>
      </c>
      <c r="U71" s="701" t="s">
        <v>619</v>
      </c>
      <c r="V71" s="701" t="s">
        <v>619</v>
      </c>
      <c r="W71" s="701" t="s">
        <v>619</v>
      </c>
      <c r="X71" s="701" t="s">
        <v>619</v>
      </c>
      <c r="Y71" s="701" t="s">
        <v>619</v>
      </c>
      <c r="Z71" s="701" t="s">
        <v>619</v>
      </c>
      <c r="AA71" s="701" t="s">
        <v>619</v>
      </c>
      <c r="AB71" s="701" t="s">
        <v>619</v>
      </c>
      <c r="AC71" s="701" t="s">
        <v>619</v>
      </c>
      <c r="AD71" s="701" t="s">
        <v>619</v>
      </c>
      <c r="AF71" s="701" t="s">
        <v>619</v>
      </c>
    </row>
    <row r="72" spans="1:32" ht="16.5" thickTop="1" thickBot="1" x14ac:dyDescent="0.3">
      <c r="A72" s="130" t="s">
        <v>225</v>
      </c>
      <c r="B72" s="221">
        <v>547</v>
      </c>
      <c r="C72" s="183" t="s">
        <v>10</v>
      </c>
      <c r="D72" s="645">
        <v>143785.06299999999</v>
      </c>
      <c r="E72" s="702">
        <v>133214.29999999999</v>
      </c>
      <c r="F72" s="702">
        <v>47907.742200000001</v>
      </c>
      <c r="G72" s="702">
        <v>72783.625</v>
      </c>
      <c r="H72" s="702">
        <v>54213.93</v>
      </c>
      <c r="I72" s="702">
        <v>73442.13</v>
      </c>
      <c r="J72" s="702">
        <v>167724.32800000001</v>
      </c>
      <c r="K72" s="702">
        <v>168622.81299999999</v>
      </c>
      <c r="L72" s="702">
        <v>182677.56299999999</v>
      </c>
      <c r="M72" s="702">
        <v>195615.34400000001</v>
      </c>
      <c r="N72" s="701" t="s">
        <v>619</v>
      </c>
      <c r="O72" s="701" t="s">
        <v>619</v>
      </c>
      <c r="P72" s="701" t="s">
        <v>619</v>
      </c>
      <c r="Q72" s="644"/>
      <c r="R72" s="701" t="s">
        <v>619</v>
      </c>
      <c r="S72" s="701" t="s">
        <v>619</v>
      </c>
      <c r="T72" s="701" t="s">
        <v>619</v>
      </c>
      <c r="U72" s="701" t="s">
        <v>619</v>
      </c>
      <c r="V72" s="701" t="s">
        <v>619</v>
      </c>
      <c r="W72" s="701" t="s">
        <v>619</v>
      </c>
      <c r="X72" s="701" t="s">
        <v>619</v>
      </c>
      <c r="Y72" s="701" t="s">
        <v>619</v>
      </c>
      <c r="Z72" s="701" t="s">
        <v>619</v>
      </c>
      <c r="AA72" s="701" t="s">
        <v>619</v>
      </c>
      <c r="AB72" s="701" t="s">
        <v>619</v>
      </c>
      <c r="AC72" s="701" t="s">
        <v>619</v>
      </c>
      <c r="AD72" s="701" t="s">
        <v>619</v>
      </c>
      <c r="AF72" s="701" t="s">
        <v>619</v>
      </c>
    </row>
    <row r="73" spans="1:32" ht="16.5" thickTop="1" thickBot="1" x14ac:dyDescent="0.3">
      <c r="A73" s="130" t="s">
        <v>225</v>
      </c>
      <c r="B73" s="221">
        <v>547</v>
      </c>
      <c r="C73" s="185" t="s">
        <v>11</v>
      </c>
      <c r="D73" s="645">
        <v>110418.781</v>
      </c>
      <c r="E73" s="702">
        <v>90404.2</v>
      </c>
      <c r="F73" s="702">
        <v>38918.234400000001</v>
      </c>
      <c r="G73" s="702">
        <v>8208.7379999999994</v>
      </c>
      <c r="H73" s="702">
        <v>46351.5625</v>
      </c>
      <c r="I73" s="702">
        <v>64013.57</v>
      </c>
      <c r="J73" s="702">
        <v>125933.05499999999</v>
      </c>
      <c r="K73" s="702">
        <v>160099.17199999999</v>
      </c>
      <c r="L73" s="702">
        <v>173530.9</v>
      </c>
      <c r="M73" s="702">
        <v>6913.7206999999999</v>
      </c>
      <c r="N73" s="701" t="s">
        <v>619</v>
      </c>
      <c r="O73" s="701" t="s">
        <v>619</v>
      </c>
      <c r="P73" s="701" t="s">
        <v>619</v>
      </c>
      <c r="Q73" s="644"/>
      <c r="R73" s="701" t="s">
        <v>619</v>
      </c>
      <c r="S73" s="701" t="s">
        <v>619</v>
      </c>
      <c r="T73" s="701" t="s">
        <v>619</v>
      </c>
      <c r="U73" s="701" t="s">
        <v>619</v>
      </c>
      <c r="V73" s="701" t="s">
        <v>619</v>
      </c>
      <c r="W73" s="701" t="s">
        <v>619</v>
      </c>
      <c r="X73" s="701" t="s">
        <v>619</v>
      </c>
      <c r="Y73" s="701" t="s">
        <v>619</v>
      </c>
      <c r="Z73" s="701" t="s">
        <v>619</v>
      </c>
      <c r="AA73" s="701" t="s">
        <v>619</v>
      </c>
      <c r="AB73" s="701" t="s">
        <v>619</v>
      </c>
      <c r="AC73" s="701" t="s">
        <v>619</v>
      </c>
      <c r="AD73" s="701" t="s">
        <v>619</v>
      </c>
      <c r="AF73" s="701" t="s">
        <v>619</v>
      </c>
    </row>
    <row r="74" spans="1:32" ht="16.5" thickTop="1" thickBot="1" x14ac:dyDescent="0.3">
      <c r="A74" s="130" t="s">
        <v>225</v>
      </c>
      <c r="B74" s="221">
        <v>547</v>
      </c>
      <c r="C74" s="184" t="s">
        <v>12</v>
      </c>
      <c r="D74" s="645">
        <v>13479.737300000001</v>
      </c>
      <c r="E74" s="702">
        <v>26456.43</v>
      </c>
      <c r="F74" s="702">
        <v>14073.4355</v>
      </c>
      <c r="G74" s="702">
        <v>28568.71</v>
      </c>
      <c r="H74" s="702">
        <v>0</v>
      </c>
      <c r="I74" s="702">
        <v>15398.7852</v>
      </c>
      <c r="J74" s="702">
        <v>55247.44</v>
      </c>
      <c r="K74" s="702">
        <v>74828.22</v>
      </c>
      <c r="L74" s="702">
        <v>78879.73</v>
      </c>
      <c r="M74" s="702">
        <v>81448.054699999993</v>
      </c>
      <c r="N74" s="701" t="s">
        <v>619</v>
      </c>
      <c r="O74" s="701" t="s">
        <v>619</v>
      </c>
      <c r="P74" s="701" t="s">
        <v>619</v>
      </c>
      <c r="Q74" s="644"/>
      <c r="R74" s="701" t="s">
        <v>619</v>
      </c>
      <c r="S74" s="701" t="s">
        <v>619</v>
      </c>
      <c r="T74" s="701" t="s">
        <v>619</v>
      </c>
      <c r="U74" s="701" t="s">
        <v>619</v>
      </c>
      <c r="V74" s="701" t="s">
        <v>619</v>
      </c>
      <c r="W74" s="701" t="s">
        <v>619</v>
      </c>
      <c r="X74" s="701" t="s">
        <v>619</v>
      </c>
      <c r="Y74" s="701" t="s">
        <v>619</v>
      </c>
      <c r="Z74" s="701" t="s">
        <v>619</v>
      </c>
      <c r="AA74" s="701" t="s">
        <v>619</v>
      </c>
      <c r="AB74" s="701" t="s">
        <v>619</v>
      </c>
      <c r="AC74" s="701" t="s">
        <v>619</v>
      </c>
      <c r="AD74" s="701" t="s">
        <v>619</v>
      </c>
      <c r="AF74" s="701" t="s">
        <v>619</v>
      </c>
    </row>
    <row r="75" spans="1:32" ht="16.5" thickTop="1" thickBot="1" x14ac:dyDescent="0.3">
      <c r="A75" s="130" t="s">
        <v>225</v>
      </c>
      <c r="B75" s="221">
        <v>547</v>
      </c>
      <c r="C75" s="183" t="s">
        <v>34</v>
      </c>
      <c r="D75" s="645">
        <v>23749.845700000002</v>
      </c>
      <c r="E75" s="702">
        <v>52799.62</v>
      </c>
      <c r="F75" s="702">
        <v>15829.421899999999</v>
      </c>
      <c r="G75" s="702">
        <v>19052.89</v>
      </c>
      <c r="H75" s="702">
        <v>30722.3262</v>
      </c>
      <c r="I75" s="702">
        <v>24640.2441</v>
      </c>
      <c r="J75" s="702">
        <v>84073.38</v>
      </c>
      <c r="K75" s="702">
        <v>83176.05</v>
      </c>
      <c r="L75" s="702">
        <v>86027.74</v>
      </c>
      <c r="M75" s="702">
        <v>89170.12</v>
      </c>
      <c r="N75" s="701" t="s">
        <v>619</v>
      </c>
      <c r="O75" s="701" t="s">
        <v>619</v>
      </c>
      <c r="P75" s="701" t="s">
        <v>619</v>
      </c>
      <c r="Q75" s="644"/>
      <c r="R75" s="701" t="s">
        <v>619</v>
      </c>
      <c r="S75" s="701" t="s">
        <v>619</v>
      </c>
      <c r="T75" s="701" t="s">
        <v>619</v>
      </c>
      <c r="U75" s="701" t="s">
        <v>619</v>
      </c>
      <c r="V75" s="701" t="s">
        <v>619</v>
      </c>
      <c r="W75" s="701" t="s">
        <v>619</v>
      </c>
      <c r="X75" s="701" t="s">
        <v>619</v>
      </c>
      <c r="Y75" s="701" t="s">
        <v>619</v>
      </c>
      <c r="Z75" s="701" t="s">
        <v>619</v>
      </c>
      <c r="AA75" s="701" t="s">
        <v>619</v>
      </c>
      <c r="AB75" s="701" t="s">
        <v>619</v>
      </c>
      <c r="AC75" s="701" t="s">
        <v>619</v>
      </c>
      <c r="AD75" s="701" t="s">
        <v>619</v>
      </c>
      <c r="AF75" s="701" t="s">
        <v>619</v>
      </c>
    </row>
    <row r="76" spans="1:32" ht="16.5" thickTop="1" thickBot="1" x14ac:dyDescent="0.3">
      <c r="A76" s="130" t="s">
        <v>225</v>
      </c>
      <c r="B76" s="221">
        <v>547</v>
      </c>
      <c r="C76" s="184" t="s">
        <v>13</v>
      </c>
      <c r="D76" s="645">
        <v>4854.27441</v>
      </c>
      <c r="E76" s="702">
        <v>13239.8848</v>
      </c>
      <c r="F76" s="702">
        <v>5149.6396500000001</v>
      </c>
      <c r="G76" s="702">
        <v>0</v>
      </c>
      <c r="H76" s="702">
        <v>6.2395570000000002E-6</v>
      </c>
      <c r="I76" s="702">
        <v>10864.4287</v>
      </c>
      <c r="J76" s="702">
        <v>44669.67</v>
      </c>
      <c r="K76" s="702">
        <v>54483.83</v>
      </c>
      <c r="L76" s="702">
        <v>75233.69</v>
      </c>
      <c r="M76" s="702">
        <v>14691.0254</v>
      </c>
      <c r="N76" s="701" t="s">
        <v>619</v>
      </c>
      <c r="O76" s="701" t="s">
        <v>619</v>
      </c>
      <c r="P76" s="701" t="s">
        <v>619</v>
      </c>
      <c r="Q76" s="644"/>
      <c r="R76" s="701" t="s">
        <v>619</v>
      </c>
      <c r="S76" s="701" t="s">
        <v>619</v>
      </c>
      <c r="T76" s="701" t="s">
        <v>619</v>
      </c>
      <c r="U76" s="701" t="s">
        <v>619</v>
      </c>
      <c r="V76" s="701" t="s">
        <v>619</v>
      </c>
      <c r="W76" s="701" t="s">
        <v>619</v>
      </c>
      <c r="X76" s="701" t="s">
        <v>619</v>
      </c>
      <c r="Y76" s="701" t="s">
        <v>619</v>
      </c>
      <c r="Z76" s="701" t="s">
        <v>619</v>
      </c>
      <c r="AA76" s="701" t="s">
        <v>619</v>
      </c>
      <c r="AB76" s="701" t="s">
        <v>619</v>
      </c>
      <c r="AC76" s="701" t="s">
        <v>619</v>
      </c>
      <c r="AD76" s="701" t="s">
        <v>619</v>
      </c>
      <c r="AF76" s="701" t="s">
        <v>619</v>
      </c>
    </row>
    <row r="77" spans="1:32" ht="16.5" thickTop="1" thickBot="1" x14ac:dyDescent="0.3">
      <c r="A77" s="130" t="s">
        <v>225</v>
      </c>
      <c r="B77" s="221">
        <v>547</v>
      </c>
      <c r="C77" s="183" t="s">
        <v>14</v>
      </c>
      <c r="D77" s="645">
        <v>0</v>
      </c>
      <c r="E77" s="702">
        <v>2782.9521399999999</v>
      </c>
      <c r="F77" s="702">
        <v>2143.7398599999997</v>
      </c>
      <c r="G77" s="702">
        <v>2521.8880600000002</v>
      </c>
      <c r="H77" s="702">
        <v>0</v>
      </c>
      <c r="I77" s="702">
        <v>0</v>
      </c>
      <c r="J77" s="702">
        <v>1446.2881</v>
      </c>
      <c r="K77" s="702">
        <v>64630.58</v>
      </c>
      <c r="L77" s="702">
        <v>0</v>
      </c>
      <c r="M77" s="702">
        <v>0</v>
      </c>
      <c r="N77" s="701" t="s">
        <v>619</v>
      </c>
      <c r="O77" s="701" t="s">
        <v>619</v>
      </c>
      <c r="P77" s="701" t="s">
        <v>619</v>
      </c>
      <c r="Q77" s="644"/>
      <c r="R77" s="701" t="s">
        <v>619</v>
      </c>
      <c r="S77" s="701" t="s">
        <v>619</v>
      </c>
      <c r="T77" s="701" t="s">
        <v>619</v>
      </c>
      <c r="U77" s="701" t="s">
        <v>619</v>
      </c>
      <c r="V77" s="701" t="s">
        <v>619</v>
      </c>
      <c r="W77" s="701" t="s">
        <v>619</v>
      </c>
      <c r="X77" s="701" t="s">
        <v>619</v>
      </c>
      <c r="Y77" s="701" t="s">
        <v>619</v>
      </c>
      <c r="Z77" s="701" t="s">
        <v>619</v>
      </c>
      <c r="AA77" s="701" t="s">
        <v>619</v>
      </c>
      <c r="AB77" s="701" t="s">
        <v>619</v>
      </c>
      <c r="AC77" s="701" t="s">
        <v>619</v>
      </c>
      <c r="AD77" s="701" t="s">
        <v>619</v>
      </c>
      <c r="AF77" s="701" t="s">
        <v>619</v>
      </c>
    </row>
    <row r="78" spans="1:32" ht="16.5" thickTop="1" thickBot="1" x14ac:dyDescent="0.3">
      <c r="A78" s="130" t="s">
        <v>225</v>
      </c>
      <c r="B78" s="221">
        <v>547</v>
      </c>
      <c r="C78" s="183" t="s">
        <v>15</v>
      </c>
      <c r="D78" s="645">
        <v>4338.12219</v>
      </c>
      <c r="E78" s="702">
        <v>7004.8000499999998</v>
      </c>
      <c r="F78" s="702">
        <v>3586.25092</v>
      </c>
      <c r="G78" s="702">
        <v>0</v>
      </c>
      <c r="H78" s="702">
        <v>897.16296299999999</v>
      </c>
      <c r="I78" s="702">
        <v>1441.8942870000001</v>
      </c>
      <c r="J78" s="702">
        <v>339.17858899999999</v>
      </c>
      <c r="K78" s="702">
        <v>9713.5173099999993</v>
      </c>
      <c r="L78" s="702">
        <v>8482.1024600000001</v>
      </c>
      <c r="M78" s="702">
        <v>151.16771540000002</v>
      </c>
      <c r="N78" s="701" t="s">
        <v>619</v>
      </c>
      <c r="O78" s="701" t="s">
        <v>619</v>
      </c>
      <c r="P78" s="701" t="s">
        <v>619</v>
      </c>
      <c r="Q78" s="644"/>
      <c r="R78" s="701" t="s">
        <v>619</v>
      </c>
      <c r="S78" s="701" t="s">
        <v>619</v>
      </c>
      <c r="T78" s="701" t="s">
        <v>619</v>
      </c>
      <c r="U78" s="701" t="s">
        <v>619</v>
      </c>
      <c r="V78" s="701" t="s">
        <v>619</v>
      </c>
      <c r="W78" s="701" t="s">
        <v>619</v>
      </c>
      <c r="X78" s="701" t="s">
        <v>619</v>
      </c>
      <c r="Y78" s="701" t="s">
        <v>619</v>
      </c>
      <c r="Z78" s="701" t="s">
        <v>619</v>
      </c>
      <c r="AA78" s="701" t="s">
        <v>619</v>
      </c>
      <c r="AB78" s="701" t="s">
        <v>619</v>
      </c>
      <c r="AC78" s="701" t="s">
        <v>619</v>
      </c>
      <c r="AD78" s="701" t="s">
        <v>619</v>
      </c>
      <c r="AF78" s="701" t="s">
        <v>619</v>
      </c>
    </row>
    <row r="79" spans="1:32" ht="16.5" thickTop="1" thickBot="1" x14ac:dyDescent="0.3">
      <c r="A79" s="130" t="s">
        <v>225</v>
      </c>
      <c r="B79" s="221">
        <v>547</v>
      </c>
      <c r="C79" s="183" t="s">
        <v>16</v>
      </c>
      <c r="D79" s="645">
        <v>4706.7993999999999</v>
      </c>
      <c r="E79" s="702">
        <v>1706.0821559999999</v>
      </c>
      <c r="F79" s="702">
        <v>2376.377</v>
      </c>
      <c r="G79" s="702">
        <v>1607.0745849999998</v>
      </c>
      <c r="H79" s="702">
        <v>690.79348379999999</v>
      </c>
      <c r="I79" s="702">
        <v>945.2285730000001</v>
      </c>
      <c r="J79" s="702">
        <v>1124.0257449999999</v>
      </c>
      <c r="K79" s="702">
        <v>43813.906300000002</v>
      </c>
      <c r="L79" s="702">
        <v>2950.3413799999998</v>
      </c>
      <c r="M79" s="702">
        <v>806.17950399999995</v>
      </c>
      <c r="N79" s="701" t="s">
        <v>619</v>
      </c>
      <c r="O79" s="701" t="s">
        <v>619</v>
      </c>
      <c r="P79" s="701" t="s">
        <v>619</v>
      </c>
      <c r="Q79" s="644"/>
      <c r="R79" s="701" t="s">
        <v>619</v>
      </c>
      <c r="S79" s="701" t="s">
        <v>619</v>
      </c>
      <c r="T79" s="701" t="s">
        <v>619</v>
      </c>
      <c r="U79" s="701" t="s">
        <v>619</v>
      </c>
      <c r="V79" s="701" t="s">
        <v>619</v>
      </c>
      <c r="W79" s="701" t="s">
        <v>619</v>
      </c>
      <c r="X79" s="701" t="s">
        <v>619</v>
      </c>
      <c r="Y79" s="701" t="s">
        <v>619</v>
      </c>
      <c r="Z79" s="701" t="s">
        <v>619</v>
      </c>
      <c r="AA79" s="701" t="s">
        <v>619</v>
      </c>
      <c r="AB79" s="701" t="s">
        <v>619</v>
      </c>
      <c r="AC79" s="701" t="s">
        <v>619</v>
      </c>
      <c r="AD79" s="701" t="s">
        <v>619</v>
      </c>
      <c r="AF79" s="701" t="s">
        <v>619</v>
      </c>
    </row>
    <row r="80" spans="1:32" ht="16.5" thickTop="1" thickBot="1" x14ac:dyDescent="0.3">
      <c r="A80" s="130" t="s">
        <v>225</v>
      </c>
      <c r="B80" s="221">
        <v>547</v>
      </c>
      <c r="C80" s="184" t="s">
        <v>17</v>
      </c>
      <c r="D80" s="645">
        <v>5164.0102100000004</v>
      </c>
      <c r="E80" s="702">
        <v>2599.9769299999998</v>
      </c>
      <c r="F80" s="702">
        <v>9379.7365500000014</v>
      </c>
      <c r="G80" s="702">
        <v>1215.567229</v>
      </c>
      <c r="H80" s="702">
        <v>3410.3633199999999</v>
      </c>
      <c r="I80" s="702">
        <v>2603.19787</v>
      </c>
      <c r="J80" s="702">
        <v>1129.8526999999999</v>
      </c>
      <c r="K80" s="702">
        <v>48668.359400000001</v>
      </c>
      <c r="L80" s="702">
        <v>3094.5765499999998</v>
      </c>
      <c r="M80" s="702">
        <v>421.31240000000003</v>
      </c>
      <c r="N80" s="701" t="s">
        <v>619</v>
      </c>
      <c r="O80" s="701" t="s">
        <v>619</v>
      </c>
      <c r="P80" s="701" t="s">
        <v>619</v>
      </c>
      <c r="Q80" s="644"/>
      <c r="R80" s="701" t="s">
        <v>619</v>
      </c>
      <c r="S80" s="701" t="s">
        <v>619</v>
      </c>
      <c r="T80" s="701" t="s">
        <v>619</v>
      </c>
      <c r="U80" s="701" t="s">
        <v>619</v>
      </c>
      <c r="V80" s="701" t="s">
        <v>619</v>
      </c>
      <c r="W80" s="701" t="s">
        <v>619</v>
      </c>
      <c r="X80" s="701" t="s">
        <v>619</v>
      </c>
      <c r="Y80" s="701" t="s">
        <v>619</v>
      </c>
      <c r="Z80" s="701" t="s">
        <v>619</v>
      </c>
      <c r="AA80" s="701" t="s">
        <v>619</v>
      </c>
      <c r="AB80" s="701" t="s">
        <v>619</v>
      </c>
      <c r="AC80" s="701" t="s">
        <v>619</v>
      </c>
      <c r="AD80" s="701" t="s">
        <v>619</v>
      </c>
      <c r="AF80" s="701" t="s">
        <v>619</v>
      </c>
    </row>
    <row r="81" spans="1:32" ht="16.5" thickTop="1" thickBot="1" x14ac:dyDescent="0.3">
      <c r="A81" s="130" t="s">
        <v>225</v>
      </c>
      <c r="B81" s="221">
        <v>547</v>
      </c>
      <c r="C81" s="183" t="s">
        <v>18</v>
      </c>
      <c r="D81" s="645">
        <v>35327.882799999999</v>
      </c>
      <c r="E81" s="702">
        <v>49379.886700000003</v>
      </c>
      <c r="F81" s="702">
        <v>23788.224600000001</v>
      </c>
      <c r="G81" s="702">
        <v>0</v>
      </c>
      <c r="H81" s="702">
        <v>8325.2960000000003</v>
      </c>
      <c r="I81" s="702">
        <v>30207.613300000001</v>
      </c>
      <c r="J81" s="702">
        <v>75867.06</v>
      </c>
      <c r="K81" s="702">
        <v>118006.133</v>
      </c>
      <c r="L81" s="702">
        <v>148146.68799999999</v>
      </c>
      <c r="M81" s="702">
        <v>128424.859</v>
      </c>
      <c r="N81" s="701" t="s">
        <v>619</v>
      </c>
      <c r="O81" s="701" t="s">
        <v>619</v>
      </c>
      <c r="P81" s="701" t="s">
        <v>619</v>
      </c>
      <c r="Q81" s="644"/>
      <c r="R81" s="701" t="s">
        <v>619</v>
      </c>
      <c r="S81" s="701" t="s">
        <v>619</v>
      </c>
      <c r="T81" s="701" t="s">
        <v>619</v>
      </c>
      <c r="U81" s="701" t="s">
        <v>619</v>
      </c>
      <c r="V81" s="701" t="s">
        <v>619</v>
      </c>
      <c r="W81" s="701" t="s">
        <v>619</v>
      </c>
      <c r="X81" s="701" t="s">
        <v>619</v>
      </c>
      <c r="Y81" s="701" t="s">
        <v>619</v>
      </c>
      <c r="Z81" s="701" t="s">
        <v>619</v>
      </c>
      <c r="AA81" s="701" t="s">
        <v>619</v>
      </c>
      <c r="AB81" s="701" t="s">
        <v>619</v>
      </c>
      <c r="AC81" s="701" t="s">
        <v>619</v>
      </c>
      <c r="AD81" s="701" t="s">
        <v>619</v>
      </c>
      <c r="AF81" s="701" t="s">
        <v>619</v>
      </c>
    </row>
    <row r="82" spans="1:32" ht="16.5" thickTop="1" thickBot="1" x14ac:dyDescent="0.3">
      <c r="A82" s="130" t="s">
        <v>225</v>
      </c>
      <c r="B82" s="221">
        <v>548</v>
      </c>
      <c r="C82" s="184" t="s">
        <v>43</v>
      </c>
      <c r="D82" s="645">
        <v>0</v>
      </c>
      <c r="E82" s="702">
        <v>0.53187499999999999</v>
      </c>
      <c r="F82" s="702">
        <v>0</v>
      </c>
      <c r="G82" s="702">
        <v>0</v>
      </c>
      <c r="H82" s="702">
        <v>0</v>
      </c>
      <c r="I82" s="702">
        <v>1.8538195600000001E-2</v>
      </c>
      <c r="J82" s="702">
        <v>0</v>
      </c>
      <c r="K82" s="702">
        <v>0</v>
      </c>
      <c r="L82" s="702">
        <v>0</v>
      </c>
      <c r="M82" s="702">
        <v>0</v>
      </c>
      <c r="N82" s="701" t="s">
        <v>619</v>
      </c>
      <c r="O82" s="701" t="s">
        <v>619</v>
      </c>
      <c r="P82" s="701" t="s">
        <v>619</v>
      </c>
      <c r="Q82" s="644"/>
      <c r="R82" s="701" t="s">
        <v>619</v>
      </c>
      <c r="S82" s="701" t="s">
        <v>619</v>
      </c>
      <c r="T82" s="701" t="s">
        <v>619</v>
      </c>
      <c r="U82" s="701" t="s">
        <v>619</v>
      </c>
      <c r="V82" s="701" t="s">
        <v>619</v>
      </c>
      <c r="W82" s="701" t="s">
        <v>619</v>
      </c>
      <c r="X82" s="701" t="s">
        <v>619</v>
      </c>
      <c r="Y82" s="701" t="s">
        <v>619</v>
      </c>
      <c r="Z82" s="701" t="s">
        <v>619</v>
      </c>
      <c r="AA82" s="701" t="s">
        <v>619</v>
      </c>
      <c r="AB82" s="701" t="s">
        <v>619</v>
      </c>
      <c r="AC82" s="701" t="s">
        <v>619</v>
      </c>
      <c r="AD82" s="701" t="s">
        <v>619</v>
      </c>
      <c r="AF82" s="701" t="s">
        <v>619</v>
      </c>
    </row>
    <row r="83" spans="1:32" ht="16.5" thickTop="1" thickBot="1" x14ac:dyDescent="0.3">
      <c r="A83" s="130" t="s">
        <v>225</v>
      </c>
      <c r="B83" s="221">
        <v>555</v>
      </c>
      <c r="C83" s="184" t="s">
        <v>42</v>
      </c>
      <c r="D83" s="645">
        <v>282720</v>
      </c>
      <c r="E83" s="702">
        <v>255360</v>
      </c>
      <c r="F83" s="702">
        <v>282720</v>
      </c>
      <c r="G83" s="702">
        <v>273600</v>
      </c>
      <c r="H83" s="702">
        <v>282720</v>
      </c>
      <c r="I83" s="702">
        <v>273600</v>
      </c>
      <c r="J83" s="702">
        <v>282720</v>
      </c>
      <c r="K83" s="702">
        <v>282720</v>
      </c>
      <c r="L83" s="702">
        <v>273600</v>
      </c>
      <c r="M83" s="702">
        <v>282720</v>
      </c>
      <c r="N83" s="701" t="s">
        <v>619</v>
      </c>
      <c r="O83" s="701" t="s">
        <v>619</v>
      </c>
      <c r="P83" s="701" t="s">
        <v>619</v>
      </c>
      <c r="Q83" s="644"/>
      <c r="R83" s="701" t="s">
        <v>619</v>
      </c>
      <c r="S83" s="701" t="s">
        <v>619</v>
      </c>
      <c r="T83" s="701" t="s">
        <v>619</v>
      </c>
      <c r="U83" s="701" t="s">
        <v>619</v>
      </c>
      <c r="V83" s="701" t="s">
        <v>619</v>
      </c>
      <c r="W83" s="701" t="s">
        <v>619</v>
      </c>
      <c r="X83" s="701" t="s">
        <v>619</v>
      </c>
      <c r="Y83" s="701" t="s">
        <v>619</v>
      </c>
      <c r="Z83" s="701" t="s">
        <v>619</v>
      </c>
      <c r="AA83" s="701" t="s">
        <v>619</v>
      </c>
      <c r="AB83" s="701" t="s">
        <v>619</v>
      </c>
      <c r="AC83" s="701" t="s">
        <v>619</v>
      </c>
      <c r="AD83" s="701" t="s">
        <v>619</v>
      </c>
      <c r="AF83" s="701" t="s">
        <v>619</v>
      </c>
    </row>
    <row r="84" spans="1:32" ht="16.5" thickTop="1" thickBot="1" x14ac:dyDescent="0.3">
      <c r="A84" s="130" t="s">
        <v>225</v>
      </c>
      <c r="B84" s="221" t="s">
        <v>218</v>
      </c>
      <c r="C84" s="184" t="s">
        <v>353</v>
      </c>
      <c r="D84" s="645">
        <v>0</v>
      </c>
      <c r="E84" s="702">
        <v>0</v>
      </c>
      <c r="F84" s="702">
        <v>0</v>
      </c>
      <c r="G84" s="702">
        <v>0</v>
      </c>
      <c r="H84" s="702">
        <v>0</v>
      </c>
      <c r="I84" s="702">
        <v>0</v>
      </c>
      <c r="J84" s="702">
        <v>0</v>
      </c>
      <c r="K84" s="702">
        <v>0</v>
      </c>
      <c r="L84" s="702">
        <v>0</v>
      </c>
      <c r="M84" s="702">
        <v>0</v>
      </c>
      <c r="N84" s="701" t="s">
        <v>619</v>
      </c>
      <c r="O84" s="701" t="s">
        <v>619</v>
      </c>
      <c r="P84" s="701" t="s">
        <v>619</v>
      </c>
      <c r="Q84" s="644"/>
      <c r="R84" s="701" t="s">
        <v>619</v>
      </c>
      <c r="S84" s="701" t="s">
        <v>619</v>
      </c>
      <c r="T84" s="701" t="s">
        <v>619</v>
      </c>
      <c r="U84" s="701" t="s">
        <v>619</v>
      </c>
      <c r="V84" s="701" t="s">
        <v>619</v>
      </c>
      <c r="W84" s="701" t="s">
        <v>619</v>
      </c>
      <c r="X84" s="701" t="s">
        <v>619</v>
      </c>
      <c r="Y84" s="701" t="s">
        <v>619</v>
      </c>
      <c r="Z84" s="701" t="s">
        <v>619</v>
      </c>
      <c r="AA84" s="701" t="s">
        <v>619</v>
      </c>
      <c r="AB84" s="701" t="s">
        <v>619</v>
      </c>
      <c r="AC84" s="701" t="s">
        <v>619</v>
      </c>
      <c r="AD84" s="701" t="s">
        <v>619</v>
      </c>
      <c r="AF84" s="701" t="s">
        <v>619</v>
      </c>
    </row>
    <row r="85" spans="1:32" ht="16.5" thickTop="1" thickBot="1" x14ac:dyDescent="0.3">
      <c r="A85" s="130" t="s">
        <v>225</v>
      </c>
      <c r="B85" s="221" t="s">
        <v>218</v>
      </c>
      <c r="C85" s="184" t="s">
        <v>357</v>
      </c>
      <c r="D85" s="645">
        <v>0</v>
      </c>
      <c r="E85" s="702">
        <v>0</v>
      </c>
      <c r="F85" s="702">
        <v>0</v>
      </c>
      <c r="G85" s="702">
        <v>0</v>
      </c>
      <c r="H85" s="702">
        <v>0</v>
      </c>
      <c r="I85" s="702">
        <v>0</v>
      </c>
      <c r="J85" s="702">
        <v>0</v>
      </c>
      <c r="K85" s="702">
        <v>0</v>
      </c>
      <c r="L85" s="702">
        <v>0</v>
      </c>
      <c r="M85" s="702">
        <v>0</v>
      </c>
      <c r="N85" s="701" t="s">
        <v>619</v>
      </c>
      <c r="O85" s="701" t="s">
        <v>619</v>
      </c>
      <c r="P85" s="701" t="s">
        <v>619</v>
      </c>
      <c r="Q85" s="644"/>
      <c r="R85" s="701" t="s">
        <v>619</v>
      </c>
      <c r="S85" s="701" t="s">
        <v>619</v>
      </c>
      <c r="T85" s="701" t="s">
        <v>619</v>
      </c>
      <c r="U85" s="701" t="s">
        <v>619</v>
      </c>
      <c r="V85" s="701" t="s">
        <v>619</v>
      </c>
      <c r="W85" s="701" t="s">
        <v>619</v>
      </c>
      <c r="X85" s="701" t="s">
        <v>619</v>
      </c>
      <c r="Y85" s="701" t="s">
        <v>619</v>
      </c>
      <c r="Z85" s="701" t="s">
        <v>619</v>
      </c>
      <c r="AA85" s="701" t="s">
        <v>619</v>
      </c>
      <c r="AB85" s="701" t="s">
        <v>619</v>
      </c>
      <c r="AC85" s="701" t="s">
        <v>619</v>
      </c>
      <c r="AD85" s="701" t="s">
        <v>619</v>
      </c>
      <c r="AF85" s="701" t="s">
        <v>619</v>
      </c>
    </row>
    <row r="86" spans="1:32" ht="16.5" thickTop="1" thickBot="1" x14ac:dyDescent="0.3">
      <c r="A86" s="130" t="s">
        <v>225</v>
      </c>
      <c r="B86" s="221" t="s">
        <v>218</v>
      </c>
      <c r="C86" s="184" t="s">
        <v>349</v>
      </c>
      <c r="D86" s="645">
        <v>35259.355499999998</v>
      </c>
      <c r="E86" s="702">
        <v>31212.203099999999</v>
      </c>
      <c r="F86" s="702">
        <v>44789.964800000002</v>
      </c>
      <c r="G86" s="702">
        <v>41023.800000000003</v>
      </c>
      <c r="H86" s="702">
        <v>38657.19</v>
      </c>
      <c r="I86" s="702">
        <v>38258.519999999997</v>
      </c>
      <c r="J86" s="702">
        <v>29117.0566</v>
      </c>
      <c r="K86" s="702">
        <v>28861.1211</v>
      </c>
      <c r="L86" s="702">
        <v>26803.4512</v>
      </c>
      <c r="M86" s="702">
        <v>30779.748</v>
      </c>
      <c r="N86" s="701" t="s">
        <v>619</v>
      </c>
      <c r="O86" s="701" t="s">
        <v>619</v>
      </c>
      <c r="P86" s="701" t="s">
        <v>619</v>
      </c>
      <c r="Q86" s="644"/>
      <c r="R86" s="701" t="s">
        <v>619</v>
      </c>
      <c r="S86" s="701" t="s">
        <v>619</v>
      </c>
      <c r="T86" s="701" t="s">
        <v>619</v>
      </c>
      <c r="U86" s="701" t="s">
        <v>619</v>
      </c>
      <c r="V86" s="701" t="s">
        <v>619</v>
      </c>
      <c r="W86" s="701" t="s">
        <v>619</v>
      </c>
      <c r="X86" s="701" t="s">
        <v>619</v>
      </c>
      <c r="Y86" s="701" t="s">
        <v>619</v>
      </c>
      <c r="Z86" s="701" t="s">
        <v>619</v>
      </c>
      <c r="AA86" s="701" t="s">
        <v>619</v>
      </c>
      <c r="AB86" s="701" t="s">
        <v>619</v>
      </c>
      <c r="AC86" s="701" t="s">
        <v>619</v>
      </c>
      <c r="AD86" s="701" t="s">
        <v>619</v>
      </c>
      <c r="AF86" s="701" t="s">
        <v>619</v>
      </c>
    </row>
    <row r="87" spans="1:32" ht="16.5" thickTop="1" thickBot="1" x14ac:dyDescent="0.3">
      <c r="A87" s="130" t="s">
        <v>225</v>
      </c>
      <c r="B87" s="221" t="s">
        <v>218</v>
      </c>
      <c r="C87" s="184" t="s">
        <v>128</v>
      </c>
      <c r="D87" s="645">
        <v>47185.214</v>
      </c>
      <c r="E87" s="702">
        <v>42466.311999999998</v>
      </c>
      <c r="F87" s="702">
        <v>56075.269499999995</v>
      </c>
      <c r="G87" s="702">
        <v>56745.515299999999</v>
      </c>
      <c r="H87" s="702">
        <v>56526.4395</v>
      </c>
      <c r="I87" s="702">
        <v>54351.007299999997</v>
      </c>
      <c r="J87" s="702">
        <v>50229.208900000005</v>
      </c>
      <c r="K87" s="702">
        <v>45967.059300000001</v>
      </c>
      <c r="L87" s="702">
        <v>42032.949500000002</v>
      </c>
      <c r="M87" s="702">
        <v>47980.620500000005</v>
      </c>
      <c r="N87" s="701" t="s">
        <v>619</v>
      </c>
      <c r="O87" s="701" t="s">
        <v>619</v>
      </c>
      <c r="P87" s="701" t="s">
        <v>619</v>
      </c>
      <c r="Q87" s="644"/>
      <c r="R87" s="701" t="s">
        <v>619</v>
      </c>
      <c r="S87" s="701" t="s">
        <v>619</v>
      </c>
      <c r="T87" s="701" t="s">
        <v>619</v>
      </c>
      <c r="U87" s="701" t="s">
        <v>619</v>
      </c>
      <c r="V87" s="701" t="s">
        <v>619</v>
      </c>
      <c r="W87" s="701" t="s">
        <v>619</v>
      </c>
      <c r="X87" s="701" t="s">
        <v>619</v>
      </c>
      <c r="Y87" s="701" t="s">
        <v>619</v>
      </c>
      <c r="Z87" s="701" t="s">
        <v>619</v>
      </c>
      <c r="AA87" s="701" t="s">
        <v>619</v>
      </c>
      <c r="AB87" s="701" t="s">
        <v>619</v>
      </c>
      <c r="AC87" s="701" t="s">
        <v>619</v>
      </c>
      <c r="AD87" s="701" t="s">
        <v>619</v>
      </c>
      <c r="AF87" s="701" t="s">
        <v>619</v>
      </c>
    </row>
    <row r="88" spans="1:32" ht="14.85" customHeight="1" thickTop="1" thickBot="1" x14ac:dyDescent="0.3">
      <c r="A88" s="130" t="s">
        <v>225</v>
      </c>
      <c r="B88" s="221" t="s">
        <v>218</v>
      </c>
      <c r="C88" s="184" t="s">
        <v>361</v>
      </c>
      <c r="D88" s="645">
        <v>8055.2036099999996</v>
      </c>
      <c r="E88" s="702">
        <v>6975.2753899999998</v>
      </c>
      <c r="F88" s="702">
        <v>8858.23</v>
      </c>
      <c r="G88" s="702">
        <v>8919.0720000000001</v>
      </c>
      <c r="H88" s="702">
        <v>8842.8439999999991</v>
      </c>
      <c r="I88" s="702">
        <v>7536.94</v>
      </c>
      <c r="J88" s="702">
        <v>7044.1490000000003</v>
      </c>
      <c r="K88" s="702">
        <v>6037.7675799999997</v>
      </c>
      <c r="L88" s="702">
        <v>6672.6225599999998</v>
      </c>
      <c r="M88" s="702">
        <v>7339.5609999999997</v>
      </c>
      <c r="N88" s="701" t="s">
        <v>619</v>
      </c>
      <c r="O88" s="701" t="s">
        <v>619</v>
      </c>
      <c r="P88" s="701" t="s">
        <v>619</v>
      </c>
      <c r="Q88" s="644"/>
      <c r="R88" s="701" t="s">
        <v>619</v>
      </c>
      <c r="S88" s="701" t="s">
        <v>619</v>
      </c>
      <c r="T88" s="701" t="s">
        <v>619</v>
      </c>
      <c r="U88" s="701" t="s">
        <v>619</v>
      </c>
      <c r="V88" s="701" t="s">
        <v>619</v>
      </c>
      <c r="W88" s="701" t="s">
        <v>619</v>
      </c>
      <c r="X88" s="701" t="s">
        <v>619</v>
      </c>
      <c r="Y88" s="701" t="s">
        <v>619</v>
      </c>
      <c r="Z88" s="701" t="s">
        <v>619</v>
      </c>
      <c r="AA88" s="701" t="s">
        <v>619</v>
      </c>
      <c r="AB88" s="701" t="s">
        <v>619</v>
      </c>
      <c r="AC88" s="701" t="s">
        <v>619</v>
      </c>
      <c r="AD88" s="701" t="s">
        <v>619</v>
      </c>
      <c r="AF88" s="701" t="s">
        <v>619</v>
      </c>
    </row>
    <row r="89" spans="1:32" ht="16.5" thickTop="1" thickBot="1" x14ac:dyDescent="0.3">
      <c r="A89" s="130" t="s">
        <v>225</v>
      </c>
      <c r="B89" s="221" t="s">
        <v>218</v>
      </c>
      <c r="C89" s="184" t="s">
        <v>354</v>
      </c>
      <c r="D89" s="645">
        <v>64039.835899999998</v>
      </c>
      <c r="E89" s="702">
        <v>62348.597699999998</v>
      </c>
      <c r="F89" s="702">
        <v>90930.53</v>
      </c>
      <c r="G89" s="702">
        <v>81231.414099999995</v>
      </c>
      <c r="H89" s="702">
        <v>78521.7</v>
      </c>
      <c r="I89" s="702">
        <v>78847.520000000004</v>
      </c>
      <c r="J89" s="702">
        <v>65941.585900000005</v>
      </c>
      <c r="K89" s="702">
        <v>65656.259999999995</v>
      </c>
      <c r="L89" s="702">
        <v>61645.035199999998</v>
      </c>
      <c r="M89" s="702">
        <v>68372.89</v>
      </c>
      <c r="N89" s="701" t="s">
        <v>619</v>
      </c>
      <c r="O89" s="701" t="s">
        <v>619</v>
      </c>
      <c r="P89" s="701" t="s">
        <v>619</v>
      </c>
      <c r="Q89" s="644"/>
      <c r="R89" s="701" t="s">
        <v>619</v>
      </c>
      <c r="S89" s="701" t="s">
        <v>619</v>
      </c>
      <c r="T89" s="701" t="s">
        <v>619</v>
      </c>
      <c r="U89" s="701" t="s">
        <v>619</v>
      </c>
      <c r="V89" s="701" t="s">
        <v>619</v>
      </c>
      <c r="W89" s="701" t="s">
        <v>619</v>
      </c>
      <c r="X89" s="701" t="s">
        <v>619</v>
      </c>
      <c r="Y89" s="701" t="s">
        <v>619</v>
      </c>
      <c r="Z89" s="701" t="s">
        <v>619</v>
      </c>
      <c r="AA89" s="701" t="s">
        <v>619</v>
      </c>
      <c r="AB89" s="701" t="s">
        <v>619</v>
      </c>
      <c r="AC89" s="701" t="s">
        <v>619</v>
      </c>
      <c r="AD89" s="701" t="s">
        <v>619</v>
      </c>
      <c r="AF89" s="701" t="s">
        <v>619</v>
      </c>
    </row>
    <row r="90" spans="1:32" ht="16.5" thickTop="1" thickBot="1" x14ac:dyDescent="0.3">
      <c r="A90" s="130" t="s">
        <v>225</v>
      </c>
      <c r="B90" s="221" t="s">
        <v>218</v>
      </c>
      <c r="C90" s="184" t="s">
        <v>351</v>
      </c>
      <c r="D90" s="645">
        <v>4497.9449999999997</v>
      </c>
      <c r="E90" s="702">
        <v>7737.52</v>
      </c>
      <c r="F90" s="702">
        <v>9182.0450000000001</v>
      </c>
      <c r="G90" s="702">
        <v>13156.95</v>
      </c>
      <c r="H90" s="702">
        <v>14384.1553</v>
      </c>
      <c r="I90" s="702">
        <v>16194.9</v>
      </c>
      <c r="J90" s="702">
        <v>16992.1855</v>
      </c>
      <c r="K90" s="702">
        <v>13896.2148</v>
      </c>
      <c r="L90" s="702">
        <v>9711.6</v>
      </c>
      <c r="M90" s="702">
        <v>7156.35</v>
      </c>
      <c r="N90" s="701" t="s">
        <v>619</v>
      </c>
      <c r="O90" s="701" t="s">
        <v>619</v>
      </c>
      <c r="P90" s="701" t="s">
        <v>619</v>
      </c>
      <c r="Q90" s="644"/>
      <c r="R90" s="701" t="s">
        <v>619</v>
      </c>
      <c r="S90" s="701" t="s">
        <v>619</v>
      </c>
      <c r="T90" s="701" t="s">
        <v>619</v>
      </c>
      <c r="U90" s="701" t="s">
        <v>619</v>
      </c>
      <c r="V90" s="701" t="s">
        <v>619</v>
      </c>
      <c r="W90" s="701" t="s">
        <v>619</v>
      </c>
      <c r="X90" s="701" t="s">
        <v>619</v>
      </c>
      <c r="Y90" s="701" t="s">
        <v>619</v>
      </c>
      <c r="Z90" s="701" t="s">
        <v>619</v>
      </c>
      <c r="AA90" s="701" t="s">
        <v>619</v>
      </c>
      <c r="AB90" s="701" t="s">
        <v>619</v>
      </c>
      <c r="AC90" s="701" t="s">
        <v>619</v>
      </c>
      <c r="AD90" s="701" t="s">
        <v>619</v>
      </c>
      <c r="AF90" s="701" t="s">
        <v>619</v>
      </c>
    </row>
    <row r="91" spans="1:32" ht="16.5" thickTop="1" thickBot="1" x14ac:dyDescent="0.3">
      <c r="A91" s="130" t="s">
        <v>225</v>
      </c>
      <c r="B91" s="221" t="s">
        <v>218</v>
      </c>
      <c r="C91" s="184" t="s">
        <v>348</v>
      </c>
      <c r="D91" s="645">
        <v>50725.32</v>
      </c>
      <c r="E91" s="702">
        <v>56768.015599999999</v>
      </c>
      <c r="F91" s="702">
        <v>37128.400000000001</v>
      </c>
      <c r="G91" s="702">
        <v>63056.707000000002</v>
      </c>
      <c r="H91" s="702">
        <v>61430.636700000003</v>
      </c>
      <c r="I91" s="702">
        <v>70876.850000000006</v>
      </c>
      <c r="J91" s="702">
        <v>76506.94</v>
      </c>
      <c r="K91" s="702">
        <v>60837.4</v>
      </c>
      <c r="L91" s="702">
        <v>50889.867200000001</v>
      </c>
      <c r="M91" s="702">
        <v>45746.093800000002</v>
      </c>
      <c r="N91" s="701" t="s">
        <v>619</v>
      </c>
      <c r="O91" s="701" t="s">
        <v>619</v>
      </c>
      <c r="P91" s="701" t="s">
        <v>619</v>
      </c>
      <c r="Q91" s="644"/>
      <c r="R91" s="701" t="s">
        <v>619</v>
      </c>
      <c r="S91" s="701" t="s">
        <v>619</v>
      </c>
      <c r="T91" s="701" t="s">
        <v>619</v>
      </c>
      <c r="U91" s="701" t="s">
        <v>619</v>
      </c>
      <c r="V91" s="701" t="s">
        <v>619</v>
      </c>
      <c r="W91" s="701" t="s">
        <v>619</v>
      </c>
      <c r="X91" s="701" t="s">
        <v>619</v>
      </c>
      <c r="Y91" s="701" t="s">
        <v>619</v>
      </c>
      <c r="Z91" s="701" t="s">
        <v>619</v>
      </c>
      <c r="AA91" s="701" t="s">
        <v>619</v>
      </c>
      <c r="AB91" s="701" t="s">
        <v>619</v>
      </c>
      <c r="AC91" s="701" t="s">
        <v>619</v>
      </c>
      <c r="AD91" s="701" t="s">
        <v>619</v>
      </c>
      <c r="AF91" s="701" t="s">
        <v>619</v>
      </c>
    </row>
    <row r="92" spans="1:32" ht="16.5" thickTop="1" thickBot="1" x14ac:dyDescent="0.3">
      <c r="A92" s="130" t="s">
        <v>225</v>
      </c>
      <c r="B92" s="221" t="s">
        <v>218</v>
      </c>
      <c r="C92" s="184" t="s">
        <v>537</v>
      </c>
      <c r="D92" s="645">
        <v>142726.56053999998</v>
      </c>
      <c r="E92" s="702">
        <v>106153.14428000001</v>
      </c>
      <c r="F92" s="702">
        <v>115076.041</v>
      </c>
      <c r="G92" s="702">
        <v>116582.617</v>
      </c>
      <c r="H92" s="702">
        <v>116471.32012999999</v>
      </c>
      <c r="I92" s="702">
        <v>107341.52247</v>
      </c>
      <c r="J92" s="702">
        <v>97532.823440000007</v>
      </c>
      <c r="K92" s="702">
        <v>97614.913260000001</v>
      </c>
      <c r="L92" s="702">
        <v>101745.13282</v>
      </c>
      <c r="M92" s="702">
        <v>121322.46350000001</v>
      </c>
      <c r="N92" s="701" t="s">
        <v>619</v>
      </c>
      <c r="O92" s="701" t="s">
        <v>619</v>
      </c>
      <c r="P92" s="701" t="s">
        <v>619</v>
      </c>
      <c r="Q92" s="644"/>
      <c r="R92" s="701" t="s">
        <v>619</v>
      </c>
      <c r="S92" s="701" t="s">
        <v>619</v>
      </c>
      <c r="T92" s="701" t="s">
        <v>619</v>
      </c>
      <c r="U92" s="701" t="s">
        <v>619</v>
      </c>
      <c r="V92" s="701" t="s">
        <v>619</v>
      </c>
      <c r="W92" s="701" t="s">
        <v>619</v>
      </c>
      <c r="X92" s="701" t="s">
        <v>619</v>
      </c>
      <c r="Y92" s="701" t="s">
        <v>619</v>
      </c>
      <c r="Z92" s="701" t="s">
        <v>619</v>
      </c>
      <c r="AA92" s="701" t="s">
        <v>619</v>
      </c>
      <c r="AB92" s="701" t="s">
        <v>619</v>
      </c>
      <c r="AC92" s="701" t="s">
        <v>619</v>
      </c>
      <c r="AD92" s="701" t="s">
        <v>619</v>
      </c>
      <c r="AF92" s="701" t="s">
        <v>619</v>
      </c>
    </row>
    <row r="93" spans="1:32" ht="16.5" thickTop="1" thickBot="1" x14ac:dyDescent="0.3">
      <c r="A93" s="130" t="s">
        <v>225</v>
      </c>
      <c r="B93" s="221" t="s">
        <v>0</v>
      </c>
      <c r="C93" s="184" t="s">
        <v>350</v>
      </c>
      <c r="D93" s="645">
        <v>0</v>
      </c>
      <c r="E93" s="702">
        <v>0</v>
      </c>
      <c r="F93" s="702">
        <v>0</v>
      </c>
      <c r="G93" s="702">
        <v>0</v>
      </c>
      <c r="H93" s="702">
        <v>0</v>
      </c>
      <c r="I93" s="702">
        <v>0</v>
      </c>
      <c r="J93" s="702">
        <v>0</v>
      </c>
      <c r="K93" s="702">
        <v>0</v>
      </c>
      <c r="L93" s="702">
        <v>0</v>
      </c>
      <c r="M93" s="702">
        <v>0</v>
      </c>
      <c r="N93" s="701" t="s">
        <v>619</v>
      </c>
      <c r="O93" s="701" t="s">
        <v>619</v>
      </c>
      <c r="P93" s="701" t="s">
        <v>619</v>
      </c>
      <c r="Q93" s="644"/>
      <c r="R93" s="701" t="s">
        <v>619</v>
      </c>
      <c r="S93" s="701" t="s">
        <v>619</v>
      </c>
      <c r="T93" s="701" t="s">
        <v>619</v>
      </c>
      <c r="U93" s="701" t="s">
        <v>619</v>
      </c>
      <c r="V93" s="701" t="s">
        <v>619</v>
      </c>
      <c r="W93" s="701" t="s">
        <v>619</v>
      </c>
      <c r="X93" s="701" t="s">
        <v>619</v>
      </c>
      <c r="Y93" s="701" t="s">
        <v>619</v>
      </c>
      <c r="Z93" s="701" t="s">
        <v>619</v>
      </c>
      <c r="AA93" s="701" t="s">
        <v>619</v>
      </c>
      <c r="AB93" s="701" t="s">
        <v>619</v>
      </c>
      <c r="AC93" s="701" t="s">
        <v>619</v>
      </c>
      <c r="AD93" s="701" t="s">
        <v>619</v>
      </c>
      <c r="AF93" s="701" t="s">
        <v>619</v>
      </c>
    </row>
    <row r="94" spans="1:32" ht="16.5" thickTop="1" thickBot="1" x14ac:dyDescent="0.3">
      <c r="A94" s="130" t="s">
        <v>225</v>
      </c>
      <c r="B94" s="221">
        <v>555</v>
      </c>
      <c r="C94" s="184" t="s">
        <v>347</v>
      </c>
      <c r="D94" s="645">
        <v>29760</v>
      </c>
      <c r="E94" s="702">
        <v>26880</v>
      </c>
      <c r="F94" s="702">
        <v>29760</v>
      </c>
      <c r="G94" s="702">
        <v>28800</v>
      </c>
      <c r="H94" s="702">
        <v>29760</v>
      </c>
      <c r="I94" s="702">
        <v>28800</v>
      </c>
      <c r="J94" s="702">
        <v>29760</v>
      </c>
      <c r="K94" s="702">
        <v>29760</v>
      </c>
      <c r="L94" s="702">
        <v>28800</v>
      </c>
      <c r="M94" s="702">
        <v>29760</v>
      </c>
      <c r="N94" s="701" t="s">
        <v>619</v>
      </c>
      <c r="O94" s="701" t="s">
        <v>619</v>
      </c>
      <c r="P94" s="701" t="s">
        <v>619</v>
      </c>
      <c r="Q94" s="644"/>
      <c r="R94" s="701" t="s">
        <v>619</v>
      </c>
      <c r="S94" s="701" t="s">
        <v>619</v>
      </c>
      <c r="T94" s="701" t="s">
        <v>619</v>
      </c>
      <c r="U94" s="701" t="s">
        <v>619</v>
      </c>
      <c r="V94" s="701" t="s">
        <v>619</v>
      </c>
      <c r="W94" s="701" t="s">
        <v>619</v>
      </c>
      <c r="X94" s="701" t="s">
        <v>619</v>
      </c>
      <c r="Y94" s="701" t="s">
        <v>619</v>
      </c>
      <c r="Z94" s="701" t="s">
        <v>619</v>
      </c>
      <c r="AA94" s="701" t="s">
        <v>619</v>
      </c>
      <c r="AB94" s="701" t="s">
        <v>619</v>
      </c>
      <c r="AC94" s="701" t="s">
        <v>619</v>
      </c>
      <c r="AD94" s="701" t="s">
        <v>619</v>
      </c>
      <c r="AF94" s="701" t="s">
        <v>619</v>
      </c>
    </row>
    <row r="95" spans="1:32" ht="16.5" thickTop="1" thickBot="1" x14ac:dyDescent="0.3">
      <c r="A95" s="130" t="s">
        <v>225</v>
      </c>
      <c r="B95" s="221">
        <v>555</v>
      </c>
      <c r="C95" s="184" t="s">
        <v>358</v>
      </c>
      <c r="D95" s="645">
        <v>11699.4</v>
      </c>
      <c r="E95" s="702">
        <v>10567.2</v>
      </c>
      <c r="F95" s="702">
        <v>11699.4</v>
      </c>
      <c r="G95" s="702">
        <v>11322</v>
      </c>
      <c r="H95" s="702">
        <v>8258.4</v>
      </c>
      <c r="I95" s="702">
        <v>7992</v>
      </c>
      <c r="J95" s="702">
        <v>11699.4</v>
      </c>
      <c r="K95" s="702">
        <v>11699.4</v>
      </c>
      <c r="L95" s="702">
        <v>11322</v>
      </c>
      <c r="M95" s="702">
        <v>11699.4</v>
      </c>
      <c r="N95" s="701" t="s">
        <v>619</v>
      </c>
      <c r="O95" s="701" t="s">
        <v>619</v>
      </c>
      <c r="P95" s="701" t="s">
        <v>619</v>
      </c>
      <c r="Q95" s="644"/>
      <c r="R95" s="701" t="s">
        <v>619</v>
      </c>
      <c r="S95" s="701" t="s">
        <v>619</v>
      </c>
      <c r="T95" s="701" t="s">
        <v>619</v>
      </c>
      <c r="U95" s="701" t="s">
        <v>619</v>
      </c>
      <c r="V95" s="701" t="s">
        <v>619</v>
      </c>
      <c r="W95" s="701" t="s">
        <v>619</v>
      </c>
      <c r="X95" s="701" t="s">
        <v>619</v>
      </c>
      <c r="Y95" s="701" t="s">
        <v>619</v>
      </c>
      <c r="Z95" s="701" t="s">
        <v>619</v>
      </c>
      <c r="AA95" s="701" t="s">
        <v>619</v>
      </c>
      <c r="AB95" s="701" t="s">
        <v>619</v>
      </c>
      <c r="AC95" s="701" t="s">
        <v>619</v>
      </c>
      <c r="AD95" s="701" t="s">
        <v>619</v>
      </c>
      <c r="AF95" s="701" t="s">
        <v>619</v>
      </c>
    </row>
    <row r="96" spans="1:32" ht="16.5" thickTop="1" thickBot="1" x14ac:dyDescent="0.3">
      <c r="A96" s="130" t="s">
        <v>225</v>
      </c>
      <c r="B96" s="221">
        <v>555</v>
      </c>
      <c r="C96" s="184" t="s">
        <v>345</v>
      </c>
      <c r="D96" s="645">
        <v>40000</v>
      </c>
      <c r="E96" s="702">
        <v>38400</v>
      </c>
      <c r="F96" s="702">
        <v>43200</v>
      </c>
      <c r="G96" s="702">
        <v>0</v>
      </c>
      <c r="H96" s="702">
        <v>0</v>
      </c>
      <c r="I96" s="702">
        <v>0</v>
      </c>
      <c r="J96" s="702">
        <v>0</v>
      </c>
      <c r="K96" s="702">
        <v>0</v>
      </c>
      <c r="L96" s="702">
        <v>0</v>
      </c>
      <c r="M96" s="702">
        <v>41600</v>
      </c>
      <c r="N96" s="701" t="s">
        <v>619</v>
      </c>
      <c r="O96" s="701" t="s">
        <v>619</v>
      </c>
      <c r="P96" s="701" t="s">
        <v>619</v>
      </c>
      <c r="Q96" s="644"/>
      <c r="R96" s="701" t="s">
        <v>619</v>
      </c>
      <c r="S96" s="701" t="s">
        <v>619</v>
      </c>
      <c r="T96" s="701" t="s">
        <v>619</v>
      </c>
      <c r="U96" s="701" t="s">
        <v>619</v>
      </c>
      <c r="V96" s="701" t="s">
        <v>619</v>
      </c>
      <c r="W96" s="701" t="s">
        <v>619</v>
      </c>
      <c r="X96" s="701" t="s">
        <v>619</v>
      </c>
      <c r="Y96" s="701" t="s">
        <v>619</v>
      </c>
      <c r="Z96" s="701" t="s">
        <v>619</v>
      </c>
      <c r="AA96" s="701" t="s">
        <v>619</v>
      </c>
      <c r="AB96" s="701" t="s">
        <v>619</v>
      </c>
      <c r="AC96" s="701" t="s">
        <v>619</v>
      </c>
      <c r="AD96" s="701" t="s">
        <v>619</v>
      </c>
      <c r="AF96" s="701" t="s">
        <v>619</v>
      </c>
    </row>
    <row r="97" spans="1:32" ht="16.5" thickTop="1" thickBot="1" x14ac:dyDescent="0.3">
      <c r="A97" s="130" t="s">
        <v>225</v>
      </c>
      <c r="B97" s="221">
        <v>555</v>
      </c>
      <c r="C97" s="184" t="s">
        <v>19</v>
      </c>
      <c r="D97" s="708">
        <v>1750.03772</v>
      </c>
      <c r="E97" s="706">
        <v>1750.0224599999999</v>
      </c>
      <c r="F97" s="706">
        <v>0</v>
      </c>
      <c r="G97" s="706">
        <v>0</v>
      </c>
      <c r="H97" s="706">
        <v>0</v>
      </c>
      <c r="I97" s="706">
        <v>0</v>
      </c>
      <c r="J97" s="706">
        <v>0</v>
      </c>
      <c r="K97" s="706">
        <v>0</v>
      </c>
      <c r="L97" s="706">
        <v>0</v>
      </c>
      <c r="M97" s="706">
        <v>0</v>
      </c>
      <c r="N97" s="706">
        <v>1750.0328400000001</v>
      </c>
      <c r="O97" s="706">
        <v>1750.03772</v>
      </c>
      <c r="P97" s="649">
        <v>7000.1307400000005</v>
      </c>
      <c r="Q97" s="648"/>
      <c r="R97" s="709">
        <v>0</v>
      </c>
      <c r="S97" s="706">
        <v>0</v>
      </c>
      <c r="T97" s="706">
        <v>0</v>
      </c>
      <c r="U97" s="706">
        <v>0</v>
      </c>
      <c r="V97" s="706">
        <v>0</v>
      </c>
      <c r="W97" s="706">
        <v>1750</v>
      </c>
      <c r="X97" s="706">
        <v>1750</v>
      </c>
      <c r="Y97" s="706">
        <v>1750</v>
      </c>
      <c r="Z97" s="706">
        <v>1750</v>
      </c>
      <c r="AA97" s="706">
        <v>0</v>
      </c>
      <c r="AB97" s="706">
        <v>0</v>
      </c>
      <c r="AC97" s="706">
        <v>0</v>
      </c>
      <c r="AD97" s="739">
        <v>7000</v>
      </c>
      <c r="AF97" s="647">
        <v>0.13074000000051456</v>
      </c>
    </row>
    <row r="98" spans="1:32" ht="16.5" thickTop="1" thickBot="1" x14ac:dyDescent="0.3">
      <c r="A98" s="130" t="s">
        <v>225</v>
      </c>
      <c r="B98" s="221">
        <v>555</v>
      </c>
      <c r="C98" s="184" t="s">
        <v>44</v>
      </c>
      <c r="D98" s="710">
        <v>-5.1226553900000003</v>
      </c>
      <c r="E98" s="711">
        <v>-61.610462200000001</v>
      </c>
      <c r="F98" s="711">
        <v>-51.382862099999997</v>
      </c>
      <c r="G98" s="711">
        <v>-36.854377700000001</v>
      </c>
      <c r="H98" s="711">
        <v>-15.578341500000001</v>
      </c>
      <c r="I98" s="711">
        <v>-6.8104276700000002</v>
      </c>
      <c r="J98" s="711">
        <v>-14.8490038</v>
      </c>
      <c r="K98" s="711">
        <v>-15.7356386</v>
      </c>
      <c r="L98" s="711">
        <v>-55.365242000000002</v>
      </c>
      <c r="M98" s="711">
        <v>-20.3144779</v>
      </c>
      <c r="N98" s="701" t="s">
        <v>619</v>
      </c>
      <c r="O98" s="701" t="s">
        <v>619</v>
      </c>
      <c r="P98" s="701" t="s">
        <v>619</v>
      </c>
      <c r="Q98" s="701"/>
      <c r="R98" s="701" t="s">
        <v>619</v>
      </c>
      <c r="S98" s="701" t="s">
        <v>619</v>
      </c>
      <c r="T98" s="701" t="s">
        <v>619</v>
      </c>
      <c r="U98" s="701" t="s">
        <v>619</v>
      </c>
      <c r="V98" s="701" t="s">
        <v>619</v>
      </c>
      <c r="W98" s="701" t="s">
        <v>619</v>
      </c>
      <c r="X98" s="701" t="s">
        <v>619</v>
      </c>
      <c r="Y98" s="701" t="s">
        <v>619</v>
      </c>
      <c r="Z98" s="701" t="s">
        <v>619</v>
      </c>
      <c r="AA98" s="701" t="s">
        <v>619</v>
      </c>
      <c r="AB98" s="701" t="s">
        <v>619</v>
      </c>
      <c r="AC98" s="701" t="s">
        <v>619</v>
      </c>
      <c r="AD98" s="701" t="s">
        <v>619</v>
      </c>
      <c r="AE98" s="701" t="s">
        <v>619</v>
      </c>
      <c r="AF98" s="701" t="s">
        <v>619</v>
      </c>
    </row>
    <row r="99" spans="1:32" ht="16.5" thickTop="1" thickBot="1" x14ac:dyDescent="0.3">
      <c r="A99" s="130" t="s">
        <v>225</v>
      </c>
      <c r="B99" s="221">
        <v>555</v>
      </c>
      <c r="C99" s="184" t="s">
        <v>4</v>
      </c>
      <c r="D99" s="705">
        <v>52526.162899999996</v>
      </c>
      <c r="E99" s="706">
        <v>45478.853499999997</v>
      </c>
      <c r="F99" s="706">
        <v>0</v>
      </c>
      <c r="G99" s="706">
        <v>0</v>
      </c>
      <c r="H99" s="706">
        <v>0</v>
      </c>
      <c r="I99" s="706">
        <v>-56223.744400000003</v>
      </c>
      <c r="J99" s="706">
        <v>-105486.395</v>
      </c>
      <c r="K99" s="706">
        <v>-136797.25</v>
      </c>
      <c r="L99" s="706">
        <v>-114492.6056</v>
      </c>
      <c r="M99" s="706">
        <v>0</v>
      </c>
      <c r="N99" s="706">
        <v>129936.2775</v>
      </c>
      <c r="O99" s="706">
        <v>185058.70500000002</v>
      </c>
      <c r="P99" s="647">
        <v>3.8999999815132469E-3</v>
      </c>
      <c r="Q99" s="647"/>
      <c r="R99" s="705">
        <v>-56223.745400000087</v>
      </c>
      <c r="S99" s="706">
        <v>-105486.39699999988</v>
      </c>
      <c r="T99" s="706">
        <v>-136797.25360000017</v>
      </c>
      <c r="U99" s="706">
        <v>-114492.60150000008</v>
      </c>
      <c r="V99" s="706">
        <v>0</v>
      </c>
      <c r="W99" s="706">
        <v>129936.27749999991</v>
      </c>
      <c r="X99" s="706">
        <v>185058.70500000005</v>
      </c>
      <c r="Y99" s="706">
        <v>52526.158199999954</v>
      </c>
      <c r="Z99" s="706">
        <v>45478.853500000063</v>
      </c>
      <c r="AA99" s="706">
        <v>0</v>
      </c>
      <c r="AB99" s="706">
        <v>0</v>
      </c>
      <c r="AC99" s="706">
        <v>0</v>
      </c>
      <c r="AD99" s="648">
        <v>-3.300000200397335E-3</v>
      </c>
      <c r="AF99" s="647">
        <v>7.2000001819105819E-3</v>
      </c>
    </row>
    <row r="100" spans="1:32" ht="16.5" thickTop="1" thickBot="1" x14ac:dyDescent="0.3">
      <c r="A100" s="130" t="s">
        <v>225</v>
      </c>
      <c r="B100" s="221">
        <v>555</v>
      </c>
      <c r="C100" s="184" t="s">
        <v>593</v>
      </c>
      <c r="D100" s="710">
        <v>0</v>
      </c>
      <c r="E100" s="711">
        <v>0</v>
      </c>
      <c r="F100" s="711">
        <v>0</v>
      </c>
      <c r="G100" s="711">
        <v>0</v>
      </c>
      <c r="H100" s="711">
        <v>0</v>
      </c>
      <c r="I100" s="711">
        <v>120000</v>
      </c>
      <c r="J100" s="711">
        <v>124000</v>
      </c>
      <c r="K100" s="711">
        <v>124000</v>
      </c>
      <c r="L100" s="711">
        <v>120000</v>
      </c>
      <c r="M100" s="711">
        <v>0</v>
      </c>
      <c r="N100" s="701" t="s">
        <v>619</v>
      </c>
      <c r="O100" s="701" t="s">
        <v>619</v>
      </c>
      <c r="P100" s="701" t="s">
        <v>619</v>
      </c>
      <c r="Q100" s="644"/>
      <c r="R100" s="701" t="s">
        <v>619</v>
      </c>
      <c r="S100" s="701" t="s">
        <v>619</v>
      </c>
      <c r="T100" s="701" t="s">
        <v>619</v>
      </c>
      <c r="U100" s="701" t="s">
        <v>619</v>
      </c>
      <c r="V100" s="701" t="s">
        <v>619</v>
      </c>
      <c r="W100" s="701" t="s">
        <v>619</v>
      </c>
      <c r="X100" s="701" t="s">
        <v>619</v>
      </c>
      <c r="Y100" s="701" t="s">
        <v>619</v>
      </c>
      <c r="Z100" s="701" t="s">
        <v>619</v>
      </c>
      <c r="AA100" s="701" t="s">
        <v>619</v>
      </c>
      <c r="AB100" s="701" t="s">
        <v>619</v>
      </c>
      <c r="AC100" s="701" t="s">
        <v>619</v>
      </c>
      <c r="AD100" s="701" t="s">
        <v>619</v>
      </c>
      <c r="AE100" s="701" t="s">
        <v>619</v>
      </c>
      <c r="AF100" s="701" t="s">
        <v>619</v>
      </c>
    </row>
    <row r="101" spans="1:32" thickTop="1" x14ac:dyDescent="0.25">
      <c r="A101" s="130" t="s">
        <v>225</v>
      </c>
      <c r="B101" s="221">
        <v>555</v>
      </c>
      <c r="C101" s="184" t="s">
        <v>355</v>
      </c>
      <c r="D101" s="707">
        <v>2499.84</v>
      </c>
      <c r="E101" s="706">
        <v>2009.28</v>
      </c>
      <c r="F101" s="706">
        <v>2031.12</v>
      </c>
      <c r="G101" s="706">
        <v>1584</v>
      </c>
      <c r="H101" s="706">
        <v>1354.08</v>
      </c>
      <c r="I101" s="706">
        <v>1202.4000000000001</v>
      </c>
      <c r="J101" s="706">
        <v>1324.32</v>
      </c>
      <c r="K101" s="706">
        <v>1316.88</v>
      </c>
      <c r="L101" s="706">
        <v>1238.4000000000001</v>
      </c>
      <c r="M101" s="706">
        <v>1480.56</v>
      </c>
      <c r="N101" s="706">
        <v>2066.4</v>
      </c>
      <c r="O101" s="706">
        <v>2544.48</v>
      </c>
      <c r="P101" s="647">
        <v>20651.759999999998</v>
      </c>
      <c r="Q101" s="647"/>
      <c r="R101" s="707">
        <v>1202.399999999999</v>
      </c>
      <c r="S101" s="706">
        <v>1324.3200000000027</v>
      </c>
      <c r="T101" s="706">
        <v>1316.8800000000012</v>
      </c>
      <c r="U101" s="706">
        <v>1238.3999999999987</v>
      </c>
      <c r="V101" s="706">
        <v>1480.5599999999986</v>
      </c>
      <c r="W101" s="706">
        <v>2066.3999999999969</v>
      </c>
      <c r="X101" s="706">
        <v>2544.4800000000027</v>
      </c>
      <c r="Y101" s="706">
        <v>2499.8399999999974</v>
      </c>
      <c r="Z101" s="706">
        <v>2009.2799999999993</v>
      </c>
      <c r="AA101" s="706">
        <v>2031.1199999999976</v>
      </c>
      <c r="AB101" s="706">
        <v>1584</v>
      </c>
      <c r="AC101" s="706">
        <v>1354.0800000000013</v>
      </c>
      <c r="AD101" s="648">
        <v>20651.759999999998</v>
      </c>
      <c r="AF101" s="647">
        <v>0</v>
      </c>
    </row>
    <row r="102" spans="1:32" ht="15" x14ac:dyDescent="0.25">
      <c r="A102" s="130" t="s">
        <v>225</v>
      </c>
      <c r="B102" s="221" t="s">
        <v>0</v>
      </c>
      <c r="C102" s="184" t="s">
        <v>352</v>
      </c>
      <c r="D102" s="707">
        <v>3037.49316</v>
      </c>
      <c r="E102" s="706">
        <v>1744.74182</v>
      </c>
      <c r="F102" s="706">
        <v>1717.6868899999999</v>
      </c>
      <c r="G102" s="706">
        <v>3454.18921</v>
      </c>
      <c r="H102" s="706">
        <v>6914.3076199999996</v>
      </c>
      <c r="I102" s="706">
        <v>6479.9785199999997</v>
      </c>
      <c r="J102" s="706">
        <v>4378.1940000000004</v>
      </c>
      <c r="K102" s="706">
        <v>1992.06</v>
      </c>
      <c r="L102" s="706">
        <v>1976.4661900000001</v>
      </c>
      <c r="M102" s="706">
        <v>3644.14185</v>
      </c>
      <c r="N102" s="706">
        <v>3703.60376</v>
      </c>
      <c r="O102" s="706">
        <v>2121.2341299999998</v>
      </c>
      <c r="P102" s="647">
        <v>41164.097150000001</v>
      </c>
      <c r="Q102" s="647"/>
      <c r="R102" s="707">
        <v>6479.9785200000033</v>
      </c>
      <c r="S102" s="706">
        <v>4378.1940000000013</v>
      </c>
      <c r="T102" s="706">
        <v>1992.0599999999984</v>
      </c>
      <c r="U102" s="706">
        <v>1976.4661900000035</v>
      </c>
      <c r="V102" s="706">
        <v>3644.1418500000082</v>
      </c>
      <c r="W102" s="706">
        <v>3703.6037600000018</v>
      </c>
      <c r="X102" s="706">
        <v>2121.234129999998</v>
      </c>
      <c r="Y102" s="706">
        <v>3037.493160000005</v>
      </c>
      <c r="Z102" s="706">
        <v>1744.7418199999981</v>
      </c>
      <c r="AA102" s="706">
        <v>1717.6868899999986</v>
      </c>
      <c r="AB102" s="706">
        <v>3454.1892100000032</v>
      </c>
      <c r="AC102" s="706">
        <v>6914.3076199999905</v>
      </c>
      <c r="AD102" s="648">
        <v>41164.097150000009</v>
      </c>
      <c r="AF102" s="647">
        <v>0</v>
      </c>
    </row>
    <row r="103" spans="1:32" ht="15" x14ac:dyDescent="0.25">
      <c r="A103" s="130" t="s">
        <v>225</v>
      </c>
      <c r="B103" s="221" t="s">
        <v>0</v>
      </c>
      <c r="C103" s="184" t="s">
        <v>359</v>
      </c>
      <c r="D103" s="707">
        <v>7929.7006799999999</v>
      </c>
      <c r="E103" s="706">
        <v>6936.1149999999998</v>
      </c>
      <c r="F103" s="706">
        <v>7406.3710000000001</v>
      </c>
      <c r="G103" s="706">
        <v>10740.3838</v>
      </c>
      <c r="H103" s="706">
        <v>11090.3613</v>
      </c>
      <c r="I103" s="706">
        <v>7075.152</v>
      </c>
      <c r="J103" s="706">
        <v>2060.5825199999999</v>
      </c>
      <c r="K103" s="706">
        <v>87.345600000000005</v>
      </c>
      <c r="L103" s="706">
        <v>1194.336</v>
      </c>
      <c r="M103" s="706">
        <v>4153.7520000000004</v>
      </c>
      <c r="N103" s="706">
        <v>7042.7520000000004</v>
      </c>
      <c r="O103" s="706">
        <v>6274.152</v>
      </c>
      <c r="P103" s="647">
        <v>71991.003900000011</v>
      </c>
      <c r="Q103" s="647"/>
      <c r="R103" s="707">
        <v>7075.152</v>
      </c>
      <c r="S103" s="706">
        <v>2060.5825199999972</v>
      </c>
      <c r="T103" s="706">
        <v>87.345599999999905</v>
      </c>
      <c r="U103" s="706">
        <v>1194.3359999999996</v>
      </c>
      <c r="V103" s="706">
        <v>4153.7520000000004</v>
      </c>
      <c r="W103" s="706">
        <v>7042.7519999999913</v>
      </c>
      <c r="X103" s="706">
        <v>6274.152000000001</v>
      </c>
      <c r="Y103" s="706">
        <v>7929.7006800000063</v>
      </c>
      <c r="Z103" s="706">
        <v>6936.1149999999934</v>
      </c>
      <c r="AA103" s="706">
        <v>7406.3710000000019</v>
      </c>
      <c r="AB103" s="706">
        <v>10740.383799999985</v>
      </c>
      <c r="AC103" s="706">
        <v>11090.361299999993</v>
      </c>
      <c r="AD103" s="648">
        <v>71991.003899999967</v>
      </c>
      <c r="AF103" s="647">
        <v>0</v>
      </c>
    </row>
    <row r="104" spans="1:32" ht="15" x14ac:dyDescent="0.25">
      <c r="A104" s="130" t="s">
        <v>225</v>
      </c>
      <c r="B104" s="221" t="s">
        <v>0</v>
      </c>
      <c r="C104" s="184" t="s">
        <v>360</v>
      </c>
      <c r="D104" s="707">
        <v>0</v>
      </c>
      <c r="E104" s="706">
        <v>0</v>
      </c>
      <c r="F104" s="706">
        <v>0</v>
      </c>
      <c r="G104" s="706">
        <v>0</v>
      </c>
      <c r="H104" s="706">
        <v>0</v>
      </c>
      <c r="I104" s="706">
        <v>0</v>
      </c>
      <c r="J104" s="706">
        <v>0</v>
      </c>
      <c r="K104" s="706">
        <v>0</v>
      </c>
      <c r="L104" s="706">
        <v>0</v>
      </c>
      <c r="M104" s="706">
        <v>0</v>
      </c>
      <c r="N104" s="706">
        <v>0</v>
      </c>
      <c r="O104" s="706">
        <v>0</v>
      </c>
      <c r="P104" s="647">
        <v>0</v>
      </c>
      <c r="Q104" s="647"/>
      <c r="R104" s="707">
        <v>1353.4819299999986</v>
      </c>
      <c r="S104" s="706">
        <v>392.54929999999956</v>
      </c>
      <c r="T104" s="706">
        <v>13.07356830000001</v>
      </c>
      <c r="U104" s="706">
        <v>59.980319999999985</v>
      </c>
      <c r="V104" s="706">
        <v>642.38446000000067</v>
      </c>
      <c r="W104" s="706">
        <v>1276.8753699999986</v>
      </c>
      <c r="X104" s="706">
        <v>1140.6174299999989</v>
      </c>
      <c r="Y104" s="706">
        <v>1466.8407000000004</v>
      </c>
      <c r="Z104" s="706">
        <v>1270.421390000002</v>
      </c>
      <c r="AA104" s="706">
        <v>1376.8999999999983</v>
      </c>
      <c r="AB104" s="706">
        <v>2066.5224600000047</v>
      </c>
      <c r="AC104" s="706">
        <v>2180.3425299999972</v>
      </c>
      <c r="AD104" s="648">
        <v>13239.989458300002</v>
      </c>
      <c r="AF104" s="647">
        <v>-13239.989458300002</v>
      </c>
    </row>
    <row r="105" spans="1:32" thickBot="1" x14ac:dyDescent="0.3">
      <c r="A105" s="130" t="s">
        <v>225</v>
      </c>
      <c r="B105" s="221">
        <v>555</v>
      </c>
      <c r="C105" s="184" t="s">
        <v>356</v>
      </c>
      <c r="D105" s="709">
        <v>8730.1833999999999</v>
      </c>
      <c r="E105" s="706">
        <v>8423.7358899999999</v>
      </c>
      <c r="F105" s="706">
        <v>10277.69824</v>
      </c>
      <c r="G105" s="706">
        <v>10850.122460000001</v>
      </c>
      <c r="H105" s="706">
        <v>12301.17145</v>
      </c>
      <c r="I105" s="706">
        <v>11699.817999999999</v>
      </c>
      <c r="J105" s="706">
        <v>12114.465349999999</v>
      </c>
      <c r="K105" s="706">
        <v>11169.958589999998</v>
      </c>
      <c r="L105" s="706">
        <v>9865.4463400000004</v>
      </c>
      <c r="M105" s="706">
        <v>9207.9647800000002</v>
      </c>
      <c r="N105" s="706">
        <v>8760.2711899999995</v>
      </c>
      <c r="O105" s="706">
        <v>8289.3078000000005</v>
      </c>
      <c r="P105" s="647">
        <v>121690.14348999997</v>
      </c>
      <c r="Q105" s="647"/>
      <c r="R105" s="709">
        <v>17186.399999999991</v>
      </c>
      <c r="S105" s="706">
        <v>17803.919999999991</v>
      </c>
      <c r="T105" s="706">
        <v>17089.68</v>
      </c>
      <c r="U105" s="706">
        <v>14961.599999999997</v>
      </c>
      <c r="V105" s="706">
        <v>13987.199999999979</v>
      </c>
      <c r="W105" s="706">
        <v>13111.199999999983</v>
      </c>
      <c r="X105" s="706">
        <v>12171.839999999993</v>
      </c>
      <c r="Y105" s="706">
        <v>7945.9200000000028</v>
      </c>
      <c r="Z105" s="706">
        <v>7647.3599999999888</v>
      </c>
      <c r="AA105" s="706">
        <v>9738.9599999999937</v>
      </c>
      <c r="AB105" s="706">
        <v>10735.199999999986</v>
      </c>
      <c r="AC105" s="706">
        <v>12082.560000000025</v>
      </c>
      <c r="AD105" s="648">
        <v>154461.83999999994</v>
      </c>
      <c r="AF105" s="647">
        <v>-32771.696509999965</v>
      </c>
    </row>
    <row r="106" spans="1:32" ht="16.5" thickTop="1" thickBot="1" x14ac:dyDescent="0.3">
      <c r="A106" s="130" t="s">
        <v>225</v>
      </c>
      <c r="B106" s="221">
        <v>447</v>
      </c>
      <c r="C106" s="184" t="s">
        <v>49</v>
      </c>
      <c r="D106" s="700">
        <v>0</v>
      </c>
      <c r="E106" s="701">
        <v>0</v>
      </c>
      <c r="F106" s="701">
        <v>0</v>
      </c>
      <c r="G106" s="701">
        <v>0</v>
      </c>
      <c r="H106" s="701">
        <v>0</v>
      </c>
      <c r="I106" s="701">
        <v>0</v>
      </c>
      <c r="J106" s="701">
        <v>0</v>
      </c>
      <c r="K106" s="701">
        <v>0</v>
      </c>
      <c r="L106" s="701">
        <v>0</v>
      </c>
      <c r="M106" s="701">
        <v>0</v>
      </c>
      <c r="N106" s="701" t="s">
        <v>619</v>
      </c>
      <c r="O106" s="701" t="s">
        <v>619</v>
      </c>
      <c r="P106" s="701" t="s">
        <v>619</v>
      </c>
      <c r="Q106" s="644"/>
      <c r="R106" s="701" t="s">
        <v>619</v>
      </c>
      <c r="S106" s="701" t="s">
        <v>619</v>
      </c>
      <c r="T106" s="701" t="s">
        <v>619</v>
      </c>
      <c r="U106" s="701" t="s">
        <v>619</v>
      </c>
      <c r="V106" s="701" t="s">
        <v>619</v>
      </c>
      <c r="W106" s="701" t="s">
        <v>619</v>
      </c>
      <c r="X106" s="701" t="s">
        <v>619</v>
      </c>
      <c r="Y106" s="701" t="s">
        <v>619</v>
      </c>
      <c r="Z106" s="701" t="s">
        <v>619</v>
      </c>
      <c r="AA106" s="701" t="s">
        <v>619</v>
      </c>
      <c r="AB106" s="701" t="s">
        <v>619</v>
      </c>
      <c r="AC106" s="701" t="s">
        <v>619</v>
      </c>
      <c r="AD106" s="701" t="s">
        <v>619</v>
      </c>
      <c r="AE106" s="701" t="s">
        <v>619</v>
      </c>
      <c r="AF106" s="701" t="s">
        <v>619</v>
      </c>
    </row>
    <row r="107" spans="1:32" ht="16.5" thickTop="1" thickBot="1" x14ac:dyDescent="0.3">
      <c r="A107" s="130" t="s">
        <v>225</v>
      </c>
      <c r="B107" s="221">
        <v>555</v>
      </c>
      <c r="C107" s="184" t="s">
        <v>50</v>
      </c>
      <c r="D107" s="645">
        <v>10000</v>
      </c>
      <c r="E107" s="702">
        <v>9600</v>
      </c>
      <c r="F107" s="702">
        <v>10800</v>
      </c>
      <c r="G107" s="702">
        <v>0</v>
      </c>
      <c r="H107" s="702">
        <v>0</v>
      </c>
      <c r="I107" s="702">
        <v>0</v>
      </c>
      <c r="J107" s="702">
        <v>0</v>
      </c>
      <c r="K107" s="702">
        <v>0</v>
      </c>
      <c r="L107" s="702">
        <v>0</v>
      </c>
      <c r="M107" s="702">
        <v>0</v>
      </c>
      <c r="N107" s="701" t="s">
        <v>619</v>
      </c>
      <c r="O107" s="701" t="s">
        <v>619</v>
      </c>
      <c r="P107" s="701" t="s">
        <v>619</v>
      </c>
      <c r="Q107" s="644"/>
      <c r="R107" s="701" t="s">
        <v>619</v>
      </c>
      <c r="S107" s="701" t="s">
        <v>619</v>
      </c>
      <c r="T107" s="701" t="s">
        <v>619</v>
      </c>
      <c r="U107" s="701" t="s">
        <v>619</v>
      </c>
      <c r="V107" s="701" t="s">
        <v>619</v>
      </c>
      <c r="W107" s="701" t="s">
        <v>619</v>
      </c>
      <c r="X107" s="701" t="s">
        <v>619</v>
      </c>
      <c r="Y107" s="701" t="s">
        <v>619</v>
      </c>
      <c r="Z107" s="701" t="s">
        <v>619</v>
      </c>
      <c r="AA107" s="701" t="s">
        <v>619</v>
      </c>
      <c r="AB107" s="701" t="s">
        <v>619</v>
      </c>
      <c r="AC107" s="701" t="s">
        <v>619</v>
      </c>
      <c r="AD107" s="701" t="s">
        <v>619</v>
      </c>
      <c r="AE107" s="701" t="s">
        <v>619</v>
      </c>
      <c r="AF107" s="701" t="s">
        <v>619</v>
      </c>
    </row>
    <row r="108" spans="1:32" ht="16.5" thickTop="1" thickBot="1" x14ac:dyDescent="0.3">
      <c r="A108" s="130" t="s">
        <v>225</v>
      </c>
      <c r="B108" s="221" t="s">
        <v>2</v>
      </c>
      <c r="C108" s="184" t="s">
        <v>569</v>
      </c>
      <c r="D108" s="645">
        <v>519376.875</v>
      </c>
      <c r="E108" s="702">
        <v>264579.59999999998</v>
      </c>
      <c r="F108" s="702">
        <v>487774.6</v>
      </c>
      <c r="G108" s="702">
        <v>347063.93800000002</v>
      </c>
      <c r="H108" s="702">
        <v>251231.766</v>
      </c>
      <c r="I108" s="702">
        <v>64700.367200000001</v>
      </c>
      <c r="J108" s="702">
        <v>7949.7569999999996</v>
      </c>
      <c r="K108" s="702">
        <v>13294.5137</v>
      </c>
      <c r="L108" s="702">
        <v>2533.7595200000001</v>
      </c>
      <c r="M108" s="702">
        <v>52510.8</v>
      </c>
      <c r="N108" s="701" t="s">
        <v>619</v>
      </c>
      <c r="O108" s="701" t="s">
        <v>619</v>
      </c>
      <c r="P108" s="701" t="s">
        <v>619</v>
      </c>
      <c r="Q108" s="644"/>
      <c r="R108" s="701" t="s">
        <v>619</v>
      </c>
      <c r="S108" s="701" t="s">
        <v>619</v>
      </c>
      <c r="T108" s="701" t="s">
        <v>619</v>
      </c>
      <c r="U108" s="701" t="s">
        <v>619</v>
      </c>
      <c r="V108" s="701" t="s">
        <v>619</v>
      </c>
      <c r="W108" s="701" t="s">
        <v>619</v>
      </c>
      <c r="X108" s="701" t="s">
        <v>619</v>
      </c>
      <c r="Y108" s="701" t="s">
        <v>619</v>
      </c>
      <c r="Z108" s="701" t="s">
        <v>619</v>
      </c>
      <c r="AA108" s="701" t="s">
        <v>619</v>
      </c>
      <c r="AB108" s="701" t="s">
        <v>619</v>
      </c>
      <c r="AC108" s="701" t="s">
        <v>619</v>
      </c>
      <c r="AD108" s="701" t="s">
        <v>619</v>
      </c>
      <c r="AE108" s="701" t="s">
        <v>619</v>
      </c>
      <c r="AF108" s="701" t="s">
        <v>619</v>
      </c>
    </row>
    <row r="109" spans="1:32" ht="16.5" thickTop="1" thickBot="1" x14ac:dyDescent="0.3">
      <c r="A109" s="130" t="s">
        <v>225</v>
      </c>
      <c r="B109" s="306">
        <v>447</v>
      </c>
      <c r="C109" s="184" t="s">
        <v>568</v>
      </c>
      <c r="D109" s="645">
        <v>-7120.3696300000001</v>
      </c>
      <c r="E109" s="702">
        <v>-117243.8</v>
      </c>
      <c r="F109" s="702">
        <v>-42506.265599999999</v>
      </c>
      <c r="G109" s="702">
        <v>-83534.84</v>
      </c>
      <c r="H109" s="702">
        <v>-55555.37</v>
      </c>
      <c r="I109" s="702">
        <v>-221595.375</v>
      </c>
      <c r="J109" s="702">
        <v>-416146.75</v>
      </c>
      <c r="K109" s="702">
        <v>-504104.7</v>
      </c>
      <c r="L109" s="702">
        <v>-470187.96899999998</v>
      </c>
      <c r="M109" s="702">
        <v>-306618.71899999998</v>
      </c>
      <c r="N109" s="701" t="s">
        <v>619</v>
      </c>
      <c r="O109" s="701" t="s">
        <v>619</v>
      </c>
      <c r="P109" s="701" t="s">
        <v>619</v>
      </c>
      <c r="Q109" s="644"/>
      <c r="R109" s="701" t="s">
        <v>619</v>
      </c>
      <c r="S109" s="701" t="s">
        <v>619</v>
      </c>
      <c r="T109" s="701" t="s">
        <v>619</v>
      </c>
      <c r="U109" s="701" t="s">
        <v>619</v>
      </c>
      <c r="V109" s="701" t="s">
        <v>619</v>
      </c>
      <c r="W109" s="701" t="s">
        <v>619</v>
      </c>
      <c r="X109" s="701" t="s">
        <v>619</v>
      </c>
      <c r="Y109" s="701" t="s">
        <v>619</v>
      </c>
      <c r="Z109" s="701" t="s">
        <v>619</v>
      </c>
      <c r="AA109" s="701" t="s">
        <v>619</v>
      </c>
      <c r="AB109" s="701" t="s">
        <v>619</v>
      </c>
      <c r="AC109" s="701" t="s">
        <v>619</v>
      </c>
      <c r="AD109" s="701" t="s">
        <v>619</v>
      </c>
      <c r="AE109" s="701" t="s">
        <v>619</v>
      </c>
      <c r="AF109" s="701" t="s">
        <v>619</v>
      </c>
    </row>
    <row r="110" spans="1:32" ht="16.5" thickTop="1" thickBot="1" x14ac:dyDescent="0.3">
      <c r="A110" s="130" t="s">
        <v>225</v>
      </c>
      <c r="B110" s="221" t="s">
        <v>2</v>
      </c>
      <c r="C110" s="184" t="s">
        <v>566</v>
      </c>
      <c r="D110" s="645">
        <v>52711.6</v>
      </c>
      <c r="E110" s="702">
        <v>116316.04700000001</v>
      </c>
      <c r="F110" s="702">
        <v>80821.515599999999</v>
      </c>
      <c r="G110" s="702">
        <v>61990.976600000002</v>
      </c>
      <c r="H110" s="702">
        <v>49459.925799999997</v>
      </c>
      <c r="I110" s="702">
        <v>46495.617200000001</v>
      </c>
      <c r="J110" s="702">
        <v>42236.14</v>
      </c>
      <c r="K110" s="702">
        <v>64168.394500000002</v>
      </c>
      <c r="L110" s="702">
        <v>88780.479999999996</v>
      </c>
      <c r="M110" s="702">
        <v>140865.06299999999</v>
      </c>
      <c r="N110" s="701" t="s">
        <v>619</v>
      </c>
      <c r="O110" s="701" t="s">
        <v>619</v>
      </c>
      <c r="P110" s="701" t="s">
        <v>619</v>
      </c>
      <c r="Q110" s="644"/>
      <c r="R110" s="701" t="s">
        <v>619</v>
      </c>
      <c r="S110" s="701" t="s">
        <v>619</v>
      </c>
      <c r="T110" s="701" t="s">
        <v>619</v>
      </c>
      <c r="U110" s="701" t="s">
        <v>619</v>
      </c>
      <c r="V110" s="701" t="s">
        <v>619</v>
      </c>
      <c r="W110" s="701" t="s">
        <v>619</v>
      </c>
      <c r="X110" s="701" t="s">
        <v>619</v>
      </c>
      <c r="Y110" s="701" t="s">
        <v>619</v>
      </c>
      <c r="Z110" s="701" t="s">
        <v>619</v>
      </c>
      <c r="AA110" s="701" t="s">
        <v>619</v>
      </c>
      <c r="AB110" s="701" t="s">
        <v>619</v>
      </c>
      <c r="AC110" s="701" t="s">
        <v>619</v>
      </c>
      <c r="AD110" s="701" t="s">
        <v>619</v>
      </c>
      <c r="AE110" s="701" t="s">
        <v>619</v>
      </c>
      <c r="AF110" s="701" t="s">
        <v>619</v>
      </c>
    </row>
    <row r="111" spans="1:32" s="39" customFormat="1" ht="16.5" thickTop="1" thickBot="1" x14ac:dyDescent="0.3">
      <c r="A111" s="220" t="s">
        <v>225</v>
      </c>
      <c r="B111" s="306">
        <v>447</v>
      </c>
      <c r="C111" s="184" t="s">
        <v>567</v>
      </c>
      <c r="D111" s="645">
        <v>-179197.359</v>
      </c>
      <c r="E111" s="702">
        <v>-70334.149999999994</v>
      </c>
      <c r="F111" s="702">
        <v>-38858.720000000001</v>
      </c>
      <c r="G111" s="702">
        <v>-66292.070000000007</v>
      </c>
      <c r="H111" s="702">
        <v>-143066.92199999999</v>
      </c>
      <c r="I111" s="702">
        <v>-104812.891</v>
      </c>
      <c r="J111" s="702">
        <v>-112014.906</v>
      </c>
      <c r="K111" s="702">
        <v>-104250.242</v>
      </c>
      <c r="L111" s="702">
        <v>-50926.953099999999</v>
      </c>
      <c r="M111" s="702">
        <v>-21921.33</v>
      </c>
      <c r="N111" s="701" t="s">
        <v>619</v>
      </c>
      <c r="O111" s="701" t="s">
        <v>619</v>
      </c>
      <c r="P111" s="701" t="s">
        <v>619</v>
      </c>
      <c r="Q111" s="644"/>
      <c r="R111" s="701" t="s">
        <v>619</v>
      </c>
      <c r="S111" s="701" t="s">
        <v>619</v>
      </c>
      <c r="T111" s="701" t="s">
        <v>619</v>
      </c>
      <c r="U111" s="701" t="s">
        <v>619</v>
      </c>
      <c r="V111" s="701" t="s">
        <v>619</v>
      </c>
      <c r="W111" s="701" t="s">
        <v>619</v>
      </c>
      <c r="X111" s="701" t="s">
        <v>619</v>
      </c>
      <c r="Y111" s="701" t="s">
        <v>619</v>
      </c>
      <c r="Z111" s="701" t="s">
        <v>619</v>
      </c>
      <c r="AA111" s="701" t="s">
        <v>619</v>
      </c>
      <c r="AB111" s="701" t="s">
        <v>619</v>
      </c>
      <c r="AC111" s="701" t="s">
        <v>619</v>
      </c>
      <c r="AD111" s="701" t="s">
        <v>619</v>
      </c>
      <c r="AE111" s="701" t="s">
        <v>619</v>
      </c>
      <c r="AF111" s="701" t="s">
        <v>619</v>
      </c>
    </row>
    <row r="112" spans="1:32" s="39" customFormat="1" ht="16.5" thickTop="1" thickBot="1" x14ac:dyDescent="0.3">
      <c r="A112" s="220" t="s">
        <v>188</v>
      </c>
      <c r="B112" s="306" t="s">
        <v>2</v>
      </c>
      <c r="C112" s="184" t="s">
        <v>518</v>
      </c>
      <c r="D112" s="645">
        <v>0</v>
      </c>
      <c r="E112" s="702">
        <v>0</v>
      </c>
      <c r="F112" s="702">
        <v>0</v>
      </c>
      <c r="G112" s="702">
        <v>0</v>
      </c>
      <c r="H112" s="702">
        <v>0</v>
      </c>
      <c r="I112" s="702">
        <v>0</v>
      </c>
      <c r="J112" s="702">
        <v>0</v>
      </c>
      <c r="K112" s="702">
        <v>0</v>
      </c>
      <c r="L112" s="702">
        <v>0</v>
      </c>
      <c r="M112" s="702">
        <v>0</v>
      </c>
      <c r="N112" s="701" t="s">
        <v>619</v>
      </c>
      <c r="O112" s="701" t="s">
        <v>619</v>
      </c>
      <c r="P112" s="701" t="s">
        <v>619</v>
      </c>
      <c r="Q112" s="644"/>
      <c r="R112" s="701" t="s">
        <v>619</v>
      </c>
      <c r="S112" s="701" t="s">
        <v>619</v>
      </c>
      <c r="T112" s="701" t="s">
        <v>619</v>
      </c>
      <c r="U112" s="701" t="s">
        <v>619</v>
      </c>
      <c r="V112" s="701" t="s">
        <v>619</v>
      </c>
      <c r="W112" s="701" t="s">
        <v>619</v>
      </c>
      <c r="X112" s="701" t="s">
        <v>619</v>
      </c>
      <c r="Y112" s="701" t="s">
        <v>619</v>
      </c>
      <c r="Z112" s="701" t="s">
        <v>619</v>
      </c>
      <c r="AA112" s="701" t="s">
        <v>619</v>
      </c>
      <c r="AB112" s="701" t="s">
        <v>619</v>
      </c>
      <c r="AC112" s="701" t="s">
        <v>619</v>
      </c>
      <c r="AD112" s="701" t="s">
        <v>619</v>
      </c>
      <c r="AE112" s="701" t="s">
        <v>619</v>
      </c>
      <c r="AF112" s="701" t="s">
        <v>619</v>
      </c>
    </row>
    <row r="113" spans="1:32" ht="16.5" thickTop="1" thickBot="1" x14ac:dyDescent="0.3">
      <c r="A113" s="220" t="s">
        <v>225</v>
      </c>
      <c r="B113" s="225" t="s">
        <v>2</v>
      </c>
      <c r="C113" s="392" t="s">
        <v>519</v>
      </c>
      <c r="D113" s="712">
        <v>0</v>
      </c>
      <c r="E113" s="713">
        <v>0</v>
      </c>
      <c r="F113" s="713">
        <v>0</v>
      </c>
      <c r="G113" s="713">
        <v>0</v>
      </c>
      <c r="H113" s="713">
        <v>0</v>
      </c>
      <c r="I113" s="713">
        <v>0</v>
      </c>
      <c r="J113" s="713">
        <v>0</v>
      </c>
      <c r="K113" s="713">
        <v>0</v>
      </c>
      <c r="L113" s="713">
        <v>0</v>
      </c>
      <c r="M113" s="713">
        <v>0</v>
      </c>
      <c r="N113" s="701" t="s">
        <v>619</v>
      </c>
      <c r="O113" s="701" t="s">
        <v>619</v>
      </c>
      <c r="P113" s="701" t="s">
        <v>619</v>
      </c>
      <c r="Q113" s="644"/>
      <c r="R113" s="701" t="s">
        <v>619</v>
      </c>
      <c r="S113" s="701" t="s">
        <v>619</v>
      </c>
      <c r="T113" s="701" t="s">
        <v>619</v>
      </c>
      <c r="U113" s="701" t="s">
        <v>619</v>
      </c>
      <c r="V113" s="701" t="s">
        <v>619</v>
      </c>
      <c r="W113" s="701" t="s">
        <v>619</v>
      </c>
      <c r="X113" s="701" t="s">
        <v>619</v>
      </c>
      <c r="Y113" s="701" t="s">
        <v>619</v>
      </c>
      <c r="Z113" s="701" t="s">
        <v>619</v>
      </c>
      <c r="AA113" s="701" t="s">
        <v>619</v>
      </c>
      <c r="AB113" s="701" t="s">
        <v>619</v>
      </c>
      <c r="AC113" s="701" t="s">
        <v>619</v>
      </c>
      <c r="AD113" s="701" t="s">
        <v>619</v>
      </c>
      <c r="AE113" s="701" t="s">
        <v>619</v>
      </c>
      <c r="AF113" s="701" t="s">
        <v>619</v>
      </c>
    </row>
    <row r="114" spans="1:32" ht="16.5" thickTop="1" thickBot="1" x14ac:dyDescent="0.3">
      <c r="A114" s="222" t="s">
        <v>342</v>
      </c>
      <c r="B114" s="223"/>
      <c r="C114" s="646" t="s">
        <v>5</v>
      </c>
      <c r="D114" s="720">
        <v>2247721.9785346095</v>
      </c>
      <c r="E114" s="721">
        <v>1898576.9922288</v>
      </c>
      <c r="F114" s="721">
        <v>1982654.0163478998</v>
      </c>
      <c r="G114" s="721">
        <v>1679386.9831762998</v>
      </c>
      <c r="H114" s="721">
        <v>1615204.0015315397</v>
      </c>
      <c r="I114" s="721">
        <v>1471298.0008405251</v>
      </c>
      <c r="J114" s="721">
        <v>1562055.9831401992</v>
      </c>
      <c r="K114" s="721">
        <v>1602797.9940214001</v>
      </c>
      <c r="L114" s="721">
        <v>1490062.0066180003</v>
      </c>
      <c r="M114" s="721">
        <v>1669150.9899714999</v>
      </c>
      <c r="N114" s="701" t="s">
        <v>619</v>
      </c>
      <c r="O114" s="701" t="s">
        <v>619</v>
      </c>
      <c r="P114" s="701" t="s">
        <v>619</v>
      </c>
      <c r="Q114" s="724"/>
      <c r="R114" s="701" t="s">
        <v>619</v>
      </c>
      <c r="S114" s="701" t="s">
        <v>619</v>
      </c>
      <c r="T114" s="701" t="s">
        <v>619</v>
      </c>
      <c r="U114" s="701" t="s">
        <v>619</v>
      </c>
      <c r="V114" s="701" t="s">
        <v>619</v>
      </c>
      <c r="W114" s="701" t="s">
        <v>619</v>
      </c>
      <c r="X114" s="701" t="s">
        <v>619</v>
      </c>
      <c r="Y114" s="701" t="s">
        <v>619</v>
      </c>
      <c r="Z114" s="701" t="s">
        <v>619</v>
      </c>
      <c r="AA114" s="701" t="s">
        <v>619</v>
      </c>
      <c r="AB114" s="701" t="s">
        <v>619</v>
      </c>
      <c r="AC114" s="701" t="s">
        <v>619</v>
      </c>
      <c r="AD114" s="701" t="s">
        <v>619</v>
      </c>
      <c r="AE114" s="701" t="s">
        <v>619</v>
      </c>
      <c r="AF114" s="701" t="s">
        <v>619</v>
      </c>
    </row>
    <row r="115" spans="1:32" s="385" customFormat="1" ht="12" thickTop="1" x14ac:dyDescent="0.2">
      <c r="A115" s="380"/>
      <c r="B115" s="381" t="s">
        <v>6</v>
      </c>
      <c r="C115" s="382"/>
      <c r="D115" s="382"/>
      <c r="E115" s="382"/>
      <c r="F115" s="382"/>
      <c r="G115" s="382"/>
      <c r="H115" s="382"/>
      <c r="I115" s="382"/>
      <c r="J115" s="382"/>
      <c r="K115" s="382"/>
      <c r="L115" s="382"/>
      <c r="M115" s="382"/>
      <c r="N115" s="382"/>
      <c r="O115" s="382"/>
      <c r="P115" s="382"/>
      <c r="Q115" s="384"/>
      <c r="R115" s="382"/>
      <c r="S115" s="382"/>
      <c r="T115" s="382"/>
      <c r="U115" s="382"/>
      <c r="V115" s="382"/>
      <c r="W115" s="382"/>
      <c r="X115" s="382"/>
      <c r="Y115" s="382"/>
      <c r="Z115" s="382"/>
      <c r="AA115" s="382"/>
      <c r="AB115" s="382"/>
      <c r="AC115" s="382"/>
      <c r="AD115" s="382"/>
      <c r="AF115" s="382"/>
    </row>
    <row r="116" spans="1:32" x14ac:dyDescent="0.25">
      <c r="C116" s="393"/>
      <c r="H116" s="63"/>
      <c r="I116" s="63"/>
      <c r="J116" s="63"/>
      <c r="K116" s="63"/>
      <c r="L116" s="63"/>
      <c r="M116" s="64"/>
      <c r="N116" s="64"/>
      <c r="O116" s="64"/>
      <c r="P116" s="393"/>
      <c r="Q116" s="65"/>
      <c r="R116" s="37"/>
      <c r="S116" s="37"/>
      <c r="T116" s="38"/>
      <c r="U116" s="38"/>
      <c r="W116" s="56"/>
      <c r="Z116" s="36"/>
      <c r="AA116" s="37"/>
      <c r="AB116" s="66"/>
      <c r="AC116" s="66"/>
      <c r="AD116" s="393"/>
      <c r="AF116" s="393"/>
    </row>
    <row r="117" spans="1:32" x14ac:dyDescent="0.25">
      <c r="A117" s="39" t="s">
        <v>560</v>
      </c>
      <c r="C117" s="393"/>
      <c r="D117" s="67"/>
      <c r="E117" s="67"/>
      <c r="F117" s="67"/>
      <c r="G117" s="67"/>
      <c r="H117" s="67"/>
      <c r="I117" s="67"/>
      <c r="J117" s="67"/>
      <c r="K117" s="67"/>
      <c r="L117" s="67"/>
      <c r="M117" s="68"/>
      <c r="N117" s="68"/>
      <c r="O117" s="68"/>
      <c r="P117" s="393"/>
      <c r="Q117" s="68"/>
      <c r="R117" s="56"/>
      <c r="S117" s="56"/>
      <c r="T117" s="39"/>
      <c r="U117" s="39"/>
      <c r="V117" s="49"/>
      <c r="W117" s="56"/>
      <c r="Z117" s="36"/>
      <c r="AA117" s="56"/>
      <c r="AB117" s="56"/>
      <c r="AC117" s="56"/>
      <c r="AD117" s="393"/>
      <c r="AF117" s="393"/>
    </row>
    <row r="118" spans="1:32" x14ac:dyDescent="0.25">
      <c r="A118" s="44" t="s">
        <v>587</v>
      </c>
      <c r="C118" s="393"/>
      <c r="P118" s="393"/>
      <c r="R118" s="43"/>
      <c r="S118" s="43"/>
      <c r="T118" s="39"/>
      <c r="U118" s="39"/>
      <c r="V118" s="345"/>
      <c r="W118" s="43"/>
      <c r="Z118" s="36"/>
      <c r="AA118" s="43"/>
      <c r="AB118" s="43"/>
      <c r="AC118" s="43"/>
      <c r="AD118" s="393"/>
      <c r="AF118" s="393"/>
    </row>
    <row r="119" spans="1:32" x14ac:dyDescent="0.25">
      <c r="C119" s="393"/>
      <c r="P119" s="393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393"/>
      <c r="AF119" s="393"/>
    </row>
    <row r="120" spans="1:32" x14ac:dyDescent="0.25">
      <c r="C120" s="393"/>
      <c r="P120" s="393"/>
      <c r="Q120" s="60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393"/>
      <c r="AF120" s="393"/>
    </row>
    <row r="121" spans="1:32" x14ac:dyDescent="0.25">
      <c r="C121" s="393"/>
      <c r="P121" s="393"/>
      <c r="Q121" s="60"/>
      <c r="R121" s="558"/>
      <c r="S121" s="558"/>
      <c r="T121" s="558"/>
      <c r="U121" s="558"/>
      <c r="V121" s="558"/>
      <c r="W121" s="558"/>
      <c r="X121" s="558"/>
      <c r="Y121" s="558"/>
      <c r="Z121" s="558"/>
      <c r="AA121" s="558"/>
      <c r="AB121" s="558"/>
      <c r="AC121" s="558"/>
      <c r="AD121" s="393"/>
      <c r="AF121" s="393"/>
    </row>
    <row r="122" spans="1:32" x14ac:dyDescent="0.25">
      <c r="C122" s="393"/>
      <c r="P122" s="393"/>
      <c r="R122" s="558"/>
      <c r="S122" s="558"/>
      <c r="T122" s="558"/>
      <c r="U122" s="558"/>
      <c r="V122" s="558"/>
      <c r="W122" s="558"/>
      <c r="X122" s="558"/>
      <c r="Y122" s="558"/>
      <c r="Z122" s="558"/>
      <c r="AA122" s="558"/>
      <c r="AB122" s="558"/>
      <c r="AC122" s="558"/>
      <c r="AD122" s="393"/>
      <c r="AF122" s="393"/>
    </row>
    <row r="123" spans="1:32" x14ac:dyDescent="0.25">
      <c r="C123" s="393"/>
      <c r="P123" s="393"/>
      <c r="R123" s="558"/>
      <c r="S123" s="558"/>
      <c r="T123" s="558"/>
      <c r="U123" s="558"/>
      <c r="V123" s="558"/>
      <c r="W123" s="558"/>
      <c r="X123" s="558"/>
      <c r="Y123" s="558"/>
      <c r="Z123" s="558"/>
      <c r="AA123" s="558"/>
      <c r="AB123" s="558"/>
      <c r="AC123" s="558"/>
      <c r="AD123" s="393"/>
      <c r="AF123" s="393"/>
    </row>
    <row r="124" spans="1:32" x14ac:dyDescent="0.25">
      <c r="C124" s="393"/>
      <c r="P124" s="393"/>
      <c r="R124" s="558"/>
      <c r="S124" s="558"/>
      <c r="T124" s="558"/>
      <c r="U124" s="558"/>
      <c r="V124" s="558"/>
      <c r="W124" s="558"/>
      <c r="X124" s="558"/>
      <c r="Y124" s="558"/>
      <c r="Z124" s="558"/>
      <c r="AA124" s="558"/>
      <c r="AB124" s="558"/>
      <c r="AC124" s="558"/>
      <c r="AD124" s="393"/>
      <c r="AF124" s="393"/>
    </row>
    <row r="125" spans="1:32" x14ac:dyDescent="0.25">
      <c r="C125" s="393"/>
      <c r="P125" s="393"/>
      <c r="R125" s="558"/>
      <c r="S125" s="558"/>
      <c r="T125" s="558"/>
      <c r="U125" s="558"/>
      <c r="V125" s="558"/>
      <c r="W125" s="558"/>
      <c r="X125" s="558"/>
      <c r="Y125" s="558"/>
      <c r="Z125" s="558"/>
      <c r="AA125" s="558"/>
      <c r="AB125" s="558"/>
      <c r="AC125" s="558"/>
      <c r="AD125" s="393"/>
      <c r="AF125" s="393"/>
    </row>
    <row r="126" spans="1:32" x14ac:dyDescent="0.25">
      <c r="C126" s="393"/>
      <c r="P126" s="393"/>
      <c r="R126" s="558"/>
      <c r="S126" s="558"/>
      <c r="T126" s="558"/>
      <c r="U126" s="558"/>
      <c r="V126" s="558"/>
      <c r="W126" s="558"/>
      <c r="X126" s="558"/>
      <c r="Y126" s="558"/>
      <c r="Z126" s="558"/>
      <c r="AA126" s="558"/>
      <c r="AB126" s="558"/>
      <c r="AC126" s="558"/>
      <c r="AD126" s="393"/>
      <c r="AF126" s="393"/>
    </row>
    <row r="127" spans="1:32" x14ac:dyDescent="0.25">
      <c r="C127" s="393"/>
      <c r="P127" s="393"/>
      <c r="R127" s="558"/>
      <c r="S127" s="558"/>
      <c r="T127" s="558"/>
      <c r="U127" s="558"/>
      <c r="V127" s="558"/>
      <c r="W127" s="558"/>
      <c r="X127" s="558"/>
      <c r="Y127" s="558"/>
      <c r="Z127" s="558"/>
      <c r="AA127" s="558"/>
      <c r="AB127" s="558"/>
      <c r="AC127" s="558"/>
      <c r="AD127" s="393"/>
      <c r="AF127" s="393"/>
    </row>
    <row r="128" spans="1:32" x14ac:dyDescent="0.25">
      <c r="C128" s="393"/>
      <c r="P128" s="393"/>
      <c r="R128" s="558"/>
      <c r="S128" s="558"/>
      <c r="T128" s="558"/>
      <c r="U128" s="558"/>
      <c r="V128" s="558"/>
      <c r="W128" s="558"/>
      <c r="X128" s="558"/>
      <c r="Y128" s="558"/>
      <c r="Z128" s="558"/>
      <c r="AA128" s="558"/>
      <c r="AB128" s="558"/>
      <c r="AC128" s="558"/>
      <c r="AD128" s="393"/>
      <c r="AF128" s="393"/>
    </row>
    <row r="129" spans="3:32" x14ac:dyDescent="0.25">
      <c r="C129" s="393"/>
      <c r="P129" s="393"/>
      <c r="R129" s="558"/>
      <c r="S129" s="558"/>
      <c r="T129" s="558"/>
      <c r="U129" s="558"/>
      <c r="V129" s="558"/>
      <c r="W129" s="558"/>
      <c r="X129" s="558"/>
      <c r="Y129" s="558"/>
      <c r="Z129" s="558"/>
      <c r="AA129" s="558"/>
      <c r="AB129" s="558"/>
      <c r="AC129" s="558"/>
      <c r="AD129" s="393"/>
      <c r="AF129" s="393"/>
    </row>
    <row r="130" spans="3:32" x14ac:dyDescent="0.25">
      <c r="C130" s="393"/>
      <c r="P130" s="393"/>
      <c r="R130" s="558"/>
      <c r="S130" s="558"/>
      <c r="T130" s="558"/>
      <c r="U130" s="558"/>
      <c r="V130" s="558"/>
      <c r="W130" s="558"/>
      <c r="X130" s="558"/>
      <c r="Y130" s="558"/>
      <c r="Z130" s="558"/>
      <c r="AA130" s="558"/>
      <c r="AB130" s="558"/>
      <c r="AC130" s="558"/>
      <c r="AD130" s="393"/>
      <c r="AF130" s="393"/>
    </row>
    <row r="131" spans="3:32" x14ac:dyDescent="0.25">
      <c r="C131" s="393"/>
      <c r="P131" s="393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393"/>
      <c r="AF131" s="393"/>
    </row>
    <row r="132" spans="3:32" x14ac:dyDescent="0.25">
      <c r="C132" s="393"/>
      <c r="P132" s="393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393"/>
      <c r="AF132" s="393"/>
    </row>
    <row r="133" spans="3:32" x14ac:dyDescent="0.25">
      <c r="C133" s="393"/>
      <c r="P133" s="393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393"/>
      <c r="AF133" s="393"/>
    </row>
    <row r="134" spans="3:32" x14ac:dyDescent="0.25">
      <c r="C134" s="393"/>
      <c r="P134" s="393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393"/>
      <c r="AF134" s="393"/>
    </row>
    <row r="135" spans="3:32" x14ac:dyDescent="0.25">
      <c r="C135" s="393"/>
      <c r="P135" s="393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393"/>
      <c r="AF135" s="393"/>
    </row>
    <row r="136" spans="3:32" x14ac:dyDescent="0.25">
      <c r="C136" s="393"/>
      <c r="P136" s="393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393"/>
      <c r="AF136" s="393"/>
    </row>
    <row r="137" spans="3:32" x14ac:dyDescent="0.25">
      <c r="C137" s="393"/>
      <c r="P137" s="393"/>
      <c r="T137" s="39"/>
      <c r="U137" s="39"/>
      <c r="V137" s="49"/>
      <c r="W137" s="56"/>
      <c r="Z137" s="36"/>
      <c r="AA137" s="36"/>
      <c r="AB137" s="36"/>
      <c r="AC137" s="36"/>
      <c r="AD137" s="393"/>
      <c r="AF137" s="393"/>
    </row>
    <row r="138" spans="3:32" x14ac:dyDescent="0.25">
      <c r="C138" s="393"/>
      <c r="P138" s="393"/>
      <c r="T138" s="39"/>
      <c r="U138" s="39"/>
      <c r="V138" s="49"/>
      <c r="W138" s="56"/>
      <c r="Z138" s="36"/>
      <c r="AA138" s="36"/>
      <c r="AB138" s="36"/>
      <c r="AC138" s="36"/>
      <c r="AD138" s="393"/>
      <c r="AF138" s="393"/>
    </row>
    <row r="139" spans="3:32" x14ac:dyDescent="0.25">
      <c r="C139" s="393"/>
      <c r="P139" s="393"/>
      <c r="T139" s="39"/>
      <c r="U139" s="39"/>
      <c r="V139" s="49"/>
      <c r="W139" s="56"/>
      <c r="Z139" s="36"/>
      <c r="AA139" s="36"/>
      <c r="AB139" s="36"/>
      <c r="AC139" s="36"/>
      <c r="AD139" s="393"/>
      <c r="AF139" s="393"/>
    </row>
    <row r="140" spans="3:32" x14ac:dyDescent="0.25">
      <c r="C140" s="393"/>
      <c r="P140" s="393"/>
      <c r="T140" s="39"/>
      <c r="U140" s="39"/>
      <c r="V140" s="49"/>
      <c r="W140" s="56"/>
      <c r="Z140" s="36"/>
      <c r="AA140" s="36"/>
      <c r="AB140" s="36"/>
      <c r="AC140" s="36"/>
      <c r="AD140" s="393"/>
      <c r="AF140" s="393"/>
    </row>
    <row r="141" spans="3:32" x14ac:dyDescent="0.25">
      <c r="C141" s="393"/>
      <c r="P141" s="393"/>
      <c r="T141" s="39"/>
      <c r="U141" s="39"/>
      <c r="V141" s="49"/>
      <c r="W141" s="56"/>
      <c r="Z141" s="36"/>
      <c r="AA141" s="36"/>
      <c r="AB141" s="36"/>
      <c r="AC141" s="36"/>
      <c r="AD141" s="393"/>
      <c r="AF141" s="393"/>
    </row>
    <row r="142" spans="3:32" x14ac:dyDescent="0.25">
      <c r="C142" s="393"/>
      <c r="P142" s="393"/>
      <c r="T142" s="39"/>
      <c r="U142" s="39"/>
      <c r="V142" s="49"/>
      <c r="W142" s="56"/>
      <c r="Z142" s="36"/>
      <c r="AA142" s="36"/>
      <c r="AB142" s="36"/>
      <c r="AC142" s="36"/>
      <c r="AD142" s="393"/>
      <c r="AF142" s="393"/>
    </row>
    <row r="143" spans="3:32" x14ac:dyDescent="0.25">
      <c r="C143" s="393"/>
      <c r="P143" s="393"/>
      <c r="T143" s="39"/>
      <c r="U143" s="39"/>
      <c r="V143" s="49"/>
      <c r="W143" s="56"/>
      <c r="Z143" s="36"/>
      <c r="AA143" s="36"/>
      <c r="AB143" s="36"/>
      <c r="AC143" s="36"/>
      <c r="AD143" s="393"/>
      <c r="AF143" s="393"/>
    </row>
    <row r="144" spans="3:32" x14ac:dyDescent="0.25">
      <c r="C144" s="393"/>
      <c r="P144" s="393"/>
      <c r="T144" s="39"/>
      <c r="U144" s="39"/>
      <c r="V144" s="49"/>
      <c r="W144" s="56"/>
      <c r="Z144" s="36"/>
      <c r="AA144" s="36"/>
      <c r="AB144" s="36"/>
      <c r="AC144" s="36"/>
      <c r="AD144" s="393"/>
      <c r="AF144" s="393"/>
    </row>
    <row r="145" spans="3:32" x14ac:dyDescent="0.25">
      <c r="C145" s="393"/>
      <c r="P145" s="393"/>
      <c r="T145" s="39"/>
      <c r="U145" s="39"/>
      <c r="V145" s="49"/>
      <c r="W145" s="56"/>
      <c r="Z145" s="36"/>
      <c r="AA145" s="36"/>
      <c r="AB145" s="36"/>
      <c r="AC145" s="36"/>
      <c r="AD145" s="393"/>
      <c r="AF145" s="393"/>
    </row>
    <row r="146" spans="3:32" x14ac:dyDescent="0.25">
      <c r="C146" s="393"/>
      <c r="P146" s="393"/>
      <c r="V146" s="39"/>
      <c r="W146" s="39"/>
      <c r="X146" s="45"/>
      <c r="Z146" s="36"/>
      <c r="AA146" s="36"/>
      <c r="AB146" s="36"/>
      <c r="AC146" s="36"/>
      <c r="AD146" s="393"/>
      <c r="AF146" s="393"/>
    </row>
    <row r="147" spans="3:32" x14ac:dyDescent="0.25">
      <c r="C147" s="393"/>
      <c r="P147" s="393"/>
      <c r="V147" s="39"/>
      <c r="W147" s="39"/>
      <c r="X147" s="45"/>
      <c r="Z147" s="36"/>
      <c r="AA147" s="36"/>
      <c r="AB147" s="36"/>
      <c r="AC147" s="36"/>
      <c r="AD147" s="393"/>
      <c r="AF147" s="393"/>
    </row>
    <row r="148" spans="3:32" x14ac:dyDescent="0.25">
      <c r="C148" s="393"/>
      <c r="P148" s="393"/>
      <c r="V148" s="39"/>
      <c r="W148" s="39"/>
      <c r="X148" s="45"/>
      <c r="Z148" s="36"/>
      <c r="AA148" s="36"/>
      <c r="AB148" s="36"/>
      <c r="AC148" s="36"/>
      <c r="AD148" s="393"/>
      <c r="AF148" s="393"/>
    </row>
    <row r="149" spans="3:32" x14ac:dyDescent="0.25">
      <c r="C149" s="393"/>
      <c r="P149" s="393"/>
      <c r="V149" s="39"/>
      <c r="W149" s="39"/>
      <c r="X149" s="45"/>
      <c r="Z149" s="36"/>
      <c r="AA149" s="36"/>
      <c r="AB149" s="36"/>
      <c r="AC149" s="36"/>
      <c r="AD149" s="393"/>
      <c r="AF149" s="393"/>
    </row>
    <row r="150" spans="3:32" x14ac:dyDescent="0.25">
      <c r="C150" s="393"/>
      <c r="P150" s="393"/>
      <c r="V150" s="39"/>
      <c r="W150" s="39"/>
      <c r="X150" s="45"/>
      <c r="Z150" s="36"/>
      <c r="AA150" s="36"/>
      <c r="AB150" s="36"/>
      <c r="AC150" s="36"/>
      <c r="AD150" s="393"/>
      <c r="AF150" s="393"/>
    </row>
    <row r="151" spans="3:32" x14ac:dyDescent="0.25">
      <c r="C151" s="393"/>
      <c r="P151" s="393"/>
      <c r="V151" s="39"/>
      <c r="W151" s="39"/>
      <c r="X151" s="45"/>
      <c r="Z151" s="36"/>
      <c r="AA151" s="36"/>
      <c r="AB151" s="36"/>
      <c r="AC151" s="36"/>
      <c r="AD151" s="393"/>
      <c r="AF151" s="393"/>
    </row>
    <row r="152" spans="3:32" x14ac:dyDescent="0.25">
      <c r="C152" s="393"/>
      <c r="P152" s="393"/>
      <c r="V152" s="39"/>
      <c r="W152" s="39"/>
      <c r="X152" s="45"/>
      <c r="Z152" s="36"/>
      <c r="AA152" s="36"/>
      <c r="AB152" s="36"/>
      <c r="AC152" s="36"/>
      <c r="AD152" s="393"/>
      <c r="AF152" s="393"/>
    </row>
    <row r="153" spans="3:32" x14ac:dyDescent="0.25">
      <c r="C153" s="393"/>
      <c r="P153" s="393"/>
      <c r="V153" s="39"/>
      <c r="W153" s="39"/>
      <c r="X153" s="45"/>
      <c r="Z153" s="36"/>
      <c r="AA153" s="36"/>
      <c r="AB153" s="36"/>
      <c r="AC153" s="36"/>
      <c r="AD153" s="393"/>
      <c r="AF153" s="393"/>
    </row>
    <row r="154" spans="3:32" x14ac:dyDescent="0.25">
      <c r="C154" s="393"/>
      <c r="P154" s="393"/>
      <c r="V154" s="39"/>
      <c r="W154" s="39"/>
      <c r="X154" s="45"/>
      <c r="Z154" s="36"/>
      <c r="AA154" s="36"/>
      <c r="AB154" s="36"/>
      <c r="AC154" s="36"/>
      <c r="AD154" s="393"/>
      <c r="AF154" s="393"/>
    </row>
    <row r="155" spans="3:32" x14ac:dyDescent="0.25">
      <c r="C155" s="393"/>
      <c r="P155" s="393"/>
      <c r="V155" s="39"/>
      <c r="W155" s="39"/>
      <c r="X155" s="45"/>
      <c r="Z155" s="36"/>
      <c r="AA155" s="36"/>
      <c r="AB155" s="36"/>
      <c r="AC155" s="36"/>
      <c r="AD155" s="393"/>
      <c r="AF155" s="393"/>
    </row>
    <row r="156" spans="3:32" x14ac:dyDescent="0.25">
      <c r="C156" s="393"/>
      <c r="P156" s="393"/>
      <c r="V156" s="39"/>
      <c r="W156" s="39"/>
      <c r="X156" s="45"/>
      <c r="Z156" s="36"/>
      <c r="AA156" s="36"/>
      <c r="AB156" s="36"/>
      <c r="AC156" s="36"/>
      <c r="AD156" s="393"/>
      <c r="AF156" s="393"/>
    </row>
    <row r="157" spans="3:32" x14ac:dyDescent="0.25">
      <c r="C157" s="393"/>
      <c r="P157" s="393"/>
      <c r="V157" s="39"/>
      <c r="W157" s="39"/>
      <c r="X157" s="45"/>
      <c r="Z157" s="36"/>
      <c r="AA157" s="36"/>
      <c r="AB157" s="36"/>
      <c r="AC157" s="36"/>
      <c r="AD157" s="393"/>
      <c r="AF157" s="393"/>
    </row>
    <row r="158" spans="3:32" x14ac:dyDescent="0.25">
      <c r="V158" s="39"/>
      <c r="W158" s="39"/>
      <c r="X158" s="45"/>
      <c r="Z158" s="36"/>
      <c r="AA158" s="36"/>
      <c r="AB158" s="36"/>
      <c r="AC158" s="36"/>
    </row>
    <row r="159" spans="3:32" x14ac:dyDescent="0.25">
      <c r="V159" s="39"/>
      <c r="W159" s="39"/>
      <c r="X159" s="45"/>
      <c r="Z159" s="36"/>
      <c r="AA159" s="36"/>
      <c r="AB159" s="36"/>
      <c r="AC159" s="36"/>
    </row>
    <row r="160" spans="3:32" x14ac:dyDescent="0.25">
      <c r="V160" s="39"/>
      <c r="W160" s="39"/>
      <c r="X160" s="45"/>
      <c r="Z160" s="36"/>
      <c r="AA160" s="36"/>
      <c r="AB160" s="36"/>
      <c r="AC160" s="36"/>
    </row>
    <row r="161" spans="22:29" x14ac:dyDescent="0.25">
      <c r="V161" s="39"/>
      <c r="W161" s="39"/>
      <c r="X161" s="45"/>
      <c r="Z161" s="36"/>
      <c r="AA161" s="36"/>
      <c r="AB161" s="36"/>
      <c r="AC161" s="36"/>
    </row>
    <row r="162" spans="22:29" x14ac:dyDescent="0.25">
      <c r="V162" s="39"/>
      <c r="W162" s="39"/>
      <c r="X162" s="45"/>
      <c r="Z162" s="36"/>
      <c r="AA162" s="36"/>
      <c r="AB162" s="36"/>
      <c r="AC162" s="36"/>
    </row>
    <row r="163" spans="22:29" x14ac:dyDescent="0.25">
      <c r="V163" s="39"/>
      <c r="W163" s="39"/>
      <c r="X163" s="45"/>
      <c r="Z163" s="36"/>
      <c r="AA163" s="36"/>
      <c r="AB163" s="36"/>
      <c r="AC163" s="36"/>
    </row>
    <row r="164" spans="22:29" x14ac:dyDescent="0.25">
      <c r="V164" s="39"/>
      <c r="W164" s="39"/>
      <c r="X164" s="45"/>
      <c r="Z164" s="36"/>
      <c r="AA164" s="36"/>
      <c r="AB164" s="36"/>
      <c r="AC164" s="36"/>
    </row>
    <row r="165" spans="22:29" x14ac:dyDescent="0.25">
      <c r="V165" s="39"/>
      <c r="W165" s="39"/>
      <c r="X165" s="45"/>
      <c r="Z165" s="36"/>
      <c r="AA165" s="36"/>
      <c r="AB165" s="36"/>
      <c r="AC165" s="36"/>
    </row>
    <row r="166" spans="22:29" x14ac:dyDescent="0.25">
      <c r="V166" s="39"/>
      <c r="W166" s="39"/>
      <c r="X166" s="45"/>
      <c r="Z166" s="36"/>
      <c r="AA166" s="36"/>
      <c r="AB166" s="36"/>
      <c r="AC166" s="36"/>
    </row>
    <row r="167" spans="22:29" x14ac:dyDescent="0.25">
      <c r="V167" s="39"/>
      <c r="W167" s="39"/>
      <c r="X167" s="45"/>
      <c r="Z167" s="36"/>
      <c r="AA167" s="36"/>
      <c r="AB167" s="36"/>
      <c r="AC167" s="36"/>
    </row>
    <row r="168" spans="22:29" x14ac:dyDescent="0.25">
      <c r="V168" s="39"/>
      <c r="W168" s="39"/>
      <c r="X168" s="45"/>
      <c r="Z168" s="36"/>
      <c r="AA168" s="36"/>
      <c r="AB168" s="36"/>
      <c r="AC168" s="36"/>
    </row>
    <row r="169" spans="22:29" x14ac:dyDescent="0.25">
      <c r="V169" s="39"/>
      <c r="W169" s="39"/>
      <c r="X169" s="45"/>
      <c r="Z169" s="36"/>
      <c r="AA169" s="36"/>
      <c r="AB169" s="36"/>
      <c r="AC169" s="36"/>
    </row>
    <row r="170" spans="22:29" x14ac:dyDescent="0.25">
      <c r="V170" s="39"/>
      <c r="W170" s="39"/>
      <c r="X170" s="45"/>
      <c r="Z170" s="36"/>
      <c r="AA170" s="36"/>
      <c r="AB170" s="36"/>
      <c r="AC170" s="36"/>
    </row>
    <row r="171" spans="22:29" x14ac:dyDescent="0.25">
      <c r="V171" s="39"/>
      <c r="W171" s="39"/>
      <c r="X171" s="45"/>
      <c r="Z171" s="36"/>
      <c r="AA171" s="36"/>
      <c r="AB171" s="36"/>
      <c r="AC171" s="36"/>
    </row>
    <row r="172" spans="22:29" x14ac:dyDescent="0.25">
      <c r="V172" s="39"/>
      <c r="W172" s="39"/>
      <c r="X172" s="45"/>
      <c r="Z172" s="36"/>
      <c r="AA172" s="36"/>
      <c r="AB172" s="36"/>
      <c r="AC172" s="36"/>
    </row>
    <row r="173" spans="22:29" x14ac:dyDescent="0.25">
      <c r="V173" s="39"/>
      <c r="W173" s="39"/>
      <c r="X173" s="45"/>
      <c r="Z173" s="36"/>
      <c r="AA173" s="36"/>
      <c r="AB173" s="36"/>
      <c r="AC173" s="36"/>
    </row>
    <row r="174" spans="22:29" x14ac:dyDescent="0.25">
      <c r="V174" s="39"/>
      <c r="W174" s="39"/>
      <c r="X174" s="45"/>
      <c r="Z174" s="36"/>
      <c r="AA174" s="36"/>
      <c r="AB174" s="36"/>
      <c r="AC174" s="36"/>
    </row>
    <row r="175" spans="22:29" x14ac:dyDescent="0.25">
      <c r="V175" s="39"/>
      <c r="W175" s="39"/>
      <c r="X175" s="45"/>
      <c r="Z175" s="36"/>
      <c r="AA175" s="36"/>
      <c r="AB175" s="36"/>
      <c r="AC175" s="36"/>
    </row>
    <row r="176" spans="22:29" x14ac:dyDescent="0.25">
      <c r="V176" s="39"/>
      <c r="W176" s="39"/>
      <c r="X176" s="45"/>
      <c r="Z176" s="36"/>
      <c r="AA176" s="36"/>
      <c r="AB176" s="36"/>
      <c r="AC176" s="36"/>
    </row>
    <row r="177" spans="22:29" x14ac:dyDescent="0.25">
      <c r="V177" s="39"/>
      <c r="W177" s="39"/>
      <c r="X177" s="45"/>
      <c r="Z177" s="36"/>
      <c r="AA177" s="36"/>
      <c r="AB177" s="36"/>
      <c r="AC177" s="36"/>
    </row>
    <row r="178" spans="22:29" x14ac:dyDescent="0.25">
      <c r="V178" s="39"/>
      <c r="W178" s="39"/>
      <c r="X178" s="45"/>
      <c r="Z178" s="36"/>
      <c r="AA178" s="36"/>
      <c r="AB178" s="36"/>
      <c r="AC178" s="36"/>
    </row>
    <row r="179" spans="22:29" x14ac:dyDescent="0.25">
      <c r="V179" s="39"/>
      <c r="W179" s="39"/>
      <c r="X179" s="45"/>
      <c r="Z179" s="36"/>
      <c r="AA179" s="36"/>
      <c r="AB179" s="36"/>
      <c r="AC179" s="36"/>
    </row>
    <row r="180" spans="22:29" x14ac:dyDescent="0.25">
      <c r="V180" s="39"/>
      <c r="W180" s="39"/>
      <c r="X180" s="45"/>
      <c r="Z180" s="36"/>
      <c r="AA180" s="36"/>
      <c r="AB180" s="36"/>
      <c r="AC180" s="36"/>
    </row>
    <row r="181" spans="22:29" x14ac:dyDescent="0.25">
      <c r="V181" s="39"/>
      <c r="W181" s="39"/>
      <c r="X181" s="45"/>
      <c r="Z181" s="36"/>
      <c r="AA181" s="36"/>
      <c r="AB181" s="36"/>
      <c r="AC181" s="36"/>
    </row>
    <row r="182" spans="22:29" x14ac:dyDescent="0.25">
      <c r="V182" s="39"/>
      <c r="W182" s="39"/>
      <c r="X182" s="45"/>
      <c r="Z182" s="36"/>
      <c r="AA182" s="36"/>
      <c r="AB182" s="36"/>
      <c r="AC182" s="36"/>
    </row>
    <row r="183" spans="22:29" x14ac:dyDescent="0.25">
      <c r="V183" s="39"/>
      <c r="W183" s="39"/>
      <c r="X183" s="45"/>
      <c r="Z183" s="36"/>
      <c r="AA183" s="36"/>
      <c r="AB183" s="36"/>
      <c r="AC183" s="36"/>
    </row>
    <row r="184" spans="22:29" x14ac:dyDescent="0.25">
      <c r="V184" s="39"/>
      <c r="W184" s="39"/>
      <c r="X184" s="45"/>
      <c r="Z184" s="36"/>
      <c r="AA184" s="36"/>
      <c r="AB184" s="36"/>
      <c r="AC184" s="36"/>
    </row>
    <row r="185" spans="22:29" x14ac:dyDescent="0.25">
      <c r="V185" s="39"/>
      <c r="W185" s="39"/>
      <c r="X185" s="45"/>
      <c r="Z185" s="36"/>
      <c r="AA185" s="36"/>
      <c r="AB185" s="36"/>
      <c r="AC185" s="36"/>
    </row>
    <row r="186" spans="22:29" x14ac:dyDescent="0.25">
      <c r="V186" s="39"/>
      <c r="W186" s="39"/>
      <c r="X186" s="45"/>
      <c r="Z186" s="36"/>
      <c r="AA186" s="36"/>
      <c r="AB186" s="36"/>
      <c r="AC186" s="36"/>
    </row>
    <row r="187" spans="22:29" x14ac:dyDescent="0.25">
      <c r="V187" s="39"/>
      <c r="W187" s="39"/>
      <c r="X187" s="45"/>
      <c r="Z187" s="36"/>
      <c r="AA187" s="36"/>
      <c r="AB187" s="36"/>
      <c r="AC187" s="36"/>
    </row>
    <row r="188" spans="22:29" x14ac:dyDescent="0.25">
      <c r="V188" s="39"/>
      <c r="W188" s="39"/>
      <c r="X188" s="45"/>
      <c r="Z188" s="36"/>
      <c r="AA188" s="36"/>
      <c r="AB188" s="36"/>
      <c r="AC188" s="36"/>
    </row>
    <row r="189" spans="22:29" x14ac:dyDescent="0.25">
      <c r="V189" s="39"/>
      <c r="W189" s="39"/>
      <c r="X189" s="45"/>
      <c r="Z189" s="36"/>
      <c r="AA189" s="36"/>
      <c r="AB189" s="36"/>
      <c r="AC189" s="36"/>
    </row>
    <row r="190" spans="22:29" x14ac:dyDescent="0.25">
      <c r="Z190" s="36"/>
      <c r="AA190" s="36"/>
      <c r="AB190" s="36"/>
      <c r="AC190" s="36"/>
    </row>
    <row r="191" spans="22:29" x14ac:dyDescent="0.25">
      <c r="Z191" s="36"/>
      <c r="AA191" s="36"/>
      <c r="AB191" s="36"/>
      <c r="AC191" s="36"/>
    </row>
    <row r="192" spans="22:29" x14ac:dyDescent="0.25">
      <c r="Z192" s="36"/>
      <c r="AA192" s="36"/>
      <c r="AB192" s="36"/>
      <c r="AC192" s="36"/>
    </row>
    <row r="193" spans="26:29" x14ac:dyDescent="0.25">
      <c r="Z193" s="36"/>
      <c r="AA193" s="36"/>
      <c r="AB193" s="36"/>
      <c r="AC193" s="36"/>
    </row>
    <row r="194" spans="26:29" x14ac:dyDescent="0.25">
      <c r="Z194" s="36"/>
      <c r="AA194" s="36"/>
      <c r="AB194" s="36"/>
      <c r="AC194" s="36"/>
    </row>
    <row r="195" spans="26:29" x14ac:dyDescent="0.25">
      <c r="Z195" s="36"/>
      <c r="AA195" s="36"/>
      <c r="AB195" s="36"/>
      <c r="AC195" s="36"/>
    </row>
    <row r="196" spans="26:29" x14ac:dyDescent="0.25">
      <c r="Z196" s="36"/>
      <c r="AA196" s="36"/>
      <c r="AB196" s="36"/>
      <c r="AC196" s="36"/>
    </row>
    <row r="197" spans="26:29" x14ac:dyDescent="0.25">
      <c r="Z197" s="36"/>
      <c r="AA197" s="36"/>
      <c r="AB197" s="36"/>
      <c r="AC197" s="36"/>
    </row>
    <row r="198" spans="26:29" x14ac:dyDescent="0.25">
      <c r="Z198" s="36"/>
      <c r="AA198" s="36"/>
      <c r="AB198" s="36"/>
      <c r="AC198" s="36"/>
    </row>
    <row r="199" spans="26:29" x14ac:dyDescent="0.25">
      <c r="Z199" s="36"/>
      <c r="AA199" s="36"/>
      <c r="AB199" s="36"/>
      <c r="AC199" s="36"/>
    </row>
    <row r="200" spans="26:29" x14ac:dyDescent="0.25">
      <c r="Z200" s="36"/>
      <c r="AA200" s="36"/>
      <c r="AB200" s="36"/>
      <c r="AC200" s="36"/>
    </row>
    <row r="201" spans="26:29" x14ac:dyDescent="0.25">
      <c r="Z201" s="36"/>
      <c r="AA201" s="36"/>
      <c r="AB201" s="36"/>
      <c r="AC201" s="36"/>
    </row>
    <row r="202" spans="26:29" x14ac:dyDescent="0.25">
      <c r="Z202" s="36"/>
      <c r="AA202" s="36"/>
      <c r="AB202" s="36"/>
      <c r="AC202" s="36"/>
    </row>
    <row r="203" spans="26:29" x14ac:dyDescent="0.25">
      <c r="Z203" s="36"/>
      <c r="AA203" s="36"/>
      <c r="AB203" s="36"/>
      <c r="AC203" s="36"/>
    </row>
    <row r="204" spans="26:29" x14ac:dyDescent="0.25">
      <c r="Z204" s="36"/>
      <c r="AA204" s="36"/>
      <c r="AB204" s="36"/>
      <c r="AC204" s="36"/>
    </row>
    <row r="205" spans="26:29" x14ac:dyDescent="0.25">
      <c r="Z205" s="36"/>
      <c r="AA205" s="36"/>
      <c r="AB205" s="36"/>
      <c r="AC205" s="36"/>
    </row>
    <row r="206" spans="26:29" x14ac:dyDescent="0.25">
      <c r="Z206" s="36"/>
      <c r="AA206" s="36"/>
      <c r="AB206" s="36"/>
      <c r="AC206" s="36"/>
    </row>
    <row r="207" spans="26:29" x14ac:dyDescent="0.25">
      <c r="Z207" s="36"/>
      <c r="AA207" s="36"/>
      <c r="AB207" s="36"/>
      <c r="AC207" s="36"/>
    </row>
    <row r="208" spans="26:29" x14ac:dyDescent="0.25">
      <c r="Z208" s="36"/>
      <c r="AA208" s="36"/>
      <c r="AB208" s="36"/>
      <c r="AC208" s="36"/>
    </row>
    <row r="209" spans="26:29" x14ac:dyDescent="0.25">
      <c r="Z209" s="36"/>
      <c r="AA209" s="36"/>
      <c r="AB209" s="36"/>
      <c r="AC209" s="36"/>
    </row>
    <row r="210" spans="26:29" x14ac:dyDescent="0.25">
      <c r="Z210" s="36"/>
      <c r="AA210" s="36"/>
      <c r="AB210" s="36"/>
      <c r="AC210" s="36"/>
    </row>
    <row r="211" spans="26:29" x14ac:dyDescent="0.25">
      <c r="Z211" s="36"/>
      <c r="AA211" s="36"/>
      <c r="AB211" s="36"/>
      <c r="AC211" s="36"/>
    </row>
    <row r="212" spans="26:29" x14ac:dyDescent="0.25">
      <c r="Z212" s="36"/>
      <c r="AA212" s="36"/>
      <c r="AB212" s="36"/>
      <c r="AC212" s="36"/>
    </row>
    <row r="213" spans="26:29" x14ac:dyDescent="0.25">
      <c r="Z213" s="36"/>
      <c r="AA213" s="36"/>
      <c r="AB213" s="36"/>
      <c r="AC213" s="36"/>
    </row>
    <row r="214" spans="26:29" x14ac:dyDescent="0.25">
      <c r="Z214" s="36"/>
      <c r="AA214" s="36"/>
      <c r="AB214" s="36"/>
      <c r="AC214" s="36"/>
    </row>
    <row r="215" spans="26:29" x14ac:dyDescent="0.25">
      <c r="Z215" s="36"/>
      <c r="AA215" s="36"/>
      <c r="AB215" s="36"/>
      <c r="AC215" s="36"/>
    </row>
    <row r="216" spans="26:29" x14ac:dyDescent="0.25">
      <c r="Z216" s="36"/>
      <c r="AA216" s="36"/>
      <c r="AB216" s="36"/>
      <c r="AC216" s="36"/>
    </row>
    <row r="217" spans="26:29" x14ac:dyDescent="0.25">
      <c r="Z217" s="36"/>
      <c r="AA217" s="36"/>
      <c r="AB217" s="36"/>
      <c r="AC217" s="36"/>
    </row>
    <row r="218" spans="26:29" x14ac:dyDescent="0.25">
      <c r="Z218" s="36"/>
      <c r="AA218" s="36"/>
      <c r="AB218" s="36"/>
      <c r="AC218" s="36"/>
    </row>
    <row r="219" spans="26:29" x14ac:dyDescent="0.25">
      <c r="Z219" s="36"/>
      <c r="AA219" s="36"/>
      <c r="AB219" s="36"/>
      <c r="AC219" s="36"/>
    </row>
    <row r="220" spans="26:29" x14ac:dyDescent="0.25">
      <c r="Z220" s="36"/>
      <c r="AA220" s="36"/>
      <c r="AB220" s="36"/>
      <c r="AC220" s="36"/>
    </row>
    <row r="221" spans="26:29" x14ac:dyDescent="0.25">
      <c r="Z221" s="36"/>
      <c r="AA221" s="36"/>
      <c r="AB221" s="36"/>
      <c r="AC221" s="36"/>
    </row>
    <row r="222" spans="26:29" x14ac:dyDescent="0.25">
      <c r="Z222" s="36"/>
      <c r="AA222" s="36"/>
      <c r="AB222" s="36"/>
      <c r="AC222" s="36"/>
    </row>
    <row r="223" spans="26:29" x14ac:dyDescent="0.25">
      <c r="Z223" s="36"/>
      <c r="AA223" s="36"/>
      <c r="AB223" s="36"/>
      <c r="AC223" s="36"/>
    </row>
    <row r="224" spans="26:29" x14ac:dyDescent="0.25">
      <c r="Z224" s="36"/>
      <c r="AA224" s="36"/>
      <c r="AB224" s="36"/>
      <c r="AC224" s="36"/>
    </row>
    <row r="225" spans="26:29" x14ac:dyDescent="0.25">
      <c r="Z225" s="36"/>
      <c r="AA225" s="36"/>
      <c r="AB225" s="36"/>
      <c r="AC225" s="36"/>
    </row>
    <row r="226" spans="26:29" x14ac:dyDescent="0.25">
      <c r="Z226" s="36"/>
      <c r="AA226" s="36"/>
      <c r="AB226" s="36"/>
      <c r="AC226" s="36"/>
    </row>
    <row r="227" spans="26:29" x14ac:dyDescent="0.25">
      <c r="Z227" s="36"/>
      <c r="AA227" s="36"/>
      <c r="AB227" s="36"/>
      <c r="AC227" s="36"/>
    </row>
    <row r="228" spans="26:29" x14ac:dyDescent="0.25">
      <c r="Z228" s="36"/>
      <c r="AA228" s="36"/>
      <c r="AB228" s="36"/>
      <c r="AC228" s="36"/>
    </row>
    <row r="229" spans="26:29" x14ac:dyDescent="0.25">
      <c r="Z229" s="36"/>
      <c r="AA229" s="36"/>
      <c r="AB229" s="36"/>
      <c r="AC229" s="36"/>
    </row>
    <row r="230" spans="26:29" x14ac:dyDescent="0.25">
      <c r="Z230" s="36"/>
      <c r="AA230" s="36"/>
      <c r="AB230" s="36"/>
      <c r="AC230" s="36"/>
    </row>
    <row r="231" spans="26:29" x14ac:dyDescent="0.25">
      <c r="Z231" s="36"/>
      <c r="AA231" s="36"/>
      <c r="AB231" s="36"/>
      <c r="AC231" s="36"/>
    </row>
    <row r="232" spans="26:29" x14ac:dyDescent="0.25">
      <c r="Z232" s="36"/>
      <c r="AA232" s="36"/>
      <c r="AB232" s="36"/>
      <c r="AC232" s="36"/>
    </row>
    <row r="233" spans="26:29" x14ac:dyDescent="0.25">
      <c r="Z233" s="36"/>
      <c r="AA233" s="36"/>
      <c r="AB233" s="36"/>
      <c r="AC233" s="36"/>
    </row>
    <row r="234" spans="26:29" x14ac:dyDescent="0.25">
      <c r="Z234" s="36"/>
      <c r="AA234" s="36"/>
      <c r="AB234" s="36"/>
      <c r="AC234" s="36"/>
    </row>
    <row r="235" spans="26:29" x14ac:dyDescent="0.25">
      <c r="Z235" s="36"/>
      <c r="AA235" s="36"/>
      <c r="AB235" s="36"/>
      <c r="AC235" s="36"/>
    </row>
    <row r="236" spans="26:29" x14ac:dyDescent="0.25">
      <c r="Z236" s="36"/>
      <c r="AA236" s="36"/>
      <c r="AB236" s="36"/>
      <c r="AC236" s="36"/>
    </row>
    <row r="237" spans="26:29" x14ac:dyDescent="0.25">
      <c r="Z237" s="36"/>
      <c r="AA237" s="36"/>
      <c r="AB237" s="36"/>
      <c r="AC237" s="36"/>
    </row>
    <row r="238" spans="26:29" x14ac:dyDescent="0.25">
      <c r="Z238" s="36"/>
      <c r="AA238" s="36"/>
      <c r="AB238" s="36"/>
      <c r="AC238" s="36"/>
    </row>
    <row r="239" spans="26:29" x14ac:dyDescent="0.25">
      <c r="Z239" s="36"/>
      <c r="AA239" s="36"/>
      <c r="AB239" s="36"/>
      <c r="AC239" s="36"/>
    </row>
    <row r="240" spans="26:29" x14ac:dyDescent="0.25">
      <c r="Z240" s="36"/>
      <c r="AA240" s="36"/>
      <c r="AB240" s="36"/>
      <c r="AC240" s="36"/>
    </row>
    <row r="241" spans="26:29" x14ac:dyDescent="0.25">
      <c r="Z241" s="36"/>
      <c r="AA241" s="36"/>
      <c r="AB241" s="36"/>
      <c r="AC241" s="36"/>
    </row>
    <row r="242" spans="26:29" x14ac:dyDescent="0.25">
      <c r="Z242" s="36"/>
      <c r="AA242" s="36"/>
      <c r="AB242" s="36"/>
      <c r="AC242" s="36"/>
    </row>
    <row r="243" spans="26:29" x14ac:dyDescent="0.25">
      <c r="Z243" s="36"/>
      <c r="AA243" s="36"/>
      <c r="AB243" s="36"/>
      <c r="AC243" s="36"/>
    </row>
    <row r="244" spans="26:29" x14ac:dyDescent="0.25">
      <c r="Z244" s="36"/>
      <c r="AA244" s="36"/>
      <c r="AB244" s="36"/>
      <c r="AC244" s="36"/>
    </row>
    <row r="245" spans="26:29" x14ac:dyDescent="0.25">
      <c r="Z245" s="36"/>
      <c r="AA245" s="36"/>
      <c r="AB245" s="36"/>
      <c r="AC245" s="36"/>
    </row>
    <row r="246" spans="26:29" x14ac:dyDescent="0.25">
      <c r="Z246" s="36"/>
      <c r="AA246" s="36"/>
      <c r="AB246" s="36"/>
      <c r="AC246" s="36"/>
    </row>
    <row r="247" spans="26:29" x14ac:dyDescent="0.25">
      <c r="Z247" s="36"/>
      <c r="AA247" s="36"/>
      <c r="AB247" s="36"/>
      <c r="AC247" s="36"/>
    </row>
    <row r="248" spans="26:29" x14ac:dyDescent="0.25">
      <c r="Z248" s="36"/>
      <c r="AA248" s="36"/>
      <c r="AB248" s="36"/>
      <c r="AC248" s="36"/>
    </row>
    <row r="249" spans="26:29" x14ac:dyDescent="0.25">
      <c r="Z249" s="36"/>
      <c r="AA249" s="36"/>
      <c r="AB249" s="36"/>
      <c r="AC249" s="36"/>
    </row>
    <row r="250" spans="26:29" x14ac:dyDescent="0.25">
      <c r="Z250" s="36"/>
      <c r="AA250" s="36"/>
      <c r="AB250" s="36"/>
      <c r="AC250" s="36"/>
    </row>
    <row r="251" spans="26:29" x14ac:dyDescent="0.25">
      <c r="Z251" s="36"/>
      <c r="AA251" s="36"/>
      <c r="AB251" s="36"/>
      <c r="AC251" s="36"/>
    </row>
    <row r="252" spans="26:29" x14ac:dyDescent="0.25">
      <c r="Z252" s="36"/>
      <c r="AA252" s="36"/>
      <c r="AB252" s="36"/>
      <c r="AC252" s="36"/>
    </row>
    <row r="253" spans="26:29" x14ac:dyDescent="0.25">
      <c r="Z253" s="36"/>
      <c r="AA253" s="36"/>
      <c r="AB253" s="36"/>
      <c r="AC253" s="36"/>
    </row>
    <row r="254" spans="26:29" x14ac:dyDescent="0.25">
      <c r="Z254" s="36"/>
      <c r="AA254" s="36"/>
      <c r="AB254" s="36"/>
      <c r="AC254" s="36"/>
    </row>
    <row r="255" spans="26:29" x14ac:dyDescent="0.25">
      <c r="Z255" s="36"/>
      <c r="AA255" s="36"/>
      <c r="AB255" s="36"/>
      <c r="AC255" s="36"/>
    </row>
    <row r="256" spans="26:29" x14ac:dyDescent="0.25">
      <c r="Z256" s="36"/>
      <c r="AA256" s="36"/>
      <c r="AB256" s="36"/>
      <c r="AC256" s="36"/>
    </row>
    <row r="257" spans="26:29" x14ac:dyDescent="0.25">
      <c r="Z257" s="36"/>
      <c r="AA257" s="36"/>
      <c r="AB257" s="36"/>
      <c r="AC257" s="36"/>
    </row>
    <row r="258" spans="26:29" x14ac:dyDescent="0.25">
      <c r="Z258" s="36"/>
      <c r="AA258" s="36"/>
      <c r="AB258" s="36"/>
      <c r="AC258" s="36"/>
    </row>
    <row r="259" spans="26:29" x14ac:dyDescent="0.25">
      <c r="Z259" s="36"/>
      <c r="AA259" s="36"/>
      <c r="AB259" s="36"/>
      <c r="AC259" s="36"/>
    </row>
    <row r="260" spans="26:29" x14ac:dyDescent="0.25">
      <c r="Z260" s="36"/>
      <c r="AA260" s="36"/>
      <c r="AB260" s="36"/>
      <c r="AC260" s="36"/>
    </row>
    <row r="261" spans="26:29" x14ac:dyDescent="0.25">
      <c r="Z261" s="36"/>
      <c r="AA261" s="36"/>
      <c r="AB261" s="36"/>
      <c r="AC261" s="36"/>
    </row>
    <row r="262" spans="26:29" x14ac:dyDescent="0.25">
      <c r="Z262" s="36"/>
      <c r="AA262" s="36"/>
      <c r="AB262" s="36"/>
      <c r="AC262" s="36"/>
    </row>
    <row r="263" spans="26:29" x14ac:dyDescent="0.25">
      <c r="Z263" s="36"/>
      <c r="AA263" s="36"/>
      <c r="AB263" s="36"/>
      <c r="AC263" s="36"/>
    </row>
    <row r="264" spans="26:29" x14ac:dyDescent="0.25">
      <c r="Z264" s="36"/>
      <c r="AA264" s="36"/>
      <c r="AB264" s="36"/>
      <c r="AC264" s="36"/>
    </row>
    <row r="265" spans="26:29" x14ac:dyDescent="0.25">
      <c r="Z265" s="36"/>
      <c r="AA265" s="36"/>
      <c r="AB265" s="36"/>
      <c r="AC265" s="36"/>
    </row>
    <row r="266" spans="26:29" x14ac:dyDescent="0.25">
      <c r="Z266" s="36"/>
      <c r="AA266" s="36"/>
      <c r="AB266" s="36"/>
      <c r="AC266" s="36"/>
    </row>
    <row r="267" spans="26:29" x14ac:dyDescent="0.25">
      <c r="Z267" s="36"/>
      <c r="AA267" s="36"/>
      <c r="AB267" s="36"/>
      <c r="AC267" s="36"/>
    </row>
    <row r="268" spans="26:29" x14ac:dyDescent="0.25">
      <c r="Z268" s="36"/>
      <c r="AA268" s="36"/>
      <c r="AB268" s="36"/>
      <c r="AC268" s="36"/>
    </row>
    <row r="269" spans="26:29" x14ac:dyDescent="0.25">
      <c r="Z269" s="36"/>
      <c r="AA269" s="36"/>
      <c r="AB269" s="36"/>
      <c r="AC269" s="36"/>
    </row>
    <row r="270" spans="26:29" x14ac:dyDescent="0.25">
      <c r="Z270" s="36"/>
      <c r="AA270" s="36"/>
      <c r="AB270" s="36"/>
      <c r="AC270" s="36"/>
    </row>
    <row r="271" spans="26:29" x14ac:dyDescent="0.25">
      <c r="Z271" s="36"/>
      <c r="AA271" s="36"/>
      <c r="AB271" s="36"/>
      <c r="AC271" s="36"/>
    </row>
    <row r="272" spans="26:29" x14ac:dyDescent="0.25">
      <c r="Z272" s="36"/>
      <c r="AA272" s="36"/>
      <c r="AB272" s="36"/>
      <c r="AC272" s="36"/>
    </row>
    <row r="273" spans="26:29" x14ac:dyDescent="0.25">
      <c r="Z273" s="36"/>
      <c r="AA273" s="36"/>
      <c r="AB273" s="36"/>
      <c r="AC273" s="36"/>
    </row>
    <row r="274" spans="26:29" x14ac:dyDescent="0.25">
      <c r="Z274" s="36"/>
      <c r="AA274" s="36"/>
      <c r="AB274" s="36"/>
      <c r="AC274" s="36"/>
    </row>
    <row r="275" spans="26:29" x14ac:dyDescent="0.25">
      <c r="Z275" s="36"/>
      <c r="AA275" s="36"/>
      <c r="AB275" s="36"/>
      <c r="AC275" s="36"/>
    </row>
    <row r="276" spans="26:29" x14ac:dyDescent="0.25">
      <c r="Z276" s="36"/>
      <c r="AA276" s="36"/>
      <c r="AB276" s="36"/>
      <c r="AC276" s="36"/>
    </row>
    <row r="277" spans="26:29" x14ac:dyDescent="0.25">
      <c r="Z277" s="36"/>
      <c r="AA277" s="36"/>
      <c r="AB277" s="36"/>
      <c r="AC277" s="36"/>
    </row>
    <row r="278" spans="26:29" x14ac:dyDescent="0.25">
      <c r="Z278" s="36"/>
      <c r="AA278" s="36"/>
      <c r="AB278" s="36"/>
      <c r="AC278" s="36"/>
    </row>
    <row r="279" spans="26:29" x14ac:dyDescent="0.25">
      <c r="Z279" s="36"/>
      <c r="AA279" s="36"/>
      <c r="AB279" s="36"/>
      <c r="AC279" s="36"/>
    </row>
    <row r="280" spans="26:29" x14ac:dyDescent="0.25">
      <c r="Z280" s="36"/>
      <c r="AA280" s="36"/>
      <c r="AB280" s="36"/>
      <c r="AC280" s="36"/>
    </row>
    <row r="281" spans="26:29" x14ac:dyDescent="0.25">
      <c r="Z281" s="36"/>
      <c r="AA281" s="36"/>
      <c r="AB281" s="36"/>
      <c r="AC281" s="36"/>
    </row>
    <row r="282" spans="26:29" x14ac:dyDescent="0.25">
      <c r="Z282" s="36"/>
      <c r="AA282" s="36"/>
      <c r="AB282" s="36"/>
      <c r="AC282" s="36"/>
    </row>
    <row r="283" spans="26:29" x14ac:dyDescent="0.25">
      <c r="Z283" s="36"/>
      <c r="AA283" s="36"/>
      <c r="AB283" s="36"/>
      <c r="AC283" s="36"/>
    </row>
    <row r="284" spans="26:29" x14ac:dyDescent="0.25">
      <c r="Z284" s="36"/>
      <c r="AA284" s="36"/>
      <c r="AB284" s="36"/>
      <c r="AC284" s="36"/>
    </row>
    <row r="285" spans="26:29" x14ac:dyDescent="0.25">
      <c r="Z285" s="36"/>
      <c r="AA285" s="36"/>
      <c r="AB285" s="36"/>
      <c r="AC285" s="36"/>
    </row>
    <row r="286" spans="26:29" x14ac:dyDescent="0.25">
      <c r="Z286" s="36"/>
      <c r="AA286" s="36"/>
      <c r="AB286" s="36"/>
      <c r="AC286" s="36"/>
    </row>
    <row r="287" spans="26:29" x14ac:dyDescent="0.25">
      <c r="Z287" s="36"/>
      <c r="AA287" s="36"/>
      <c r="AB287" s="36"/>
      <c r="AC287" s="36"/>
    </row>
    <row r="288" spans="26:29" x14ac:dyDescent="0.25">
      <c r="Z288" s="36"/>
      <c r="AA288" s="36"/>
      <c r="AB288" s="36"/>
      <c r="AC288" s="36"/>
    </row>
    <row r="289" spans="26:29" x14ac:dyDescent="0.25">
      <c r="Z289" s="36"/>
      <c r="AA289" s="36"/>
      <c r="AB289" s="36"/>
      <c r="AC289" s="36"/>
    </row>
    <row r="290" spans="26:29" x14ac:dyDescent="0.25">
      <c r="Z290" s="36"/>
      <c r="AA290" s="36"/>
      <c r="AB290" s="36"/>
      <c r="AC290" s="36"/>
    </row>
    <row r="291" spans="26:29" x14ac:dyDescent="0.25">
      <c r="Z291" s="36"/>
      <c r="AA291" s="36"/>
      <c r="AB291" s="36"/>
      <c r="AC291" s="36"/>
    </row>
    <row r="292" spans="26:29" x14ac:dyDescent="0.25">
      <c r="Z292" s="36"/>
      <c r="AA292" s="36"/>
      <c r="AB292" s="36"/>
      <c r="AC292" s="36"/>
    </row>
    <row r="293" spans="26:29" x14ac:dyDescent="0.25">
      <c r="Z293" s="36"/>
      <c r="AA293" s="36"/>
      <c r="AB293" s="36"/>
      <c r="AC293" s="36"/>
    </row>
    <row r="294" spans="26:29" x14ac:dyDescent="0.25">
      <c r="Z294" s="36"/>
      <c r="AA294" s="36"/>
      <c r="AB294" s="36"/>
      <c r="AC294" s="36"/>
    </row>
    <row r="295" spans="26:29" x14ac:dyDescent="0.25">
      <c r="Z295" s="36"/>
      <c r="AA295" s="36"/>
      <c r="AB295" s="36"/>
      <c r="AC295" s="36"/>
    </row>
    <row r="296" spans="26:29" x14ac:dyDescent="0.25">
      <c r="Z296" s="36"/>
      <c r="AA296" s="36"/>
      <c r="AB296" s="36"/>
      <c r="AC296" s="36"/>
    </row>
    <row r="297" spans="26:29" x14ac:dyDescent="0.25">
      <c r="Z297" s="36"/>
      <c r="AA297" s="36"/>
      <c r="AB297" s="36"/>
      <c r="AC297" s="36"/>
    </row>
    <row r="298" spans="26:29" x14ac:dyDescent="0.25">
      <c r="Z298" s="36"/>
      <c r="AA298" s="36"/>
      <c r="AB298" s="36"/>
      <c r="AC298" s="36"/>
    </row>
    <row r="299" spans="26:29" x14ac:dyDescent="0.25">
      <c r="Z299" s="36"/>
      <c r="AA299" s="36"/>
      <c r="AB299" s="36"/>
      <c r="AC299" s="36"/>
    </row>
    <row r="300" spans="26:29" x14ac:dyDescent="0.25">
      <c r="Z300" s="36"/>
      <c r="AA300" s="36"/>
      <c r="AB300" s="36"/>
      <c r="AC300" s="36"/>
    </row>
    <row r="301" spans="26:29" x14ac:dyDescent="0.25">
      <c r="Z301" s="36"/>
      <c r="AA301" s="36"/>
      <c r="AB301" s="36"/>
      <c r="AC301" s="36"/>
    </row>
    <row r="302" spans="26:29" x14ac:dyDescent="0.25">
      <c r="Z302" s="36"/>
      <c r="AA302" s="36"/>
      <c r="AB302" s="36"/>
      <c r="AC302" s="36"/>
    </row>
    <row r="303" spans="26:29" x14ac:dyDescent="0.25">
      <c r="Z303" s="36"/>
      <c r="AA303" s="36"/>
      <c r="AB303" s="36"/>
      <c r="AC303" s="36"/>
    </row>
    <row r="304" spans="26:29" x14ac:dyDescent="0.25">
      <c r="Z304" s="36"/>
      <c r="AA304" s="36"/>
      <c r="AB304" s="36"/>
      <c r="AC304" s="36"/>
    </row>
    <row r="305" spans="26:29" x14ac:dyDescent="0.25">
      <c r="Z305" s="36"/>
      <c r="AA305" s="36"/>
      <c r="AB305" s="36"/>
      <c r="AC305" s="36"/>
    </row>
    <row r="306" spans="26:29" x14ac:dyDescent="0.25">
      <c r="Z306" s="36"/>
      <c r="AA306" s="36"/>
      <c r="AB306" s="36"/>
      <c r="AC306" s="36"/>
    </row>
    <row r="307" spans="26:29" x14ac:dyDescent="0.25">
      <c r="Z307" s="36"/>
      <c r="AA307" s="36"/>
      <c r="AB307" s="36"/>
      <c r="AC307" s="36"/>
    </row>
    <row r="308" spans="26:29" x14ac:dyDescent="0.25">
      <c r="Z308" s="36"/>
      <c r="AA308" s="36"/>
      <c r="AB308" s="36"/>
      <c r="AC308" s="36"/>
    </row>
    <row r="309" spans="26:29" x14ac:dyDescent="0.25">
      <c r="Z309" s="36"/>
      <c r="AA309" s="36"/>
      <c r="AB309" s="36"/>
      <c r="AC309" s="36"/>
    </row>
  </sheetData>
  <mergeCells count="2">
    <mergeCell ref="D4:P4"/>
    <mergeCell ref="R4:AD4"/>
  </mergeCells>
  <printOptions horizontalCentered="1"/>
  <pageMargins left="0.7" right="0.7" top="0.75" bottom="0.75" header="0.3" footer="0.3"/>
  <pageSetup scale="49" fitToWidth="2" fitToHeight="0" orientation="landscape" r:id="rId1"/>
  <headerFooter>
    <oddFooter>&amp;L&amp;P of &amp;N&amp;C&amp;A&amp;R&amp;D</oddFooter>
  </headerFooter>
  <rowBreaks count="1" manualBreakCount="1">
    <brk id="61" max="31" man="1"/>
  </rowBreaks>
  <colBreaks count="1" manualBreakCount="1">
    <brk id="16" max="117" man="1"/>
  </col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V66"/>
  <sheetViews>
    <sheetView topLeftCell="A40" workbookViewId="0">
      <selection activeCell="B21" sqref="B21"/>
    </sheetView>
  </sheetViews>
  <sheetFormatPr defaultColWidth="8.85546875" defaultRowHeight="15" x14ac:dyDescent="0.25"/>
  <cols>
    <col min="1" max="1" width="7.42578125" style="32" customWidth="1"/>
    <col min="2" max="2" width="46.42578125" style="32" customWidth="1"/>
    <col min="3" max="3" width="11.140625" style="32" bestFit="1" customWidth="1"/>
    <col min="4" max="13" width="9" style="32" bestFit="1" customWidth="1"/>
    <col min="14" max="14" width="9" style="32" customWidth="1"/>
    <col min="15" max="16" width="13.140625" style="32" customWidth="1"/>
    <col min="17" max="17" width="12.140625" style="32" bestFit="1" customWidth="1"/>
    <col min="19" max="19" width="2.85546875" style="32" customWidth="1"/>
    <col min="20" max="16384" width="8.85546875" style="32"/>
  </cols>
  <sheetData>
    <row r="1" spans="1:19" ht="18.75" x14ac:dyDescent="0.3">
      <c r="A1" s="214" t="s">
        <v>199</v>
      </c>
      <c r="B1" s="47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7"/>
      <c r="P1" s="47"/>
      <c r="Q1" s="47"/>
    </row>
    <row r="2" spans="1:19" ht="21" x14ac:dyDescent="0.35">
      <c r="A2" s="188" t="s">
        <v>522</v>
      </c>
      <c r="B2" s="7"/>
      <c r="C2" s="190"/>
      <c r="D2" s="843" t="s">
        <v>618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Q2" s="8"/>
    </row>
    <row r="3" spans="1:19" ht="14.85" customHeight="1" x14ac:dyDescent="0.25">
      <c r="A3" s="216" t="s">
        <v>538</v>
      </c>
      <c r="B3" s="9"/>
      <c r="O3" s="192"/>
      <c r="P3" s="192"/>
      <c r="Q3" s="192"/>
      <c r="S3" s="15"/>
    </row>
    <row r="4" spans="1:19" ht="14.85" customHeight="1" x14ac:dyDescent="0.25">
      <c r="A4" s="25"/>
      <c r="B4" s="9"/>
      <c r="O4" s="192"/>
      <c r="P4" s="192"/>
      <c r="Q4" s="192"/>
      <c r="S4" s="15"/>
    </row>
    <row r="5" spans="1:19" ht="14.85" customHeight="1" thickBot="1" x14ac:dyDescent="0.3">
      <c r="A5" s="25"/>
      <c r="B5" s="9"/>
      <c r="O5" s="192"/>
      <c r="P5" s="192"/>
      <c r="Q5" s="192"/>
      <c r="S5" s="15"/>
    </row>
    <row r="6" spans="1:19" ht="30.75" thickBot="1" x14ac:dyDescent="0.3">
      <c r="A6" s="299" t="s">
        <v>211</v>
      </c>
      <c r="B6" s="298" t="s">
        <v>201</v>
      </c>
      <c r="C6" s="87">
        <v>44927</v>
      </c>
      <c r="D6" s="87">
        <v>44958</v>
      </c>
      <c r="E6" s="87">
        <v>44986</v>
      </c>
      <c r="F6" s="87">
        <v>45017</v>
      </c>
      <c r="G6" s="87">
        <v>45047</v>
      </c>
      <c r="H6" s="87">
        <v>45078</v>
      </c>
      <c r="I6" s="87">
        <v>45108</v>
      </c>
      <c r="J6" s="87">
        <v>45139</v>
      </c>
      <c r="K6" s="87">
        <v>45170</v>
      </c>
      <c r="L6" s="87">
        <v>45200</v>
      </c>
      <c r="M6" s="87">
        <v>45231</v>
      </c>
      <c r="N6" s="87">
        <v>45261</v>
      </c>
      <c r="O6" s="310" t="s">
        <v>539</v>
      </c>
      <c r="P6" s="310" t="s">
        <v>536</v>
      </c>
      <c r="Q6" s="310" t="s">
        <v>200</v>
      </c>
      <c r="S6" s="15"/>
    </row>
    <row r="7" spans="1:19" ht="14.1" customHeight="1" thickTop="1" thickBot="1" x14ac:dyDescent="0.3">
      <c r="A7" s="236">
        <v>501</v>
      </c>
      <c r="B7" s="32" t="s">
        <v>400</v>
      </c>
      <c r="C7" s="375" t="s">
        <v>619</v>
      </c>
      <c r="D7" s="375" t="s">
        <v>619</v>
      </c>
      <c r="E7" s="375" t="s">
        <v>619</v>
      </c>
      <c r="F7" s="375" t="s">
        <v>619</v>
      </c>
      <c r="G7" s="375" t="s">
        <v>619</v>
      </c>
      <c r="H7" s="375" t="s">
        <v>619</v>
      </c>
      <c r="I7" s="375" t="s">
        <v>619</v>
      </c>
      <c r="J7" s="375" t="s">
        <v>619</v>
      </c>
      <c r="K7" s="375" t="s">
        <v>619</v>
      </c>
      <c r="L7" s="375" t="s">
        <v>619</v>
      </c>
      <c r="M7" s="375" t="s">
        <v>619</v>
      </c>
      <c r="N7" s="375" t="s">
        <v>619</v>
      </c>
      <c r="O7" s="375" t="s">
        <v>619</v>
      </c>
      <c r="P7" s="375" t="s">
        <v>619</v>
      </c>
      <c r="Q7" s="375" t="s">
        <v>619</v>
      </c>
      <c r="S7" s="15"/>
    </row>
    <row r="8" spans="1:19" ht="14.1" customHeight="1" thickTop="1" thickBot="1" x14ac:dyDescent="0.3">
      <c r="A8" s="236">
        <v>555</v>
      </c>
      <c r="B8" s="32" t="s">
        <v>586</v>
      </c>
      <c r="C8" s="375" t="s">
        <v>619</v>
      </c>
      <c r="D8" s="375" t="s">
        <v>619</v>
      </c>
      <c r="E8" s="375" t="s">
        <v>619</v>
      </c>
      <c r="F8" s="375" t="s">
        <v>619</v>
      </c>
      <c r="G8" s="375" t="s">
        <v>619</v>
      </c>
      <c r="H8" s="375" t="s">
        <v>619</v>
      </c>
      <c r="I8" s="375" t="s">
        <v>619</v>
      </c>
      <c r="J8" s="375" t="s">
        <v>619</v>
      </c>
      <c r="K8" s="375" t="s">
        <v>619</v>
      </c>
      <c r="L8" s="375" t="s">
        <v>619</v>
      </c>
      <c r="M8" s="375" t="s">
        <v>619</v>
      </c>
      <c r="N8" s="375" t="s">
        <v>619</v>
      </c>
      <c r="O8" s="375" t="s">
        <v>619</v>
      </c>
      <c r="P8" s="375" t="s">
        <v>619</v>
      </c>
      <c r="Q8" s="375" t="s">
        <v>619</v>
      </c>
      <c r="R8" s="1"/>
      <c r="S8" s="15"/>
    </row>
    <row r="9" spans="1:19" ht="14.1" customHeight="1" thickTop="1" thickBot="1" x14ac:dyDescent="0.3">
      <c r="A9" s="237" t="s">
        <v>0</v>
      </c>
      <c r="B9" s="32" t="s">
        <v>109</v>
      </c>
      <c r="C9" s="375" t="s">
        <v>619</v>
      </c>
      <c r="D9" s="375" t="s">
        <v>619</v>
      </c>
      <c r="E9" s="375" t="s">
        <v>619</v>
      </c>
      <c r="F9" s="375" t="s">
        <v>619</v>
      </c>
      <c r="G9" s="375" t="s">
        <v>619</v>
      </c>
      <c r="H9" s="375" t="s">
        <v>619</v>
      </c>
      <c r="I9" s="375" t="s">
        <v>619</v>
      </c>
      <c r="J9" s="375" t="s">
        <v>619</v>
      </c>
      <c r="K9" s="375" t="s">
        <v>619</v>
      </c>
      <c r="L9" s="375" t="s">
        <v>619</v>
      </c>
      <c r="M9" s="375" t="s">
        <v>619</v>
      </c>
      <c r="N9" s="375" t="s">
        <v>619</v>
      </c>
      <c r="O9" s="375" t="s">
        <v>619</v>
      </c>
      <c r="P9" s="375" t="s">
        <v>619</v>
      </c>
      <c r="Q9" s="375" t="s">
        <v>619</v>
      </c>
      <c r="S9" s="15"/>
    </row>
    <row r="10" spans="1:19" ht="14.1" customHeight="1" thickTop="1" thickBot="1" x14ac:dyDescent="0.3">
      <c r="A10" s="235" t="s">
        <v>0</v>
      </c>
      <c r="B10" s="32" t="s">
        <v>110</v>
      </c>
      <c r="C10" s="375" t="s">
        <v>619</v>
      </c>
      <c r="D10" s="375" t="s">
        <v>619</v>
      </c>
      <c r="E10" s="375" t="s">
        <v>619</v>
      </c>
      <c r="F10" s="375" t="s">
        <v>619</v>
      </c>
      <c r="G10" s="375" t="s">
        <v>619</v>
      </c>
      <c r="H10" s="375" t="s">
        <v>619</v>
      </c>
      <c r="I10" s="375" t="s">
        <v>619</v>
      </c>
      <c r="J10" s="375" t="s">
        <v>619</v>
      </c>
      <c r="K10" s="375" t="s">
        <v>619</v>
      </c>
      <c r="L10" s="375" t="s">
        <v>619</v>
      </c>
      <c r="M10" s="375" t="s">
        <v>619</v>
      </c>
      <c r="N10" s="375" t="s">
        <v>619</v>
      </c>
      <c r="O10" s="375" t="s">
        <v>619</v>
      </c>
      <c r="P10" s="375" t="s">
        <v>619</v>
      </c>
      <c r="Q10" s="375" t="s">
        <v>619</v>
      </c>
      <c r="S10" s="15"/>
    </row>
    <row r="11" spans="1:19" ht="14.1" customHeight="1" thickTop="1" thickBot="1" x14ac:dyDescent="0.3">
      <c r="A11" s="235" t="s">
        <v>0</v>
      </c>
      <c r="B11" s="32" t="s">
        <v>112</v>
      </c>
      <c r="C11" s="375" t="s">
        <v>619</v>
      </c>
      <c r="D11" s="375" t="s">
        <v>619</v>
      </c>
      <c r="E11" s="375" t="s">
        <v>619</v>
      </c>
      <c r="F11" s="375" t="s">
        <v>619</v>
      </c>
      <c r="G11" s="375" t="s">
        <v>619</v>
      </c>
      <c r="H11" s="375" t="s">
        <v>619</v>
      </c>
      <c r="I11" s="375" t="s">
        <v>619</v>
      </c>
      <c r="J11" s="375" t="s">
        <v>619</v>
      </c>
      <c r="K11" s="375" t="s">
        <v>619</v>
      </c>
      <c r="L11" s="375" t="s">
        <v>619</v>
      </c>
      <c r="M11" s="375" t="s">
        <v>619</v>
      </c>
      <c r="N11" s="375" t="s">
        <v>619</v>
      </c>
      <c r="O11" s="375" t="s">
        <v>619</v>
      </c>
      <c r="P11" s="375" t="s">
        <v>619</v>
      </c>
      <c r="Q11" s="375" t="s">
        <v>619</v>
      </c>
      <c r="S11" s="15"/>
    </row>
    <row r="12" spans="1:19" ht="14.1" customHeight="1" thickTop="1" thickBot="1" x14ac:dyDescent="0.3">
      <c r="A12" s="235" t="s">
        <v>0</v>
      </c>
      <c r="B12" s="32" t="s">
        <v>113</v>
      </c>
      <c r="C12" s="375" t="s">
        <v>619</v>
      </c>
      <c r="D12" s="375" t="s">
        <v>619</v>
      </c>
      <c r="E12" s="375" t="s">
        <v>619</v>
      </c>
      <c r="F12" s="375" t="s">
        <v>619</v>
      </c>
      <c r="G12" s="375" t="s">
        <v>619</v>
      </c>
      <c r="H12" s="375" t="s">
        <v>619</v>
      </c>
      <c r="I12" s="375" t="s">
        <v>619</v>
      </c>
      <c r="J12" s="375" t="s">
        <v>619</v>
      </c>
      <c r="K12" s="375" t="s">
        <v>619</v>
      </c>
      <c r="L12" s="375" t="s">
        <v>619</v>
      </c>
      <c r="M12" s="375" t="s">
        <v>619</v>
      </c>
      <c r="N12" s="375" t="s">
        <v>619</v>
      </c>
      <c r="O12" s="375" t="s">
        <v>619</v>
      </c>
      <c r="P12" s="375" t="s">
        <v>619</v>
      </c>
      <c r="Q12" s="375" t="s">
        <v>619</v>
      </c>
      <c r="S12" s="15"/>
    </row>
    <row r="13" spans="1:19" ht="14.1" customHeight="1" thickTop="1" thickBot="1" x14ac:dyDescent="0.3">
      <c r="A13" s="235" t="s">
        <v>0</v>
      </c>
      <c r="B13" s="32" t="s">
        <v>204</v>
      </c>
      <c r="C13" s="375" t="s">
        <v>619</v>
      </c>
      <c r="D13" s="375" t="s">
        <v>619</v>
      </c>
      <c r="E13" s="375" t="s">
        <v>619</v>
      </c>
      <c r="F13" s="375" t="s">
        <v>619</v>
      </c>
      <c r="G13" s="375" t="s">
        <v>619</v>
      </c>
      <c r="H13" s="375" t="s">
        <v>619</v>
      </c>
      <c r="I13" s="375" t="s">
        <v>619</v>
      </c>
      <c r="J13" s="375" t="s">
        <v>619</v>
      </c>
      <c r="K13" s="375" t="s">
        <v>619</v>
      </c>
      <c r="L13" s="375" t="s">
        <v>619</v>
      </c>
      <c r="M13" s="375" t="s">
        <v>619</v>
      </c>
      <c r="N13" s="375" t="s">
        <v>619</v>
      </c>
      <c r="O13" s="375" t="s">
        <v>619</v>
      </c>
      <c r="P13" s="375" t="s">
        <v>619</v>
      </c>
      <c r="Q13" s="375" t="s">
        <v>619</v>
      </c>
      <c r="S13" s="15"/>
    </row>
    <row r="14" spans="1:19" ht="14.1" customHeight="1" thickTop="1" thickBot="1" x14ac:dyDescent="0.3">
      <c r="A14" s="235">
        <v>565</v>
      </c>
      <c r="B14" s="32" t="s">
        <v>514</v>
      </c>
      <c r="C14" s="375" t="s">
        <v>619</v>
      </c>
      <c r="D14" s="375" t="s">
        <v>619</v>
      </c>
      <c r="E14" s="375" t="s">
        <v>619</v>
      </c>
      <c r="F14" s="375" t="s">
        <v>619</v>
      </c>
      <c r="G14" s="375" t="s">
        <v>619</v>
      </c>
      <c r="H14" s="375" t="s">
        <v>619</v>
      </c>
      <c r="I14" s="375" t="s">
        <v>619</v>
      </c>
      <c r="J14" s="375" t="s">
        <v>619</v>
      </c>
      <c r="K14" s="375" t="s">
        <v>619</v>
      </c>
      <c r="L14" s="375" t="s">
        <v>619</v>
      </c>
      <c r="M14" s="375" t="s">
        <v>619</v>
      </c>
      <c r="N14" s="375" t="s">
        <v>619</v>
      </c>
      <c r="O14" s="375" t="s">
        <v>619</v>
      </c>
      <c r="P14" s="375" t="s">
        <v>619</v>
      </c>
      <c r="Q14" s="375" t="s">
        <v>619</v>
      </c>
      <c r="S14" s="15"/>
    </row>
    <row r="15" spans="1:19" ht="14.1" customHeight="1" thickTop="1" thickBot="1" x14ac:dyDescent="0.3">
      <c r="A15" s="235">
        <v>565</v>
      </c>
      <c r="B15" s="32" t="s">
        <v>111</v>
      </c>
      <c r="C15" s="375" t="s">
        <v>619</v>
      </c>
      <c r="D15" s="375" t="s">
        <v>619</v>
      </c>
      <c r="E15" s="375" t="s">
        <v>619</v>
      </c>
      <c r="F15" s="375" t="s">
        <v>619</v>
      </c>
      <c r="G15" s="375" t="s">
        <v>619</v>
      </c>
      <c r="H15" s="375" t="s">
        <v>619</v>
      </c>
      <c r="I15" s="375" t="s">
        <v>619</v>
      </c>
      <c r="J15" s="375" t="s">
        <v>619</v>
      </c>
      <c r="K15" s="375" t="s">
        <v>619</v>
      </c>
      <c r="L15" s="375" t="s">
        <v>619</v>
      </c>
      <c r="M15" s="375" t="s">
        <v>619</v>
      </c>
      <c r="N15" s="375" t="s">
        <v>619</v>
      </c>
      <c r="O15" s="375" t="s">
        <v>619</v>
      </c>
      <c r="P15" s="375" t="s">
        <v>619</v>
      </c>
      <c r="Q15" s="375" t="s">
        <v>619</v>
      </c>
      <c r="S15" s="15"/>
    </row>
    <row r="16" spans="1:19" ht="14.1" customHeight="1" thickTop="1" thickBot="1" x14ac:dyDescent="0.3">
      <c r="A16" s="237">
        <v>565</v>
      </c>
      <c r="B16" s="32" t="s">
        <v>124</v>
      </c>
      <c r="C16" s="375" t="s">
        <v>619</v>
      </c>
      <c r="D16" s="375" t="s">
        <v>619</v>
      </c>
      <c r="E16" s="375" t="s">
        <v>619</v>
      </c>
      <c r="F16" s="375" t="s">
        <v>619</v>
      </c>
      <c r="G16" s="375" t="s">
        <v>619</v>
      </c>
      <c r="H16" s="375" t="s">
        <v>619</v>
      </c>
      <c r="I16" s="375" t="s">
        <v>619</v>
      </c>
      <c r="J16" s="375" t="s">
        <v>619</v>
      </c>
      <c r="K16" s="375" t="s">
        <v>619</v>
      </c>
      <c r="L16" s="375" t="s">
        <v>619</v>
      </c>
      <c r="M16" s="375" t="s">
        <v>619</v>
      </c>
      <c r="N16" s="375" t="s">
        <v>619</v>
      </c>
      <c r="O16" s="375" t="s">
        <v>619</v>
      </c>
      <c r="P16" s="375" t="s">
        <v>619</v>
      </c>
      <c r="Q16" s="375" t="s">
        <v>619</v>
      </c>
      <c r="S16" s="15"/>
    </row>
    <row r="17" spans="1:22" s="21" customFormat="1" ht="14.1" customHeight="1" thickTop="1" thickBot="1" x14ac:dyDescent="0.3">
      <c r="A17" s="237">
        <v>456</v>
      </c>
      <c r="B17" s="32" t="s">
        <v>215</v>
      </c>
      <c r="C17" s="375" t="s">
        <v>619</v>
      </c>
      <c r="D17" s="375" t="s">
        <v>619</v>
      </c>
      <c r="E17" s="375" t="s">
        <v>619</v>
      </c>
      <c r="F17" s="375" t="s">
        <v>619</v>
      </c>
      <c r="G17" s="375" t="s">
        <v>619</v>
      </c>
      <c r="H17" s="375" t="s">
        <v>619</v>
      </c>
      <c r="I17" s="375" t="s">
        <v>619</v>
      </c>
      <c r="J17" s="375" t="s">
        <v>619</v>
      </c>
      <c r="K17" s="375" t="s">
        <v>619</v>
      </c>
      <c r="L17" s="375" t="s">
        <v>619</v>
      </c>
      <c r="M17" s="375" t="s">
        <v>619</v>
      </c>
      <c r="N17" s="375" t="s">
        <v>619</v>
      </c>
      <c r="O17" s="375" t="s">
        <v>619</v>
      </c>
      <c r="P17" s="375" t="s">
        <v>619</v>
      </c>
      <c r="Q17" s="375" t="s">
        <v>619</v>
      </c>
      <c r="S17" s="10"/>
    </row>
    <row r="18" spans="1:22" s="21" customFormat="1" ht="14.1" customHeight="1" thickTop="1" thickBot="1" x14ac:dyDescent="0.3">
      <c r="A18" s="237">
        <v>547</v>
      </c>
      <c r="B18" s="32" t="s">
        <v>108</v>
      </c>
      <c r="C18" s="375" t="s">
        <v>619</v>
      </c>
      <c r="D18" s="375" t="s">
        <v>619</v>
      </c>
      <c r="E18" s="375" t="s">
        <v>619</v>
      </c>
      <c r="F18" s="375" t="s">
        <v>619</v>
      </c>
      <c r="G18" s="375" t="s">
        <v>619</v>
      </c>
      <c r="H18" s="375" t="s">
        <v>619</v>
      </c>
      <c r="I18" s="375" t="s">
        <v>619</v>
      </c>
      <c r="J18" s="375" t="s">
        <v>619</v>
      </c>
      <c r="K18" s="375" t="s">
        <v>619</v>
      </c>
      <c r="L18" s="375" t="s">
        <v>619</v>
      </c>
      <c r="M18" s="375" t="s">
        <v>619</v>
      </c>
      <c r="N18" s="375" t="s">
        <v>619</v>
      </c>
      <c r="O18" s="375" t="s">
        <v>619</v>
      </c>
      <c r="P18" s="375" t="s">
        <v>619</v>
      </c>
      <c r="Q18" s="375" t="s">
        <v>619</v>
      </c>
      <c r="S18" s="10"/>
    </row>
    <row r="19" spans="1:22" s="21" customFormat="1" ht="14.1" customHeight="1" thickTop="1" thickBot="1" x14ac:dyDescent="0.3">
      <c r="A19" s="244" t="s">
        <v>2</v>
      </c>
      <c r="B19" s="32" t="s">
        <v>115</v>
      </c>
      <c r="C19" s="375" t="s">
        <v>619</v>
      </c>
      <c r="D19" s="375" t="s">
        <v>619</v>
      </c>
      <c r="E19" s="375" t="s">
        <v>619</v>
      </c>
      <c r="F19" s="375" t="s">
        <v>619</v>
      </c>
      <c r="G19" s="375" t="s">
        <v>619</v>
      </c>
      <c r="H19" s="375" t="s">
        <v>619</v>
      </c>
      <c r="I19" s="375" t="s">
        <v>619</v>
      </c>
      <c r="J19" s="375" t="s">
        <v>619</v>
      </c>
      <c r="K19" s="375" t="s">
        <v>619</v>
      </c>
      <c r="L19" s="375" t="s">
        <v>619</v>
      </c>
      <c r="M19" s="375" t="s">
        <v>619</v>
      </c>
      <c r="N19" s="375" t="s">
        <v>619</v>
      </c>
      <c r="O19" s="375" t="s">
        <v>619</v>
      </c>
      <c r="P19" s="375" t="s">
        <v>619</v>
      </c>
      <c r="Q19" s="375" t="s">
        <v>619</v>
      </c>
      <c r="S19" s="10"/>
    </row>
    <row r="20" spans="1:22" s="21" customFormat="1" ht="14.1" customHeight="1" thickTop="1" thickBot="1" x14ac:dyDescent="0.3">
      <c r="A20" s="237">
        <v>547</v>
      </c>
      <c r="B20" s="21" t="s">
        <v>227</v>
      </c>
      <c r="C20" s="375" t="s">
        <v>619</v>
      </c>
      <c r="D20" s="375" t="s">
        <v>619</v>
      </c>
      <c r="E20" s="375" t="s">
        <v>619</v>
      </c>
      <c r="F20" s="375" t="s">
        <v>619</v>
      </c>
      <c r="G20" s="375" t="s">
        <v>619</v>
      </c>
      <c r="H20" s="375" t="s">
        <v>619</v>
      </c>
      <c r="I20" s="375" t="s">
        <v>619</v>
      </c>
      <c r="J20" s="375" t="s">
        <v>619</v>
      </c>
      <c r="K20" s="375" t="s">
        <v>619</v>
      </c>
      <c r="L20" s="375" t="s">
        <v>619</v>
      </c>
      <c r="M20" s="375" t="s">
        <v>619</v>
      </c>
      <c r="N20" s="375" t="s">
        <v>619</v>
      </c>
      <c r="O20" s="375" t="s">
        <v>619</v>
      </c>
      <c r="P20" s="375" t="s">
        <v>619</v>
      </c>
      <c r="Q20" s="375" t="s">
        <v>619</v>
      </c>
      <c r="S20" s="10"/>
    </row>
    <row r="21" spans="1:22" ht="14.1" customHeight="1" thickTop="1" thickBot="1" x14ac:dyDescent="0.3">
      <c r="A21" s="235">
        <v>547</v>
      </c>
      <c r="B21" s="32" t="s">
        <v>116</v>
      </c>
      <c r="C21" s="375" t="s">
        <v>619</v>
      </c>
      <c r="D21" s="375" t="s">
        <v>619</v>
      </c>
      <c r="E21" s="375" t="s">
        <v>619</v>
      </c>
      <c r="F21" s="375" t="s">
        <v>619</v>
      </c>
      <c r="G21" s="375" t="s">
        <v>619</v>
      </c>
      <c r="H21" s="375" t="s">
        <v>619</v>
      </c>
      <c r="I21" s="375" t="s">
        <v>619</v>
      </c>
      <c r="J21" s="375" t="s">
        <v>619</v>
      </c>
      <c r="K21" s="375" t="s">
        <v>619</v>
      </c>
      <c r="L21" s="375" t="s">
        <v>619</v>
      </c>
      <c r="M21" s="375" t="s">
        <v>619</v>
      </c>
      <c r="N21" s="375" t="s">
        <v>619</v>
      </c>
      <c r="O21" s="375" t="s">
        <v>619</v>
      </c>
      <c r="P21" s="375" t="s">
        <v>619</v>
      </c>
      <c r="Q21" s="375" t="s">
        <v>619</v>
      </c>
      <c r="S21" s="15"/>
      <c r="T21" s="21"/>
      <c r="U21" s="21"/>
    </row>
    <row r="22" spans="1:22" ht="14.1" customHeight="1" thickTop="1" thickBot="1" x14ac:dyDescent="0.3">
      <c r="A22" s="237">
        <v>555</v>
      </c>
      <c r="B22" s="819" t="s">
        <v>615</v>
      </c>
      <c r="C22" s="375" t="s">
        <v>619</v>
      </c>
      <c r="D22" s="375" t="s">
        <v>619</v>
      </c>
      <c r="E22" s="375" t="s">
        <v>619</v>
      </c>
      <c r="F22" s="375" t="s">
        <v>619</v>
      </c>
      <c r="G22" s="375" t="s">
        <v>619</v>
      </c>
      <c r="H22" s="375" t="s">
        <v>619</v>
      </c>
      <c r="I22" s="375" t="s">
        <v>619</v>
      </c>
      <c r="J22" s="375" t="s">
        <v>619</v>
      </c>
      <c r="K22" s="375" t="s">
        <v>619</v>
      </c>
      <c r="L22" s="375" t="s">
        <v>619</v>
      </c>
      <c r="M22" s="375" t="s">
        <v>619</v>
      </c>
      <c r="N22" s="375" t="s">
        <v>619</v>
      </c>
      <c r="O22" s="375" t="s">
        <v>619</v>
      </c>
      <c r="P22" s="375" t="s">
        <v>619</v>
      </c>
      <c r="Q22" s="375" t="s">
        <v>619</v>
      </c>
      <c r="S22" s="15"/>
      <c r="T22" s="21"/>
      <c r="U22" s="21"/>
    </row>
    <row r="23" spans="1:22" ht="14.1" customHeight="1" thickTop="1" thickBot="1" x14ac:dyDescent="0.3">
      <c r="A23" s="237">
        <v>555</v>
      </c>
      <c r="B23" s="32" t="s">
        <v>507</v>
      </c>
      <c r="C23" s="375" t="s">
        <v>619</v>
      </c>
      <c r="D23" s="375" t="s">
        <v>619</v>
      </c>
      <c r="E23" s="375" t="s">
        <v>619</v>
      </c>
      <c r="F23" s="375" t="s">
        <v>619</v>
      </c>
      <c r="G23" s="375" t="s">
        <v>619</v>
      </c>
      <c r="H23" s="375" t="s">
        <v>619</v>
      </c>
      <c r="I23" s="375" t="s">
        <v>619</v>
      </c>
      <c r="J23" s="375" t="s">
        <v>619</v>
      </c>
      <c r="K23" s="375" t="s">
        <v>619</v>
      </c>
      <c r="L23" s="375" t="s">
        <v>619</v>
      </c>
      <c r="M23" s="375" t="s">
        <v>619</v>
      </c>
      <c r="N23" s="375" t="s">
        <v>619</v>
      </c>
      <c r="O23" s="375" t="s">
        <v>619</v>
      </c>
      <c r="P23" s="375" t="s">
        <v>619</v>
      </c>
      <c r="Q23" s="375" t="s">
        <v>619</v>
      </c>
      <c r="S23" s="15"/>
      <c r="T23" s="21"/>
      <c r="U23" s="21"/>
    </row>
    <row r="24" spans="1:22" ht="14.1" customHeight="1" thickTop="1" x14ac:dyDescent="0.25">
      <c r="A24" s="294">
        <v>557</v>
      </c>
      <c r="B24" s="667" t="s">
        <v>114</v>
      </c>
      <c r="C24" s="375" t="s">
        <v>619</v>
      </c>
      <c r="D24" s="375" t="s">
        <v>619</v>
      </c>
      <c r="E24" s="375" t="s">
        <v>619</v>
      </c>
      <c r="F24" s="375" t="s">
        <v>619</v>
      </c>
      <c r="G24" s="375" t="s">
        <v>619</v>
      </c>
      <c r="H24" s="375" t="s">
        <v>619</v>
      </c>
      <c r="I24" s="375" t="s">
        <v>619</v>
      </c>
      <c r="J24" s="375" t="s">
        <v>619</v>
      </c>
      <c r="K24" s="375" t="s">
        <v>619</v>
      </c>
      <c r="L24" s="375" t="s">
        <v>619</v>
      </c>
      <c r="M24" s="375" t="s">
        <v>619</v>
      </c>
      <c r="N24" s="375" t="s">
        <v>619</v>
      </c>
      <c r="O24" s="375" t="s">
        <v>619</v>
      </c>
      <c r="P24" s="375" t="s">
        <v>619</v>
      </c>
      <c r="Q24" s="375" t="s">
        <v>619</v>
      </c>
      <c r="S24" s="15"/>
    </row>
    <row r="25" spans="1:22" x14ac:dyDescent="0.25">
      <c r="A25" s="238"/>
      <c r="B25" s="23" t="s">
        <v>5</v>
      </c>
      <c r="C25" s="288">
        <v>21970.875956773525</v>
      </c>
      <c r="D25" s="288">
        <v>24725.736045389403</v>
      </c>
      <c r="E25" s="288">
        <v>25847.444104338974</v>
      </c>
      <c r="F25" s="288">
        <v>31053.810106755584</v>
      </c>
      <c r="G25" s="288">
        <v>31271.520239336263</v>
      </c>
      <c r="H25" s="288">
        <v>30760.284495576376</v>
      </c>
      <c r="I25" s="288">
        <v>31004.707768538352</v>
      </c>
      <c r="J25" s="288">
        <v>29944.696421090033</v>
      </c>
      <c r="K25" s="288">
        <v>29157.62821104714</v>
      </c>
      <c r="L25" s="288">
        <v>30331.88681266296</v>
      </c>
      <c r="M25" s="288" t="e">
        <v>#VALUE!</v>
      </c>
      <c r="N25" s="288" t="e">
        <v>#VALUE!</v>
      </c>
      <c r="O25" s="289" t="e">
        <v>#VALUE!</v>
      </c>
      <c r="P25" s="289">
        <v>270781.36673573888</v>
      </c>
      <c r="Q25" s="289" t="e">
        <v>#VALUE!</v>
      </c>
      <c r="S25" s="15"/>
    </row>
    <row r="26" spans="1:22" x14ac:dyDescent="0.25">
      <c r="A26" s="235"/>
      <c r="C26" s="677"/>
      <c r="D26" s="677"/>
      <c r="E26" s="677"/>
      <c r="F26" s="677"/>
      <c r="G26" s="677"/>
      <c r="H26" s="677"/>
      <c r="I26" s="677"/>
      <c r="J26" s="677"/>
      <c r="K26" s="677"/>
      <c r="L26" s="677"/>
      <c r="M26" s="677"/>
      <c r="N26" s="677"/>
      <c r="O26" s="11"/>
      <c r="P26" s="11"/>
      <c r="Q26" s="11"/>
      <c r="S26" s="15"/>
    </row>
    <row r="27" spans="1:22" x14ac:dyDescent="0.25">
      <c r="A27" s="242" t="s">
        <v>524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1"/>
      <c r="P27" s="11"/>
      <c r="Q27" s="11">
        <v>0</v>
      </c>
    </row>
    <row r="28" spans="1:22" x14ac:dyDescent="0.25">
      <c r="A28" s="243">
        <v>501</v>
      </c>
      <c r="B28" s="98" t="s">
        <v>118</v>
      </c>
      <c r="C28" s="20">
        <v>26.604166666666668</v>
      </c>
      <c r="D28" s="20">
        <v>26.604166666666668</v>
      </c>
      <c r="E28" s="20">
        <v>26.604166666666668</v>
      </c>
      <c r="F28" s="20">
        <v>26.604166666666668</v>
      </c>
      <c r="G28" s="20">
        <v>26.604166666666668</v>
      </c>
      <c r="H28" s="20">
        <v>26.604166666666668</v>
      </c>
      <c r="I28" s="20">
        <v>26.604166666666668</v>
      </c>
      <c r="J28" s="20">
        <v>26.604166666666668</v>
      </c>
      <c r="K28" s="20">
        <v>26.604166666666668</v>
      </c>
      <c r="L28" s="20">
        <v>26.604166666666668</v>
      </c>
      <c r="M28" s="20">
        <v>26.604166666666668</v>
      </c>
      <c r="N28" s="20">
        <v>26.604166666666668</v>
      </c>
      <c r="O28" s="14">
        <v>319.25</v>
      </c>
      <c r="P28" s="14">
        <v>529.69558333333327</v>
      </c>
      <c r="Q28" s="11">
        <v>-210.44558333333327</v>
      </c>
      <c r="S28" s="15"/>
    </row>
    <row r="29" spans="1:22" x14ac:dyDescent="0.25">
      <c r="A29" s="243">
        <v>547</v>
      </c>
      <c r="B29" s="98" t="s">
        <v>185</v>
      </c>
      <c r="C29" s="20">
        <v>4880.2588662263588</v>
      </c>
      <c r="D29" s="20">
        <v>4753.7278332344104</v>
      </c>
      <c r="E29" s="20">
        <v>4834.3636395188087</v>
      </c>
      <c r="F29" s="20">
        <v>4608.7235110857673</v>
      </c>
      <c r="G29" s="20">
        <v>4769.4292767026491</v>
      </c>
      <c r="H29" s="20">
        <v>4597.3595499460916</v>
      </c>
      <c r="I29" s="20">
        <v>4788.8577175450737</v>
      </c>
      <c r="J29" s="20">
        <v>4231.1628292753821</v>
      </c>
      <c r="K29" s="20">
        <v>4662.1543483834503</v>
      </c>
      <c r="L29" s="20">
        <v>4804.6242267734078</v>
      </c>
      <c r="M29" s="20">
        <v>5041.5983779810012</v>
      </c>
      <c r="N29" s="20">
        <v>5217.2718912287255</v>
      </c>
      <c r="O29" s="14">
        <v>57189.53206790112</v>
      </c>
      <c r="P29" s="14">
        <v>54755.756773367335</v>
      </c>
      <c r="Q29" s="11">
        <v>2433.7752945337852</v>
      </c>
    </row>
    <row r="30" spans="1:22" x14ac:dyDescent="0.25">
      <c r="A30" s="244" t="s">
        <v>218</v>
      </c>
      <c r="B30" s="98" t="s">
        <v>219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14">
        <v>0</v>
      </c>
      <c r="P30" s="14">
        <v>0</v>
      </c>
      <c r="Q30" s="11">
        <v>0</v>
      </c>
      <c r="S30" s="15"/>
    </row>
    <row r="31" spans="1:22" x14ac:dyDescent="0.25">
      <c r="A31" s="244" t="s">
        <v>0</v>
      </c>
      <c r="B31" s="98" t="s">
        <v>119</v>
      </c>
      <c r="C31" s="20">
        <v>13903.711043881403</v>
      </c>
      <c r="D31" s="20">
        <v>13590.581385283187</v>
      </c>
      <c r="E31" s="20">
        <v>13133.702772478338</v>
      </c>
      <c r="F31" s="20">
        <v>12981.253434566324</v>
      </c>
      <c r="G31" s="20">
        <v>13210.340681825337</v>
      </c>
      <c r="H31" s="20">
        <v>13145.782161220506</v>
      </c>
      <c r="I31" s="20">
        <v>14616.318003460323</v>
      </c>
      <c r="J31" s="20">
        <v>14345.299078242124</v>
      </c>
      <c r="K31" s="20">
        <v>12779.331135240516</v>
      </c>
      <c r="L31" s="20">
        <v>12851.785836686189</v>
      </c>
      <c r="M31" s="20">
        <v>13056.460350172174</v>
      </c>
      <c r="N31" s="20">
        <v>13831.903586700928</v>
      </c>
      <c r="O31" s="14">
        <v>161446.46946975734</v>
      </c>
      <c r="P31" s="14">
        <v>118006.2059685821</v>
      </c>
      <c r="Q31" s="11">
        <v>43440.263501175243</v>
      </c>
    </row>
    <row r="32" spans="1:22" x14ac:dyDescent="0.25">
      <c r="A32" s="244">
        <v>555</v>
      </c>
      <c r="B32" s="98" t="s">
        <v>123</v>
      </c>
      <c r="C32" s="20">
        <v>1496.6076485245826</v>
      </c>
      <c r="D32" s="20">
        <v>1496.6076485245826</v>
      </c>
      <c r="E32" s="20">
        <v>596.60764852458271</v>
      </c>
      <c r="F32" s="20">
        <v>596.60764852458271</v>
      </c>
      <c r="G32" s="20">
        <v>596.60764852458271</v>
      </c>
      <c r="H32" s="20">
        <v>596.60764852458271</v>
      </c>
      <c r="I32" s="20">
        <v>596.60764852458271</v>
      </c>
      <c r="J32" s="20">
        <v>596.60764852458271</v>
      </c>
      <c r="K32" s="20">
        <v>596.60764852458271</v>
      </c>
      <c r="L32" s="20">
        <v>596.60764852458271</v>
      </c>
      <c r="M32" s="20">
        <v>1496.6076485245826</v>
      </c>
      <c r="N32" s="20">
        <v>1496.6076485245826</v>
      </c>
      <c r="O32" s="14">
        <v>10759.291782294993</v>
      </c>
      <c r="P32" s="14">
        <v>11069.370999999999</v>
      </c>
      <c r="Q32" s="11">
        <v>-310.07921770500616</v>
      </c>
      <c r="V32" s="32" t="s">
        <v>509</v>
      </c>
    </row>
    <row r="33" spans="1:17" x14ac:dyDescent="0.25">
      <c r="A33" s="244" t="s">
        <v>2</v>
      </c>
      <c r="B33" s="98" t="s">
        <v>120</v>
      </c>
      <c r="C33" s="20">
        <v>223.82565206774098</v>
      </c>
      <c r="D33" s="20">
        <v>199.68990689827896</v>
      </c>
      <c r="E33" s="20">
        <v>231.37207778043</v>
      </c>
      <c r="F33" s="20">
        <v>242.57638839972003</v>
      </c>
      <c r="G33" s="20">
        <v>238.74723811351001</v>
      </c>
      <c r="H33" s="20">
        <v>238.14295971620001</v>
      </c>
      <c r="I33" s="20">
        <v>218.60543461575003</v>
      </c>
      <c r="J33" s="20">
        <v>203.32146873072796</v>
      </c>
      <c r="K33" s="20">
        <v>190.85558234980601</v>
      </c>
      <c r="L33" s="20">
        <v>209.26493437475</v>
      </c>
      <c r="M33" s="20" t="e">
        <v>#VALUE!</v>
      </c>
      <c r="N33" s="20" t="e">
        <v>#VALUE!</v>
      </c>
      <c r="O33" s="14" t="e">
        <v>#VALUE!</v>
      </c>
      <c r="P33" s="14">
        <v>1071.1833843552679</v>
      </c>
      <c r="Q33" s="11" t="e">
        <v>#VALUE!</v>
      </c>
    </row>
    <row r="34" spans="1:17" x14ac:dyDescent="0.25">
      <c r="A34" s="244">
        <v>447</v>
      </c>
      <c r="B34" s="98" t="s">
        <v>121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14">
        <v>0</v>
      </c>
      <c r="P34" s="14">
        <v>0</v>
      </c>
      <c r="Q34" s="11">
        <v>0</v>
      </c>
    </row>
    <row r="35" spans="1:17" x14ac:dyDescent="0.25">
      <c r="A35" s="243">
        <v>565</v>
      </c>
      <c r="B35" s="98" t="s">
        <v>1</v>
      </c>
      <c r="C35" s="20">
        <v>11171.738242856243</v>
      </c>
      <c r="D35" s="20">
        <v>11154.835927551287</v>
      </c>
      <c r="E35" s="20">
        <v>11253.228187940966</v>
      </c>
      <c r="F35" s="20">
        <v>11421.997657511183</v>
      </c>
      <c r="G35" s="20">
        <v>11427.258336810055</v>
      </c>
      <c r="H35" s="20">
        <v>11345.844129961974</v>
      </c>
      <c r="I35" s="20">
        <v>11157.096733492166</v>
      </c>
      <c r="J35" s="20">
        <v>11044.553277988474</v>
      </c>
      <c r="K35" s="20">
        <v>11214.203257632844</v>
      </c>
      <c r="L35" s="20">
        <v>11789.456489633791</v>
      </c>
      <c r="M35" s="20" t="e">
        <v>#VALUE!</v>
      </c>
      <c r="N35" s="20" t="e">
        <v>#VALUE!</v>
      </c>
      <c r="O35" s="14" t="e">
        <v>#VALUE!</v>
      </c>
      <c r="P35" s="14">
        <v>128266.3580567457</v>
      </c>
      <c r="Q35" s="11" t="e">
        <v>#VALUE!</v>
      </c>
    </row>
    <row r="36" spans="1:17" x14ac:dyDescent="0.25">
      <c r="A36" s="243">
        <v>456</v>
      </c>
      <c r="B36" s="98" t="s">
        <v>122</v>
      </c>
      <c r="C36" s="20">
        <v>-11124.501832055928</v>
      </c>
      <c r="D36" s="20">
        <v>-7888.942991375463</v>
      </c>
      <c r="E36" s="20">
        <v>-5621.0665571772743</v>
      </c>
      <c r="F36" s="20">
        <v>-216.58486860512477</v>
      </c>
      <c r="G36" s="20">
        <v>-390.09927791299253</v>
      </c>
      <c r="H36" s="20">
        <v>-582.68828906609951</v>
      </c>
      <c r="I36" s="20">
        <v>-1792.0141043726812</v>
      </c>
      <c r="J36" s="20">
        <v>-1895.4842169443848</v>
      </c>
      <c r="K36" s="20">
        <v>-1704.7600963571817</v>
      </c>
      <c r="L36" s="20">
        <v>-1339.088658602886</v>
      </c>
      <c r="M36" s="20">
        <v>-4222.37690868352</v>
      </c>
      <c r="N36" s="20">
        <v>-6427.7060413318568</v>
      </c>
      <c r="O36" s="14">
        <v>-43205.313842485382</v>
      </c>
      <c r="P36" s="14">
        <v>-57639.705130644856</v>
      </c>
      <c r="Q36" s="11">
        <v>14434.391288159473</v>
      </c>
    </row>
    <row r="37" spans="1:17" ht="15.75" thickBot="1" x14ac:dyDescent="0.3">
      <c r="A37" s="245">
        <v>557</v>
      </c>
      <c r="B37" s="99" t="s">
        <v>114</v>
      </c>
      <c r="C37" s="94">
        <v>1392.6321686064568</v>
      </c>
      <c r="D37" s="94">
        <v>1392.6321686064568</v>
      </c>
      <c r="E37" s="94">
        <v>1392.6321686064568</v>
      </c>
      <c r="F37" s="94">
        <v>1392.6321686064568</v>
      </c>
      <c r="G37" s="94">
        <v>1392.6321686064568</v>
      </c>
      <c r="H37" s="94">
        <v>1392.6321686064568</v>
      </c>
      <c r="I37" s="94">
        <v>1392.6321686064568</v>
      </c>
      <c r="J37" s="94">
        <v>1392.6321686064568</v>
      </c>
      <c r="K37" s="94">
        <v>1392.6321686064568</v>
      </c>
      <c r="L37" s="94">
        <v>1392.6321686064568</v>
      </c>
      <c r="M37" s="94">
        <v>1392.6321686064568</v>
      </c>
      <c r="N37" s="94">
        <v>1392.6321686064568</v>
      </c>
      <c r="O37" s="14">
        <v>16711.586023277483</v>
      </c>
      <c r="P37" s="95">
        <v>14722.501100000007</v>
      </c>
      <c r="Q37" s="96">
        <v>1989.0849232774763</v>
      </c>
    </row>
    <row r="38" spans="1:17" s="93" customFormat="1" ht="16.5" thickBot="1" x14ac:dyDescent="0.3">
      <c r="A38" s="293"/>
      <c r="B38" s="233" t="s">
        <v>525</v>
      </c>
      <c r="C38" s="234">
        <v>21970.875956773525</v>
      </c>
      <c r="D38" s="234">
        <v>24725.736045389403</v>
      </c>
      <c r="E38" s="234">
        <v>25847.444104338974</v>
      </c>
      <c r="F38" s="234">
        <v>31053.81010675558</v>
      </c>
      <c r="G38" s="234">
        <v>31271.520239336263</v>
      </c>
      <c r="H38" s="234">
        <v>30760.284495576379</v>
      </c>
      <c r="I38" s="234">
        <v>31004.707768538341</v>
      </c>
      <c r="J38" s="234">
        <v>29944.69642109003</v>
      </c>
      <c r="K38" s="234">
        <v>29157.62821104714</v>
      </c>
      <c r="L38" s="234">
        <v>30331.88681266296</v>
      </c>
      <c r="M38" s="234" t="e">
        <v>#VALUE!</v>
      </c>
      <c r="N38" s="234" t="e">
        <v>#VALUE!</v>
      </c>
      <c r="O38" s="100" t="e">
        <v>#VALUE!</v>
      </c>
      <c r="P38" s="100">
        <v>270781.36673573893</v>
      </c>
      <c r="Q38" s="100" t="e">
        <v>#VALUE!</v>
      </c>
    </row>
    <row r="39" spans="1:17" x14ac:dyDescent="0.25">
      <c r="O39" s="15"/>
      <c r="P39" s="15"/>
    </row>
    <row r="40" spans="1:17" x14ac:dyDescent="0.25">
      <c r="A40" s="39" t="s">
        <v>560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7" x14ac:dyDescent="0.25">
      <c r="A41" s="44" t="s">
        <v>587</v>
      </c>
      <c r="O41" s="15"/>
      <c r="P41" s="15"/>
    </row>
    <row r="42" spans="1:17" x14ac:dyDescent="0.25">
      <c r="A42" s="53"/>
      <c r="O42" s="15"/>
      <c r="P42" s="15"/>
    </row>
    <row r="43" spans="1:17" x14ac:dyDescent="0.25">
      <c r="A43" s="5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7" x14ac:dyDescent="0.25">
      <c r="A44" s="54"/>
      <c r="O44" s="15"/>
      <c r="P44" s="15"/>
    </row>
    <row r="45" spans="1:17" x14ac:dyDescent="0.25">
      <c r="A45" s="53"/>
      <c r="O45" s="15"/>
      <c r="P45" s="15"/>
    </row>
    <row r="46" spans="1:17" x14ac:dyDescent="0.25">
      <c r="A46" s="53"/>
      <c r="O46" s="15"/>
      <c r="P46" s="15"/>
    </row>
    <row r="47" spans="1:17" x14ac:dyDescent="0.25">
      <c r="A47" s="54"/>
      <c r="O47" s="15"/>
      <c r="P47" s="15"/>
    </row>
    <row r="48" spans="1:17" x14ac:dyDescent="0.25">
      <c r="A48" s="55"/>
      <c r="O48" s="15"/>
      <c r="P48" s="15"/>
    </row>
    <row r="49" spans="1:16" x14ac:dyDescent="0.25">
      <c r="A49" s="53"/>
      <c r="O49" s="15"/>
      <c r="P49" s="15"/>
    </row>
    <row r="50" spans="1:16" x14ac:dyDescent="0.25">
      <c r="O50" s="15"/>
      <c r="P50" s="15"/>
    </row>
    <row r="51" spans="1:16" x14ac:dyDescent="0.25">
      <c r="O51" s="15"/>
      <c r="P51" s="15"/>
    </row>
    <row r="52" spans="1:16" x14ac:dyDescent="0.25">
      <c r="O52" s="15"/>
      <c r="P52" s="15"/>
    </row>
    <row r="53" spans="1:16" x14ac:dyDescent="0.25">
      <c r="O53" s="15"/>
      <c r="P53" s="15"/>
    </row>
    <row r="54" spans="1:16" x14ac:dyDescent="0.25">
      <c r="O54" s="15"/>
      <c r="P54" s="15"/>
    </row>
    <row r="55" spans="1:16" x14ac:dyDescent="0.25">
      <c r="O55" s="15"/>
      <c r="P55" s="15"/>
    </row>
    <row r="56" spans="1:16" x14ac:dyDescent="0.25">
      <c r="O56" s="15"/>
      <c r="P56" s="15"/>
    </row>
    <row r="57" spans="1:16" x14ac:dyDescent="0.25">
      <c r="O57" s="15"/>
      <c r="P57" s="15"/>
    </row>
    <row r="58" spans="1:16" x14ac:dyDescent="0.25">
      <c r="O58" s="15"/>
      <c r="P58" s="15"/>
    </row>
    <row r="59" spans="1:16" x14ac:dyDescent="0.25">
      <c r="O59" s="15"/>
      <c r="P59" s="15"/>
    </row>
    <row r="60" spans="1:16" x14ac:dyDescent="0.25">
      <c r="O60" s="15"/>
      <c r="P60" s="15"/>
    </row>
    <row r="61" spans="1:16" x14ac:dyDescent="0.25">
      <c r="O61" s="15"/>
      <c r="P61" s="15"/>
    </row>
    <row r="62" spans="1:16" x14ac:dyDescent="0.25">
      <c r="O62" s="15"/>
      <c r="P62" s="15"/>
    </row>
    <row r="63" spans="1:16" x14ac:dyDescent="0.25">
      <c r="K63" s="15"/>
      <c r="O63" s="15"/>
      <c r="P63" s="15"/>
    </row>
    <row r="64" spans="1:16" x14ac:dyDescent="0.25">
      <c r="O64" s="15"/>
      <c r="P64" s="15"/>
    </row>
    <row r="65" spans="15:16" x14ac:dyDescent="0.25">
      <c r="O65" s="15"/>
      <c r="P65" s="15"/>
    </row>
    <row r="66" spans="15:16" x14ac:dyDescent="0.25">
      <c r="O66" s="15"/>
      <c r="P66" s="15"/>
    </row>
  </sheetData>
  <conditionalFormatting sqref="A18 A7:A8 A24">
    <cfRule type="cellIs" dxfId="28" priority="4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1"/>
  <sheetViews>
    <sheetView workbookViewId="0">
      <selection activeCell="D8" sqref="D8:N8"/>
    </sheetView>
  </sheetViews>
  <sheetFormatPr defaultRowHeight="15" x14ac:dyDescent="0.25"/>
  <cols>
    <col min="1" max="1" width="31.7109375" bestFit="1" customWidth="1"/>
    <col min="2" max="4" width="10.42578125" bestFit="1" customWidth="1"/>
    <col min="5" max="5" width="11.28515625" customWidth="1"/>
    <col min="6" max="6" width="11.140625" customWidth="1"/>
  </cols>
  <sheetData>
    <row r="1" spans="1:6" ht="18.75" x14ac:dyDescent="0.3">
      <c r="A1" s="413" t="s">
        <v>199</v>
      </c>
    </row>
    <row r="2" spans="1:6" ht="20.25" x14ac:dyDescent="0.3">
      <c r="A2" s="422" t="s">
        <v>606</v>
      </c>
    </row>
    <row r="3" spans="1:6" ht="15.75" x14ac:dyDescent="0.25">
      <c r="A3" s="419" t="s">
        <v>538</v>
      </c>
    </row>
    <row r="8" spans="1:6" x14ac:dyDescent="0.25">
      <c r="A8" s="1"/>
      <c r="B8" s="803">
        <v>2017</v>
      </c>
      <c r="C8" s="803">
        <v>2018</v>
      </c>
      <c r="D8" s="803">
        <v>2019</v>
      </c>
      <c r="E8" s="803">
        <v>2020</v>
      </c>
      <c r="F8" s="803" t="s">
        <v>344</v>
      </c>
    </row>
    <row r="9" spans="1:6" x14ac:dyDescent="0.25">
      <c r="A9" s="804" t="s">
        <v>602</v>
      </c>
      <c r="B9" s="805">
        <v>1943656.8477100283</v>
      </c>
      <c r="C9" s="805">
        <v>2152131.9501899709</v>
      </c>
      <c r="D9" s="805">
        <v>2094265.8142600516</v>
      </c>
      <c r="E9" s="805">
        <v>2475190.1086599804</v>
      </c>
      <c r="F9" s="805">
        <f>AVERAGE(B9:E9)</f>
        <v>2166311.180205008</v>
      </c>
    </row>
    <row r="10" spans="1:6" x14ac:dyDescent="0.25">
      <c r="A10" s="806" t="s">
        <v>603</v>
      </c>
      <c r="B10" s="807">
        <v>-2218.4</v>
      </c>
      <c r="C10" s="807">
        <v>-9727.9699999999993</v>
      </c>
      <c r="D10" s="807">
        <v>-16928.73</v>
      </c>
      <c r="E10" s="807">
        <v>-73536.75</v>
      </c>
      <c r="F10" s="807">
        <f t="shared" ref="F10:F11" si="0">AVERAGE(B10:E10)</f>
        <v>-25602.962500000001</v>
      </c>
    </row>
    <row r="11" spans="1:6" x14ac:dyDescent="0.25">
      <c r="A11" s="804" t="s">
        <v>604</v>
      </c>
      <c r="B11" s="805">
        <f>B9+B10</f>
        <v>1941438.4477100284</v>
      </c>
      <c r="C11" s="805">
        <f t="shared" ref="C11:E11" si="1">C9+C10</f>
        <v>2142403.9801899707</v>
      </c>
      <c r="D11" s="805">
        <f t="shared" si="1"/>
        <v>2077337.0842600516</v>
      </c>
      <c r="E11" s="805">
        <f t="shared" si="1"/>
        <v>2401653.3586599804</v>
      </c>
      <c r="F11" s="805">
        <f t="shared" si="0"/>
        <v>2140708.2177050076</v>
      </c>
    </row>
    <row r="12" spans="1:6" ht="10.9" customHeight="1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804" t="s">
        <v>605</v>
      </c>
      <c r="F13" s="805">
        <f>-F11</f>
        <v>-2140708.2177050076</v>
      </c>
    </row>
    <row r="18" spans="2:6" x14ac:dyDescent="0.25">
      <c r="F18" s="805"/>
    </row>
    <row r="19" spans="2:6" x14ac:dyDescent="0.25">
      <c r="B19" s="805"/>
      <c r="C19" s="805"/>
      <c r="D19" s="805"/>
      <c r="E19" s="805"/>
      <c r="F19" s="805"/>
    </row>
    <row r="20" spans="2:6" x14ac:dyDescent="0.25">
      <c r="B20" s="805"/>
      <c r="C20" s="805"/>
      <c r="D20" s="805"/>
      <c r="E20" s="805"/>
      <c r="F20" s="820"/>
    </row>
    <row r="21" spans="2:6" x14ac:dyDescent="0.25">
      <c r="F21" s="168"/>
    </row>
  </sheetData>
  <pageMargins left="0.7" right="0.7" top="0.75" bottom="0.7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Q106"/>
  <sheetViews>
    <sheetView topLeftCell="B79" zoomScale="90" zoomScaleNormal="90" workbookViewId="0">
      <selection activeCell="J106" sqref="J106"/>
    </sheetView>
  </sheetViews>
  <sheetFormatPr defaultColWidth="12.85546875" defaultRowHeight="15" x14ac:dyDescent="0.25"/>
  <cols>
    <col min="1" max="1" width="12.85546875" style="1"/>
    <col min="2" max="2" width="40.5703125" style="1" bestFit="1" customWidth="1"/>
    <col min="3" max="14" width="12.85546875" style="1"/>
    <col min="15" max="17" width="12.85546875" style="92"/>
    <col min="18" max="16384" width="12.85546875" style="1"/>
  </cols>
  <sheetData>
    <row r="1" spans="1:17" ht="18.75" x14ac:dyDescent="0.3">
      <c r="A1" s="413" t="s">
        <v>199</v>
      </c>
    </row>
    <row r="2" spans="1:17" ht="20.25" x14ac:dyDescent="0.3">
      <c r="A2" s="422" t="s">
        <v>510</v>
      </c>
      <c r="F2" s="844" t="s">
        <v>618</v>
      </c>
      <c r="G2" s="844"/>
    </row>
    <row r="3" spans="1:17" ht="15.75" x14ac:dyDescent="0.25">
      <c r="A3" s="419" t="s">
        <v>538</v>
      </c>
    </row>
    <row r="4" spans="1:17" ht="28.7" customHeight="1" x14ac:dyDescent="0.35">
      <c r="A4" s="215"/>
    </row>
    <row r="5" spans="1:17" ht="15.75" thickBot="1" x14ac:dyDescent="0.3">
      <c r="A5" s="75"/>
      <c r="B5" s="75" t="s">
        <v>513</v>
      </c>
      <c r="C5" s="56">
        <v>31</v>
      </c>
      <c r="D5" s="56">
        <v>28</v>
      </c>
      <c r="E5" s="56">
        <v>31</v>
      </c>
      <c r="F5" s="56">
        <v>30</v>
      </c>
      <c r="G5" s="56">
        <v>31</v>
      </c>
      <c r="H5" s="56">
        <v>30</v>
      </c>
      <c r="I5" s="56">
        <v>31</v>
      </c>
      <c r="J5" s="56">
        <v>31</v>
      </c>
      <c r="K5" s="56">
        <v>30</v>
      </c>
      <c r="L5" s="56">
        <v>31</v>
      </c>
      <c r="M5" s="56">
        <v>30</v>
      </c>
      <c r="N5" s="56">
        <v>31</v>
      </c>
      <c r="O5" s="117">
        <v>365</v>
      </c>
      <c r="P5" s="117">
        <v>365</v>
      </c>
      <c r="Q5" s="117">
        <v>365</v>
      </c>
    </row>
    <row r="6" spans="1:17" ht="30.75" thickBot="1" x14ac:dyDescent="0.3">
      <c r="A6" s="75"/>
      <c r="B6" s="75"/>
      <c r="C6" s="468">
        <v>44927</v>
      </c>
      <c r="D6" s="468">
        <v>44958</v>
      </c>
      <c r="E6" s="468">
        <v>44986</v>
      </c>
      <c r="F6" s="468">
        <v>45017</v>
      </c>
      <c r="G6" s="468">
        <v>45047</v>
      </c>
      <c r="H6" s="468">
        <v>45078</v>
      </c>
      <c r="I6" s="468">
        <v>45108</v>
      </c>
      <c r="J6" s="468">
        <v>45139</v>
      </c>
      <c r="K6" s="468">
        <v>45170</v>
      </c>
      <c r="L6" s="468">
        <v>45200</v>
      </c>
      <c r="M6" s="468">
        <v>45231</v>
      </c>
      <c r="N6" s="468">
        <v>45261</v>
      </c>
      <c r="O6" s="752" t="s">
        <v>539</v>
      </c>
      <c r="P6" s="754" t="s">
        <v>536</v>
      </c>
      <c r="Q6" s="753" t="s">
        <v>200</v>
      </c>
    </row>
    <row r="7" spans="1:17" ht="15.75" thickBot="1" x14ac:dyDescent="0.3">
      <c r="A7" s="469" t="s">
        <v>362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117"/>
      <c r="P7" s="117"/>
      <c r="Q7" s="117"/>
    </row>
    <row r="8" spans="1:17" x14ac:dyDescent="0.25">
      <c r="A8" s="75"/>
      <c r="B8" s="75" t="s">
        <v>12</v>
      </c>
      <c r="C8" s="189">
        <v>5.08</v>
      </c>
      <c r="D8" s="189">
        <v>4.78</v>
      </c>
      <c r="E8" s="189">
        <v>4.07</v>
      </c>
      <c r="F8" s="189">
        <v>2.7</v>
      </c>
      <c r="G8" s="189">
        <v>2.5099999999999998</v>
      </c>
      <c r="H8" s="189">
        <v>2.56</v>
      </c>
      <c r="I8" s="189">
        <v>2.94</v>
      </c>
      <c r="J8" s="189">
        <v>2.97</v>
      </c>
      <c r="K8" s="189">
        <v>2.98</v>
      </c>
      <c r="L8" s="189">
        <v>2.96</v>
      </c>
      <c r="M8" s="189">
        <v>3.89</v>
      </c>
      <c r="N8" s="189">
        <v>4.41</v>
      </c>
      <c r="O8" s="559">
        <v>3.4874999999999994</v>
      </c>
      <c r="P8" s="559">
        <v>3.2016428571428572</v>
      </c>
      <c r="Q8" s="740">
        <v>2.1714153439153439</v>
      </c>
    </row>
    <row r="9" spans="1:17" x14ac:dyDescent="0.25">
      <c r="A9" s="75"/>
      <c r="B9" s="75" t="s">
        <v>21</v>
      </c>
      <c r="C9" s="189">
        <v>3.33</v>
      </c>
      <c r="D9" s="189">
        <v>3.29</v>
      </c>
      <c r="E9" s="189">
        <v>2.93</v>
      </c>
      <c r="F9" s="189">
        <v>2.48</v>
      </c>
      <c r="G9" s="189">
        <v>2.2799999999999998</v>
      </c>
      <c r="H9" s="189">
        <v>2.2799999999999998</v>
      </c>
      <c r="I9" s="189">
        <v>2.35</v>
      </c>
      <c r="J9" s="189">
        <v>2.36</v>
      </c>
      <c r="K9" s="189">
        <v>2.39</v>
      </c>
      <c r="L9" s="189">
        <v>2.4500000000000002</v>
      </c>
      <c r="M9" s="189">
        <v>2.64</v>
      </c>
      <c r="N9" s="189">
        <v>2.8</v>
      </c>
      <c r="O9" s="560">
        <v>2.6316666666666668</v>
      </c>
      <c r="P9" s="560">
        <v>2.2627539682539681</v>
      </c>
      <c r="Q9" s="741">
        <v>1.394973544973545</v>
      </c>
    </row>
    <row r="10" spans="1:17" x14ac:dyDescent="0.25">
      <c r="A10" s="75"/>
      <c r="B10" s="75" t="s">
        <v>20</v>
      </c>
      <c r="C10" s="189">
        <v>4.68</v>
      </c>
      <c r="D10" s="189">
        <v>4.54</v>
      </c>
      <c r="E10" s="189">
        <v>3.97</v>
      </c>
      <c r="F10" s="189">
        <v>2.66</v>
      </c>
      <c r="G10" s="189">
        <v>2.56</v>
      </c>
      <c r="H10" s="189">
        <v>2.62</v>
      </c>
      <c r="I10" s="189">
        <v>2.97</v>
      </c>
      <c r="J10" s="189">
        <v>3.02</v>
      </c>
      <c r="K10" s="189">
        <v>2.99</v>
      </c>
      <c r="L10" s="189">
        <v>2.86</v>
      </c>
      <c r="M10" s="189">
        <v>3.58</v>
      </c>
      <c r="N10" s="189">
        <v>4.01</v>
      </c>
      <c r="O10" s="560">
        <v>3.3716666666666661</v>
      </c>
      <c r="P10" s="560">
        <v>3.0187420634920641</v>
      </c>
      <c r="Q10" s="741">
        <v>1.9758862433862434</v>
      </c>
    </row>
    <row r="11" spans="1:17" x14ac:dyDescent="0.25">
      <c r="A11" s="75"/>
      <c r="B11" s="75" t="s">
        <v>363</v>
      </c>
      <c r="C11" s="189">
        <v>3.37</v>
      </c>
      <c r="D11" s="189">
        <v>3.33</v>
      </c>
      <c r="E11" s="189">
        <v>2.98</v>
      </c>
      <c r="F11" s="189">
        <v>2.5099999999999998</v>
      </c>
      <c r="G11" s="189">
        <v>2.31</v>
      </c>
      <c r="H11" s="189">
        <v>2.31</v>
      </c>
      <c r="I11" s="189">
        <v>2.38</v>
      </c>
      <c r="J11" s="189">
        <v>2.39</v>
      </c>
      <c r="K11" s="189">
        <v>2.42</v>
      </c>
      <c r="L11" s="189">
        <v>2.4900000000000002</v>
      </c>
      <c r="M11" s="189">
        <v>2.68</v>
      </c>
      <c r="N11" s="189">
        <v>2.84</v>
      </c>
      <c r="O11" s="560">
        <v>2.6675000000000004</v>
      </c>
      <c r="P11" s="560">
        <v>2.2591137566137567</v>
      </c>
      <c r="Q11" s="741">
        <v>1.4767948941223261</v>
      </c>
    </row>
    <row r="12" spans="1:17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561"/>
      <c r="P12" s="561"/>
      <c r="Q12" s="742"/>
    </row>
    <row r="13" spans="1:17" x14ac:dyDescent="0.25">
      <c r="A13" s="469" t="s">
        <v>364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561"/>
      <c r="P13" s="561"/>
      <c r="Q13" s="742"/>
    </row>
    <row r="14" spans="1:17" ht="15.75" thickBot="1" x14ac:dyDescent="0.3">
      <c r="A14" s="75" t="s">
        <v>365</v>
      </c>
      <c r="B14" s="75" t="s">
        <v>366</v>
      </c>
      <c r="C14" s="570" t="s">
        <v>619</v>
      </c>
      <c r="D14" s="570" t="s">
        <v>619</v>
      </c>
      <c r="E14" s="570" t="s">
        <v>619</v>
      </c>
      <c r="F14" s="570" t="s">
        <v>619</v>
      </c>
      <c r="G14" s="570" t="s">
        <v>619</v>
      </c>
      <c r="H14" s="570" t="s">
        <v>619</v>
      </c>
      <c r="I14" s="570" t="s">
        <v>619</v>
      </c>
      <c r="J14" s="570" t="s">
        <v>619</v>
      </c>
      <c r="K14" s="570" t="s">
        <v>619</v>
      </c>
      <c r="L14" s="570" t="s">
        <v>619</v>
      </c>
      <c r="M14" s="570" t="s">
        <v>619</v>
      </c>
      <c r="N14" s="570" t="s">
        <v>619</v>
      </c>
      <c r="O14" s="570" t="s">
        <v>619</v>
      </c>
      <c r="P14" s="570" t="s">
        <v>619</v>
      </c>
      <c r="Q14" s="570" t="s">
        <v>619</v>
      </c>
    </row>
    <row r="15" spans="1:17" ht="16.5" thickTop="1" thickBot="1" x14ac:dyDescent="0.3">
      <c r="A15" s="75" t="s">
        <v>177</v>
      </c>
      <c r="B15" s="75" t="s">
        <v>367</v>
      </c>
      <c r="C15" s="570" t="s">
        <v>619</v>
      </c>
      <c r="D15" s="570" t="s">
        <v>619</v>
      </c>
      <c r="E15" s="570" t="s">
        <v>619</v>
      </c>
      <c r="F15" s="570" t="s">
        <v>619</v>
      </c>
      <c r="G15" s="570" t="s">
        <v>619</v>
      </c>
      <c r="H15" s="570" t="s">
        <v>619</v>
      </c>
      <c r="I15" s="570" t="s">
        <v>619</v>
      </c>
      <c r="J15" s="570" t="s">
        <v>619</v>
      </c>
      <c r="K15" s="570" t="s">
        <v>619</v>
      </c>
      <c r="L15" s="570" t="s">
        <v>619</v>
      </c>
      <c r="M15" s="570" t="s">
        <v>619</v>
      </c>
      <c r="N15" s="570" t="s">
        <v>619</v>
      </c>
      <c r="O15" s="570" t="s">
        <v>619</v>
      </c>
      <c r="P15" s="570" t="s">
        <v>619</v>
      </c>
      <c r="Q15" s="570" t="s">
        <v>619</v>
      </c>
    </row>
    <row r="16" spans="1:17" ht="16.5" thickTop="1" thickBot="1" x14ac:dyDescent="0.3">
      <c r="A16" s="75"/>
      <c r="B16" s="470" t="s">
        <v>368</v>
      </c>
      <c r="C16" s="570" t="s">
        <v>619</v>
      </c>
      <c r="D16" s="570" t="s">
        <v>619</v>
      </c>
      <c r="E16" s="570" t="s">
        <v>619</v>
      </c>
      <c r="F16" s="570" t="s">
        <v>619</v>
      </c>
      <c r="G16" s="570" t="s">
        <v>619</v>
      </c>
      <c r="H16" s="570" t="s">
        <v>619</v>
      </c>
      <c r="I16" s="570" t="s">
        <v>619</v>
      </c>
      <c r="J16" s="570" t="s">
        <v>619</v>
      </c>
      <c r="K16" s="570" t="s">
        <v>619</v>
      </c>
      <c r="L16" s="570" t="s">
        <v>619</v>
      </c>
      <c r="M16" s="570" t="s">
        <v>619</v>
      </c>
      <c r="N16" s="570" t="s">
        <v>619</v>
      </c>
      <c r="O16" s="570" t="s">
        <v>619</v>
      </c>
      <c r="P16" s="570" t="s">
        <v>619</v>
      </c>
      <c r="Q16" s="570" t="s">
        <v>619</v>
      </c>
    </row>
    <row r="17" spans="1:17" ht="16.5" thickTop="1" thickBot="1" x14ac:dyDescent="0.3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561"/>
      <c r="P17" s="561"/>
      <c r="Q17" s="742"/>
    </row>
    <row r="18" spans="1:17" ht="16.5" thickTop="1" thickBot="1" x14ac:dyDescent="0.3">
      <c r="A18" s="75" t="s">
        <v>365</v>
      </c>
      <c r="B18" s="75" t="s">
        <v>369</v>
      </c>
      <c r="C18" s="572" t="s">
        <v>619</v>
      </c>
      <c r="D18" s="572" t="s">
        <v>619</v>
      </c>
      <c r="E18" s="572" t="s">
        <v>619</v>
      </c>
      <c r="F18" s="572" t="s">
        <v>619</v>
      </c>
      <c r="G18" s="572" t="s">
        <v>619</v>
      </c>
      <c r="H18" s="572" t="s">
        <v>619</v>
      </c>
      <c r="I18" s="572" t="s">
        <v>619</v>
      </c>
      <c r="J18" s="572" t="s">
        <v>619</v>
      </c>
      <c r="K18" s="572" t="s">
        <v>619</v>
      </c>
      <c r="L18" s="572" t="s">
        <v>619</v>
      </c>
      <c r="M18" s="572" t="s">
        <v>619</v>
      </c>
      <c r="N18" s="572" t="s">
        <v>619</v>
      </c>
      <c r="O18" s="572" t="s">
        <v>619</v>
      </c>
      <c r="P18" s="572" t="s">
        <v>619</v>
      </c>
      <c r="Q18" s="572" t="s">
        <v>619</v>
      </c>
    </row>
    <row r="19" spans="1:17" ht="16.5" thickTop="1" thickBot="1" x14ac:dyDescent="0.3">
      <c r="A19" s="75" t="s">
        <v>177</v>
      </c>
      <c r="B19" s="75" t="s">
        <v>370</v>
      </c>
      <c r="C19" s="572" t="s">
        <v>619</v>
      </c>
      <c r="D19" s="572" t="s">
        <v>619</v>
      </c>
      <c r="E19" s="572" t="s">
        <v>619</v>
      </c>
      <c r="F19" s="572" t="s">
        <v>619</v>
      </c>
      <c r="G19" s="572" t="s">
        <v>619</v>
      </c>
      <c r="H19" s="572" t="s">
        <v>619</v>
      </c>
      <c r="I19" s="572" t="s">
        <v>619</v>
      </c>
      <c r="J19" s="572" t="s">
        <v>619</v>
      </c>
      <c r="K19" s="572" t="s">
        <v>619</v>
      </c>
      <c r="L19" s="572" t="s">
        <v>619</v>
      </c>
      <c r="M19" s="572" t="s">
        <v>619</v>
      </c>
      <c r="N19" s="572" t="s">
        <v>619</v>
      </c>
      <c r="O19" s="572" t="s">
        <v>619</v>
      </c>
      <c r="P19" s="572" t="s">
        <v>619</v>
      </c>
      <c r="Q19" s="572" t="s">
        <v>619</v>
      </c>
    </row>
    <row r="20" spans="1:17" ht="16.5" thickTop="1" thickBot="1" x14ac:dyDescent="0.3">
      <c r="A20" s="75"/>
      <c r="B20" s="470" t="s">
        <v>371</v>
      </c>
      <c r="C20" s="570" t="s">
        <v>619</v>
      </c>
      <c r="D20" s="570" t="s">
        <v>619</v>
      </c>
      <c r="E20" s="570" t="s">
        <v>619</v>
      </c>
      <c r="F20" s="570" t="s">
        <v>619</v>
      </c>
      <c r="G20" s="570" t="s">
        <v>619</v>
      </c>
      <c r="H20" s="570" t="s">
        <v>619</v>
      </c>
      <c r="I20" s="570" t="s">
        <v>619</v>
      </c>
      <c r="J20" s="570" t="s">
        <v>619</v>
      </c>
      <c r="K20" s="570" t="s">
        <v>619</v>
      </c>
      <c r="L20" s="570" t="s">
        <v>619</v>
      </c>
      <c r="M20" s="570" t="s">
        <v>619</v>
      </c>
      <c r="N20" s="570" t="s">
        <v>619</v>
      </c>
      <c r="O20" s="570" t="s">
        <v>619</v>
      </c>
      <c r="P20" s="570" t="s">
        <v>619</v>
      </c>
      <c r="Q20" s="570" t="s">
        <v>619</v>
      </c>
    </row>
    <row r="21" spans="1:17" ht="16.5" thickTop="1" thickBot="1" x14ac:dyDescent="0.3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561"/>
      <c r="P21" s="561"/>
      <c r="Q21" s="742"/>
    </row>
    <row r="22" spans="1:17" ht="16.5" thickTop="1" thickBot="1" x14ac:dyDescent="0.3">
      <c r="A22" s="75" t="s">
        <v>365</v>
      </c>
      <c r="B22" s="75" t="s">
        <v>372</v>
      </c>
      <c r="C22" s="572" t="s">
        <v>619</v>
      </c>
      <c r="D22" s="572" t="s">
        <v>619</v>
      </c>
      <c r="E22" s="572" t="s">
        <v>619</v>
      </c>
      <c r="F22" s="572" t="s">
        <v>619</v>
      </c>
      <c r="G22" s="572" t="s">
        <v>619</v>
      </c>
      <c r="H22" s="572" t="s">
        <v>619</v>
      </c>
      <c r="I22" s="572" t="s">
        <v>619</v>
      </c>
      <c r="J22" s="572" t="s">
        <v>619</v>
      </c>
      <c r="K22" s="572" t="s">
        <v>619</v>
      </c>
      <c r="L22" s="572" t="s">
        <v>619</v>
      </c>
      <c r="M22" s="572" t="s">
        <v>619</v>
      </c>
      <c r="N22" s="572" t="s">
        <v>619</v>
      </c>
      <c r="O22" s="572" t="s">
        <v>619</v>
      </c>
      <c r="P22" s="572" t="s">
        <v>619</v>
      </c>
      <c r="Q22" s="572" t="s">
        <v>619</v>
      </c>
    </row>
    <row r="23" spans="1:17" ht="16.5" thickTop="1" thickBot="1" x14ac:dyDescent="0.3">
      <c r="A23" s="75" t="s">
        <v>177</v>
      </c>
      <c r="B23" s="75" t="s">
        <v>373</v>
      </c>
      <c r="C23" s="572" t="s">
        <v>619</v>
      </c>
      <c r="D23" s="572" t="s">
        <v>619</v>
      </c>
      <c r="E23" s="572" t="s">
        <v>619</v>
      </c>
      <c r="F23" s="572" t="s">
        <v>619</v>
      </c>
      <c r="G23" s="572" t="s">
        <v>619</v>
      </c>
      <c r="H23" s="572" t="s">
        <v>619</v>
      </c>
      <c r="I23" s="572" t="s">
        <v>619</v>
      </c>
      <c r="J23" s="572" t="s">
        <v>619</v>
      </c>
      <c r="K23" s="572" t="s">
        <v>619</v>
      </c>
      <c r="L23" s="572" t="s">
        <v>619</v>
      </c>
      <c r="M23" s="572" t="s">
        <v>619</v>
      </c>
      <c r="N23" s="572" t="s">
        <v>619</v>
      </c>
      <c r="O23" s="572" t="s">
        <v>619</v>
      </c>
      <c r="P23" s="572" t="s">
        <v>619</v>
      </c>
      <c r="Q23" s="572" t="s">
        <v>619</v>
      </c>
    </row>
    <row r="24" spans="1:17" ht="16.5" thickTop="1" thickBot="1" x14ac:dyDescent="0.3">
      <c r="A24" s="75"/>
      <c r="B24" s="470" t="s">
        <v>374</v>
      </c>
      <c r="C24" s="572" t="s">
        <v>619</v>
      </c>
      <c r="D24" s="572" t="s">
        <v>619</v>
      </c>
      <c r="E24" s="572" t="s">
        <v>619</v>
      </c>
      <c r="F24" s="572" t="s">
        <v>619</v>
      </c>
      <c r="G24" s="572" t="s">
        <v>619</v>
      </c>
      <c r="H24" s="572" t="s">
        <v>619</v>
      </c>
      <c r="I24" s="572" t="s">
        <v>619</v>
      </c>
      <c r="J24" s="572" t="s">
        <v>619</v>
      </c>
      <c r="K24" s="572" t="s">
        <v>619</v>
      </c>
      <c r="L24" s="572" t="s">
        <v>619</v>
      </c>
      <c r="M24" s="572" t="s">
        <v>619</v>
      </c>
      <c r="N24" s="572" t="s">
        <v>619</v>
      </c>
      <c r="O24" s="572" t="s">
        <v>619</v>
      </c>
      <c r="P24" s="572" t="s">
        <v>619</v>
      </c>
      <c r="Q24" s="572" t="s">
        <v>619</v>
      </c>
    </row>
    <row r="25" spans="1:17" ht="16.5" thickTop="1" thickBot="1" x14ac:dyDescent="0.3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561"/>
      <c r="P25" s="561"/>
      <c r="Q25" s="742"/>
    </row>
    <row r="26" spans="1:17" ht="15.75" thickTop="1" x14ac:dyDescent="0.25">
      <c r="A26" s="75" t="s">
        <v>365</v>
      </c>
      <c r="B26" s="75" t="s">
        <v>375</v>
      </c>
      <c r="C26" s="566" t="s">
        <v>619</v>
      </c>
      <c r="D26" s="567" t="s">
        <v>619</v>
      </c>
      <c r="E26" s="567" t="s">
        <v>619</v>
      </c>
      <c r="F26" s="567" t="s">
        <v>619</v>
      </c>
      <c r="G26" s="567" t="s">
        <v>619</v>
      </c>
      <c r="H26" s="567" t="s">
        <v>619</v>
      </c>
      <c r="I26" s="567" t="s">
        <v>619</v>
      </c>
      <c r="J26" s="567" t="s">
        <v>619</v>
      </c>
      <c r="K26" s="567" t="s">
        <v>619</v>
      </c>
      <c r="L26" s="567" t="s">
        <v>619</v>
      </c>
      <c r="M26" s="567" t="s">
        <v>619</v>
      </c>
      <c r="N26" s="567" t="s">
        <v>619</v>
      </c>
      <c r="O26" s="749" t="s">
        <v>619</v>
      </c>
      <c r="P26" s="749" t="s">
        <v>619</v>
      </c>
      <c r="Q26" s="686" t="s">
        <v>619</v>
      </c>
    </row>
    <row r="27" spans="1:17" x14ac:dyDescent="0.25">
      <c r="A27" s="75" t="s">
        <v>177</v>
      </c>
      <c r="B27" s="75" t="s">
        <v>376</v>
      </c>
      <c r="C27" s="568" t="s">
        <v>619</v>
      </c>
      <c r="D27" s="569" t="s">
        <v>619</v>
      </c>
      <c r="E27" s="569" t="s">
        <v>619</v>
      </c>
      <c r="F27" s="569" t="s">
        <v>619</v>
      </c>
      <c r="G27" s="569" t="s">
        <v>619</v>
      </c>
      <c r="H27" s="569" t="s">
        <v>619</v>
      </c>
      <c r="I27" s="569" t="s">
        <v>619</v>
      </c>
      <c r="J27" s="569" t="s">
        <v>619</v>
      </c>
      <c r="K27" s="569" t="s">
        <v>619</v>
      </c>
      <c r="L27" s="569" t="s">
        <v>619</v>
      </c>
      <c r="M27" s="569" t="s">
        <v>619</v>
      </c>
      <c r="N27" s="569" t="s">
        <v>619</v>
      </c>
      <c r="O27" s="750" t="s">
        <v>619</v>
      </c>
      <c r="P27" s="750" t="s">
        <v>619</v>
      </c>
      <c r="Q27" s="687" t="s">
        <v>619</v>
      </c>
    </row>
    <row r="28" spans="1:17" ht="15.75" thickBot="1" x14ac:dyDescent="0.3">
      <c r="A28" s="75"/>
      <c r="B28" s="470" t="s">
        <v>377</v>
      </c>
      <c r="C28" s="570" t="s">
        <v>619</v>
      </c>
      <c r="D28" s="571" t="s">
        <v>619</v>
      </c>
      <c r="E28" s="571" t="s">
        <v>619</v>
      </c>
      <c r="F28" s="571" t="s">
        <v>619</v>
      </c>
      <c r="G28" s="571" t="s">
        <v>619</v>
      </c>
      <c r="H28" s="571" t="s">
        <v>619</v>
      </c>
      <c r="I28" s="571" t="s">
        <v>619</v>
      </c>
      <c r="J28" s="571" t="s">
        <v>619</v>
      </c>
      <c r="K28" s="571" t="s">
        <v>619</v>
      </c>
      <c r="L28" s="571" t="s">
        <v>619</v>
      </c>
      <c r="M28" s="571" t="s">
        <v>619</v>
      </c>
      <c r="N28" s="571" t="s">
        <v>619</v>
      </c>
      <c r="O28" s="751" t="s">
        <v>619</v>
      </c>
      <c r="P28" s="751" t="s">
        <v>619</v>
      </c>
      <c r="Q28" s="688" t="s">
        <v>619</v>
      </c>
    </row>
    <row r="29" spans="1:17" ht="15.75" thickTop="1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561"/>
      <c r="P29" s="561"/>
      <c r="Q29" s="742"/>
    </row>
    <row r="30" spans="1:17" ht="15.75" thickBot="1" x14ac:dyDescent="0.3">
      <c r="A30" s="469" t="s">
        <v>378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561"/>
      <c r="P30" s="561"/>
      <c r="Q30" s="742"/>
    </row>
    <row r="31" spans="1:17" ht="16.5" thickTop="1" thickBot="1" x14ac:dyDescent="0.3">
      <c r="A31" s="75" t="s">
        <v>365</v>
      </c>
      <c r="B31" s="75" t="s">
        <v>12</v>
      </c>
      <c r="C31" s="572" t="s">
        <v>619</v>
      </c>
      <c r="D31" s="572" t="s">
        <v>619</v>
      </c>
      <c r="E31" s="572" t="s">
        <v>619</v>
      </c>
      <c r="F31" s="572" t="s">
        <v>619</v>
      </c>
      <c r="G31" s="572" t="s">
        <v>619</v>
      </c>
      <c r="H31" s="572" t="s">
        <v>619</v>
      </c>
      <c r="I31" s="572" t="s">
        <v>619</v>
      </c>
      <c r="J31" s="572" t="s">
        <v>619</v>
      </c>
      <c r="K31" s="572" t="s">
        <v>619</v>
      </c>
      <c r="L31" s="572" t="s">
        <v>619</v>
      </c>
      <c r="M31" s="572" t="s">
        <v>619</v>
      </c>
      <c r="N31" s="572" t="s">
        <v>619</v>
      </c>
      <c r="O31" s="572" t="s">
        <v>619</v>
      </c>
      <c r="P31" s="572" t="s">
        <v>619</v>
      </c>
      <c r="Q31" s="572" t="s">
        <v>619</v>
      </c>
    </row>
    <row r="32" spans="1:17" ht="16.5" thickTop="1" thickBot="1" x14ac:dyDescent="0.3">
      <c r="A32" s="75"/>
      <c r="B32" s="75" t="s">
        <v>515</v>
      </c>
      <c r="C32" s="572" t="s">
        <v>619</v>
      </c>
      <c r="D32" s="572" t="s">
        <v>619</v>
      </c>
      <c r="E32" s="572" t="s">
        <v>619</v>
      </c>
      <c r="F32" s="572" t="s">
        <v>619</v>
      </c>
      <c r="G32" s="572" t="s">
        <v>619</v>
      </c>
      <c r="H32" s="572" t="s">
        <v>619</v>
      </c>
      <c r="I32" s="572" t="s">
        <v>619</v>
      </c>
      <c r="J32" s="572" t="s">
        <v>619</v>
      </c>
      <c r="K32" s="572" t="s">
        <v>619</v>
      </c>
      <c r="L32" s="572" t="s">
        <v>619</v>
      </c>
      <c r="M32" s="572" t="s">
        <v>619</v>
      </c>
      <c r="N32" s="572" t="s">
        <v>619</v>
      </c>
      <c r="O32" s="572" t="s">
        <v>619</v>
      </c>
      <c r="P32" s="572" t="s">
        <v>619</v>
      </c>
      <c r="Q32" s="572" t="s">
        <v>619</v>
      </c>
    </row>
    <row r="33" spans="1:17" s="92" customFormat="1" ht="16.5" thickTop="1" thickBot="1" x14ac:dyDescent="0.3">
      <c r="A33" s="117"/>
      <c r="B33" s="471" t="s">
        <v>379</v>
      </c>
      <c r="C33" s="572" t="s">
        <v>619</v>
      </c>
      <c r="D33" s="572" t="s">
        <v>619</v>
      </c>
      <c r="E33" s="572" t="s">
        <v>619</v>
      </c>
      <c r="F33" s="572" t="s">
        <v>619</v>
      </c>
      <c r="G33" s="572" t="s">
        <v>619</v>
      </c>
      <c r="H33" s="572" t="s">
        <v>619</v>
      </c>
      <c r="I33" s="572" t="s">
        <v>619</v>
      </c>
      <c r="J33" s="572" t="s">
        <v>619</v>
      </c>
      <c r="K33" s="572" t="s">
        <v>619</v>
      </c>
      <c r="L33" s="572" t="s">
        <v>619</v>
      </c>
      <c r="M33" s="572" t="s">
        <v>619</v>
      </c>
      <c r="N33" s="572" t="s">
        <v>619</v>
      </c>
      <c r="O33" s="572" t="s">
        <v>619</v>
      </c>
      <c r="P33" s="572" t="s">
        <v>619</v>
      </c>
      <c r="Q33" s="572" t="s">
        <v>619</v>
      </c>
    </row>
    <row r="34" spans="1:17" ht="16.5" thickTop="1" thickBot="1" x14ac:dyDescent="0.3">
      <c r="A34" s="75"/>
      <c r="B34" s="75"/>
      <c r="C34" s="578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561"/>
      <c r="P34" s="561"/>
      <c r="Q34" s="742"/>
    </row>
    <row r="35" spans="1:17" ht="16.5" thickTop="1" thickBot="1" x14ac:dyDescent="0.3">
      <c r="A35" s="75" t="s">
        <v>365</v>
      </c>
      <c r="B35" s="75" t="s">
        <v>21</v>
      </c>
      <c r="C35" s="572" t="s">
        <v>619</v>
      </c>
      <c r="D35" s="572" t="s">
        <v>619</v>
      </c>
      <c r="E35" s="572" t="s">
        <v>619</v>
      </c>
      <c r="F35" s="572" t="s">
        <v>619</v>
      </c>
      <c r="G35" s="572" t="s">
        <v>619</v>
      </c>
      <c r="H35" s="572" t="s">
        <v>619</v>
      </c>
      <c r="I35" s="572" t="s">
        <v>619</v>
      </c>
      <c r="J35" s="572" t="s">
        <v>619</v>
      </c>
      <c r="K35" s="572" t="s">
        <v>619</v>
      </c>
      <c r="L35" s="572" t="s">
        <v>619</v>
      </c>
      <c r="M35" s="572" t="s">
        <v>619</v>
      </c>
      <c r="N35" s="572" t="s">
        <v>619</v>
      </c>
      <c r="O35" s="572" t="s">
        <v>619</v>
      </c>
      <c r="P35" s="572" t="s">
        <v>619</v>
      </c>
      <c r="Q35" s="572" t="s">
        <v>619</v>
      </c>
    </row>
    <row r="36" spans="1:17" ht="16.5" thickTop="1" thickBot="1" x14ac:dyDescent="0.3">
      <c r="A36" s="75"/>
      <c r="B36" s="75" t="s">
        <v>515</v>
      </c>
      <c r="C36" s="572" t="s">
        <v>619</v>
      </c>
      <c r="D36" s="572" t="s">
        <v>619</v>
      </c>
      <c r="E36" s="572" t="s">
        <v>619</v>
      </c>
      <c r="F36" s="572" t="s">
        <v>619</v>
      </c>
      <c r="G36" s="572" t="s">
        <v>619</v>
      </c>
      <c r="H36" s="572" t="s">
        <v>619</v>
      </c>
      <c r="I36" s="572" t="s">
        <v>619</v>
      </c>
      <c r="J36" s="572" t="s">
        <v>619</v>
      </c>
      <c r="K36" s="572" t="s">
        <v>619</v>
      </c>
      <c r="L36" s="572" t="s">
        <v>619</v>
      </c>
      <c r="M36" s="572" t="s">
        <v>619</v>
      </c>
      <c r="N36" s="572" t="s">
        <v>619</v>
      </c>
      <c r="O36" s="572" t="s">
        <v>619</v>
      </c>
      <c r="P36" s="572" t="s">
        <v>619</v>
      </c>
      <c r="Q36" s="572" t="s">
        <v>619</v>
      </c>
    </row>
    <row r="37" spans="1:17" ht="16.5" thickTop="1" thickBot="1" x14ac:dyDescent="0.3">
      <c r="A37" s="75"/>
      <c r="B37" s="470" t="s">
        <v>379</v>
      </c>
      <c r="C37" s="572" t="s">
        <v>619</v>
      </c>
      <c r="D37" s="572" t="s">
        <v>619</v>
      </c>
      <c r="E37" s="572" t="s">
        <v>619</v>
      </c>
      <c r="F37" s="572" t="s">
        <v>619</v>
      </c>
      <c r="G37" s="572" t="s">
        <v>619</v>
      </c>
      <c r="H37" s="572" t="s">
        <v>619</v>
      </c>
      <c r="I37" s="572" t="s">
        <v>619</v>
      </c>
      <c r="J37" s="572" t="s">
        <v>619</v>
      </c>
      <c r="K37" s="572" t="s">
        <v>619</v>
      </c>
      <c r="L37" s="572" t="s">
        <v>619</v>
      </c>
      <c r="M37" s="572" t="s">
        <v>619</v>
      </c>
      <c r="N37" s="572" t="s">
        <v>619</v>
      </c>
      <c r="O37" s="572" t="s">
        <v>619</v>
      </c>
      <c r="P37" s="572" t="s">
        <v>619</v>
      </c>
      <c r="Q37" s="572" t="s">
        <v>619</v>
      </c>
    </row>
    <row r="38" spans="1:17" ht="16.5" thickTop="1" thickBot="1" x14ac:dyDescent="0.3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561"/>
      <c r="P38" s="561"/>
      <c r="Q38" s="742"/>
    </row>
    <row r="39" spans="1:17" ht="16.5" thickTop="1" thickBot="1" x14ac:dyDescent="0.3">
      <c r="A39" s="75" t="s">
        <v>365</v>
      </c>
      <c r="B39" s="75" t="s">
        <v>20</v>
      </c>
      <c r="C39" s="572" t="s">
        <v>619</v>
      </c>
      <c r="D39" s="572" t="s">
        <v>619</v>
      </c>
      <c r="E39" s="572" t="s">
        <v>619</v>
      </c>
      <c r="F39" s="572" t="s">
        <v>619</v>
      </c>
      <c r="G39" s="572" t="s">
        <v>619</v>
      </c>
      <c r="H39" s="572" t="s">
        <v>619</v>
      </c>
      <c r="I39" s="572" t="s">
        <v>619</v>
      </c>
      <c r="J39" s="572" t="s">
        <v>619</v>
      </c>
      <c r="K39" s="572" t="s">
        <v>619</v>
      </c>
      <c r="L39" s="572" t="s">
        <v>619</v>
      </c>
      <c r="M39" s="572" t="s">
        <v>619</v>
      </c>
      <c r="N39" s="572" t="s">
        <v>619</v>
      </c>
      <c r="O39" s="572" t="s">
        <v>619</v>
      </c>
      <c r="P39" s="572" t="s">
        <v>619</v>
      </c>
      <c r="Q39" s="572" t="s">
        <v>619</v>
      </c>
    </row>
    <row r="40" spans="1:17" ht="16.5" thickTop="1" thickBot="1" x14ac:dyDescent="0.3">
      <c r="A40" s="75"/>
      <c r="B40" s="75" t="s">
        <v>515</v>
      </c>
      <c r="C40" s="572" t="s">
        <v>619</v>
      </c>
      <c r="D40" s="572" t="s">
        <v>619</v>
      </c>
      <c r="E40" s="572" t="s">
        <v>619</v>
      </c>
      <c r="F40" s="572" t="s">
        <v>619</v>
      </c>
      <c r="G40" s="572" t="s">
        <v>619</v>
      </c>
      <c r="H40" s="572" t="s">
        <v>619</v>
      </c>
      <c r="I40" s="572" t="s">
        <v>619</v>
      </c>
      <c r="J40" s="572" t="s">
        <v>619</v>
      </c>
      <c r="K40" s="572" t="s">
        <v>619</v>
      </c>
      <c r="L40" s="572" t="s">
        <v>619</v>
      </c>
      <c r="M40" s="572" t="s">
        <v>619</v>
      </c>
      <c r="N40" s="572" t="s">
        <v>619</v>
      </c>
      <c r="O40" s="572" t="s">
        <v>619</v>
      </c>
      <c r="P40" s="572" t="s">
        <v>619</v>
      </c>
      <c r="Q40" s="572" t="s">
        <v>619</v>
      </c>
    </row>
    <row r="41" spans="1:17" ht="16.5" thickTop="1" thickBot="1" x14ac:dyDescent="0.3">
      <c r="A41" s="75"/>
      <c r="B41" s="470" t="s">
        <v>379</v>
      </c>
      <c r="C41" s="572" t="s">
        <v>619</v>
      </c>
      <c r="D41" s="572" t="s">
        <v>619</v>
      </c>
      <c r="E41" s="572" t="s">
        <v>619</v>
      </c>
      <c r="F41" s="572" t="s">
        <v>619</v>
      </c>
      <c r="G41" s="572" t="s">
        <v>619</v>
      </c>
      <c r="H41" s="572" t="s">
        <v>619</v>
      </c>
      <c r="I41" s="572" t="s">
        <v>619</v>
      </c>
      <c r="J41" s="572" t="s">
        <v>619</v>
      </c>
      <c r="K41" s="572" t="s">
        <v>619</v>
      </c>
      <c r="L41" s="572" t="s">
        <v>619</v>
      </c>
      <c r="M41" s="572" t="s">
        <v>619</v>
      </c>
      <c r="N41" s="572" t="s">
        <v>619</v>
      </c>
      <c r="O41" s="572" t="s">
        <v>619</v>
      </c>
      <c r="P41" s="572" t="s">
        <v>619</v>
      </c>
      <c r="Q41" s="572" t="s">
        <v>619</v>
      </c>
    </row>
    <row r="42" spans="1:17" ht="16.5" thickTop="1" thickBot="1" x14ac:dyDescent="0.3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561"/>
      <c r="P42" s="561"/>
      <c r="Q42" s="742"/>
    </row>
    <row r="43" spans="1:17" ht="16.5" thickTop="1" thickBot="1" x14ac:dyDescent="0.3">
      <c r="A43" s="75" t="s">
        <v>365</v>
      </c>
      <c r="B43" s="75" t="s">
        <v>22</v>
      </c>
      <c r="C43" s="572" t="s">
        <v>619</v>
      </c>
      <c r="D43" s="572" t="s">
        <v>619</v>
      </c>
      <c r="E43" s="572" t="s">
        <v>619</v>
      </c>
      <c r="F43" s="572" t="s">
        <v>619</v>
      </c>
      <c r="G43" s="572" t="s">
        <v>619</v>
      </c>
      <c r="H43" s="572" t="s">
        <v>619</v>
      </c>
      <c r="I43" s="572" t="s">
        <v>619</v>
      </c>
      <c r="J43" s="572" t="s">
        <v>619</v>
      </c>
      <c r="K43" s="572" t="s">
        <v>619</v>
      </c>
      <c r="L43" s="572" t="s">
        <v>619</v>
      </c>
      <c r="M43" s="572" t="s">
        <v>619</v>
      </c>
      <c r="N43" s="572" t="s">
        <v>619</v>
      </c>
      <c r="O43" s="572" t="s">
        <v>619</v>
      </c>
      <c r="P43" s="572" t="s">
        <v>619</v>
      </c>
      <c r="Q43" s="572" t="s">
        <v>619</v>
      </c>
    </row>
    <row r="44" spans="1:17" ht="16.5" thickTop="1" thickBot="1" x14ac:dyDescent="0.3">
      <c r="A44" s="75"/>
      <c r="B44" s="75" t="s">
        <v>515</v>
      </c>
      <c r="C44" s="572" t="s">
        <v>619</v>
      </c>
      <c r="D44" s="572" t="s">
        <v>619</v>
      </c>
      <c r="E44" s="572" t="s">
        <v>619</v>
      </c>
      <c r="F44" s="572" t="s">
        <v>619</v>
      </c>
      <c r="G44" s="572" t="s">
        <v>619</v>
      </c>
      <c r="H44" s="572" t="s">
        <v>619</v>
      </c>
      <c r="I44" s="572" t="s">
        <v>619</v>
      </c>
      <c r="J44" s="572" t="s">
        <v>619</v>
      </c>
      <c r="K44" s="572" t="s">
        <v>619</v>
      </c>
      <c r="L44" s="572" t="s">
        <v>619</v>
      </c>
      <c r="M44" s="572" t="s">
        <v>619</v>
      </c>
      <c r="N44" s="572" t="s">
        <v>619</v>
      </c>
      <c r="O44" s="572" t="s">
        <v>619</v>
      </c>
      <c r="P44" s="572" t="s">
        <v>619</v>
      </c>
      <c r="Q44" s="572" t="s">
        <v>619</v>
      </c>
    </row>
    <row r="45" spans="1:17" ht="16.5" thickTop="1" thickBot="1" x14ac:dyDescent="0.3">
      <c r="A45" s="75"/>
      <c r="B45" s="470" t="s">
        <v>379</v>
      </c>
      <c r="C45" s="572" t="s">
        <v>619</v>
      </c>
      <c r="D45" s="572" t="s">
        <v>619</v>
      </c>
      <c r="E45" s="572" t="s">
        <v>619</v>
      </c>
      <c r="F45" s="572" t="s">
        <v>619</v>
      </c>
      <c r="G45" s="572" t="s">
        <v>619</v>
      </c>
      <c r="H45" s="572" t="s">
        <v>619</v>
      </c>
      <c r="I45" s="572" t="s">
        <v>619</v>
      </c>
      <c r="J45" s="572" t="s">
        <v>619</v>
      </c>
      <c r="K45" s="572" t="s">
        <v>619</v>
      </c>
      <c r="L45" s="572" t="s">
        <v>619</v>
      </c>
      <c r="M45" s="572" t="s">
        <v>619</v>
      </c>
      <c r="N45" s="572" t="s">
        <v>619</v>
      </c>
      <c r="O45" s="572" t="s">
        <v>619</v>
      </c>
      <c r="P45" s="572" t="s">
        <v>619</v>
      </c>
      <c r="Q45" s="572" t="s">
        <v>619</v>
      </c>
    </row>
    <row r="46" spans="1:17" ht="15.75" thickTop="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561"/>
      <c r="P46" s="561"/>
      <c r="Q46" s="742"/>
    </row>
    <row r="47" spans="1:17" ht="15.75" thickBot="1" x14ac:dyDescent="0.3">
      <c r="A47" s="469" t="s">
        <v>380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561"/>
      <c r="P47" s="561"/>
      <c r="Q47" s="742"/>
    </row>
    <row r="48" spans="1:17" ht="16.5" thickTop="1" thickBot="1" x14ac:dyDescent="0.3">
      <c r="A48" s="75" t="s">
        <v>365</v>
      </c>
      <c r="B48" s="75" t="s">
        <v>12</v>
      </c>
      <c r="C48" s="572" t="s">
        <v>619</v>
      </c>
      <c r="D48" s="572" t="s">
        <v>619</v>
      </c>
      <c r="E48" s="572" t="s">
        <v>619</v>
      </c>
      <c r="F48" s="572" t="s">
        <v>619</v>
      </c>
      <c r="G48" s="572" t="s">
        <v>619</v>
      </c>
      <c r="H48" s="572" t="s">
        <v>619</v>
      </c>
      <c r="I48" s="572" t="s">
        <v>619</v>
      </c>
      <c r="J48" s="572" t="s">
        <v>619</v>
      </c>
      <c r="K48" s="572" t="s">
        <v>619</v>
      </c>
      <c r="L48" s="572" t="s">
        <v>619</v>
      </c>
      <c r="M48" s="572" t="s">
        <v>619</v>
      </c>
      <c r="N48" s="572" t="s">
        <v>619</v>
      </c>
      <c r="O48" s="572" t="s">
        <v>619</v>
      </c>
      <c r="P48" s="572" t="s">
        <v>619</v>
      </c>
      <c r="Q48" s="572" t="s">
        <v>619</v>
      </c>
    </row>
    <row r="49" spans="1:17" ht="16.5" thickTop="1" thickBot="1" x14ac:dyDescent="0.3">
      <c r="A49" s="75" t="s">
        <v>177</v>
      </c>
      <c r="B49" s="75" t="s">
        <v>177</v>
      </c>
      <c r="C49" s="572" t="s">
        <v>619</v>
      </c>
      <c r="D49" s="572" t="s">
        <v>619</v>
      </c>
      <c r="E49" s="572" t="s">
        <v>619</v>
      </c>
      <c r="F49" s="572" t="s">
        <v>619</v>
      </c>
      <c r="G49" s="572" t="s">
        <v>619</v>
      </c>
      <c r="H49" s="572" t="s">
        <v>619</v>
      </c>
      <c r="I49" s="572" t="s">
        <v>619</v>
      </c>
      <c r="J49" s="572" t="s">
        <v>619</v>
      </c>
      <c r="K49" s="572" t="s">
        <v>619</v>
      </c>
      <c r="L49" s="572" t="s">
        <v>619</v>
      </c>
      <c r="M49" s="572" t="s">
        <v>619</v>
      </c>
      <c r="N49" s="572" t="s">
        <v>619</v>
      </c>
      <c r="O49" s="572" t="s">
        <v>619</v>
      </c>
      <c r="P49" s="572" t="s">
        <v>619</v>
      </c>
      <c r="Q49" s="572" t="s">
        <v>619</v>
      </c>
    </row>
    <row r="50" spans="1:17" ht="16.5" thickTop="1" thickBot="1" x14ac:dyDescent="0.3">
      <c r="A50" s="75"/>
      <c r="B50" s="470" t="s">
        <v>98</v>
      </c>
      <c r="C50" s="572" t="s">
        <v>619</v>
      </c>
      <c r="D50" s="572" t="s">
        <v>619</v>
      </c>
      <c r="E50" s="572" t="s">
        <v>619</v>
      </c>
      <c r="F50" s="572" t="s">
        <v>619</v>
      </c>
      <c r="G50" s="572" t="s">
        <v>619</v>
      </c>
      <c r="H50" s="572" t="s">
        <v>619</v>
      </c>
      <c r="I50" s="572" t="s">
        <v>619</v>
      </c>
      <c r="J50" s="572" t="s">
        <v>619</v>
      </c>
      <c r="K50" s="572" t="s">
        <v>619</v>
      </c>
      <c r="L50" s="572" t="s">
        <v>619</v>
      </c>
      <c r="M50" s="572" t="s">
        <v>619</v>
      </c>
      <c r="N50" s="572" t="s">
        <v>619</v>
      </c>
      <c r="O50" s="572" t="s">
        <v>619</v>
      </c>
      <c r="P50" s="572" t="s">
        <v>619</v>
      </c>
      <c r="Q50" s="572" t="s">
        <v>619</v>
      </c>
    </row>
    <row r="51" spans="1:17" ht="16.5" thickTop="1" thickBot="1" x14ac:dyDescent="0.3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561"/>
      <c r="P51" s="561"/>
      <c r="Q51" s="742"/>
    </row>
    <row r="52" spans="1:17" ht="16.5" thickTop="1" thickBot="1" x14ac:dyDescent="0.3">
      <c r="A52" s="75" t="s">
        <v>365</v>
      </c>
      <c r="B52" s="75" t="s">
        <v>21</v>
      </c>
      <c r="C52" s="572" t="s">
        <v>619</v>
      </c>
      <c r="D52" s="572" t="s">
        <v>619</v>
      </c>
      <c r="E52" s="572" t="s">
        <v>619</v>
      </c>
      <c r="F52" s="572" t="s">
        <v>619</v>
      </c>
      <c r="G52" s="572" t="s">
        <v>619</v>
      </c>
      <c r="H52" s="572" t="s">
        <v>619</v>
      </c>
      <c r="I52" s="572" t="s">
        <v>619</v>
      </c>
      <c r="J52" s="572" t="s">
        <v>619</v>
      </c>
      <c r="K52" s="572" t="s">
        <v>619</v>
      </c>
      <c r="L52" s="572" t="s">
        <v>619</v>
      </c>
      <c r="M52" s="572" t="s">
        <v>619</v>
      </c>
      <c r="N52" s="572" t="s">
        <v>619</v>
      </c>
      <c r="O52" s="572" t="s">
        <v>619</v>
      </c>
      <c r="P52" s="572" t="s">
        <v>619</v>
      </c>
      <c r="Q52" s="572" t="s">
        <v>619</v>
      </c>
    </row>
    <row r="53" spans="1:17" ht="16.5" thickTop="1" thickBot="1" x14ac:dyDescent="0.3">
      <c r="A53" s="75" t="s">
        <v>177</v>
      </c>
      <c r="B53" s="75" t="s">
        <v>177</v>
      </c>
      <c r="C53" s="572" t="s">
        <v>619</v>
      </c>
      <c r="D53" s="572" t="s">
        <v>619</v>
      </c>
      <c r="E53" s="572" t="s">
        <v>619</v>
      </c>
      <c r="F53" s="572" t="s">
        <v>619</v>
      </c>
      <c r="G53" s="572" t="s">
        <v>619</v>
      </c>
      <c r="H53" s="572" t="s">
        <v>619</v>
      </c>
      <c r="I53" s="572" t="s">
        <v>619</v>
      </c>
      <c r="J53" s="572" t="s">
        <v>619</v>
      </c>
      <c r="K53" s="572" t="s">
        <v>619</v>
      </c>
      <c r="L53" s="572" t="s">
        <v>619</v>
      </c>
      <c r="M53" s="572" t="s">
        <v>619</v>
      </c>
      <c r="N53" s="572" t="s">
        <v>619</v>
      </c>
      <c r="O53" s="572" t="s">
        <v>619</v>
      </c>
      <c r="P53" s="572" t="s">
        <v>619</v>
      </c>
      <c r="Q53" s="572" t="s">
        <v>619</v>
      </c>
    </row>
    <row r="54" spans="1:17" ht="16.5" thickTop="1" thickBot="1" x14ac:dyDescent="0.3">
      <c r="A54" s="75"/>
      <c r="B54" s="470" t="s">
        <v>98</v>
      </c>
      <c r="C54" s="572" t="s">
        <v>619</v>
      </c>
      <c r="D54" s="572" t="s">
        <v>619</v>
      </c>
      <c r="E54" s="572" t="s">
        <v>619</v>
      </c>
      <c r="F54" s="572" t="s">
        <v>619</v>
      </c>
      <c r="G54" s="572" t="s">
        <v>619</v>
      </c>
      <c r="H54" s="572" t="s">
        <v>619</v>
      </c>
      <c r="I54" s="572" t="s">
        <v>619</v>
      </c>
      <c r="J54" s="572" t="s">
        <v>619</v>
      </c>
      <c r="K54" s="572" t="s">
        <v>619</v>
      </c>
      <c r="L54" s="572" t="s">
        <v>619</v>
      </c>
      <c r="M54" s="572" t="s">
        <v>619</v>
      </c>
      <c r="N54" s="572" t="s">
        <v>619</v>
      </c>
      <c r="O54" s="572" t="s">
        <v>619</v>
      </c>
      <c r="P54" s="572" t="s">
        <v>619</v>
      </c>
      <c r="Q54" s="572" t="s">
        <v>619</v>
      </c>
    </row>
    <row r="55" spans="1:17" ht="16.5" thickTop="1" thickBot="1" x14ac:dyDescent="0.3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561"/>
      <c r="P55" s="561"/>
      <c r="Q55" s="742"/>
    </row>
    <row r="56" spans="1:17" ht="16.5" thickTop="1" thickBot="1" x14ac:dyDescent="0.3">
      <c r="A56" s="75" t="s">
        <v>365</v>
      </c>
      <c r="B56" s="75" t="s">
        <v>20</v>
      </c>
      <c r="C56" s="572" t="s">
        <v>619</v>
      </c>
      <c r="D56" s="572" t="s">
        <v>619</v>
      </c>
      <c r="E56" s="572" t="s">
        <v>619</v>
      </c>
      <c r="F56" s="572" t="s">
        <v>619</v>
      </c>
      <c r="G56" s="572" t="s">
        <v>619</v>
      </c>
      <c r="H56" s="572" t="s">
        <v>619</v>
      </c>
      <c r="I56" s="572" t="s">
        <v>619</v>
      </c>
      <c r="J56" s="572" t="s">
        <v>619</v>
      </c>
      <c r="K56" s="572" t="s">
        <v>619</v>
      </c>
      <c r="L56" s="572" t="s">
        <v>619</v>
      </c>
      <c r="M56" s="572" t="s">
        <v>619</v>
      </c>
      <c r="N56" s="572" t="s">
        <v>619</v>
      </c>
      <c r="O56" s="572" t="s">
        <v>619</v>
      </c>
      <c r="P56" s="572" t="s">
        <v>619</v>
      </c>
      <c r="Q56" s="572" t="s">
        <v>619</v>
      </c>
    </row>
    <row r="57" spans="1:17" ht="16.5" thickTop="1" thickBot="1" x14ac:dyDescent="0.3">
      <c r="A57" s="75" t="s">
        <v>177</v>
      </c>
      <c r="B57" s="75" t="s">
        <v>177</v>
      </c>
      <c r="C57" s="572" t="s">
        <v>619</v>
      </c>
      <c r="D57" s="572" t="s">
        <v>619</v>
      </c>
      <c r="E57" s="572" t="s">
        <v>619</v>
      </c>
      <c r="F57" s="572" t="s">
        <v>619</v>
      </c>
      <c r="G57" s="572" t="s">
        <v>619</v>
      </c>
      <c r="H57" s="572" t="s">
        <v>619</v>
      </c>
      <c r="I57" s="572" t="s">
        <v>619</v>
      </c>
      <c r="J57" s="572" t="s">
        <v>619</v>
      </c>
      <c r="K57" s="572" t="s">
        <v>619</v>
      </c>
      <c r="L57" s="572" t="s">
        <v>619</v>
      </c>
      <c r="M57" s="572" t="s">
        <v>619</v>
      </c>
      <c r="N57" s="572" t="s">
        <v>619</v>
      </c>
      <c r="O57" s="572" t="s">
        <v>619</v>
      </c>
      <c r="P57" s="572" t="s">
        <v>619</v>
      </c>
      <c r="Q57" s="572" t="s">
        <v>619</v>
      </c>
    </row>
    <row r="58" spans="1:17" ht="16.5" thickTop="1" thickBot="1" x14ac:dyDescent="0.3">
      <c r="A58" s="75"/>
      <c r="B58" s="470" t="s">
        <v>98</v>
      </c>
      <c r="C58" s="572" t="s">
        <v>619</v>
      </c>
      <c r="D58" s="572" t="s">
        <v>619</v>
      </c>
      <c r="E58" s="572" t="s">
        <v>619</v>
      </c>
      <c r="F58" s="572" t="s">
        <v>619</v>
      </c>
      <c r="G58" s="572" t="s">
        <v>619</v>
      </c>
      <c r="H58" s="572" t="s">
        <v>619</v>
      </c>
      <c r="I58" s="572" t="s">
        <v>619</v>
      </c>
      <c r="J58" s="572" t="s">
        <v>619</v>
      </c>
      <c r="K58" s="572" t="s">
        <v>619</v>
      </c>
      <c r="L58" s="572" t="s">
        <v>619</v>
      </c>
      <c r="M58" s="572" t="s">
        <v>619</v>
      </c>
      <c r="N58" s="572" t="s">
        <v>619</v>
      </c>
      <c r="O58" s="572" t="s">
        <v>619</v>
      </c>
      <c r="P58" s="572" t="s">
        <v>619</v>
      </c>
      <c r="Q58" s="572" t="s">
        <v>619</v>
      </c>
    </row>
    <row r="59" spans="1:17" ht="16.5" thickTop="1" thickBot="1" x14ac:dyDescent="0.3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561"/>
      <c r="P59" s="561"/>
      <c r="Q59" s="742"/>
    </row>
    <row r="60" spans="1:17" ht="16.5" thickTop="1" thickBot="1" x14ac:dyDescent="0.3">
      <c r="A60" s="75" t="s">
        <v>365</v>
      </c>
      <c r="B60" s="75" t="s">
        <v>22</v>
      </c>
      <c r="C60" s="572" t="s">
        <v>619</v>
      </c>
      <c r="D60" s="572" t="s">
        <v>619</v>
      </c>
      <c r="E60" s="572" t="s">
        <v>619</v>
      </c>
      <c r="F60" s="572" t="s">
        <v>619</v>
      </c>
      <c r="G60" s="572" t="s">
        <v>619</v>
      </c>
      <c r="H60" s="572" t="s">
        <v>619</v>
      </c>
      <c r="I60" s="572" t="s">
        <v>619</v>
      </c>
      <c r="J60" s="572" t="s">
        <v>619</v>
      </c>
      <c r="K60" s="572" t="s">
        <v>619</v>
      </c>
      <c r="L60" s="572" t="s">
        <v>619</v>
      </c>
      <c r="M60" s="572" t="s">
        <v>619</v>
      </c>
      <c r="N60" s="572" t="s">
        <v>619</v>
      </c>
      <c r="O60" s="572" t="s">
        <v>619</v>
      </c>
      <c r="P60" s="572" t="s">
        <v>619</v>
      </c>
      <c r="Q60" s="572" t="s">
        <v>619</v>
      </c>
    </row>
    <row r="61" spans="1:17" ht="16.5" thickTop="1" thickBot="1" x14ac:dyDescent="0.3">
      <c r="A61" s="75" t="s">
        <v>177</v>
      </c>
      <c r="B61" s="75" t="s">
        <v>177</v>
      </c>
      <c r="C61" s="572" t="s">
        <v>619</v>
      </c>
      <c r="D61" s="572" t="s">
        <v>619</v>
      </c>
      <c r="E61" s="572" t="s">
        <v>619</v>
      </c>
      <c r="F61" s="572" t="s">
        <v>619</v>
      </c>
      <c r="G61" s="572" t="s">
        <v>619</v>
      </c>
      <c r="H61" s="572" t="s">
        <v>619</v>
      </c>
      <c r="I61" s="572" t="s">
        <v>619</v>
      </c>
      <c r="J61" s="572" t="s">
        <v>619</v>
      </c>
      <c r="K61" s="572" t="s">
        <v>619</v>
      </c>
      <c r="L61" s="572" t="s">
        <v>619</v>
      </c>
      <c r="M61" s="572" t="s">
        <v>619</v>
      </c>
      <c r="N61" s="572" t="s">
        <v>619</v>
      </c>
      <c r="O61" s="572" t="s">
        <v>619</v>
      </c>
      <c r="P61" s="572" t="s">
        <v>619</v>
      </c>
      <c r="Q61" s="572" t="s">
        <v>619</v>
      </c>
    </row>
    <row r="62" spans="1:17" ht="16.5" thickTop="1" thickBot="1" x14ac:dyDescent="0.3">
      <c r="A62" s="75"/>
      <c r="B62" s="470" t="s">
        <v>98</v>
      </c>
      <c r="C62" s="572" t="s">
        <v>619</v>
      </c>
      <c r="D62" s="572" t="s">
        <v>619</v>
      </c>
      <c r="E62" s="572" t="s">
        <v>619</v>
      </c>
      <c r="F62" s="572" t="s">
        <v>619</v>
      </c>
      <c r="G62" s="572" t="s">
        <v>619</v>
      </c>
      <c r="H62" s="572" t="s">
        <v>619</v>
      </c>
      <c r="I62" s="572" t="s">
        <v>619</v>
      </c>
      <c r="J62" s="572" t="s">
        <v>619</v>
      </c>
      <c r="K62" s="572" t="s">
        <v>619</v>
      </c>
      <c r="L62" s="572" t="s">
        <v>619</v>
      </c>
      <c r="M62" s="572" t="s">
        <v>619</v>
      </c>
      <c r="N62" s="572" t="s">
        <v>619</v>
      </c>
      <c r="O62" s="572" t="s">
        <v>619</v>
      </c>
      <c r="P62" s="572" t="s">
        <v>619</v>
      </c>
      <c r="Q62" s="572" t="s">
        <v>619</v>
      </c>
    </row>
    <row r="63" spans="1:17" ht="15.75" thickTop="1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561"/>
      <c r="P63" s="561"/>
      <c r="Q63" s="742"/>
    </row>
    <row r="64" spans="1:17" x14ac:dyDescent="0.25">
      <c r="A64" s="469" t="s">
        <v>516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561"/>
      <c r="P64" s="561"/>
      <c r="Q64" s="742"/>
    </row>
    <row r="65" spans="1:17" x14ac:dyDescent="0.25">
      <c r="A65" s="75" t="s">
        <v>73</v>
      </c>
      <c r="B65" s="117" t="s">
        <v>68</v>
      </c>
      <c r="C65" s="472">
        <v>41419.602371817229</v>
      </c>
      <c r="D65" s="472">
        <v>41419.602371817229</v>
      </c>
      <c r="E65" s="472">
        <v>41419.602371817229</v>
      </c>
      <c r="F65" s="472">
        <v>41419.602371817229</v>
      </c>
      <c r="G65" s="472">
        <v>41419.602371817229</v>
      </c>
      <c r="H65" s="472">
        <v>41419.602371817229</v>
      </c>
      <c r="I65" s="472">
        <v>41419.602371817229</v>
      </c>
      <c r="J65" s="472">
        <v>41419.602371817229</v>
      </c>
      <c r="K65" s="472">
        <v>41419.602371817229</v>
      </c>
      <c r="L65" s="472">
        <v>41419.602371817229</v>
      </c>
      <c r="M65" s="472">
        <v>41419.602371817229</v>
      </c>
      <c r="N65" s="472">
        <v>41419.602371817229</v>
      </c>
      <c r="O65" s="562">
        <v>41419.602371817229</v>
      </c>
      <c r="P65" s="562">
        <v>41419.602371817229</v>
      </c>
      <c r="Q65" s="743">
        <v>0</v>
      </c>
    </row>
    <row r="66" spans="1:17" x14ac:dyDescent="0.25">
      <c r="A66" s="75" t="s">
        <v>73</v>
      </c>
      <c r="B66" s="117" t="s">
        <v>69</v>
      </c>
      <c r="C66" s="472">
        <v>40891.129665155211</v>
      </c>
      <c r="D66" s="472">
        <v>40891.129665155211</v>
      </c>
      <c r="E66" s="472">
        <v>40891.129665155211</v>
      </c>
      <c r="F66" s="472">
        <v>40891.129665155211</v>
      </c>
      <c r="G66" s="472">
        <v>40891.129665155211</v>
      </c>
      <c r="H66" s="472">
        <v>40891.129665155211</v>
      </c>
      <c r="I66" s="472">
        <v>40891.129665155211</v>
      </c>
      <c r="J66" s="472">
        <v>40891.129665155211</v>
      </c>
      <c r="K66" s="472">
        <v>40891.129665155211</v>
      </c>
      <c r="L66" s="472">
        <v>40891.129665155211</v>
      </c>
      <c r="M66" s="472">
        <v>40891.129665155211</v>
      </c>
      <c r="N66" s="472">
        <v>40891.129665155211</v>
      </c>
      <c r="O66" s="562">
        <v>40891.129665155204</v>
      </c>
      <c r="P66" s="562">
        <v>40891.129665155204</v>
      </c>
      <c r="Q66" s="743">
        <v>0</v>
      </c>
    </row>
    <row r="67" spans="1:17" x14ac:dyDescent="0.25">
      <c r="A67" s="75" t="s">
        <v>73</v>
      </c>
      <c r="B67" s="117" t="s">
        <v>70</v>
      </c>
      <c r="C67" s="472">
        <v>40358.072898840248</v>
      </c>
      <c r="D67" s="472">
        <v>40358.072898840248</v>
      </c>
      <c r="E67" s="472">
        <v>40358.072898840248</v>
      </c>
      <c r="F67" s="472">
        <v>40358.072898840248</v>
      </c>
      <c r="G67" s="472">
        <v>40358.072898840248</v>
      </c>
      <c r="H67" s="472">
        <v>40358.072898840248</v>
      </c>
      <c r="I67" s="472">
        <v>40358.072898840248</v>
      </c>
      <c r="J67" s="472">
        <v>40358.072898840248</v>
      </c>
      <c r="K67" s="472">
        <v>40358.072898840248</v>
      </c>
      <c r="L67" s="472">
        <v>40358.072898840248</v>
      </c>
      <c r="M67" s="472">
        <v>40358.072898840248</v>
      </c>
      <c r="N67" s="472">
        <v>40358.072898840248</v>
      </c>
      <c r="O67" s="562">
        <v>40358.072898840248</v>
      </c>
      <c r="P67" s="562">
        <v>40358.072898840248</v>
      </c>
      <c r="Q67" s="743">
        <v>0</v>
      </c>
    </row>
    <row r="68" spans="1:17" ht="15.75" thickBot="1" x14ac:dyDescent="0.3">
      <c r="A68" s="75" t="s">
        <v>74</v>
      </c>
      <c r="B68" s="117" t="s">
        <v>381</v>
      </c>
      <c r="C68" s="472">
        <v>78928</v>
      </c>
      <c r="D68" s="472">
        <v>78928</v>
      </c>
      <c r="E68" s="472">
        <v>78928</v>
      </c>
      <c r="F68" s="472">
        <v>78928</v>
      </c>
      <c r="G68" s="472">
        <v>78928</v>
      </c>
      <c r="H68" s="472">
        <v>78928</v>
      </c>
      <c r="I68" s="472">
        <v>78928</v>
      </c>
      <c r="J68" s="472">
        <v>78928</v>
      </c>
      <c r="K68" s="472">
        <v>78928</v>
      </c>
      <c r="L68" s="472">
        <v>78928</v>
      </c>
      <c r="M68" s="472">
        <v>78928</v>
      </c>
      <c r="N68" s="472">
        <v>78928</v>
      </c>
      <c r="O68" s="562">
        <v>78928</v>
      </c>
      <c r="P68" s="562">
        <v>78928</v>
      </c>
      <c r="Q68" s="743">
        <v>0</v>
      </c>
    </row>
    <row r="69" spans="1:17" ht="16.5" thickTop="1" thickBot="1" x14ac:dyDescent="0.3">
      <c r="A69" s="75" t="s">
        <v>74</v>
      </c>
      <c r="B69" s="117" t="s">
        <v>382</v>
      </c>
      <c r="C69" s="572" t="s">
        <v>619</v>
      </c>
      <c r="D69" s="572" t="s">
        <v>619</v>
      </c>
      <c r="E69" s="572" t="s">
        <v>619</v>
      </c>
      <c r="F69" s="572" t="s">
        <v>619</v>
      </c>
      <c r="G69" s="572" t="s">
        <v>619</v>
      </c>
      <c r="H69" s="572" t="s">
        <v>619</v>
      </c>
      <c r="I69" s="572" t="s">
        <v>619</v>
      </c>
      <c r="J69" s="572" t="s">
        <v>619</v>
      </c>
      <c r="K69" s="572" t="s">
        <v>619</v>
      </c>
      <c r="L69" s="572" t="s">
        <v>619</v>
      </c>
      <c r="M69" s="572" t="s">
        <v>619</v>
      </c>
      <c r="N69" s="572" t="s">
        <v>619</v>
      </c>
      <c r="O69" s="572" t="s">
        <v>619</v>
      </c>
      <c r="P69" s="572" t="s">
        <v>619</v>
      </c>
      <c r="Q69" s="572" t="s">
        <v>619</v>
      </c>
    </row>
    <row r="70" spans="1:17" ht="16.5" thickTop="1" thickBot="1" x14ac:dyDescent="0.3">
      <c r="A70" s="75" t="s">
        <v>74</v>
      </c>
      <c r="B70" s="43" t="s">
        <v>383</v>
      </c>
      <c r="C70" s="572" t="s">
        <v>619</v>
      </c>
      <c r="D70" s="572" t="s">
        <v>619</v>
      </c>
      <c r="E70" s="572" t="s">
        <v>619</v>
      </c>
      <c r="F70" s="572" t="s">
        <v>619</v>
      </c>
      <c r="G70" s="572" t="s">
        <v>619</v>
      </c>
      <c r="H70" s="572" t="s">
        <v>619</v>
      </c>
      <c r="I70" s="572" t="s">
        <v>619</v>
      </c>
      <c r="J70" s="572" t="s">
        <v>619</v>
      </c>
      <c r="K70" s="572" t="s">
        <v>619</v>
      </c>
      <c r="L70" s="572" t="s">
        <v>619</v>
      </c>
      <c r="M70" s="572" t="s">
        <v>619</v>
      </c>
      <c r="N70" s="572" t="s">
        <v>619</v>
      </c>
      <c r="O70" s="572" t="s">
        <v>619</v>
      </c>
      <c r="P70" s="572" t="s">
        <v>619</v>
      </c>
      <c r="Q70" s="572" t="s">
        <v>619</v>
      </c>
    </row>
    <row r="71" spans="1:17" ht="15.75" thickTop="1" x14ac:dyDescent="0.25">
      <c r="A71" s="75" t="s">
        <v>384</v>
      </c>
      <c r="B71" s="117" t="s">
        <v>385</v>
      </c>
      <c r="C71" s="472">
        <v>88351.616255999994</v>
      </c>
      <c r="D71" s="472">
        <v>88351.616255999994</v>
      </c>
      <c r="E71" s="472">
        <v>88351.616255999994</v>
      </c>
      <c r="F71" s="472">
        <v>88351.616255999994</v>
      </c>
      <c r="G71" s="472">
        <v>88351.616255999994</v>
      </c>
      <c r="H71" s="472">
        <v>88351.616255999994</v>
      </c>
      <c r="I71" s="472">
        <v>88351.616255999994</v>
      </c>
      <c r="J71" s="472">
        <v>88351.616255999994</v>
      </c>
      <c r="K71" s="472">
        <v>88351.616255999994</v>
      </c>
      <c r="L71" s="472">
        <v>88351.616255999994</v>
      </c>
      <c r="M71" s="472">
        <v>88351.616255999994</v>
      </c>
      <c r="N71" s="472">
        <v>88351.616255999994</v>
      </c>
      <c r="O71" s="562">
        <v>88351.616255999994</v>
      </c>
      <c r="P71" s="562">
        <v>88351.616255999994</v>
      </c>
      <c r="Q71" s="743">
        <v>0</v>
      </c>
    </row>
    <row r="72" spans="1:17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561"/>
      <c r="P72" s="561"/>
      <c r="Q72" s="742"/>
    </row>
    <row r="73" spans="1:17" x14ac:dyDescent="0.25">
      <c r="A73" s="469" t="s">
        <v>386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561"/>
      <c r="P73" s="561"/>
      <c r="Q73" s="742"/>
    </row>
    <row r="74" spans="1:17" x14ac:dyDescent="0.25">
      <c r="A74" s="75" t="s">
        <v>73</v>
      </c>
      <c r="B74" s="75" t="s">
        <v>529</v>
      </c>
      <c r="C74" s="608">
        <v>1.2759E-2</v>
      </c>
      <c r="D74" s="608">
        <v>1.2759E-2</v>
      </c>
      <c r="E74" s="608">
        <v>1.2759E-2</v>
      </c>
      <c r="F74" s="608">
        <v>1.2759E-2</v>
      </c>
      <c r="G74" s="608">
        <v>1.2759E-2</v>
      </c>
      <c r="H74" s="608">
        <v>1.2759E-2</v>
      </c>
      <c r="I74" s="608">
        <v>1.2759E-2</v>
      </c>
      <c r="J74" s="608">
        <v>1.2759E-2</v>
      </c>
      <c r="K74" s="608">
        <v>1.2759E-2</v>
      </c>
      <c r="L74" s="608">
        <v>1.2759E-2</v>
      </c>
      <c r="M74" s="608">
        <v>1.2759E-2</v>
      </c>
      <c r="N74" s="608">
        <v>1.2759E-2</v>
      </c>
      <c r="O74" s="563">
        <v>1.2758999999999994E-2</v>
      </c>
      <c r="P74" s="563">
        <v>1.2758999999999994E-2</v>
      </c>
      <c r="Q74" s="744">
        <v>0</v>
      </c>
    </row>
    <row r="75" spans="1:17" x14ac:dyDescent="0.25">
      <c r="A75" s="466" t="s">
        <v>73</v>
      </c>
      <c r="B75" s="466" t="s">
        <v>528</v>
      </c>
      <c r="C75" s="611">
        <v>1.3036000000000001E-2</v>
      </c>
      <c r="D75" s="611">
        <v>1.3036000000000001E-2</v>
      </c>
      <c r="E75" s="611">
        <v>1.3036000000000001E-2</v>
      </c>
      <c r="F75" s="611">
        <v>1.3036000000000001E-2</v>
      </c>
      <c r="G75" s="611">
        <v>1.3036000000000001E-2</v>
      </c>
      <c r="H75" s="611">
        <v>1.3036000000000001E-2</v>
      </c>
      <c r="I75" s="611">
        <v>1.3036000000000001E-2</v>
      </c>
      <c r="J75" s="611">
        <v>1.3036000000000001E-2</v>
      </c>
      <c r="K75" s="611">
        <v>1.3036000000000001E-2</v>
      </c>
      <c r="L75" s="611">
        <v>1.3036000000000001E-2</v>
      </c>
      <c r="M75" s="611">
        <v>1.3036000000000001E-2</v>
      </c>
      <c r="N75" s="611">
        <v>1.3036000000000001E-2</v>
      </c>
      <c r="O75" s="612">
        <v>1.3036000000000001E-2</v>
      </c>
      <c r="P75" s="612">
        <v>1.3036000000000001E-2</v>
      </c>
      <c r="Q75" s="745">
        <v>0</v>
      </c>
    </row>
    <row r="76" spans="1:17" x14ac:dyDescent="0.25">
      <c r="A76" s="75" t="s">
        <v>73</v>
      </c>
      <c r="B76" s="117" t="s">
        <v>532</v>
      </c>
      <c r="C76" s="473">
        <v>2.5794999999999998E-2</v>
      </c>
      <c r="D76" s="473">
        <v>2.5794999999999998E-2</v>
      </c>
      <c r="E76" s="473">
        <v>2.5794999999999998E-2</v>
      </c>
      <c r="F76" s="473">
        <v>2.5794999999999998E-2</v>
      </c>
      <c r="G76" s="473">
        <v>2.5794999999999998E-2</v>
      </c>
      <c r="H76" s="473">
        <v>2.5794999999999998E-2</v>
      </c>
      <c r="I76" s="473">
        <v>2.5794999999999998E-2</v>
      </c>
      <c r="J76" s="473">
        <v>2.5794999999999998E-2</v>
      </c>
      <c r="K76" s="473">
        <v>2.5794999999999998E-2</v>
      </c>
      <c r="L76" s="473">
        <v>2.5794999999999998E-2</v>
      </c>
      <c r="M76" s="473">
        <v>2.5794999999999998E-2</v>
      </c>
      <c r="N76" s="473">
        <v>2.5794999999999998E-2</v>
      </c>
      <c r="O76" s="609">
        <v>2.5795000000000009E-2</v>
      </c>
      <c r="P76" s="563">
        <v>2.5794999999999995E-2</v>
      </c>
      <c r="Q76" s="748">
        <v>0</v>
      </c>
    </row>
    <row r="77" spans="1:17" x14ac:dyDescent="0.25">
      <c r="A77" s="117" t="s">
        <v>387</v>
      </c>
      <c r="B77" s="117" t="s">
        <v>530</v>
      </c>
      <c r="C77" s="473">
        <v>8.8000000000000005E-3</v>
      </c>
      <c r="D77" s="473">
        <v>8.8000000000000005E-3</v>
      </c>
      <c r="E77" s="473">
        <v>8.8000000000000005E-3</v>
      </c>
      <c r="F77" s="473">
        <v>8.8000000000000005E-3</v>
      </c>
      <c r="G77" s="473">
        <v>8.8000000000000005E-3</v>
      </c>
      <c r="H77" s="473">
        <v>8.8000000000000005E-3</v>
      </c>
      <c r="I77" s="473">
        <v>8.8000000000000005E-3</v>
      </c>
      <c r="J77" s="473">
        <v>8.8000000000000005E-3</v>
      </c>
      <c r="K77" s="473">
        <v>8.8000000000000005E-3</v>
      </c>
      <c r="L77" s="473">
        <v>8.8000000000000005E-3</v>
      </c>
      <c r="M77" s="473">
        <v>8.8000000000000005E-3</v>
      </c>
      <c r="N77" s="473">
        <v>8.8000000000000005E-3</v>
      </c>
      <c r="O77" s="563">
        <v>8.8000000000000005E-3</v>
      </c>
      <c r="P77" s="563">
        <v>8.8000000000000005E-3</v>
      </c>
      <c r="Q77" s="744">
        <v>0</v>
      </c>
    </row>
    <row r="78" spans="1:17" x14ac:dyDescent="0.25">
      <c r="A78" s="117" t="s">
        <v>388</v>
      </c>
      <c r="B78" s="117" t="s">
        <v>531</v>
      </c>
      <c r="C78" s="473">
        <v>3.5999999999999997E-2</v>
      </c>
      <c r="D78" s="473">
        <v>3.5999999999999997E-2</v>
      </c>
      <c r="E78" s="473">
        <v>3.5999999999999997E-2</v>
      </c>
      <c r="F78" s="473">
        <v>3.5999999999999997E-2</v>
      </c>
      <c r="G78" s="473">
        <v>3.5999999999999997E-2</v>
      </c>
      <c r="H78" s="473">
        <v>3.5999999999999997E-2</v>
      </c>
      <c r="I78" s="473">
        <v>3.5999999999999997E-2</v>
      </c>
      <c r="J78" s="473">
        <v>3.5999999999999997E-2</v>
      </c>
      <c r="K78" s="473">
        <v>3.5999999999999997E-2</v>
      </c>
      <c r="L78" s="473">
        <v>3.5999999999999997E-2</v>
      </c>
      <c r="M78" s="473">
        <v>3.5999999999999997E-2</v>
      </c>
      <c r="N78" s="473">
        <v>3.5999999999999997E-2</v>
      </c>
      <c r="O78" s="563">
        <v>3.599999999999999E-2</v>
      </c>
      <c r="P78" s="563">
        <v>3.599999999999999E-2</v>
      </c>
      <c r="Q78" s="744">
        <v>0</v>
      </c>
    </row>
    <row r="79" spans="1:17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561"/>
      <c r="P79" s="561"/>
      <c r="Q79" s="742"/>
    </row>
    <row r="80" spans="1:17" x14ac:dyDescent="0.25">
      <c r="A80" s="469" t="s">
        <v>389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561"/>
      <c r="P80" s="561"/>
      <c r="Q80" s="742"/>
    </row>
    <row r="81" spans="1:17" x14ac:dyDescent="0.25">
      <c r="A81" s="75" t="s">
        <v>73</v>
      </c>
      <c r="B81" s="474" t="s">
        <v>71</v>
      </c>
      <c r="C81" s="474">
        <v>5.5380000000000004E-3</v>
      </c>
      <c r="D81" s="474">
        <v>5.5380000000000004E-3</v>
      </c>
      <c r="E81" s="474">
        <v>5.5380000000000004E-3</v>
      </c>
      <c r="F81" s="474">
        <v>5.5380000000000004E-3</v>
      </c>
      <c r="G81" s="474">
        <v>5.5380000000000004E-3</v>
      </c>
      <c r="H81" s="474">
        <v>5.5380000000000004E-3</v>
      </c>
      <c r="I81" s="474">
        <v>5.5380000000000004E-3</v>
      </c>
      <c r="J81" s="474">
        <v>5.5380000000000004E-3</v>
      </c>
      <c r="K81" s="474">
        <v>5.5380000000000004E-3</v>
      </c>
      <c r="L81" s="474">
        <v>5.5380000000000004E-3</v>
      </c>
      <c r="M81" s="474">
        <v>5.5380000000000004E-3</v>
      </c>
      <c r="N81" s="474">
        <v>5.5380000000000004E-3</v>
      </c>
      <c r="O81" s="610">
        <v>5.5380000000000004E-3</v>
      </c>
      <c r="P81" s="610">
        <v>5.5380000000000004E-3</v>
      </c>
      <c r="Q81" s="746">
        <v>0</v>
      </c>
    </row>
    <row r="82" spans="1:17" x14ac:dyDescent="0.25">
      <c r="A82" s="75" t="s">
        <v>74</v>
      </c>
      <c r="B82" s="474" t="s">
        <v>72</v>
      </c>
      <c r="C82" s="474">
        <v>9.4199999999999996E-3</v>
      </c>
      <c r="D82" s="474">
        <v>9.4199999999999996E-3</v>
      </c>
      <c r="E82" s="474">
        <v>9.4199999999999996E-3</v>
      </c>
      <c r="F82" s="474">
        <v>9.4199999999999996E-3</v>
      </c>
      <c r="G82" s="474">
        <v>9.4199999999999996E-3</v>
      </c>
      <c r="H82" s="474">
        <v>9.4199999999999996E-3</v>
      </c>
      <c r="I82" s="474">
        <v>9.4199999999999996E-3</v>
      </c>
      <c r="J82" s="474">
        <v>9.4199999999999996E-3</v>
      </c>
      <c r="K82" s="474">
        <v>9.4199999999999996E-3</v>
      </c>
      <c r="L82" s="474">
        <v>9.4199999999999996E-3</v>
      </c>
      <c r="M82" s="474">
        <v>9.4199999999999996E-3</v>
      </c>
      <c r="N82" s="474">
        <v>9.4199999999999996E-3</v>
      </c>
      <c r="O82" s="610">
        <v>9.4199999999999996E-3</v>
      </c>
      <c r="P82" s="610">
        <v>9.4199999999999996E-3</v>
      </c>
      <c r="Q82" s="746">
        <v>0</v>
      </c>
    </row>
    <row r="83" spans="1:17" x14ac:dyDescent="0.25">
      <c r="A83" s="75" t="s">
        <v>384</v>
      </c>
      <c r="B83" s="474" t="s">
        <v>596</v>
      </c>
      <c r="C83" s="474">
        <v>5.1120727746866261E-2</v>
      </c>
      <c r="D83" s="474">
        <v>5.1120727746866261E-2</v>
      </c>
      <c r="E83" s="474">
        <v>5.1120727746866261E-2</v>
      </c>
      <c r="F83" s="474">
        <v>5.1120727746866261E-2</v>
      </c>
      <c r="G83" s="474">
        <v>5.1120727746866261E-2</v>
      </c>
      <c r="H83" s="474">
        <v>5.1120727746866261E-2</v>
      </c>
      <c r="I83" s="474">
        <v>5.1120727746866261E-2</v>
      </c>
      <c r="J83" s="474">
        <v>5.1120727746866261E-2</v>
      </c>
      <c r="K83" s="474">
        <v>5.1120727746866261E-2</v>
      </c>
      <c r="L83" s="474">
        <v>5.1120727746866261E-2</v>
      </c>
      <c r="M83" s="474">
        <v>5.1120727746866261E-2</v>
      </c>
      <c r="N83" s="474">
        <v>5.1120727746866261E-2</v>
      </c>
      <c r="O83" s="610">
        <v>5.1120727746866261E-2</v>
      </c>
      <c r="P83" s="610">
        <v>5.1691941618047917E-2</v>
      </c>
      <c r="Q83" s="746">
        <v>-5.7121387118165556E-4</v>
      </c>
    </row>
    <row r="84" spans="1:17" x14ac:dyDescent="0.2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561"/>
      <c r="P84" s="561"/>
      <c r="Q84" s="742"/>
    </row>
    <row r="85" spans="1:17" x14ac:dyDescent="0.25">
      <c r="A85" s="469" t="s">
        <v>390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561"/>
      <c r="P85" s="561"/>
      <c r="Q85" s="742"/>
    </row>
    <row r="86" spans="1:17" ht="15.75" thickBot="1" x14ac:dyDescent="0.3">
      <c r="A86" s="75"/>
      <c r="B86" s="469" t="s">
        <v>384</v>
      </c>
      <c r="C86" s="468">
        <v>44927</v>
      </c>
      <c r="D86" s="468">
        <v>44958</v>
      </c>
      <c r="E86" s="468">
        <v>44986</v>
      </c>
      <c r="F86" s="468">
        <v>45017</v>
      </c>
      <c r="G86" s="468">
        <v>45047</v>
      </c>
      <c r="H86" s="468">
        <v>45078</v>
      </c>
      <c r="I86" s="468">
        <v>45108</v>
      </c>
      <c r="J86" s="468">
        <v>45139</v>
      </c>
      <c r="K86" s="468">
        <v>45170</v>
      </c>
      <c r="L86" s="468">
        <v>45200</v>
      </c>
      <c r="M86" s="468">
        <v>45231</v>
      </c>
      <c r="N86" s="468">
        <v>45261</v>
      </c>
      <c r="O86" s="564" t="s">
        <v>5</v>
      </c>
      <c r="P86" s="564" t="s">
        <v>5</v>
      </c>
      <c r="Q86" s="747"/>
    </row>
    <row r="87" spans="1:17" ht="16.5" thickTop="1" thickBot="1" x14ac:dyDescent="0.3">
      <c r="A87" s="75"/>
      <c r="B87" s="75" t="s">
        <v>391</v>
      </c>
      <c r="C87" s="572" t="s">
        <v>619</v>
      </c>
      <c r="D87" s="572" t="s">
        <v>619</v>
      </c>
      <c r="E87" s="572" t="s">
        <v>619</v>
      </c>
      <c r="F87" s="572" t="s">
        <v>619</v>
      </c>
      <c r="G87" s="572" t="s">
        <v>619</v>
      </c>
      <c r="H87" s="572" t="s">
        <v>619</v>
      </c>
      <c r="I87" s="572" t="s">
        <v>619</v>
      </c>
      <c r="J87" s="572" t="s">
        <v>619</v>
      </c>
      <c r="K87" s="572" t="s">
        <v>619</v>
      </c>
      <c r="L87" s="572" t="s">
        <v>619</v>
      </c>
      <c r="M87" s="572" t="s">
        <v>619</v>
      </c>
      <c r="N87" s="572" t="s">
        <v>619</v>
      </c>
      <c r="O87" s="572" t="s">
        <v>619</v>
      </c>
      <c r="P87" s="572" t="s">
        <v>619</v>
      </c>
      <c r="Q87" s="572" t="s">
        <v>619</v>
      </c>
    </row>
    <row r="88" spans="1:17" ht="16.5" thickTop="1" thickBot="1" x14ac:dyDescent="0.3">
      <c r="A88" s="75"/>
      <c r="B88" s="75" t="s">
        <v>392</v>
      </c>
      <c r="C88" s="572" t="s">
        <v>619</v>
      </c>
      <c r="D88" s="572" t="s">
        <v>619</v>
      </c>
      <c r="E88" s="572" t="s">
        <v>619</v>
      </c>
      <c r="F88" s="572" t="s">
        <v>619</v>
      </c>
      <c r="G88" s="572" t="s">
        <v>619</v>
      </c>
      <c r="H88" s="572" t="s">
        <v>619</v>
      </c>
      <c r="I88" s="572" t="s">
        <v>619</v>
      </c>
      <c r="J88" s="572" t="s">
        <v>619</v>
      </c>
      <c r="K88" s="572" t="s">
        <v>619</v>
      </c>
      <c r="L88" s="572" t="s">
        <v>619</v>
      </c>
      <c r="M88" s="572" t="s">
        <v>619</v>
      </c>
      <c r="N88" s="572" t="s">
        <v>619</v>
      </c>
      <c r="O88" s="572" t="s">
        <v>619</v>
      </c>
      <c r="P88" s="572" t="s">
        <v>619</v>
      </c>
      <c r="Q88" s="572" t="s">
        <v>619</v>
      </c>
    </row>
    <row r="89" spans="1:17" ht="16.5" thickTop="1" thickBot="1" x14ac:dyDescent="0.3">
      <c r="A89" s="75"/>
      <c r="B89" s="470" t="s">
        <v>393</v>
      </c>
      <c r="C89" s="572" t="s">
        <v>619</v>
      </c>
      <c r="D89" s="572" t="s">
        <v>619</v>
      </c>
      <c r="E89" s="572" t="s">
        <v>619</v>
      </c>
      <c r="F89" s="572" t="s">
        <v>619</v>
      </c>
      <c r="G89" s="572" t="s">
        <v>619</v>
      </c>
      <c r="H89" s="572" t="s">
        <v>619</v>
      </c>
      <c r="I89" s="572" t="s">
        <v>619</v>
      </c>
      <c r="J89" s="572" t="s">
        <v>619</v>
      </c>
      <c r="K89" s="572" t="s">
        <v>619</v>
      </c>
      <c r="L89" s="572" t="s">
        <v>619</v>
      </c>
      <c r="M89" s="572" t="s">
        <v>619</v>
      </c>
      <c r="N89" s="572" t="s">
        <v>619</v>
      </c>
      <c r="O89" s="572" t="s">
        <v>619</v>
      </c>
      <c r="P89" s="572" t="s">
        <v>619</v>
      </c>
      <c r="Q89" s="572" t="s">
        <v>619</v>
      </c>
    </row>
    <row r="90" spans="1:17" ht="15.75" thickTop="1" x14ac:dyDescent="0.25">
      <c r="A90" s="75"/>
      <c r="B90" s="75"/>
      <c r="C90" s="475"/>
      <c r="D90" s="475"/>
      <c r="E90" s="475"/>
      <c r="F90" s="475"/>
      <c r="G90" s="475"/>
      <c r="H90" s="475"/>
      <c r="I90" s="475"/>
      <c r="J90" s="475"/>
      <c r="K90" s="475"/>
      <c r="L90" s="475"/>
      <c r="M90" s="475"/>
      <c r="N90" s="475"/>
      <c r="O90" s="561"/>
      <c r="P90" s="561"/>
      <c r="Q90" s="742"/>
    </row>
    <row r="91" spans="1:17" ht="15.75" thickBot="1" x14ac:dyDescent="0.3">
      <c r="A91" s="75"/>
      <c r="B91" s="469" t="s">
        <v>73</v>
      </c>
      <c r="C91" s="475"/>
      <c r="D91" s="475"/>
      <c r="E91" s="475"/>
      <c r="F91" s="475"/>
      <c r="G91" s="475"/>
      <c r="H91" s="475"/>
      <c r="I91" s="475"/>
      <c r="J91" s="475"/>
      <c r="K91" s="475"/>
      <c r="L91" s="475"/>
      <c r="M91" s="475"/>
      <c r="N91" s="475"/>
      <c r="O91" s="561"/>
      <c r="P91" s="561"/>
      <c r="Q91" s="742"/>
    </row>
    <row r="92" spans="1:17" ht="16.5" thickTop="1" thickBot="1" x14ac:dyDescent="0.3">
      <c r="A92" s="75"/>
      <c r="B92" s="75" t="s">
        <v>394</v>
      </c>
      <c r="C92" s="572" t="s">
        <v>619</v>
      </c>
      <c r="D92" s="572" t="s">
        <v>619</v>
      </c>
      <c r="E92" s="572" t="s">
        <v>619</v>
      </c>
      <c r="F92" s="572" t="s">
        <v>619</v>
      </c>
      <c r="G92" s="572" t="s">
        <v>619</v>
      </c>
      <c r="H92" s="572" t="s">
        <v>619</v>
      </c>
      <c r="I92" s="572" t="s">
        <v>619</v>
      </c>
      <c r="J92" s="572" t="s">
        <v>619</v>
      </c>
      <c r="K92" s="572" t="s">
        <v>619</v>
      </c>
      <c r="L92" s="572" t="s">
        <v>619</v>
      </c>
      <c r="M92" s="572" t="s">
        <v>619</v>
      </c>
      <c r="N92" s="572" t="s">
        <v>619</v>
      </c>
      <c r="O92" s="572" t="s">
        <v>619</v>
      </c>
      <c r="P92" s="572" t="s">
        <v>619</v>
      </c>
      <c r="Q92" s="572" t="s">
        <v>619</v>
      </c>
    </row>
    <row r="93" spans="1:17" ht="16.5" thickTop="1" thickBot="1" x14ac:dyDescent="0.3">
      <c r="A93" s="75"/>
      <c r="B93" s="75" t="s">
        <v>395</v>
      </c>
      <c r="C93" s="572" t="s">
        <v>619</v>
      </c>
      <c r="D93" s="572" t="s">
        <v>619</v>
      </c>
      <c r="E93" s="572" t="s">
        <v>619</v>
      </c>
      <c r="F93" s="572" t="s">
        <v>619</v>
      </c>
      <c r="G93" s="572" t="s">
        <v>619</v>
      </c>
      <c r="H93" s="572" t="s">
        <v>619</v>
      </c>
      <c r="I93" s="572" t="s">
        <v>619</v>
      </c>
      <c r="J93" s="572" t="s">
        <v>619</v>
      </c>
      <c r="K93" s="572" t="s">
        <v>619</v>
      </c>
      <c r="L93" s="572" t="s">
        <v>619</v>
      </c>
      <c r="M93" s="572" t="s">
        <v>619</v>
      </c>
      <c r="N93" s="572" t="s">
        <v>619</v>
      </c>
      <c r="O93" s="572" t="s">
        <v>619</v>
      </c>
      <c r="P93" s="572" t="s">
        <v>619</v>
      </c>
      <c r="Q93" s="572" t="s">
        <v>619</v>
      </c>
    </row>
    <row r="94" spans="1:17" ht="16.5" thickTop="1" thickBot="1" x14ac:dyDescent="0.3">
      <c r="A94" s="75"/>
      <c r="B94" s="470" t="s">
        <v>396</v>
      </c>
      <c r="C94" s="572" t="s">
        <v>619</v>
      </c>
      <c r="D94" s="572" t="s">
        <v>619</v>
      </c>
      <c r="E94" s="572" t="s">
        <v>619</v>
      </c>
      <c r="F94" s="572" t="s">
        <v>619</v>
      </c>
      <c r="G94" s="572" t="s">
        <v>619</v>
      </c>
      <c r="H94" s="572" t="s">
        <v>619</v>
      </c>
      <c r="I94" s="572" t="s">
        <v>619</v>
      </c>
      <c r="J94" s="572" t="s">
        <v>619</v>
      </c>
      <c r="K94" s="572" t="s">
        <v>619</v>
      </c>
      <c r="L94" s="572" t="s">
        <v>619</v>
      </c>
      <c r="M94" s="572" t="s">
        <v>619</v>
      </c>
      <c r="N94" s="572" t="s">
        <v>619</v>
      </c>
      <c r="O94" s="572" t="s">
        <v>619</v>
      </c>
      <c r="P94" s="572" t="s">
        <v>619</v>
      </c>
      <c r="Q94" s="572" t="s">
        <v>619</v>
      </c>
    </row>
    <row r="95" spans="1:17" ht="15.75" thickTop="1" x14ac:dyDescent="0.25">
      <c r="A95" s="75"/>
      <c r="B95" s="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561"/>
      <c r="P95" s="561"/>
      <c r="Q95" s="742"/>
    </row>
    <row r="96" spans="1:17" ht="15.75" thickBot="1" x14ac:dyDescent="0.3">
      <c r="A96" s="75"/>
      <c r="B96" s="469" t="s">
        <v>74</v>
      </c>
      <c r="C96" s="475"/>
      <c r="D96" s="475"/>
      <c r="E96" s="475"/>
      <c r="F96" s="475"/>
      <c r="G96" s="475"/>
      <c r="H96" s="475"/>
      <c r="I96" s="475"/>
      <c r="J96" s="475"/>
      <c r="K96" s="475"/>
      <c r="L96" s="475"/>
      <c r="M96" s="475"/>
      <c r="N96" s="475"/>
      <c r="O96" s="561"/>
      <c r="P96" s="561"/>
      <c r="Q96" s="742"/>
    </row>
    <row r="97" spans="1:17" ht="16.5" thickTop="1" thickBot="1" x14ac:dyDescent="0.3">
      <c r="A97" s="75"/>
      <c r="B97" s="75" t="s">
        <v>395</v>
      </c>
      <c r="C97" s="572" t="s">
        <v>619</v>
      </c>
      <c r="D97" s="572" t="s">
        <v>619</v>
      </c>
      <c r="E97" s="572" t="s">
        <v>619</v>
      </c>
      <c r="F97" s="572" t="s">
        <v>619</v>
      </c>
      <c r="G97" s="572" t="s">
        <v>619</v>
      </c>
      <c r="H97" s="572" t="s">
        <v>619</v>
      </c>
      <c r="I97" s="572" t="s">
        <v>619</v>
      </c>
      <c r="J97" s="572" t="s">
        <v>619</v>
      </c>
      <c r="K97" s="572" t="s">
        <v>619</v>
      </c>
      <c r="L97" s="572" t="s">
        <v>619</v>
      </c>
      <c r="M97" s="572" t="s">
        <v>619</v>
      </c>
      <c r="N97" s="572" t="s">
        <v>619</v>
      </c>
      <c r="O97" s="572" t="s">
        <v>619</v>
      </c>
      <c r="P97" s="572" t="s">
        <v>619</v>
      </c>
      <c r="Q97" s="572" t="s">
        <v>619</v>
      </c>
    </row>
    <row r="98" spans="1:17" ht="16.5" thickTop="1" thickBot="1" x14ac:dyDescent="0.3">
      <c r="A98" s="75"/>
      <c r="B98" s="75" t="s">
        <v>392</v>
      </c>
      <c r="C98" s="572" t="s">
        <v>619</v>
      </c>
      <c r="D98" s="572" t="s">
        <v>619</v>
      </c>
      <c r="E98" s="572" t="s">
        <v>619</v>
      </c>
      <c r="F98" s="572" t="s">
        <v>619</v>
      </c>
      <c r="G98" s="572" t="s">
        <v>619</v>
      </c>
      <c r="H98" s="572" t="s">
        <v>619</v>
      </c>
      <c r="I98" s="572" t="s">
        <v>619</v>
      </c>
      <c r="J98" s="572" t="s">
        <v>619</v>
      </c>
      <c r="K98" s="572" t="s">
        <v>619</v>
      </c>
      <c r="L98" s="572" t="s">
        <v>619</v>
      </c>
      <c r="M98" s="572" t="s">
        <v>619</v>
      </c>
      <c r="N98" s="572" t="s">
        <v>619</v>
      </c>
      <c r="O98" s="572" t="s">
        <v>619</v>
      </c>
      <c r="P98" s="572" t="s">
        <v>619</v>
      </c>
      <c r="Q98" s="572" t="s">
        <v>619</v>
      </c>
    </row>
    <row r="99" spans="1:17" ht="16.5" thickTop="1" thickBot="1" x14ac:dyDescent="0.3">
      <c r="A99" s="75"/>
      <c r="B99" s="470" t="s">
        <v>397</v>
      </c>
      <c r="C99" s="572" t="s">
        <v>619</v>
      </c>
      <c r="D99" s="572" t="s">
        <v>619</v>
      </c>
      <c r="E99" s="572" t="s">
        <v>619</v>
      </c>
      <c r="F99" s="572" t="s">
        <v>619</v>
      </c>
      <c r="G99" s="572" t="s">
        <v>619</v>
      </c>
      <c r="H99" s="572" t="s">
        <v>619</v>
      </c>
      <c r="I99" s="572" t="s">
        <v>619</v>
      </c>
      <c r="J99" s="572" t="s">
        <v>619</v>
      </c>
      <c r="K99" s="572" t="s">
        <v>619</v>
      </c>
      <c r="L99" s="572" t="s">
        <v>619</v>
      </c>
      <c r="M99" s="572" t="s">
        <v>619</v>
      </c>
      <c r="N99" s="572" t="s">
        <v>619</v>
      </c>
      <c r="O99" s="572" t="s">
        <v>619</v>
      </c>
      <c r="P99" s="572" t="s">
        <v>619</v>
      </c>
      <c r="Q99" s="572" t="s">
        <v>619</v>
      </c>
    </row>
    <row r="100" spans="1:17" ht="16.5" thickTop="1" thickBot="1" x14ac:dyDescent="0.3">
      <c r="A100" s="75"/>
      <c r="B100" s="75"/>
      <c r="C100" s="475"/>
      <c r="D100" s="475"/>
      <c r="E100" s="475"/>
      <c r="F100" s="475"/>
      <c r="G100" s="475"/>
      <c r="H100" s="475"/>
      <c r="I100" s="475"/>
      <c r="J100" s="475"/>
      <c r="K100" s="475"/>
      <c r="L100" s="475"/>
      <c r="M100" s="475"/>
      <c r="N100" s="475"/>
      <c r="O100" s="561"/>
      <c r="P100" s="561"/>
      <c r="Q100" s="742"/>
    </row>
    <row r="101" spans="1:17" ht="16.5" thickTop="1" thickBot="1" x14ac:dyDescent="0.3">
      <c r="A101" s="75"/>
      <c r="B101" s="469" t="s">
        <v>398</v>
      </c>
      <c r="C101" s="572" t="s">
        <v>619</v>
      </c>
      <c r="D101" s="572" t="s">
        <v>619</v>
      </c>
      <c r="E101" s="572" t="s">
        <v>619</v>
      </c>
      <c r="F101" s="572" t="s">
        <v>619</v>
      </c>
      <c r="G101" s="572" t="s">
        <v>619</v>
      </c>
      <c r="H101" s="572" t="s">
        <v>619</v>
      </c>
      <c r="I101" s="572" t="s">
        <v>619</v>
      </c>
      <c r="J101" s="572" t="s">
        <v>619</v>
      </c>
      <c r="K101" s="572" t="s">
        <v>619</v>
      </c>
      <c r="L101" s="572" t="s">
        <v>619</v>
      </c>
      <c r="M101" s="572" t="s">
        <v>619</v>
      </c>
      <c r="N101" s="572" t="s">
        <v>619</v>
      </c>
      <c r="O101" s="572" t="s">
        <v>619</v>
      </c>
      <c r="P101" s="572" t="s">
        <v>619</v>
      </c>
      <c r="Q101" s="572" t="s">
        <v>619</v>
      </c>
    </row>
    <row r="102" spans="1:17" ht="16.5" thickTop="1" thickBot="1" x14ac:dyDescent="0.3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561"/>
      <c r="P102" s="561"/>
      <c r="Q102" s="742"/>
    </row>
    <row r="103" spans="1:17" ht="16.5" thickTop="1" thickBot="1" x14ac:dyDescent="0.3">
      <c r="A103" s="469" t="s">
        <v>5</v>
      </c>
      <c r="B103" s="469" t="s">
        <v>399</v>
      </c>
      <c r="C103" s="572" t="s">
        <v>619</v>
      </c>
      <c r="D103" s="572" t="s">
        <v>619</v>
      </c>
      <c r="E103" s="572" t="s">
        <v>619</v>
      </c>
      <c r="F103" s="572" t="s">
        <v>619</v>
      </c>
      <c r="G103" s="572" t="s">
        <v>619</v>
      </c>
      <c r="H103" s="572" t="s">
        <v>619</v>
      </c>
      <c r="I103" s="572" t="s">
        <v>619</v>
      </c>
      <c r="J103" s="572" t="s">
        <v>619</v>
      </c>
      <c r="K103" s="572" t="s">
        <v>619</v>
      </c>
      <c r="L103" s="572" t="s">
        <v>619</v>
      </c>
      <c r="M103" s="572" t="s">
        <v>619</v>
      </c>
      <c r="N103" s="572" t="s">
        <v>619</v>
      </c>
      <c r="O103" s="572" t="s">
        <v>619</v>
      </c>
      <c r="P103" s="572" t="s">
        <v>619</v>
      </c>
      <c r="Q103" s="572" t="s">
        <v>619</v>
      </c>
    </row>
    <row r="104" spans="1:17" ht="15.75" thickTop="1" x14ac:dyDescent="0.25">
      <c r="A104" s="39"/>
      <c r="B104" s="7"/>
      <c r="C104" s="409"/>
      <c r="D104" s="409"/>
      <c r="E104" s="409"/>
      <c r="F104" s="409"/>
      <c r="G104" s="409"/>
      <c r="H104" s="409"/>
      <c r="I104" s="409"/>
      <c r="J104" s="409"/>
      <c r="K104" s="409"/>
      <c r="L104" s="409"/>
      <c r="M104" s="409"/>
      <c r="N104" s="409"/>
    </row>
    <row r="105" spans="1:17" x14ac:dyDescent="0.25">
      <c r="A105" s="44" t="s">
        <v>587</v>
      </c>
    </row>
    <row r="106" spans="1:17" x14ac:dyDescent="0.25">
      <c r="A106" s="44"/>
    </row>
  </sheetData>
  <printOptions horizontalCentered="1"/>
  <pageMargins left="0.7" right="0.7" top="0.75" bottom="0.75" header="0.3" footer="0.3"/>
  <pageSetup scale="49" fitToHeight="0" orientation="landscape" r:id="rId1"/>
  <rowBreaks count="1" manualBreakCount="1">
    <brk id="63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P21"/>
  <sheetViews>
    <sheetView topLeftCell="A2" workbookViewId="0">
      <selection activeCell="J23" sqref="J23"/>
    </sheetView>
  </sheetViews>
  <sheetFormatPr defaultRowHeight="15" x14ac:dyDescent="0.25"/>
  <cols>
    <col min="1" max="1" width="41.85546875" customWidth="1"/>
    <col min="2" max="3" width="9.7109375" customWidth="1"/>
    <col min="4" max="10" width="9.28515625" bestFit="1" customWidth="1"/>
    <col min="11" max="13" width="9.7109375" bestFit="1" customWidth="1"/>
    <col min="14" max="14" width="11.28515625" customWidth="1"/>
    <col min="15" max="15" width="10.7109375" customWidth="1"/>
    <col min="16" max="16" width="12.140625" customWidth="1"/>
  </cols>
  <sheetData>
    <row r="1" spans="1:16" ht="18.75" x14ac:dyDescent="0.3">
      <c r="A1" s="413" t="s">
        <v>199</v>
      </c>
    </row>
    <row r="2" spans="1:16" ht="20.25" x14ac:dyDescent="0.3">
      <c r="A2" s="422" t="s">
        <v>607</v>
      </c>
    </row>
    <row r="3" spans="1:16" ht="15.75" x14ac:dyDescent="0.25">
      <c r="A3" s="419" t="s">
        <v>538</v>
      </c>
    </row>
    <row r="4" spans="1:16" x14ac:dyDescent="0.25">
      <c r="C4" s="7" t="s">
        <v>618</v>
      </c>
      <c r="D4" s="7"/>
    </row>
    <row r="8" spans="1:16" ht="15.75" thickBot="1" x14ac:dyDescent="0.3"/>
    <row r="9" spans="1:16" ht="30.75" thickBot="1" x14ac:dyDescent="0.3">
      <c r="B9" s="808">
        <v>44927</v>
      </c>
      <c r="C9" s="808">
        <v>44958</v>
      </c>
      <c r="D9" s="808">
        <v>44986</v>
      </c>
      <c r="E9" s="808">
        <v>45017</v>
      </c>
      <c r="F9" s="808">
        <v>45047</v>
      </c>
      <c r="G9" s="808">
        <v>45078</v>
      </c>
      <c r="H9" s="808">
        <v>45108</v>
      </c>
      <c r="I9" s="808">
        <v>45139</v>
      </c>
      <c r="J9" s="808">
        <v>45170</v>
      </c>
      <c r="K9" s="808">
        <v>45200</v>
      </c>
      <c r="L9" s="808">
        <v>45231</v>
      </c>
      <c r="M9" s="808">
        <v>45261</v>
      </c>
      <c r="N9" s="817" t="s">
        <v>539</v>
      </c>
      <c r="O9" s="816" t="s">
        <v>536</v>
      </c>
      <c r="P9" s="801" t="s">
        <v>200</v>
      </c>
    </row>
    <row r="10" spans="1:16" ht="16.5" thickTop="1" thickBot="1" x14ac:dyDescent="0.3">
      <c r="A10" s="811" t="s">
        <v>613</v>
      </c>
      <c r="B10" s="809" t="s">
        <v>620</v>
      </c>
      <c r="C10" s="810"/>
      <c r="D10" s="810"/>
      <c r="E10" s="810"/>
      <c r="F10" s="810"/>
      <c r="G10" s="810"/>
      <c r="H10" s="810"/>
      <c r="I10" s="810"/>
      <c r="J10" s="810"/>
      <c r="K10" s="810"/>
      <c r="L10" s="810"/>
      <c r="M10" s="810"/>
      <c r="N10" s="818"/>
      <c r="O10" s="818"/>
      <c r="P10" s="818"/>
    </row>
    <row r="11" spans="1:16" s="92" customFormat="1" ht="15.75" thickTop="1" x14ac:dyDescent="0.25">
      <c r="A11" s="812"/>
      <c r="B11" s="813"/>
      <c r="C11" s="813"/>
      <c r="D11" s="813"/>
      <c r="E11" s="813"/>
      <c r="F11" s="813"/>
      <c r="G11" s="813"/>
      <c r="H11" s="813"/>
      <c r="I11" s="813"/>
      <c r="J11" s="813"/>
      <c r="K11" s="813"/>
      <c r="L11" s="813"/>
      <c r="M11" s="813"/>
      <c r="N11" s="813"/>
    </row>
    <row r="12" spans="1:16" ht="15.75" thickBot="1" x14ac:dyDescent="0.3">
      <c r="A12" s="811" t="s">
        <v>609</v>
      </c>
    </row>
    <row r="13" spans="1:16" s="1" customFormat="1" ht="16.5" thickTop="1" thickBot="1" x14ac:dyDescent="0.3">
      <c r="A13" s="52" t="s">
        <v>610</v>
      </c>
      <c r="B13" s="809" t="s">
        <v>620</v>
      </c>
      <c r="C13" s="810"/>
      <c r="D13" s="810"/>
      <c r="E13" s="810"/>
      <c r="F13" s="810"/>
      <c r="G13" s="810"/>
      <c r="H13" s="810"/>
      <c r="I13" s="810"/>
      <c r="J13" s="810"/>
      <c r="K13" s="810"/>
      <c r="L13" s="810"/>
      <c r="M13" s="810"/>
      <c r="N13" s="818"/>
      <c r="O13" s="818"/>
      <c r="P13" s="818"/>
    </row>
    <row r="14" spans="1:16" s="1" customFormat="1" ht="16.5" thickTop="1" thickBot="1" x14ac:dyDescent="0.3">
      <c r="A14" s="52" t="s">
        <v>611</v>
      </c>
      <c r="B14" s="809" t="s">
        <v>620</v>
      </c>
      <c r="C14" s="810"/>
      <c r="D14" s="810"/>
      <c r="E14" s="810"/>
      <c r="F14" s="810"/>
      <c r="G14" s="810"/>
      <c r="H14" s="810"/>
      <c r="I14" s="810"/>
      <c r="J14" s="810"/>
      <c r="K14" s="810"/>
      <c r="L14" s="810"/>
      <c r="M14" s="810"/>
      <c r="N14" s="818"/>
      <c r="O14" s="818"/>
      <c r="P14" s="818"/>
    </row>
    <row r="15" spans="1:16" s="1" customFormat="1" ht="16.5" thickTop="1" thickBot="1" x14ac:dyDescent="0.3">
      <c r="A15" s="52" t="s">
        <v>612</v>
      </c>
      <c r="B15" s="809" t="s">
        <v>620</v>
      </c>
      <c r="C15" s="810"/>
      <c r="D15" s="810"/>
      <c r="E15" s="810"/>
      <c r="F15" s="810"/>
      <c r="G15" s="810"/>
      <c r="H15" s="810"/>
      <c r="I15" s="810"/>
      <c r="J15" s="810"/>
      <c r="K15" s="810"/>
      <c r="L15" s="810"/>
      <c r="M15" s="810"/>
      <c r="N15" s="818"/>
      <c r="O15" s="818"/>
      <c r="P15" s="818"/>
    </row>
    <row r="16" spans="1:16" s="92" customFormat="1" ht="15.75" thickTop="1" x14ac:dyDescent="0.25">
      <c r="A16" s="814"/>
      <c r="B16" s="815"/>
      <c r="C16" s="815"/>
      <c r="D16" s="815"/>
      <c r="E16" s="815"/>
      <c r="F16" s="815"/>
      <c r="G16" s="815"/>
      <c r="H16" s="815"/>
      <c r="I16" s="815"/>
      <c r="J16" s="815"/>
      <c r="K16" s="815"/>
      <c r="L16" s="815"/>
      <c r="M16" s="815"/>
      <c r="N16" s="815"/>
    </row>
    <row r="17" spans="1:16" ht="15.75" thickBot="1" x14ac:dyDescent="0.3">
      <c r="A17" s="811" t="s">
        <v>608</v>
      </c>
    </row>
    <row r="18" spans="1:16" ht="16.5" thickTop="1" thickBot="1" x14ac:dyDescent="0.3">
      <c r="A18" s="52" t="s">
        <v>614</v>
      </c>
      <c r="B18" s="809" t="s">
        <v>620</v>
      </c>
      <c r="C18" s="810"/>
      <c r="D18" s="810"/>
      <c r="E18" s="810"/>
      <c r="F18" s="810"/>
      <c r="G18" s="810"/>
      <c r="H18" s="810"/>
      <c r="I18" s="810"/>
      <c r="J18" s="810"/>
      <c r="K18" s="810"/>
      <c r="L18" s="810"/>
      <c r="M18" s="810"/>
      <c r="N18" s="818"/>
      <c r="O18" s="818"/>
      <c r="P18" s="818"/>
    </row>
    <row r="19" spans="1:16" ht="16.5" thickTop="1" thickBot="1" x14ac:dyDescent="0.3">
      <c r="A19" s="52" t="s">
        <v>611</v>
      </c>
      <c r="B19" s="809" t="s">
        <v>620</v>
      </c>
      <c r="C19" s="810"/>
      <c r="D19" s="810"/>
      <c r="E19" s="810"/>
      <c r="F19" s="810"/>
      <c r="G19" s="810"/>
      <c r="H19" s="810"/>
      <c r="I19" s="810"/>
      <c r="J19" s="810"/>
      <c r="K19" s="810"/>
      <c r="L19" s="810"/>
      <c r="M19" s="810"/>
      <c r="N19" s="818"/>
      <c r="O19" s="818"/>
      <c r="P19" s="818"/>
    </row>
    <row r="20" spans="1:16" ht="16.5" thickTop="1" thickBot="1" x14ac:dyDescent="0.3">
      <c r="A20" s="52" t="s">
        <v>612</v>
      </c>
      <c r="B20" s="809" t="s">
        <v>620</v>
      </c>
      <c r="C20" s="810"/>
      <c r="D20" s="810"/>
      <c r="E20" s="810"/>
      <c r="F20" s="810"/>
      <c r="G20" s="810"/>
      <c r="H20" s="810"/>
      <c r="I20" s="810"/>
      <c r="J20" s="810"/>
      <c r="K20" s="810"/>
      <c r="L20" s="810"/>
      <c r="M20" s="810"/>
      <c r="N20" s="818"/>
      <c r="O20" s="818"/>
      <c r="P20" s="818"/>
    </row>
    <row r="21" spans="1:16" ht="15.75" thickTop="1" x14ac:dyDescent="0.25"/>
  </sheetData>
  <pageMargins left="0.7" right="0.7" top="0.75" bottom="0.75" header="0.3" footer="0.3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Q102"/>
  <sheetViews>
    <sheetView zoomScaleNormal="100" zoomScaleSheetLayoutView="100" workbookViewId="0">
      <selection activeCell="R37" sqref="R37"/>
    </sheetView>
  </sheetViews>
  <sheetFormatPr defaultColWidth="9.140625" defaultRowHeight="15" x14ac:dyDescent="0.25"/>
  <cols>
    <col min="1" max="1" width="24.85546875" style="43" customWidth="1"/>
    <col min="2" max="2" width="12" style="43" customWidth="1"/>
    <col min="3" max="5" width="7.140625" style="43" bestFit="1" customWidth="1"/>
    <col min="6" max="7" width="7.5703125" style="43" bestFit="1" customWidth="1"/>
    <col min="8" max="8" width="7.140625" style="43" bestFit="1" customWidth="1"/>
    <col min="9" max="12" width="7.5703125" style="43" bestFit="1" customWidth="1"/>
    <col min="13" max="13" width="7.140625" style="43" bestFit="1" customWidth="1"/>
    <col min="14" max="14" width="7.5703125" style="43" bestFit="1" customWidth="1"/>
    <col min="15" max="15" width="9" style="43" bestFit="1" customWidth="1"/>
    <col min="16" max="16" width="7.140625" style="1" customWidth="1"/>
    <col min="17" max="17" width="8.140625" style="77" bestFit="1" customWidth="1"/>
    <col min="18" max="16384" width="9.140625" style="43"/>
  </cols>
  <sheetData>
    <row r="1" spans="1:15" ht="18.75" x14ac:dyDescent="0.3">
      <c r="A1" s="214" t="s">
        <v>199</v>
      </c>
    </row>
    <row r="2" spans="1:15" ht="21" x14ac:dyDescent="0.35">
      <c r="A2" s="188" t="s">
        <v>191</v>
      </c>
      <c r="B2" s="188"/>
      <c r="C2" s="188"/>
      <c r="D2" s="188"/>
      <c r="E2" s="188"/>
      <c r="F2" s="188"/>
      <c r="G2" s="845" t="s">
        <v>618</v>
      </c>
      <c r="H2" s="845"/>
      <c r="I2" s="845"/>
      <c r="J2" s="845"/>
      <c r="K2" s="188"/>
      <c r="L2" s="188"/>
      <c r="M2" s="188"/>
      <c r="N2" s="188"/>
      <c r="O2" s="188"/>
    </row>
    <row r="3" spans="1:15" ht="18.75" x14ac:dyDescent="0.3">
      <c r="A3" s="25" t="s">
        <v>538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13.35" customHeight="1" x14ac:dyDescent="0.3">
      <c r="A4" s="25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6" spans="1:15" ht="15.75" x14ac:dyDescent="0.25">
      <c r="A6" s="48" t="s">
        <v>588</v>
      </c>
      <c r="B6" s="48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30" x14ac:dyDescent="0.25">
      <c r="A7" s="50"/>
      <c r="B7" s="300" t="s">
        <v>187</v>
      </c>
      <c r="C7" s="88">
        <v>44927</v>
      </c>
      <c r="D7" s="88">
        <v>44958</v>
      </c>
      <c r="E7" s="88">
        <v>44986</v>
      </c>
      <c r="F7" s="88">
        <v>45017</v>
      </c>
      <c r="G7" s="88">
        <v>45047</v>
      </c>
      <c r="H7" s="88">
        <v>45078</v>
      </c>
      <c r="I7" s="88">
        <v>45108</v>
      </c>
      <c r="J7" s="88">
        <v>45139</v>
      </c>
      <c r="K7" s="88">
        <v>45170</v>
      </c>
      <c r="L7" s="88">
        <v>45200</v>
      </c>
      <c r="M7" s="88">
        <v>45231</v>
      </c>
      <c r="N7" s="88">
        <v>45261</v>
      </c>
      <c r="O7" s="232" t="s">
        <v>540</v>
      </c>
    </row>
    <row r="8" spans="1:15" x14ac:dyDescent="0.25">
      <c r="A8" s="12" t="s">
        <v>12</v>
      </c>
      <c r="B8" s="90" t="s">
        <v>90</v>
      </c>
      <c r="C8" s="400">
        <v>5.08</v>
      </c>
      <c r="D8" s="400">
        <v>4.78</v>
      </c>
      <c r="E8" s="400">
        <v>4.07</v>
      </c>
      <c r="F8" s="400">
        <v>2.7</v>
      </c>
      <c r="G8" s="400">
        <v>2.5099999999999998</v>
      </c>
      <c r="H8" s="400">
        <v>2.56</v>
      </c>
      <c r="I8" s="400">
        <v>2.94</v>
      </c>
      <c r="J8" s="400">
        <v>2.97</v>
      </c>
      <c r="K8" s="400">
        <v>2.98</v>
      </c>
      <c r="L8" s="400">
        <v>2.96</v>
      </c>
      <c r="M8" s="400">
        <v>3.89</v>
      </c>
      <c r="N8" s="400">
        <v>4.41</v>
      </c>
      <c r="O8" s="401">
        <v>3.4874999999999994</v>
      </c>
    </row>
    <row r="9" spans="1:15" x14ac:dyDescent="0.25">
      <c r="A9" s="12" t="s">
        <v>20</v>
      </c>
      <c r="B9" s="90" t="s">
        <v>90</v>
      </c>
      <c r="C9" s="400">
        <v>4.68</v>
      </c>
      <c r="D9" s="400">
        <v>4.54</v>
      </c>
      <c r="E9" s="400">
        <v>3.97</v>
      </c>
      <c r="F9" s="400">
        <v>2.66</v>
      </c>
      <c r="G9" s="400">
        <v>2.56</v>
      </c>
      <c r="H9" s="400">
        <v>2.62</v>
      </c>
      <c r="I9" s="400">
        <v>2.97</v>
      </c>
      <c r="J9" s="400">
        <v>3.02</v>
      </c>
      <c r="K9" s="400">
        <v>2.99</v>
      </c>
      <c r="L9" s="400">
        <v>2.86</v>
      </c>
      <c r="M9" s="400">
        <v>3.58</v>
      </c>
      <c r="N9" s="400">
        <v>4.01</v>
      </c>
      <c r="O9" s="401">
        <v>3.3716666666666661</v>
      </c>
    </row>
    <row r="10" spans="1:15" x14ac:dyDescent="0.25">
      <c r="A10" s="12" t="s">
        <v>21</v>
      </c>
      <c r="B10" s="90" t="s">
        <v>90</v>
      </c>
      <c r="C10" s="400">
        <v>3.33</v>
      </c>
      <c r="D10" s="400">
        <v>3.29</v>
      </c>
      <c r="E10" s="400">
        <v>2.93</v>
      </c>
      <c r="F10" s="400">
        <v>2.48</v>
      </c>
      <c r="G10" s="400">
        <v>2.2799999999999998</v>
      </c>
      <c r="H10" s="400">
        <v>2.2799999999999998</v>
      </c>
      <c r="I10" s="400">
        <v>2.35</v>
      </c>
      <c r="J10" s="400">
        <v>2.36</v>
      </c>
      <c r="K10" s="400">
        <v>2.39</v>
      </c>
      <c r="L10" s="400">
        <v>2.4500000000000002</v>
      </c>
      <c r="M10" s="400">
        <v>2.64</v>
      </c>
      <c r="N10" s="400">
        <v>2.8</v>
      </c>
      <c r="O10" s="401">
        <v>2.6316666666666668</v>
      </c>
    </row>
    <row r="11" spans="1:15" ht="15.75" thickBot="1" x14ac:dyDescent="0.3">
      <c r="A11" s="12" t="s">
        <v>22</v>
      </c>
      <c r="B11" s="90" t="s">
        <v>90</v>
      </c>
      <c r="C11" s="402">
        <v>3.37</v>
      </c>
      <c r="D11" s="402">
        <v>3.33</v>
      </c>
      <c r="E11" s="402">
        <v>2.98</v>
      </c>
      <c r="F11" s="402">
        <v>2.5099999999999998</v>
      </c>
      <c r="G11" s="402">
        <v>2.31</v>
      </c>
      <c r="H11" s="402">
        <v>2.31</v>
      </c>
      <c r="I11" s="402">
        <v>2.38</v>
      </c>
      <c r="J11" s="402">
        <v>2.39</v>
      </c>
      <c r="K11" s="402">
        <v>2.42</v>
      </c>
      <c r="L11" s="402">
        <v>2.4900000000000002</v>
      </c>
      <c r="M11" s="402">
        <v>2.68</v>
      </c>
      <c r="N11" s="402">
        <v>2.84</v>
      </c>
      <c r="O11" s="403">
        <v>2.6675000000000004</v>
      </c>
    </row>
    <row r="12" spans="1:15" ht="15.75" thickTop="1" x14ac:dyDescent="0.25">
      <c r="A12" s="12" t="s">
        <v>95</v>
      </c>
      <c r="B12" s="90" t="s">
        <v>106</v>
      </c>
      <c r="C12" s="290" t="s">
        <v>621</v>
      </c>
      <c r="D12" s="290" t="s">
        <v>621</v>
      </c>
      <c r="E12" s="290" t="s">
        <v>621</v>
      </c>
      <c r="F12" s="290" t="s">
        <v>621</v>
      </c>
      <c r="G12" s="290" t="s">
        <v>621</v>
      </c>
      <c r="H12" s="290" t="s">
        <v>621</v>
      </c>
      <c r="I12" s="290" t="s">
        <v>621</v>
      </c>
      <c r="J12" s="290" t="s">
        <v>621</v>
      </c>
      <c r="K12" s="290" t="s">
        <v>621</v>
      </c>
      <c r="L12" s="290" t="s">
        <v>621</v>
      </c>
      <c r="M12" s="290" t="s">
        <v>621</v>
      </c>
      <c r="N12" s="290" t="s">
        <v>621</v>
      </c>
      <c r="O12" s="290" t="s">
        <v>621</v>
      </c>
    </row>
    <row r="13" spans="1:15" x14ac:dyDescent="0.25">
      <c r="A13" s="12" t="s">
        <v>96</v>
      </c>
      <c r="B13" s="90" t="s">
        <v>106</v>
      </c>
      <c r="C13" s="290" t="s">
        <v>621</v>
      </c>
      <c r="D13" s="290" t="s">
        <v>621</v>
      </c>
      <c r="E13" s="290" t="s">
        <v>621</v>
      </c>
      <c r="F13" s="290" t="s">
        <v>621</v>
      </c>
      <c r="G13" s="290" t="s">
        <v>621</v>
      </c>
      <c r="H13" s="290" t="s">
        <v>621</v>
      </c>
      <c r="I13" s="290" t="s">
        <v>621</v>
      </c>
      <c r="J13" s="290" t="s">
        <v>621</v>
      </c>
      <c r="K13" s="290" t="s">
        <v>621</v>
      </c>
      <c r="L13" s="290" t="s">
        <v>621</v>
      </c>
      <c r="M13" s="290" t="s">
        <v>621</v>
      </c>
      <c r="N13" s="290" t="s">
        <v>621</v>
      </c>
      <c r="O13" s="290" t="s">
        <v>621</v>
      </c>
    </row>
    <row r="14" spans="1:15" x14ac:dyDescent="0.25">
      <c r="A14" s="12" t="s">
        <v>97</v>
      </c>
      <c r="B14" s="90" t="s">
        <v>106</v>
      </c>
      <c r="C14" s="290" t="s">
        <v>621</v>
      </c>
      <c r="D14" s="290" t="s">
        <v>621</v>
      </c>
      <c r="E14" s="290" t="s">
        <v>621</v>
      </c>
      <c r="F14" s="290" t="s">
        <v>621</v>
      </c>
      <c r="G14" s="290" t="s">
        <v>621</v>
      </c>
      <c r="H14" s="290" t="s">
        <v>621</v>
      </c>
      <c r="I14" s="290" t="s">
        <v>621</v>
      </c>
      <c r="J14" s="290" t="s">
        <v>621</v>
      </c>
      <c r="K14" s="290" t="s">
        <v>621</v>
      </c>
      <c r="L14" s="290" t="s">
        <v>621</v>
      </c>
      <c r="M14" s="290" t="s">
        <v>621</v>
      </c>
      <c r="N14" s="290" t="s">
        <v>621</v>
      </c>
      <c r="O14" s="290" t="s">
        <v>621</v>
      </c>
    </row>
    <row r="15" spans="1:15" x14ac:dyDescent="0.25">
      <c r="A15" s="12" t="s">
        <v>92</v>
      </c>
      <c r="B15" s="90" t="s">
        <v>107</v>
      </c>
      <c r="C15" s="290" t="s">
        <v>621</v>
      </c>
      <c r="D15" s="290" t="s">
        <v>621</v>
      </c>
      <c r="E15" s="290" t="s">
        <v>621</v>
      </c>
      <c r="F15" s="290" t="s">
        <v>621</v>
      </c>
      <c r="G15" s="290" t="s">
        <v>621</v>
      </c>
      <c r="H15" s="290" t="s">
        <v>621</v>
      </c>
      <c r="I15" s="290" t="s">
        <v>621</v>
      </c>
      <c r="J15" s="290" t="s">
        <v>621</v>
      </c>
      <c r="K15" s="290" t="s">
        <v>621</v>
      </c>
      <c r="L15" s="290" t="s">
        <v>621</v>
      </c>
      <c r="M15" s="290" t="s">
        <v>621</v>
      </c>
      <c r="N15" s="290" t="s">
        <v>621</v>
      </c>
      <c r="O15" s="290" t="s">
        <v>621</v>
      </c>
    </row>
    <row r="16" spans="1:15" x14ac:dyDescent="0.25">
      <c r="A16" s="12" t="s">
        <v>93</v>
      </c>
      <c r="B16" s="90" t="s">
        <v>107</v>
      </c>
      <c r="C16" s="290" t="s">
        <v>621</v>
      </c>
      <c r="D16" s="290" t="s">
        <v>621</v>
      </c>
      <c r="E16" s="290" t="s">
        <v>621</v>
      </c>
      <c r="F16" s="290" t="s">
        <v>621</v>
      </c>
      <c r="G16" s="290" t="s">
        <v>621</v>
      </c>
      <c r="H16" s="290" t="s">
        <v>621</v>
      </c>
      <c r="I16" s="290" t="s">
        <v>621</v>
      </c>
      <c r="J16" s="290" t="s">
        <v>621</v>
      </c>
      <c r="K16" s="290" t="s">
        <v>621</v>
      </c>
      <c r="L16" s="290" t="s">
        <v>621</v>
      </c>
      <c r="M16" s="290" t="s">
        <v>621</v>
      </c>
      <c r="N16" s="290" t="s">
        <v>621</v>
      </c>
      <c r="O16" s="290" t="s">
        <v>621</v>
      </c>
    </row>
    <row r="17" spans="1:15" x14ac:dyDescent="0.25">
      <c r="A17" s="12" t="s">
        <v>94</v>
      </c>
      <c r="B17" s="90" t="s">
        <v>107</v>
      </c>
      <c r="C17" s="290" t="s">
        <v>621</v>
      </c>
      <c r="D17" s="290" t="s">
        <v>621</v>
      </c>
      <c r="E17" s="290" t="s">
        <v>621</v>
      </c>
      <c r="F17" s="290" t="s">
        <v>621</v>
      </c>
      <c r="G17" s="290" t="s">
        <v>621</v>
      </c>
      <c r="H17" s="290" t="s">
        <v>621</v>
      </c>
      <c r="I17" s="290" t="s">
        <v>621</v>
      </c>
      <c r="J17" s="290" t="s">
        <v>621</v>
      </c>
      <c r="K17" s="290" t="s">
        <v>621</v>
      </c>
      <c r="L17" s="290" t="s">
        <v>621</v>
      </c>
      <c r="M17" s="290" t="s">
        <v>621</v>
      </c>
      <c r="N17" s="290" t="s">
        <v>621</v>
      </c>
      <c r="O17" s="290" t="s">
        <v>621</v>
      </c>
    </row>
    <row r="18" spans="1:15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15.75" x14ac:dyDescent="0.25">
      <c r="A19" s="48" t="s">
        <v>565</v>
      </c>
      <c r="B19" s="48"/>
      <c r="C19" s="229"/>
      <c r="D19" s="229"/>
      <c r="E19" s="46"/>
      <c r="F19" s="229"/>
      <c r="G19" s="229"/>
      <c r="H19" s="229"/>
      <c r="I19" s="229"/>
      <c r="J19" s="229"/>
      <c r="K19" s="229"/>
      <c r="L19" s="229"/>
      <c r="M19" s="229"/>
      <c r="N19" s="229"/>
      <c r="O19" s="229"/>
    </row>
    <row r="20" spans="1:15" ht="45" x14ac:dyDescent="0.25">
      <c r="A20" s="50"/>
      <c r="B20" s="300" t="s">
        <v>187</v>
      </c>
      <c r="C20" s="88">
        <v>44348</v>
      </c>
      <c r="D20" s="88">
        <v>44378</v>
      </c>
      <c r="E20" s="88">
        <v>44409</v>
      </c>
      <c r="F20" s="88">
        <v>44440</v>
      </c>
      <c r="G20" s="88">
        <v>44470</v>
      </c>
      <c r="H20" s="88">
        <v>44501</v>
      </c>
      <c r="I20" s="88">
        <v>44531</v>
      </c>
      <c r="J20" s="88">
        <v>44562</v>
      </c>
      <c r="K20" s="88">
        <v>44593</v>
      </c>
      <c r="L20" s="88">
        <v>44621</v>
      </c>
      <c r="M20" s="88">
        <v>44652</v>
      </c>
      <c r="N20" s="88">
        <v>44682</v>
      </c>
      <c r="O20" s="232" t="s">
        <v>202</v>
      </c>
    </row>
    <row r="21" spans="1:15" x14ac:dyDescent="0.25">
      <c r="A21" s="12" t="s">
        <v>12</v>
      </c>
      <c r="B21" s="90" t="s">
        <v>90</v>
      </c>
      <c r="C21" s="400">
        <v>2.5809682539682539</v>
      </c>
      <c r="D21" s="400">
        <v>2.986587301587301</v>
      </c>
      <c r="E21" s="400">
        <v>3.1887619047619036</v>
      </c>
      <c r="F21" s="400">
        <v>3.1373809523809517</v>
      </c>
      <c r="G21" s="400">
        <v>3.2334761904761895</v>
      </c>
      <c r="H21" s="400">
        <v>3.7567936507936506</v>
      </c>
      <c r="I21" s="400">
        <v>4.4489682539682534</v>
      </c>
      <c r="J21" s="400">
        <v>4.152396825396826</v>
      </c>
      <c r="K21" s="400">
        <v>3.8270952380952385</v>
      </c>
      <c r="L21" s="400">
        <v>3.020603174603175</v>
      </c>
      <c r="M21" s="400">
        <v>2.1447142857142847</v>
      </c>
      <c r="N21" s="400">
        <v>1.9419682539682548</v>
      </c>
      <c r="O21" s="401">
        <v>3.2016428571428572</v>
      </c>
    </row>
    <row r="22" spans="1:15" x14ac:dyDescent="0.25">
      <c r="A22" s="12" t="s">
        <v>20</v>
      </c>
      <c r="B22" s="90" t="s">
        <v>90</v>
      </c>
      <c r="C22" s="400">
        <v>2.6143968253968271</v>
      </c>
      <c r="D22" s="400">
        <v>2.8999841269841271</v>
      </c>
      <c r="E22" s="400">
        <v>3.0427619047619041</v>
      </c>
      <c r="F22" s="400">
        <v>2.9616507936507932</v>
      </c>
      <c r="G22" s="400">
        <v>2.7950952380952381</v>
      </c>
      <c r="H22" s="400">
        <v>3.3314920634920635</v>
      </c>
      <c r="I22" s="400">
        <v>3.7399365079365077</v>
      </c>
      <c r="J22" s="400">
        <v>3.7509047619047631</v>
      </c>
      <c r="K22" s="400">
        <v>3.5863174603174581</v>
      </c>
      <c r="L22" s="400">
        <v>3.0788095238095239</v>
      </c>
      <c r="M22" s="400">
        <v>2.2381587301587298</v>
      </c>
      <c r="N22" s="400">
        <v>2.1853968253968254</v>
      </c>
      <c r="O22" s="401">
        <v>3.0187420634920641</v>
      </c>
    </row>
    <row r="23" spans="1:15" x14ac:dyDescent="0.25">
      <c r="A23" s="12" t="s">
        <v>21</v>
      </c>
      <c r="B23" s="90" t="s">
        <v>90</v>
      </c>
      <c r="C23" s="400">
        <v>2.2415396825396829</v>
      </c>
      <c r="D23" s="400">
        <v>2.2439206349206353</v>
      </c>
      <c r="E23" s="400">
        <v>2.081952380952381</v>
      </c>
      <c r="F23" s="400">
        <v>2.2322539682539677</v>
      </c>
      <c r="G23" s="400">
        <v>2.3268095238095237</v>
      </c>
      <c r="H23" s="400">
        <v>2.4159523809523815</v>
      </c>
      <c r="I23" s="400">
        <v>2.4722063492063482</v>
      </c>
      <c r="J23" s="400">
        <v>2.5052063492063499</v>
      </c>
      <c r="K23" s="400">
        <v>2.5014761904761902</v>
      </c>
      <c r="L23" s="400">
        <v>2.3311587301587298</v>
      </c>
      <c r="M23" s="400">
        <v>1.9669365079365078</v>
      </c>
      <c r="N23" s="400">
        <v>1.8336349206349205</v>
      </c>
      <c r="O23" s="401">
        <v>2.2627539682539681</v>
      </c>
    </row>
    <row r="24" spans="1:15" ht="15.75" thickBot="1" x14ac:dyDescent="0.3">
      <c r="A24" s="12" t="s">
        <v>22</v>
      </c>
      <c r="B24" s="90" t="s">
        <v>90</v>
      </c>
      <c r="C24" s="402">
        <v>2.2108571428571424</v>
      </c>
      <c r="D24" s="402">
        <v>2.2084603174603177</v>
      </c>
      <c r="E24" s="402">
        <v>2.0500634920634915</v>
      </c>
      <c r="F24" s="402">
        <v>2.1990158730158726</v>
      </c>
      <c r="G24" s="402">
        <v>2.2935873015873014</v>
      </c>
      <c r="H24" s="402">
        <v>2.439222222222222</v>
      </c>
      <c r="I24" s="402">
        <v>2.495571428571429</v>
      </c>
      <c r="J24" s="402">
        <v>2.5284285714285724</v>
      </c>
      <c r="K24" s="402">
        <v>2.5246349206349206</v>
      </c>
      <c r="L24" s="402">
        <v>2.3546507936507939</v>
      </c>
      <c r="M24" s="402">
        <v>1.968952380952381</v>
      </c>
      <c r="N24" s="402">
        <v>1.8359206349206356</v>
      </c>
      <c r="O24" s="403">
        <v>2.2591137566137567</v>
      </c>
    </row>
    <row r="25" spans="1:15" ht="15.75" thickTop="1" x14ac:dyDescent="0.25">
      <c r="A25" s="12" t="s">
        <v>95</v>
      </c>
      <c r="B25" s="90" t="s">
        <v>106</v>
      </c>
      <c r="C25" s="290" t="s">
        <v>621</v>
      </c>
      <c r="D25" s="290" t="s">
        <v>621</v>
      </c>
      <c r="E25" s="290" t="s">
        <v>621</v>
      </c>
      <c r="F25" s="290" t="s">
        <v>621</v>
      </c>
      <c r="G25" s="290" t="s">
        <v>621</v>
      </c>
      <c r="H25" s="290" t="s">
        <v>621</v>
      </c>
      <c r="I25" s="290" t="s">
        <v>621</v>
      </c>
      <c r="J25" s="290" t="s">
        <v>621</v>
      </c>
      <c r="K25" s="290" t="s">
        <v>621</v>
      </c>
      <c r="L25" s="290" t="s">
        <v>621</v>
      </c>
      <c r="M25" s="290" t="s">
        <v>621</v>
      </c>
      <c r="N25" s="290" t="s">
        <v>621</v>
      </c>
      <c r="O25" s="290" t="s">
        <v>621</v>
      </c>
    </row>
    <row r="26" spans="1:15" x14ac:dyDescent="0.25">
      <c r="A26" s="12" t="s">
        <v>96</v>
      </c>
      <c r="B26" s="90" t="s">
        <v>106</v>
      </c>
      <c r="C26" s="290" t="s">
        <v>621</v>
      </c>
      <c r="D26" s="290" t="s">
        <v>621</v>
      </c>
      <c r="E26" s="290" t="s">
        <v>621</v>
      </c>
      <c r="F26" s="290" t="s">
        <v>621</v>
      </c>
      <c r="G26" s="290" t="s">
        <v>621</v>
      </c>
      <c r="H26" s="290" t="s">
        <v>621</v>
      </c>
      <c r="I26" s="290" t="s">
        <v>621</v>
      </c>
      <c r="J26" s="290" t="s">
        <v>621</v>
      </c>
      <c r="K26" s="290" t="s">
        <v>621</v>
      </c>
      <c r="L26" s="290" t="s">
        <v>621</v>
      </c>
      <c r="M26" s="290" t="s">
        <v>621</v>
      </c>
      <c r="N26" s="290" t="s">
        <v>621</v>
      </c>
      <c r="O26" s="290" t="s">
        <v>621</v>
      </c>
    </row>
    <row r="27" spans="1:15" x14ac:dyDescent="0.25">
      <c r="A27" s="12" t="s">
        <v>97</v>
      </c>
      <c r="B27" s="90" t="s">
        <v>106</v>
      </c>
      <c r="C27" s="290" t="s">
        <v>621</v>
      </c>
      <c r="D27" s="290" t="s">
        <v>621</v>
      </c>
      <c r="E27" s="290" t="s">
        <v>621</v>
      </c>
      <c r="F27" s="290" t="s">
        <v>621</v>
      </c>
      <c r="G27" s="290" t="s">
        <v>621</v>
      </c>
      <c r="H27" s="290" t="s">
        <v>621</v>
      </c>
      <c r="I27" s="290" t="s">
        <v>621</v>
      </c>
      <c r="J27" s="290" t="s">
        <v>621</v>
      </c>
      <c r="K27" s="290" t="s">
        <v>621</v>
      </c>
      <c r="L27" s="290" t="s">
        <v>621</v>
      </c>
      <c r="M27" s="290" t="s">
        <v>621</v>
      </c>
      <c r="N27" s="290" t="s">
        <v>621</v>
      </c>
      <c r="O27" s="290" t="s">
        <v>621</v>
      </c>
    </row>
    <row r="28" spans="1:15" x14ac:dyDescent="0.25">
      <c r="A28" s="12" t="s">
        <v>92</v>
      </c>
      <c r="B28" s="90" t="s">
        <v>107</v>
      </c>
      <c r="C28" s="290" t="s">
        <v>621</v>
      </c>
      <c r="D28" s="290" t="s">
        <v>621</v>
      </c>
      <c r="E28" s="290" t="s">
        <v>621</v>
      </c>
      <c r="F28" s="290" t="s">
        <v>621</v>
      </c>
      <c r="G28" s="290" t="s">
        <v>621</v>
      </c>
      <c r="H28" s="290" t="s">
        <v>621</v>
      </c>
      <c r="I28" s="290" t="s">
        <v>621</v>
      </c>
      <c r="J28" s="290" t="s">
        <v>621</v>
      </c>
      <c r="K28" s="290" t="s">
        <v>621</v>
      </c>
      <c r="L28" s="290" t="s">
        <v>621</v>
      </c>
      <c r="M28" s="290" t="s">
        <v>621</v>
      </c>
      <c r="N28" s="290" t="s">
        <v>621</v>
      </c>
      <c r="O28" s="290" t="s">
        <v>621</v>
      </c>
    </row>
    <row r="29" spans="1:15" x14ac:dyDescent="0.25">
      <c r="A29" s="12" t="s">
        <v>93</v>
      </c>
      <c r="B29" s="90" t="s">
        <v>107</v>
      </c>
      <c r="C29" s="290" t="s">
        <v>621</v>
      </c>
      <c r="D29" s="290" t="s">
        <v>621</v>
      </c>
      <c r="E29" s="290" t="s">
        <v>621</v>
      </c>
      <c r="F29" s="290" t="s">
        <v>621</v>
      </c>
      <c r="G29" s="290" t="s">
        <v>621</v>
      </c>
      <c r="H29" s="290" t="s">
        <v>621</v>
      </c>
      <c r="I29" s="290" t="s">
        <v>621</v>
      </c>
      <c r="J29" s="290" t="s">
        <v>621</v>
      </c>
      <c r="K29" s="290" t="s">
        <v>621</v>
      </c>
      <c r="L29" s="290" t="s">
        <v>621</v>
      </c>
      <c r="M29" s="290" t="s">
        <v>621</v>
      </c>
      <c r="N29" s="290" t="s">
        <v>621</v>
      </c>
      <c r="O29" s="290" t="s">
        <v>621</v>
      </c>
    </row>
    <row r="30" spans="1:15" x14ac:dyDescent="0.25">
      <c r="A30" s="12" t="s">
        <v>94</v>
      </c>
      <c r="B30" s="90" t="s">
        <v>107</v>
      </c>
      <c r="C30" s="290" t="s">
        <v>621</v>
      </c>
      <c r="D30" s="290" t="s">
        <v>621</v>
      </c>
      <c r="E30" s="290" t="s">
        <v>621</v>
      </c>
      <c r="F30" s="290" t="s">
        <v>621</v>
      </c>
      <c r="G30" s="290" t="s">
        <v>621</v>
      </c>
      <c r="H30" s="290" t="s">
        <v>621</v>
      </c>
      <c r="I30" s="290" t="s">
        <v>621</v>
      </c>
      <c r="J30" s="290" t="s">
        <v>621</v>
      </c>
      <c r="K30" s="290" t="s">
        <v>621</v>
      </c>
      <c r="L30" s="290" t="s">
        <v>621</v>
      </c>
      <c r="M30" s="290" t="s">
        <v>621</v>
      </c>
      <c r="N30" s="290" t="s">
        <v>621</v>
      </c>
      <c r="O30" s="290" t="s">
        <v>621</v>
      </c>
    </row>
    <row r="31" spans="1:15" x14ac:dyDescent="0.25">
      <c r="B31" s="55"/>
      <c r="C31" s="12"/>
      <c r="D31" s="12"/>
      <c r="E31" s="12"/>
      <c r="F31" s="12"/>
      <c r="G31" s="227"/>
      <c r="H31" s="12"/>
      <c r="I31" s="227"/>
      <c r="J31" s="227"/>
      <c r="K31" s="12"/>
      <c r="L31" s="12"/>
      <c r="M31" s="12"/>
      <c r="N31" s="12"/>
      <c r="O31" s="228"/>
    </row>
    <row r="32" spans="1:15" x14ac:dyDescent="0.25">
      <c r="A32" s="51" t="s">
        <v>200</v>
      </c>
      <c r="B32" s="89"/>
      <c r="C32" s="229"/>
      <c r="D32" s="229"/>
      <c r="E32" s="229"/>
      <c r="F32" s="229"/>
      <c r="G32" s="230"/>
      <c r="H32" s="229"/>
      <c r="I32" s="230"/>
      <c r="J32" s="230"/>
      <c r="K32" s="229"/>
      <c r="L32" s="229"/>
      <c r="M32" s="229"/>
      <c r="N32" s="229"/>
      <c r="O32" s="231"/>
    </row>
    <row r="33" spans="1:15" ht="30" x14ac:dyDescent="0.25">
      <c r="A33" s="50"/>
      <c r="B33" s="300" t="s">
        <v>187</v>
      </c>
      <c r="C33" s="88">
        <v>44927</v>
      </c>
      <c r="D33" s="88">
        <v>44958</v>
      </c>
      <c r="E33" s="88">
        <v>44986</v>
      </c>
      <c r="F33" s="88">
        <v>45017</v>
      </c>
      <c r="G33" s="88">
        <v>45047</v>
      </c>
      <c r="H33" s="88">
        <v>45078</v>
      </c>
      <c r="I33" s="88">
        <v>45108</v>
      </c>
      <c r="J33" s="88">
        <v>45139</v>
      </c>
      <c r="K33" s="88">
        <v>45170</v>
      </c>
      <c r="L33" s="88">
        <v>45200</v>
      </c>
      <c r="M33" s="88">
        <v>45231</v>
      </c>
      <c r="N33" s="88">
        <v>45261</v>
      </c>
      <c r="O33" s="232" t="s">
        <v>540</v>
      </c>
    </row>
    <row r="34" spans="1:15" x14ac:dyDescent="0.25">
      <c r="A34" s="12" t="s">
        <v>12</v>
      </c>
      <c r="B34" s="90" t="s">
        <v>90</v>
      </c>
      <c r="C34" s="400">
        <v>0.9276031746031741</v>
      </c>
      <c r="D34" s="400">
        <v>0.9529047619047617</v>
      </c>
      <c r="E34" s="400">
        <v>1.0493968253968253</v>
      </c>
      <c r="F34" s="400">
        <v>0.55528571428571549</v>
      </c>
      <c r="G34" s="400">
        <v>0.568031746031745</v>
      </c>
      <c r="H34" s="400">
        <v>-2.0968253968253858E-2</v>
      </c>
      <c r="I34" s="400">
        <v>-4.6587301587301067E-2</v>
      </c>
      <c r="J34" s="400">
        <v>-0.21876190476190338</v>
      </c>
      <c r="K34" s="400">
        <v>-0.15738095238095173</v>
      </c>
      <c r="L34" s="400">
        <v>-0.27347619047618954</v>
      </c>
      <c r="M34" s="400">
        <v>0.13320634920634955</v>
      </c>
      <c r="N34" s="400">
        <v>-3.8968253968253208E-2</v>
      </c>
      <c r="O34" s="401">
        <v>0.28585714285714214</v>
      </c>
    </row>
    <row r="35" spans="1:15" x14ac:dyDescent="0.25">
      <c r="A35" s="12" t="s">
        <v>20</v>
      </c>
      <c r="B35" s="90" t="s">
        <v>90</v>
      </c>
      <c r="C35" s="400">
        <v>0.92909523809523664</v>
      </c>
      <c r="D35" s="400">
        <v>0.95368253968254191</v>
      </c>
      <c r="E35" s="400">
        <v>0.89119047619047631</v>
      </c>
      <c r="F35" s="400">
        <v>0.42184126984127035</v>
      </c>
      <c r="G35" s="400">
        <v>0.3746031746031746</v>
      </c>
      <c r="H35" s="400">
        <v>5.6031746031730556E-3</v>
      </c>
      <c r="I35" s="400">
        <v>7.0015873015873087E-2</v>
      </c>
      <c r="J35" s="400">
        <v>-2.2761904761904095E-2</v>
      </c>
      <c r="K35" s="400">
        <v>2.8349206349207012E-2</v>
      </c>
      <c r="L35" s="400">
        <v>6.4904761904761799E-2</v>
      </c>
      <c r="M35" s="400">
        <v>0.24850793650793657</v>
      </c>
      <c r="N35" s="400">
        <v>0.27006349206349212</v>
      </c>
      <c r="O35" s="401">
        <v>0.35292460317460206</v>
      </c>
    </row>
    <row r="36" spans="1:15" x14ac:dyDescent="0.25">
      <c r="A36" s="12" t="s">
        <v>21</v>
      </c>
      <c r="B36" s="90" t="s">
        <v>90</v>
      </c>
      <c r="C36" s="400">
        <v>0.82479365079365019</v>
      </c>
      <c r="D36" s="400">
        <v>0.78852380952380985</v>
      </c>
      <c r="E36" s="400">
        <v>0.5988412698412704</v>
      </c>
      <c r="F36" s="400">
        <v>0.51306349206349222</v>
      </c>
      <c r="G36" s="400">
        <v>0.4463650793650793</v>
      </c>
      <c r="H36" s="400">
        <v>3.8460317460316862E-2</v>
      </c>
      <c r="I36" s="400">
        <v>0.10607936507936477</v>
      </c>
      <c r="J36" s="400">
        <v>0.27804761904761888</v>
      </c>
      <c r="K36" s="400">
        <v>0.15774603174603241</v>
      </c>
      <c r="L36" s="400">
        <v>0.12319047619047652</v>
      </c>
      <c r="M36" s="400">
        <v>0.22404761904761861</v>
      </c>
      <c r="N36" s="400">
        <v>0.32779365079365164</v>
      </c>
      <c r="O36" s="401">
        <v>0.36891269841269869</v>
      </c>
    </row>
    <row r="37" spans="1:15" ht="15.75" thickBot="1" x14ac:dyDescent="0.3">
      <c r="A37" s="12" t="s">
        <v>22</v>
      </c>
      <c r="B37" s="90" t="s">
        <v>90</v>
      </c>
      <c r="C37" s="402">
        <v>0.84157142857142775</v>
      </c>
      <c r="D37" s="402">
        <v>0.80536507936507951</v>
      </c>
      <c r="E37" s="402">
        <v>0.6253492063492061</v>
      </c>
      <c r="F37" s="402">
        <v>0.54104761904761878</v>
      </c>
      <c r="G37" s="402">
        <v>0.47407936507936443</v>
      </c>
      <c r="H37" s="402">
        <v>9.9142857142857643E-2</v>
      </c>
      <c r="I37" s="402">
        <v>0.17153968253968221</v>
      </c>
      <c r="J37" s="402">
        <v>0.33993650793650865</v>
      </c>
      <c r="K37" s="402">
        <v>0.22098412698412728</v>
      </c>
      <c r="L37" s="402">
        <v>0.19641269841269882</v>
      </c>
      <c r="M37" s="402">
        <v>0.2407777777777782</v>
      </c>
      <c r="N37" s="402">
        <v>0.34442857142857086</v>
      </c>
      <c r="O37" s="403">
        <v>0.40838624338624374</v>
      </c>
    </row>
    <row r="38" spans="1:15" ht="15.75" thickTop="1" x14ac:dyDescent="0.25">
      <c r="A38" s="12" t="s">
        <v>95</v>
      </c>
      <c r="B38" s="90" t="s">
        <v>106</v>
      </c>
      <c r="C38" s="290" t="s">
        <v>621</v>
      </c>
      <c r="D38" s="290" t="s">
        <v>621</v>
      </c>
      <c r="E38" s="290" t="s">
        <v>621</v>
      </c>
      <c r="F38" s="290" t="s">
        <v>621</v>
      </c>
      <c r="G38" s="290" t="s">
        <v>621</v>
      </c>
      <c r="H38" s="290" t="s">
        <v>621</v>
      </c>
      <c r="I38" s="290" t="s">
        <v>621</v>
      </c>
      <c r="J38" s="290" t="s">
        <v>621</v>
      </c>
      <c r="K38" s="290" t="s">
        <v>621</v>
      </c>
      <c r="L38" s="290" t="s">
        <v>621</v>
      </c>
      <c r="M38" s="290" t="s">
        <v>621</v>
      </c>
      <c r="N38" s="290" t="s">
        <v>621</v>
      </c>
      <c r="O38" s="290" t="s">
        <v>621</v>
      </c>
    </row>
    <row r="39" spans="1:15" x14ac:dyDescent="0.25">
      <c r="A39" s="12" t="s">
        <v>96</v>
      </c>
      <c r="B39" s="90" t="s">
        <v>106</v>
      </c>
      <c r="C39" s="290" t="s">
        <v>621</v>
      </c>
      <c r="D39" s="290" t="s">
        <v>621</v>
      </c>
      <c r="E39" s="290" t="s">
        <v>621</v>
      </c>
      <c r="F39" s="290" t="s">
        <v>621</v>
      </c>
      <c r="G39" s="290" t="s">
        <v>621</v>
      </c>
      <c r="H39" s="290" t="s">
        <v>621</v>
      </c>
      <c r="I39" s="290" t="s">
        <v>621</v>
      </c>
      <c r="J39" s="290" t="s">
        <v>621</v>
      </c>
      <c r="K39" s="290" t="s">
        <v>621</v>
      </c>
      <c r="L39" s="290" t="s">
        <v>621</v>
      </c>
      <c r="M39" s="290" t="s">
        <v>621</v>
      </c>
      <c r="N39" s="290" t="s">
        <v>621</v>
      </c>
      <c r="O39" s="290" t="s">
        <v>621</v>
      </c>
    </row>
    <row r="40" spans="1:15" x14ac:dyDescent="0.25">
      <c r="A40" s="12" t="s">
        <v>97</v>
      </c>
      <c r="B40" s="90" t="s">
        <v>106</v>
      </c>
      <c r="C40" s="290" t="s">
        <v>621</v>
      </c>
      <c r="D40" s="290" t="s">
        <v>621</v>
      </c>
      <c r="E40" s="290" t="s">
        <v>621</v>
      </c>
      <c r="F40" s="290" t="s">
        <v>621</v>
      </c>
      <c r="G40" s="290" t="s">
        <v>621</v>
      </c>
      <c r="H40" s="290" t="s">
        <v>621</v>
      </c>
      <c r="I40" s="290" t="s">
        <v>621</v>
      </c>
      <c r="J40" s="290" t="s">
        <v>621</v>
      </c>
      <c r="K40" s="290" t="s">
        <v>621</v>
      </c>
      <c r="L40" s="290" t="s">
        <v>621</v>
      </c>
      <c r="M40" s="290" t="s">
        <v>621</v>
      </c>
      <c r="N40" s="290" t="s">
        <v>621</v>
      </c>
      <c r="O40" s="290" t="s">
        <v>621</v>
      </c>
    </row>
    <row r="41" spans="1:15" x14ac:dyDescent="0.25">
      <c r="A41" s="12" t="s">
        <v>92</v>
      </c>
      <c r="B41" s="90" t="s">
        <v>107</v>
      </c>
      <c r="C41" s="290" t="s">
        <v>621</v>
      </c>
      <c r="D41" s="290" t="s">
        <v>621</v>
      </c>
      <c r="E41" s="290" t="s">
        <v>621</v>
      </c>
      <c r="F41" s="290" t="s">
        <v>621</v>
      </c>
      <c r="G41" s="290" t="s">
        <v>621</v>
      </c>
      <c r="H41" s="290" t="s">
        <v>621</v>
      </c>
      <c r="I41" s="290" t="s">
        <v>621</v>
      </c>
      <c r="J41" s="290" t="s">
        <v>621</v>
      </c>
      <c r="K41" s="290" t="s">
        <v>621</v>
      </c>
      <c r="L41" s="290" t="s">
        <v>621</v>
      </c>
      <c r="M41" s="290" t="s">
        <v>621</v>
      </c>
      <c r="N41" s="290" t="s">
        <v>621</v>
      </c>
      <c r="O41" s="290" t="s">
        <v>621</v>
      </c>
    </row>
    <row r="42" spans="1:15" x14ac:dyDescent="0.25">
      <c r="A42" s="12" t="s">
        <v>93</v>
      </c>
      <c r="B42" s="90" t="s">
        <v>107</v>
      </c>
      <c r="C42" s="290" t="s">
        <v>621</v>
      </c>
      <c r="D42" s="290" t="s">
        <v>621</v>
      </c>
      <c r="E42" s="290" t="s">
        <v>621</v>
      </c>
      <c r="F42" s="290" t="s">
        <v>621</v>
      </c>
      <c r="G42" s="290" t="s">
        <v>621</v>
      </c>
      <c r="H42" s="290" t="s">
        <v>621</v>
      </c>
      <c r="I42" s="290" t="s">
        <v>621</v>
      </c>
      <c r="J42" s="290" t="s">
        <v>621</v>
      </c>
      <c r="K42" s="290" t="s">
        <v>621</v>
      </c>
      <c r="L42" s="290" t="s">
        <v>621</v>
      </c>
      <c r="M42" s="290" t="s">
        <v>621</v>
      </c>
      <c r="N42" s="290" t="s">
        <v>621</v>
      </c>
      <c r="O42" s="290" t="s">
        <v>621</v>
      </c>
    </row>
    <row r="43" spans="1:15" x14ac:dyDescent="0.25">
      <c r="A43" s="12" t="s">
        <v>94</v>
      </c>
      <c r="B43" s="90" t="s">
        <v>107</v>
      </c>
      <c r="C43" s="290" t="s">
        <v>621</v>
      </c>
      <c r="D43" s="290" t="s">
        <v>621</v>
      </c>
      <c r="E43" s="290" t="s">
        <v>621</v>
      </c>
      <c r="F43" s="290" t="s">
        <v>621</v>
      </c>
      <c r="G43" s="290" t="s">
        <v>621</v>
      </c>
      <c r="H43" s="290" t="s">
        <v>621</v>
      </c>
      <c r="I43" s="290" t="s">
        <v>621</v>
      </c>
      <c r="J43" s="290" t="s">
        <v>621</v>
      </c>
      <c r="K43" s="290" t="s">
        <v>621</v>
      </c>
      <c r="L43" s="290" t="s">
        <v>621</v>
      </c>
      <c r="M43" s="290" t="s">
        <v>621</v>
      </c>
      <c r="N43" s="290" t="s">
        <v>621</v>
      </c>
      <c r="O43" s="290" t="s">
        <v>621</v>
      </c>
    </row>
    <row r="46" spans="1:15" x14ac:dyDescent="0.25">
      <c r="A46" s="39" t="s">
        <v>560</v>
      </c>
    </row>
    <row r="47" spans="1:15" x14ac:dyDescent="0.25">
      <c r="A47" s="44" t="s">
        <v>587</v>
      </c>
    </row>
    <row r="62" spans="7:15" x14ac:dyDescent="0.25">
      <c r="G62" s="1"/>
      <c r="H62" s="1"/>
      <c r="I62"/>
      <c r="J62"/>
      <c r="K62"/>
      <c r="L62"/>
      <c r="M62"/>
      <c r="N62"/>
      <c r="O62"/>
    </row>
    <row r="63" spans="7:15" x14ac:dyDescent="0.25">
      <c r="G63" s="1"/>
      <c r="H63" s="1"/>
      <c r="I63" s="1"/>
      <c r="J63" s="1"/>
      <c r="K63" s="1"/>
      <c r="L63" s="1"/>
      <c r="M63" s="1"/>
      <c r="N63" s="1"/>
      <c r="O63" s="1"/>
    </row>
    <row r="64" spans="7:15" x14ac:dyDescent="0.25">
      <c r="G64" s="80"/>
      <c r="H64" s="2"/>
      <c r="I64" s="2"/>
      <c r="J64" s="2"/>
      <c r="K64" s="2"/>
      <c r="L64" s="2"/>
      <c r="M64" s="2"/>
      <c r="N64" s="2"/>
      <c r="O64" s="2"/>
    </row>
    <row r="65" spans="7:15" x14ac:dyDescent="0.25">
      <c r="G65" s="80"/>
      <c r="H65" s="2"/>
      <c r="I65" s="2"/>
      <c r="J65" s="2"/>
      <c r="K65" s="2"/>
      <c r="L65" s="2"/>
      <c r="M65" s="2"/>
      <c r="N65" s="2"/>
      <c r="O65" s="2"/>
    </row>
    <row r="66" spans="7:15" x14ac:dyDescent="0.25">
      <c r="G66" s="80"/>
      <c r="H66" s="2"/>
      <c r="I66" s="2"/>
      <c r="J66" s="2"/>
      <c r="K66" s="2"/>
      <c r="L66" s="2"/>
      <c r="M66" s="2"/>
      <c r="N66" s="2"/>
      <c r="O66" s="2"/>
    </row>
    <row r="67" spans="7:15" x14ac:dyDescent="0.25">
      <c r="G67" s="80"/>
      <c r="H67" s="2"/>
      <c r="I67" s="2"/>
      <c r="J67" s="2"/>
      <c r="K67" s="2"/>
      <c r="L67" s="2"/>
      <c r="M67" s="2"/>
      <c r="N67" s="2"/>
      <c r="O67" s="2"/>
    </row>
    <row r="68" spans="7:15" x14ac:dyDescent="0.25">
      <c r="G68"/>
      <c r="H68"/>
      <c r="I68"/>
    </row>
    <row r="69" spans="7:15" x14ac:dyDescent="0.25">
      <c r="G69"/>
      <c r="H69"/>
      <c r="I69"/>
    </row>
    <row r="70" spans="7:15" x14ac:dyDescent="0.25">
      <c r="G70"/>
      <c r="H70"/>
      <c r="I70"/>
    </row>
    <row r="71" spans="7:15" x14ac:dyDescent="0.25">
      <c r="G71"/>
      <c r="H71"/>
      <c r="I71"/>
    </row>
    <row r="72" spans="7:15" x14ac:dyDescent="0.25">
      <c r="G72"/>
      <c r="H72"/>
      <c r="I72"/>
    </row>
    <row r="73" spans="7:15" x14ac:dyDescent="0.25">
      <c r="G73"/>
      <c r="H73"/>
      <c r="I73"/>
    </row>
    <row r="74" spans="7:15" x14ac:dyDescent="0.25">
      <c r="G74"/>
      <c r="H74"/>
      <c r="I74"/>
    </row>
    <row r="75" spans="7:15" x14ac:dyDescent="0.25">
      <c r="G75"/>
      <c r="H75"/>
      <c r="I75"/>
    </row>
    <row r="76" spans="7:15" x14ac:dyDescent="0.25">
      <c r="G76"/>
      <c r="H76"/>
      <c r="I76"/>
    </row>
    <row r="77" spans="7:15" x14ac:dyDescent="0.25">
      <c r="G77"/>
      <c r="H77"/>
      <c r="I77"/>
    </row>
    <row r="78" spans="7:15" x14ac:dyDescent="0.25">
      <c r="G78"/>
      <c r="H78"/>
      <c r="I78"/>
    </row>
    <row r="79" spans="7:15" x14ac:dyDescent="0.25">
      <c r="G79"/>
      <c r="H79"/>
      <c r="I79"/>
    </row>
    <row r="80" spans="7:15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  <row r="98" spans="7:7" x14ac:dyDescent="0.25">
      <c r="G98"/>
    </row>
    <row r="99" spans="7:7" x14ac:dyDescent="0.25">
      <c r="G99"/>
    </row>
    <row r="100" spans="7:7" x14ac:dyDescent="0.25">
      <c r="G100"/>
    </row>
    <row r="101" spans="7:7" x14ac:dyDescent="0.25">
      <c r="G101"/>
    </row>
    <row r="102" spans="7:7" x14ac:dyDescent="0.25">
      <c r="G102"/>
    </row>
  </sheetData>
  <printOptions horizontalCentered="1"/>
  <pageMargins left="0.7" right="0.7" top="0.75" bottom="0.75" header="0.3" footer="0.3"/>
  <pageSetup scale="65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7ECFB13-EE72-44CB-9EB1-ED5852798EAE}"/>
</file>

<file path=customXml/itemProps2.xml><?xml version="1.0" encoding="utf-8"?>
<ds:datastoreItem xmlns:ds="http://schemas.openxmlformats.org/officeDocument/2006/customXml" ds:itemID="{A8724542-A1AD-4534-BBED-4409281F0D50}"/>
</file>

<file path=customXml/itemProps3.xml><?xml version="1.0" encoding="utf-8"?>
<ds:datastoreItem xmlns:ds="http://schemas.openxmlformats.org/officeDocument/2006/customXml" ds:itemID="{3FAD0310-450C-46C7-9179-1963A37D28FE}"/>
</file>

<file path=customXml/itemProps4.xml><?xml version="1.0" encoding="utf-8"?>
<ds:datastoreItem xmlns:ds="http://schemas.openxmlformats.org/officeDocument/2006/customXml" ds:itemID="{ECB46D96-9B6D-4DC1-9D8A-104E190C80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24</vt:i4>
      </vt:variant>
    </vt:vector>
  </HeadingPairs>
  <TitlesOfParts>
    <vt:vector size="41" baseType="lpstr">
      <vt:lpstr>Redacted</vt:lpstr>
      <vt:lpstr>4C Power Cost summary (R)</vt:lpstr>
      <vt:lpstr>8C summary by Resource(R)</vt:lpstr>
      <vt:lpstr>9C Aurora total (R(</vt:lpstr>
      <vt:lpstr>10C Not in Aurora (R)</vt:lpstr>
      <vt:lpstr>14 EIM GHG</vt:lpstr>
      <vt:lpstr>16C Gas MTM (R)</vt:lpstr>
      <vt:lpstr>17C Index-price power (R)</vt:lpstr>
      <vt:lpstr>18C Energy prices (R)</vt:lpstr>
      <vt:lpstr>19C Fixed Gas Transport (R)</vt:lpstr>
      <vt:lpstr>22C Day-ahead wind int. (R)</vt:lpstr>
      <vt:lpstr>23C Transmission (R)</vt:lpstr>
      <vt:lpstr>24C Mid C summary (R)</vt:lpstr>
      <vt:lpstr>25C Distillate fuel (R)</vt:lpstr>
      <vt:lpstr>26C Non-fuel start costs (R)</vt:lpstr>
      <vt:lpstr>27C Colstrip fixed fuel (R)</vt:lpstr>
      <vt:lpstr>28 FERC 557 Costs</vt:lpstr>
      <vt:lpstr>'10C Not in Aurora (R)'!Print_Area</vt:lpstr>
      <vt:lpstr>'14 EIM GHG'!Print_Area</vt:lpstr>
      <vt:lpstr>'16C Gas MTM (R)'!Print_Area</vt:lpstr>
      <vt:lpstr>'17C Index-price power (R)'!Print_Area</vt:lpstr>
      <vt:lpstr>'18C Energy prices (R)'!Print_Area</vt:lpstr>
      <vt:lpstr>'19C Fixed Gas Transport (R)'!Print_Area</vt:lpstr>
      <vt:lpstr>'22C Day-ahead wind int. (R)'!Print_Area</vt:lpstr>
      <vt:lpstr>'23C Transmission (R)'!Print_Area</vt:lpstr>
      <vt:lpstr>'24C Mid C summary (R)'!Print_Area</vt:lpstr>
      <vt:lpstr>'25C Distillate fuel (R)'!Print_Area</vt:lpstr>
      <vt:lpstr>'26C Non-fuel start costs (R)'!Print_Area</vt:lpstr>
      <vt:lpstr>'27C Colstrip fixed fuel (R)'!Print_Area</vt:lpstr>
      <vt:lpstr>'28 FERC 557 Costs'!Print_Area</vt:lpstr>
      <vt:lpstr>'4C Power Cost summary (R)'!Print_Area</vt:lpstr>
      <vt:lpstr>'8C summary by Resource(R)'!Print_Area</vt:lpstr>
      <vt:lpstr>'9C Aurora total (R('!Print_Area</vt:lpstr>
      <vt:lpstr>'16C Gas MTM (R)'!Print_Titles</vt:lpstr>
      <vt:lpstr>'18C Energy prices (R)'!Print_Titles</vt:lpstr>
      <vt:lpstr>'19C Fixed Gas Transport (R)'!Print_Titles</vt:lpstr>
      <vt:lpstr>'23C Transmission (R)'!Print_Titles</vt:lpstr>
      <vt:lpstr>'25C Distillate fuel (R)'!Print_Titles</vt:lpstr>
      <vt:lpstr>'28 FERC 557 Costs'!Print_Titles</vt:lpstr>
      <vt:lpstr>'8C summary by Resource(R)'!Print_Titles</vt:lpstr>
      <vt:lpstr>'9C Aurora total (R('!Print_Titles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Rasmussen, Rick (BEL)</cp:lastModifiedBy>
  <cp:lastPrinted>2022-01-25T17:35:20Z</cp:lastPrinted>
  <dcterms:created xsi:type="dcterms:W3CDTF">2014-05-08T17:19:59Z</dcterms:created>
  <dcterms:modified xsi:type="dcterms:W3CDTF">2022-01-25T18:50:47Z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