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Direct Testimony &amp; Exhibits\4) Andrews\Andrews Native Workpapers\0.0 Tables and Illustrations\"/>
    </mc:Choice>
  </mc:AlternateContent>
  <bookViews>
    <workbookView xWindow="0" yWindow="0" windowWidth="28800" windowHeight="12120"/>
  </bookViews>
  <sheets>
    <sheet name="Three-Year Table" sheetId="6" r:id="rId1"/>
    <sheet name="Electric (2)" sheetId="7" r:id="rId2"/>
    <sheet name="Natural Gas (2)" sheetId="8" r:id="rId3"/>
    <sheet name="Gross and Net Plant Additons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5" l="1"/>
  <c r="R16" i="5"/>
  <c r="P15" i="5"/>
  <c r="O15" i="5"/>
  <c r="P19" i="5"/>
  <c r="O19" i="5"/>
  <c r="P18" i="5"/>
  <c r="O18" i="5"/>
  <c r="P13" i="5"/>
  <c r="O13" i="5"/>
  <c r="N12" i="5"/>
  <c r="N14" i="5" s="1"/>
  <c r="N16" i="5" s="1"/>
  <c r="N21" i="5" s="1"/>
  <c r="M12" i="5"/>
  <c r="M14" i="5" s="1"/>
  <c r="P10" i="5"/>
  <c r="O10" i="5"/>
  <c r="P9" i="5"/>
  <c r="O9" i="5"/>
  <c r="P8" i="5"/>
  <c r="O8" i="5"/>
  <c r="P7" i="5"/>
  <c r="O7" i="5"/>
  <c r="P6" i="5"/>
  <c r="O6" i="5"/>
  <c r="P42" i="5"/>
  <c r="O42" i="5"/>
  <c r="O41" i="5"/>
  <c r="P39" i="5"/>
  <c r="O39" i="5"/>
  <c r="P36" i="5"/>
  <c r="O36" i="5"/>
  <c r="N35" i="5"/>
  <c r="M35" i="5"/>
  <c r="P34" i="5"/>
  <c r="O34" i="5"/>
  <c r="P33" i="5"/>
  <c r="O33" i="5"/>
  <c r="P31" i="5"/>
  <c r="O31" i="5"/>
  <c r="N29" i="5"/>
  <c r="N43" i="5" s="1"/>
  <c r="M29" i="5"/>
  <c r="M37" i="5" s="1"/>
  <c r="P28" i="5"/>
  <c r="O28" i="5"/>
  <c r="P27" i="5"/>
  <c r="O27" i="5"/>
  <c r="P26" i="5"/>
  <c r="O26" i="5"/>
  <c r="N37" i="5" l="1"/>
  <c r="M16" i="5"/>
  <c r="M21" i="5" s="1"/>
  <c r="P21" i="5" s="1"/>
  <c r="O35" i="5"/>
  <c r="O12" i="5"/>
  <c r="O14" i="5" s="1"/>
  <c r="P29" i="5"/>
  <c r="P35" i="5"/>
  <c r="P12" i="5"/>
  <c r="O16" i="5"/>
  <c r="P14" i="5"/>
  <c r="O29" i="5"/>
  <c r="M43" i="5"/>
  <c r="O37" i="5" l="1"/>
  <c r="O21" i="5"/>
  <c r="O43" i="5"/>
  <c r="P43" i="5"/>
  <c r="D9" i="5" l="1"/>
  <c r="C9" i="5" s="1"/>
  <c r="E9" i="5" s="1"/>
  <c r="D8" i="5"/>
  <c r="C8" i="5" s="1"/>
  <c r="E8" i="5" s="1"/>
  <c r="D7" i="5"/>
  <c r="C7" i="5" s="1"/>
  <c r="C15" i="5"/>
  <c r="E15" i="5" s="1"/>
  <c r="C14" i="5"/>
  <c r="E14" i="5" s="1"/>
  <c r="D16" i="5"/>
  <c r="E16" i="5" l="1"/>
  <c r="C10" i="5"/>
  <c r="E7" i="5"/>
  <c r="E10" i="5" s="1"/>
  <c r="D10" i="5"/>
  <c r="C16" i="5"/>
</calcChain>
</file>

<file path=xl/comments1.xml><?xml version="1.0" encoding="utf-8"?>
<comments xmlns="http://schemas.openxmlformats.org/spreadsheetml/2006/main">
  <authors>
    <author>Liz Andrews</author>
  </authors>
  <commentList>
    <comment ref="N7" authorId="0" shapeId="0">
      <text>
        <r>
          <rPr>
            <b/>
            <sz val="8"/>
            <color indexed="81"/>
            <rFont val="Tahoma"/>
            <family val="2"/>
          </rPr>
          <t>Liz Andrews:</t>
        </r>
        <r>
          <rPr>
            <sz val="8"/>
            <color indexed="81"/>
            <rFont val="Tahoma"/>
            <family val="2"/>
          </rPr>
          <t xml:space="preserve">
revised to move items to debits and credits line to be consistent with 2011</t>
        </r>
      </text>
    </comment>
    <comment ref="N13" authorId="0" shapeId="0">
      <text>
        <r>
          <rPr>
            <b/>
            <sz val="8"/>
            <color indexed="81"/>
            <rFont val="Tahoma"/>
            <family val="2"/>
          </rPr>
          <t>Liz Andrews:</t>
        </r>
        <r>
          <rPr>
            <sz val="8"/>
            <color indexed="81"/>
            <rFont val="Tahoma"/>
            <family val="2"/>
          </rPr>
          <t xml:space="preserve">
revised to move items to debits and credits line to be consistent with 2011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</rPr>
          <t>Liz Andrews:</t>
        </r>
        <r>
          <rPr>
            <sz val="8"/>
            <color indexed="81"/>
            <rFont val="Tahoma"/>
            <family val="2"/>
          </rPr>
          <t xml:space="preserve">
info from Tara's recap</t>
        </r>
      </text>
    </comment>
  </commentList>
</comments>
</file>

<file path=xl/sharedStrings.xml><?xml version="1.0" encoding="utf-8"?>
<sst xmlns="http://schemas.openxmlformats.org/spreadsheetml/2006/main" count="99" uniqueCount="70">
  <si>
    <t xml:space="preserve">Service </t>
  </si>
  <si>
    <t>Washington Electric and Natural Gas</t>
  </si>
  <si>
    <t>WA Electric</t>
  </si>
  <si>
    <t>Revenue Requirement</t>
  </si>
  <si>
    <t>% Base</t>
  </si>
  <si>
    <t>% Billed</t>
  </si>
  <si>
    <t>WA Natural Gas</t>
  </si>
  <si>
    <t>(1)</t>
  </si>
  <si>
    <t>Summary of Revenue Requirement (000s) and % Increases</t>
  </si>
  <si>
    <t>April 1, 2020 - March 31, 2022</t>
  </si>
  <si>
    <t>Rate Year 1        (April 1, 2020 - March 31, 2021)</t>
  </si>
  <si>
    <t>Rate Year 2        (April 1, 2021 - March 31, 2022)</t>
  </si>
  <si>
    <t>Two-Year Rate Plan</t>
  </si>
  <si>
    <t>Rate Year</t>
  </si>
  <si>
    <t>Year 1</t>
  </si>
  <si>
    <t>Year 2</t>
  </si>
  <si>
    <t>April 1, 2020</t>
  </si>
  <si>
    <t>April 1, 2021</t>
  </si>
  <si>
    <t>Pro Forma Study</t>
  </si>
  <si>
    <t>$18.9 Million</t>
  </si>
  <si>
    <r>
      <t xml:space="preserve">$13.1 Million </t>
    </r>
    <r>
      <rPr>
        <u/>
        <vertAlign val="superscript"/>
        <sz val="12"/>
        <color theme="1"/>
        <rFont val="Times New Roman"/>
        <family val="1"/>
      </rPr>
      <t>(1)</t>
    </r>
  </si>
  <si>
    <t>$6.5 Million</t>
  </si>
  <si>
    <t>Generation/Transmission</t>
  </si>
  <si>
    <t>Distribution</t>
  </si>
  <si>
    <t>General &amp; Intangible</t>
  </si>
  <si>
    <t>Electric</t>
  </si>
  <si>
    <t>Gross Plant Additions (000s)</t>
  </si>
  <si>
    <t>Investment</t>
  </si>
  <si>
    <t>Natural Gas</t>
  </si>
  <si>
    <t>General &amp; Underground Storage</t>
  </si>
  <si>
    <t xml:space="preserve">  Total Natural Gas Gross Additions</t>
  </si>
  <si>
    <t xml:space="preserve">  Total Electric Gross Additions</t>
  </si>
  <si>
    <t>Total</t>
  </si>
  <si>
    <t xml:space="preserve">2017*/2018 </t>
  </si>
  <si>
    <t>*Incremental 2017 capital additions beyond that approved in Dockets UE-170485 &amp; UG-170486.</t>
  </si>
  <si>
    <t>RATE BASE: PLANT IN SERVICE</t>
  </si>
  <si>
    <t>Underground Storage</t>
  </si>
  <si>
    <t>Distribution Plant</t>
  </si>
  <si>
    <t>General Plant</t>
  </si>
  <si>
    <t>Total Plant in Service</t>
  </si>
  <si>
    <t>ACCUMULATED DEPRECIATION</t>
  </si>
  <si>
    <t>Total Accum. Depreciation</t>
  </si>
  <si>
    <t>DEFERRED FIT</t>
  </si>
  <si>
    <t>GAS INVENTORY</t>
  </si>
  <si>
    <t xml:space="preserve">WORKING CAPITAL </t>
  </si>
  <si>
    <t>DEFERRED DEBITS AND CREDITS</t>
  </si>
  <si>
    <t>TOTAL RATE BASE</t>
  </si>
  <si>
    <t>Proposed</t>
  </si>
  <si>
    <t>Current Authorized</t>
  </si>
  <si>
    <t>Diff</t>
  </si>
  <si>
    <t>% Change</t>
  </si>
  <si>
    <t>RATE BASE</t>
  </si>
  <si>
    <t>PLANT IN SERVICE</t>
  </si>
  <si>
    <t>Intangible</t>
  </si>
  <si>
    <t>Production</t>
  </si>
  <si>
    <t>Transmission</t>
  </si>
  <si>
    <t>General</t>
  </si>
  <si>
    <t>Total Accum. Depreciation &amp; Amort.</t>
  </si>
  <si>
    <t>WORKING CAPITAL</t>
  </si>
  <si>
    <t>DEFERRED TAXES</t>
  </si>
  <si>
    <t>Net plant aftert ADFIT</t>
  </si>
  <si>
    <t>2017-2018 Net plant after aDFIT</t>
  </si>
  <si>
    <r>
      <t xml:space="preserve">$45.8 Million </t>
    </r>
    <r>
      <rPr>
        <u/>
        <vertAlign val="superscript"/>
        <sz val="12"/>
        <color theme="1"/>
        <rFont val="Times New Roman"/>
        <family val="1"/>
      </rPr>
      <t>(1)</t>
    </r>
  </si>
  <si>
    <r>
      <t xml:space="preserve">Revenue Growth  Rate 4.14% </t>
    </r>
    <r>
      <rPr>
        <vertAlign val="superscript"/>
        <sz val="12"/>
        <color theme="1"/>
        <rFont val="Times New Roman"/>
        <family val="1"/>
      </rPr>
      <t>(2)</t>
    </r>
    <r>
      <rPr>
        <u/>
        <sz val="12"/>
        <color theme="1"/>
        <rFont val="Times New Roman"/>
        <family val="1"/>
      </rPr>
      <t/>
    </r>
  </si>
  <si>
    <r>
      <t xml:space="preserve">Revenue Growth Rate 6.11% </t>
    </r>
    <r>
      <rPr>
        <vertAlign val="superscript"/>
        <sz val="12"/>
        <color theme="1"/>
        <rFont val="Times New Roman"/>
        <family val="1"/>
      </rPr>
      <t>(2)</t>
    </r>
    <r>
      <rPr>
        <u/>
        <sz val="12"/>
        <color theme="1"/>
        <rFont val="Times New Roman"/>
        <family val="1"/>
      </rPr>
      <t/>
    </r>
  </si>
  <si>
    <t xml:space="preserve">(1) See Exh. EMA-2, p. 2, ln. 7
(2) See Exh. EMA-4, p. 1 for Revenu Growth Rate; EMA-2, p. 2, ln. 14 (for Revenue Rqmt.)
</t>
  </si>
  <si>
    <t xml:space="preserve">(1) See Exh. EMA-3, p. 2, ln. 7
(2) See Exh. EMA-5, p. 1 (for Revenue Growth Rate); EMA-3, p. 2, ln. 14 (for Revenue Rqmt.)                                                   </t>
  </si>
  <si>
    <r>
      <t xml:space="preserve">The 4.14% Revenue Growth Rate is based on non-energy amounts. On a </t>
    </r>
    <r>
      <rPr>
        <u/>
        <sz val="10"/>
        <color theme="1"/>
        <rFont val="Times New Roman"/>
        <family val="1"/>
      </rPr>
      <t>billed</t>
    </r>
    <r>
      <rPr>
        <sz val="10"/>
        <color theme="1"/>
        <rFont val="Times New Roman"/>
        <family val="1"/>
      </rPr>
      <t xml:space="preserve"> basis (including total revenues) this percentages reflects a 3.35% proposed increase.   </t>
    </r>
  </si>
  <si>
    <r>
      <t xml:space="preserve">The 6.11% Revenue Growth rate is based on non-gas cost amounts. On a </t>
    </r>
    <r>
      <rPr>
        <u/>
        <sz val="10"/>
        <color theme="1"/>
        <rFont val="Times New Roman"/>
        <family val="1"/>
      </rPr>
      <t>billed</t>
    </r>
    <r>
      <rPr>
        <sz val="10"/>
        <color theme="1"/>
        <rFont val="Times New Roman"/>
        <family val="1"/>
      </rPr>
      <t xml:space="preserve"> basis (including total revenues) this percentages reflects a 4.59% proposed increase.   </t>
    </r>
  </si>
  <si>
    <t>(1) Revenue increases for Rate Year 2 are proposed to be implemented through Schedule 96 and 196, and not through a change to base tariffs, as discussed by Company witness Mr. Miller.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</si>
</sst>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&quot;$&quot;#,###_);_(&quot;$&quot;\ \(#,###\);_(* _);_(@_)"/>
    <numFmt numFmtId="167" formatCode="0.0%"/>
    <numFmt numFmtId="168" formatCode="#,###_);\(#,###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vertAlign val="superscript"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name val="Geneva"/>
    </font>
    <font>
      <sz val="9"/>
      <name val="Times New Roman"/>
      <family val="1"/>
    </font>
    <font>
      <i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</cellStyleXfs>
  <cellXfs count="148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/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3" fillId="2" borderId="0" xfId="0" applyFont="1" applyFill="1" applyAlignment="1">
      <alignment horizontal="left" vertical="center"/>
    </xf>
    <xf numFmtId="15" fontId="3" fillId="2" borderId="0" xfId="0" quotePrefix="1" applyNumberFormat="1" applyFont="1" applyFill="1" applyAlignment="1">
      <alignment horizontal="center" vertical="center"/>
    </xf>
    <xf numFmtId="15" fontId="3" fillId="2" borderId="0" xfId="0" quotePrefix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2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7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/>
    </xf>
    <xf numFmtId="0" fontId="8" fillId="2" borderId="0" xfId="0" applyFont="1" applyFill="1" applyAlignment="1">
      <alignment vertical="top"/>
    </xf>
    <xf numFmtId="0" fontId="9" fillId="0" borderId="0" xfId="0" applyFont="1"/>
    <xf numFmtId="0" fontId="2" fillId="0" borderId="2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2" fillId="0" borderId="0" xfId="1" applyNumberFormat="1" applyFont="1" applyBorder="1"/>
    <xf numFmtId="164" fontId="2" fillId="0" borderId="23" xfId="1" applyNumberFormat="1" applyFont="1" applyBorder="1"/>
    <xf numFmtId="164" fontId="9" fillId="0" borderId="3" xfId="0" applyNumberFormat="1" applyFont="1" applyBorder="1"/>
    <xf numFmtId="164" fontId="2" fillId="0" borderId="15" xfId="1" applyNumberFormat="1" applyFont="1" applyBorder="1"/>
    <xf numFmtId="164" fontId="2" fillId="0" borderId="25" xfId="1" applyNumberFormat="1" applyFont="1" applyBorder="1"/>
    <xf numFmtId="164" fontId="2" fillId="0" borderId="26" xfId="1" applyNumberFormat="1" applyFont="1" applyBorder="1"/>
    <xf numFmtId="164" fontId="2" fillId="0" borderId="29" xfId="1" applyNumberFormat="1" applyFont="1" applyBorder="1"/>
    <xf numFmtId="164" fontId="2" fillId="0" borderId="31" xfId="1" applyNumberFormat="1" applyFont="1" applyBorder="1"/>
    <xf numFmtId="0" fontId="2" fillId="0" borderId="0" xfId="0" applyFont="1" applyBorder="1"/>
    <xf numFmtId="0" fontId="9" fillId="0" borderId="3" xfId="0" applyFont="1" applyBorder="1"/>
    <xf numFmtId="164" fontId="2" fillId="0" borderId="27" xfId="1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8" xfId="0" applyFont="1" applyBorder="1"/>
    <xf numFmtId="0" fontId="9" fillId="0" borderId="6" xfId="0" applyFont="1" applyBorder="1"/>
    <xf numFmtId="0" fontId="7" fillId="0" borderId="4" xfId="0" applyFont="1" applyBorder="1"/>
    <xf numFmtId="0" fontId="11" fillId="0" borderId="0" xfId="3" applyFont="1"/>
    <xf numFmtId="3" fontId="11" fillId="0" borderId="0" xfId="3" applyNumberFormat="1" applyFont="1"/>
    <xf numFmtId="0" fontId="8" fillId="0" borderId="0" xfId="0" applyFont="1"/>
    <xf numFmtId="37" fontId="11" fillId="0" borderId="0" xfId="3" applyNumberFormat="1" applyFont="1"/>
    <xf numFmtId="166" fontId="11" fillId="0" borderId="0" xfId="3" applyNumberFormat="1" applyFont="1"/>
    <xf numFmtId="167" fontId="8" fillId="0" borderId="0" xfId="2" applyNumberFormat="1" applyFont="1"/>
    <xf numFmtId="37" fontId="11" fillId="0" borderId="15" xfId="3" applyNumberFormat="1" applyFont="1" applyBorder="1"/>
    <xf numFmtId="167" fontId="8" fillId="0" borderId="15" xfId="2" applyNumberFormat="1" applyFont="1" applyBorder="1"/>
    <xf numFmtId="37" fontId="11" fillId="0" borderId="30" xfId="3" applyNumberFormat="1" applyFont="1" applyBorder="1"/>
    <xf numFmtId="37" fontId="11" fillId="0" borderId="0" xfId="3" applyNumberFormat="1" applyFont="1" applyBorder="1"/>
    <xf numFmtId="5" fontId="11" fillId="0" borderId="0" xfId="3" applyNumberFormat="1" applyFont="1"/>
    <xf numFmtId="5" fontId="11" fillId="0" borderId="32" xfId="3" applyNumberFormat="1" applyFont="1" applyBorder="1"/>
    <xf numFmtId="37" fontId="11" fillId="0" borderId="32" xfId="3" applyNumberFormat="1" applyFont="1" applyBorder="1"/>
    <xf numFmtId="167" fontId="8" fillId="0" borderId="32" xfId="2" applyNumberFormat="1" applyFont="1" applyBorder="1"/>
    <xf numFmtId="0" fontId="11" fillId="0" borderId="0" xfId="4" applyFont="1"/>
    <xf numFmtId="37" fontId="8" fillId="0" borderId="0" xfId="4" applyNumberFormat="1" applyFont="1" applyAlignment="1">
      <alignment horizontal="center"/>
    </xf>
    <xf numFmtId="0" fontId="8" fillId="0" borderId="0" xfId="4" applyFont="1" applyAlignment="1">
      <alignment horizontal="center"/>
    </xf>
    <xf numFmtId="5" fontId="11" fillId="0" borderId="0" xfId="4" applyNumberFormat="1" applyFont="1"/>
    <xf numFmtId="5" fontId="8" fillId="0" borderId="0" xfId="4" applyNumberFormat="1" applyFont="1" applyAlignment="1">
      <alignment horizontal="center"/>
    </xf>
    <xf numFmtId="166" fontId="11" fillId="0" borderId="0" xfId="4" applyNumberFormat="1" applyFont="1"/>
    <xf numFmtId="166" fontId="8" fillId="0" borderId="0" xfId="1" applyNumberFormat="1" applyFont="1"/>
    <xf numFmtId="37" fontId="11" fillId="0" borderId="0" xfId="4" applyNumberFormat="1" applyFont="1"/>
    <xf numFmtId="168" fontId="11" fillId="0" borderId="0" xfId="4" applyNumberFormat="1" applyFont="1"/>
    <xf numFmtId="168" fontId="11" fillId="0" borderId="15" xfId="4" applyNumberFormat="1" applyFont="1" applyBorder="1"/>
    <xf numFmtId="166" fontId="8" fillId="0" borderId="15" xfId="1" applyNumberFormat="1" applyFont="1" applyBorder="1"/>
    <xf numFmtId="37" fontId="11" fillId="0" borderId="0" xfId="4" applyNumberFormat="1" applyFont="1" applyFill="1"/>
    <xf numFmtId="5" fontId="12" fillId="0" borderId="0" xfId="4" applyNumberFormat="1" applyFont="1" applyAlignment="1">
      <alignment horizontal="center"/>
    </xf>
    <xf numFmtId="5" fontId="11" fillId="0" borderId="32" xfId="4" applyNumberFormat="1" applyFont="1" applyBorder="1"/>
    <xf numFmtId="166" fontId="8" fillId="0" borderId="32" xfId="1" applyNumberFormat="1" applyFont="1" applyBorder="1"/>
    <xf numFmtId="37" fontId="11" fillId="0" borderId="0" xfId="3" applyNumberFormat="1" applyFont="1" applyAlignment="1">
      <alignment horizontal="right" indent="1"/>
    </xf>
    <xf numFmtId="37" fontId="11" fillId="0" borderId="0" xfId="3" applyNumberFormat="1" applyFont="1" applyAlignment="1">
      <alignment horizontal="right"/>
    </xf>
    <xf numFmtId="166" fontId="11" fillId="0" borderId="15" xfId="3" applyNumberFormat="1" applyFont="1" applyBorder="1"/>
    <xf numFmtId="37" fontId="9" fillId="0" borderId="0" xfId="0" applyNumberFormat="1" applyFont="1"/>
    <xf numFmtId="166" fontId="15" fillId="3" borderId="0" xfId="1" applyNumberFormat="1" applyFont="1" applyFill="1"/>
    <xf numFmtId="0" fontId="16" fillId="0" borderId="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65" fontId="11" fillId="0" borderId="0" xfId="1" applyNumberFormat="1" applyFont="1"/>
    <xf numFmtId="164" fontId="11" fillId="0" borderId="0" xfId="1" applyNumberFormat="1" applyFont="1"/>
    <xf numFmtId="164" fontId="17" fillId="3" borderId="0" xfId="1" applyNumberFormat="1" applyFont="1" applyFill="1"/>
    <xf numFmtId="168" fontId="11" fillId="0" borderId="0" xfId="4" applyNumberFormat="1" applyFont="1" applyBorder="1"/>
    <xf numFmtId="166" fontId="8" fillId="0" borderId="0" xfId="1" applyNumberFormat="1" applyFont="1" applyBorder="1"/>
    <xf numFmtId="167" fontId="8" fillId="0" borderId="0" xfId="2" applyNumberFormat="1" applyFont="1" applyBorder="1"/>
    <xf numFmtId="37" fontId="16" fillId="3" borderId="0" xfId="0" applyNumberFormat="1" applyFont="1" applyFill="1"/>
    <xf numFmtId="37" fontId="17" fillId="3" borderId="0" xfId="3" applyNumberFormat="1" applyFont="1" applyFill="1" applyBorder="1"/>
    <xf numFmtId="164" fontId="16" fillId="3" borderId="0" xfId="0" applyNumberFormat="1" applyFont="1" applyFill="1"/>
    <xf numFmtId="0" fontId="16" fillId="0" borderId="15" xfId="0" applyFont="1" applyBorder="1"/>
    <xf numFmtId="0" fontId="9" fillId="2" borderId="8" xfId="0" applyFont="1" applyFill="1" applyBorder="1"/>
    <xf numFmtId="0" fontId="9" fillId="2" borderId="3" xfId="0" applyFont="1" applyFill="1" applyBorder="1"/>
    <xf numFmtId="0" fontId="9" fillId="2" borderId="18" xfId="0" applyFont="1" applyFill="1" applyBorder="1"/>
    <xf numFmtId="0" fontId="16" fillId="2" borderId="4" xfId="0" applyFont="1" applyFill="1" applyBorder="1" applyAlignment="1"/>
    <xf numFmtId="0" fontId="16" fillId="2" borderId="5" xfId="0" applyFont="1" applyFill="1" applyBorder="1" applyAlignment="1"/>
    <xf numFmtId="0" fontId="16" fillId="2" borderId="5" xfId="0" applyFont="1" applyFill="1" applyBorder="1" applyAlignment="1">
      <alignment horizontal="center" wrapText="1"/>
    </xf>
    <xf numFmtId="0" fontId="16" fillId="2" borderId="13" xfId="0" applyFont="1" applyFill="1" applyBorder="1" applyAlignment="1">
      <alignment horizontal="center" wrapText="1"/>
    </xf>
    <xf numFmtId="0" fontId="9" fillId="2" borderId="19" xfId="0" applyFont="1" applyFill="1" applyBorder="1"/>
    <xf numFmtId="0" fontId="16" fillId="2" borderId="16" xfId="0" applyFont="1" applyFill="1" applyBorder="1" applyAlignment="1">
      <alignment wrapText="1"/>
    </xf>
    <xf numFmtId="164" fontId="16" fillId="2" borderId="16" xfId="1" applyNumberFormat="1" applyFont="1" applyFill="1" applyBorder="1"/>
    <xf numFmtId="164" fontId="16" fillId="2" borderId="15" xfId="1" applyNumberFormat="1" applyFont="1" applyFill="1" applyBorder="1"/>
    <xf numFmtId="0" fontId="16" fillId="2" borderId="12" xfId="0" applyFont="1" applyFill="1" applyBorder="1"/>
    <xf numFmtId="10" fontId="16" fillId="2" borderId="12" xfId="2" applyNumberFormat="1" applyFont="1" applyFill="1" applyBorder="1"/>
    <xf numFmtId="10" fontId="19" fillId="2" borderId="12" xfId="2" quotePrefix="1" applyNumberFormat="1" applyFont="1" applyFill="1" applyBorder="1"/>
    <xf numFmtId="10" fontId="19" fillId="2" borderId="17" xfId="2" quotePrefix="1" applyNumberFormat="1" applyFont="1" applyFill="1" applyBorder="1"/>
    <xf numFmtId="0" fontId="16" fillId="2" borderId="5" xfId="0" applyFont="1" applyFill="1" applyBorder="1"/>
    <xf numFmtId="10" fontId="16" fillId="2" borderId="5" xfId="2" applyNumberFormat="1" applyFont="1" applyFill="1" applyBorder="1"/>
    <xf numFmtId="10" fontId="19" fillId="2" borderId="5" xfId="2" quotePrefix="1" applyNumberFormat="1" applyFont="1" applyFill="1" applyBorder="1"/>
    <xf numFmtId="10" fontId="19" fillId="2" borderId="6" xfId="2" quotePrefix="1" applyNumberFormat="1" applyFont="1" applyFill="1" applyBorder="1"/>
    <xf numFmtId="10" fontId="19" fillId="2" borderId="3" xfId="2" quotePrefix="1" applyNumberFormat="1" applyFont="1" applyFill="1" applyBorder="1"/>
    <xf numFmtId="0" fontId="20" fillId="2" borderId="9" xfId="0" quotePrefix="1" applyFont="1" applyFill="1" applyBorder="1" applyAlignment="1">
      <alignment horizontal="left" vertical="top" wrapText="1"/>
    </xf>
    <xf numFmtId="0" fontId="20" fillId="2" borderId="10" xfId="0" quotePrefix="1" applyFont="1" applyFill="1" applyBorder="1" applyAlignment="1">
      <alignment horizontal="left" vertical="top" wrapText="1"/>
    </xf>
    <xf numFmtId="0" fontId="20" fillId="2" borderId="11" xfId="0" quotePrefix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5" fontId="3" fillId="2" borderId="0" xfId="0" quotePrefix="1" applyNumberFormat="1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16" fillId="0" borderId="0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5">
    <cellStyle name="Currency" xfId="1" builtinId="4"/>
    <cellStyle name="Normal" xfId="0" builtinId="0"/>
    <cellStyle name="Normal_WAElec6_97" xfId="4"/>
    <cellStyle name="Normal_WAGas6_97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3</xdr:col>
      <xdr:colOff>1</xdr:colOff>
      <xdr:row>5</xdr:row>
      <xdr:rowOff>190499</xdr:rowOff>
    </xdr:to>
    <xdr:cxnSp macro="">
      <xdr:nvCxnSpPr>
        <xdr:cNvPr id="2" name="Straight Arrow Connector 1"/>
        <xdr:cNvCxnSpPr/>
      </xdr:nvCxnSpPr>
      <xdr:spPr>
        <a:xfrm flipH="1" flipV="1">
          <a:off x="1581150" y="1114425"/>
          <a:ext cx="1" cy="2666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723900</xdr:colOff>
      <xdr:row>4</xdr:row>
      <xdr:rowOff>285750</xdr:rowOff>
    </xdr:from>
    <xdr:to>
      <xdr:col>5</xdr:col>
      <xdr:colOff>723901</xdr:colOff>
      <xdr:row>5</xdr:row>
      <xdr:rowOff>200024</xdr:rowOff>
    </xdr:to>
    <xdr:cxnSp macro="">
      <xdr:nvCxnSpPr>
        <xdr:cNvPr id="3" name="Straight Arrow Connector 2"/>
        <xdr:cNvCxnSpPr/>
      </xdr:nvCxnSpPr>
      <xdr:spPr>
        <a:xfrm flipH="1" flipV="1">
          <a:off x="3714750" y="1123950"/>
          <a:ext cx="1" cy="2666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276225</xdr:rowOff>
    </xdr:from>
    <xdr:to>
      <xdr:col>3</xdr:col>
      <xdr:colOff>1</xdr:colOff>
      <xdr:row>5</xdr:row>
      <xdr:rowOff>190499</xdr:rowOff>
    </xdr:to>
    <xdr:cxnSp macro="">
      <xdr:nvCxnSpPr>
        <xdr:cNvPr id="2" name="Straight Arrow Connector 1"/>
        <xdr:cNvCxnSpPr/>
      </xdr:nvCxnSpPr>
      <xdr:spPr>
        <a:xfrm flipH="1" flipV="1">
          <a:off x="1581150" y="1114425"/>
          <a:ext cx="1" cy="2666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704850</xdr:colOff>
      <xdr:row>4</xdr:row>
      <xdr:rowOff>266700</xdr:rowOff>
    </xdr:from>
    <xdr:to>
      <xdr:col>5</xdr:col>
      <xdr:colOff>704851</xdr:colOff>
      <xdr:row>5</xdr:row>
      <xdr:rowOff>180974</xdr:rowOff>
    </xdr:to>
    <xdr:cxnSp macro="">
      <xdr:nvCxnSpPr>
        <xdr:cNvPr id="3" name="Straight Arrow Connector 2"/>
        <xdr:cNvCxnSpPr/>
      </xdr:nvCxnSpPr>
      <xdr:spPr>
        <a:xfrm flipH="1" flipV="1">
          <a:off x="3752850" y="1104900"/>
          <a:ext cx="1" cy="2666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15"/>
  <sheetViews>
    <sheetView tabSelected="1" workbookViewId="0">
      <selection activeCell="C19" sqref="C19"/>
    </sheetView>
  </sheetViews>
  <sheetFormatPr defaultRowHeight="15"/>
  <cols>
    <col min="1" max="2" width="9.140625" style="22"/>
    <col min="3" max="3" width="18.140625" style="22" customWidth="1"/>
    <col min="4" max="4" width="14.5703125" style="22" customWidth="1"/>
    <col min="5" max="5" width="14.42578125" style="22" customWidth="1"/>
    <col min="6" max="6" width="2.85546875" style="22" customWidth="1"/>
    <col min="7" max="7" width="17.140625" style="22" customWidth="1"/>
    <col min="8" max="8" width="3.7109375" style="22" customWidth="1"/>
    <col min="9" max="9" width="3" style="22" customWidth="1"/>
    <col min="10" max="10" width="1.28515625" style="22" customWidth="1"/>
    <col min="11" max="16384" width="9.140625" style="22"/>
  </cols>
  <sheetData>
    <row r="3" spans="3:10" ht="15.75" thickBot="1"/>
    <row r="4" spans="3:10" ht="15.75">
      <c r="C4" s="113" t="s">
        <v>1</v>
      </c>
      <c r="D4" s="114"/>
      <c r="E4" s="114"/>
      <c r="F4" s="114"/>
      <c r="G4" s="114"/>
      <c r="H4" s="114"/>
      <c r="I4" s="114"/>
      <c r="J4" s="90"/>
    </row>
    <row r="5" spans="3:10" ht="15.75">
      <c r="C5" s="115" t="s">
        <v>12</v>
      </c>
      <c r="D5" s="116"/>
      <c r="E5" s="116"/>
      <c r="F5" s="116"/>
      <c r="G5" s="116"/>
      <c r="H5" s="116"/>
      <c r="I5" s="116"/>
      <c r="J5" s="91"/>
    </row>
    <row r="6" spans="3:10" ht="15.75">
      <c r="C6" s="115" t="s">
        <v>8</v>
      </c>
      <c r="D6" s="116"/>
      <c r="E6" s="116"/>
      <c r="F6" s="116"/>
      <c r="G6" s="116"/>
      <c r="H6" s="116"/>
      <c r="I6" s="116"/>
      <c r="J6" s="91"/>
    </row>
    <row r="7" spans="3:10" ht="15.75">
      <c r="C7" s="117" t="s">
        <v>9</v>
      </c>
      <c r="D7" s="118"/>
      <c r="E7" s="118"/>
      <c r="F7" s="118"/>
      <c r="G7" s="118"/>
      <c r="H7" s="118"/>
      <c r="I7" s="118"/>
      <c r="J7" s="92"/>
    </row>
    <row r="8" spans="3:10" ht="48" customHeight="1" thickBot="1">
      <c r="C8" s="93" t="s">
        <v>0</v>
      </c>
      <c r="D8" s="94"/>
      <c r="E8" s="95" t="s">
        <v>10</v>
      </c>
      <c r="F8" s="95"/>
      <c r="G8" s="95" t="s">
        <v>11</v>
      </c>
      <c r="H8" s="95"/>
      <c r="I8" s="96"/>
      <c r="J8" s="97"/>
    </row>
    <row r="9" spans="3:10" ht="32.25" customHeight="1">
      <c r="C9" s="119" t="s">
        <v>2</v>
      </c>
      <c r="D9" s="98" t="s">
        <v>3</v>
      </c>
      <c r="E9" s="99">
        <v>45775</v>
      </c>
      <c r="F9" s="99"/>
      <c r="G9" s="99">
        <v>18927</v>
      </c>
      <c r="H9" s="99"/>
      <c r="I9" s="100"/>
      <c r="J9" s="91"/>
    </row>
    <row r="10" spans="3:10">
      <c r="C10" s="120"/>
      <c r="D10" s="101" t="s">
        <v>4</v>
      </c>
      <c r="E10" s="102">
        <v>9.1200000000000003E-2</v>
      </c>
      <c r="F10" s="102"/>
      <c r="G10" s="102">
        <v>3.4599999999999999E-2</v>
      </c>
      <c r="H10" s="103" t="s">
        <v>7</v>
      </c>
      <c r="I10" s="102"/>
      <c r="J10" s="104"/>
    </row>
    <row r="11" spans="3:10" ht="15.75" thickBot="1">
      <c r="C11" s="121"/>
      <c r="D11" s="105" t="s">
        <v>5</v>
      </c>
      <c r="E11" s="106">
        <v>8.8200000000000001E-2</v>
      </c>
      <c r="F11" s="107"/>
      <c r="G11" s="106">
        <v>3.3500000000000002E-2</v>
      </c>
      <c r="H11" s="107"/>
      <c r="I11" s="106"/>
      <c r="J11" s="108"/>
    </row>
    <row r="12" spans="3:10" ht="29.25">
      <c r="C12" s="119" t="s">
        <v>6</v>
      </c>
      <c r="D12" s="98" t="s">
        <v>3</v>
      </c>
      <c r="E12" s="99">
        <v>12935</v>
      </c>
      <c r="F12" s="99"/>
      <c r="G12" s="99">
        <v>6456</v>
      </c>
      <c r="H12" s="99"/>
      <c r="I12" s="99"/>
      <c r="J12" s="91"/>
    </row>
    <row r="13" spans="3:10">
      <c r="C13" s="120"/>
      <c r="D13" s="101" t="s">
        <v>4</v>
      </c>
      <c r="E13" s="102">
        <v>0.13800000000000001</v>
      </c>
      <c r="F13" s="102"/>
      <c r="G13" s="102">
        <v>6.0499999999999998E-2</v>
      </c>
      <c r="H13" s="103" t="s">
        <v>7</v>
      </c>
      <c r="I13" s="102"/>
      <c r="J13" s="104"/>
    </row>
    <row r="14" spans="3:10" ht="15.75" thickBot="1">
      <c r="C14" s="121"/>
      <c r="D14" s="105" t="s">
        <v>5</v>
      </c>
      <c r="E14" s="106">
        <v>0.1012</v>
      </c>
      <c r="F14" s="106"/>
      <c r="G14" s="106">
        <v>4.5900000000000003E-2</v>
      </c>
      <c r="H14" s="107"/>
      <c r="I14" s="106"/>
      <c r="J14" s="109"/>
    </row>
    <row r="15" spans="3:10" ht="27.75" customHeight="1" thickBot="1">
      <c r="C15" s="110" t="s">
        <v>69</v>
      </c>
      <c r="D15" s="111"/>
      <c r="E15" s="111"/>
      <c r="F15" s="111"/>
      <c r="G15" s="111"/>
      <c r="H15" s="111"/>
      <c r="I15" s="111"/>
      <c r="J15" s="112"/>
    </row>
  </sheetData>
  <mergeCells count="7">
    <mergeCell ref="C15:J15"/>
    <mergeCell ref="C4:I4"/>
    <mergeCell ref="C5:I5"/>
    <mergeCell ref="C6:I6"/>
    <mergeCell ref="C7:I7"/>
    <mergeCell ref="C9:C11"/>
    <mergeCell ref="C12:C14"/>
  </mergeCells>
  <pageMargins left="0.7" right="0.7" top="0.75" bottom="0.75" header="0.3" footer="0.3"/>
  <pageSetup orientation="landscape" r:id="rId1"/>
  <ignoredErrors>
    <ignoredError sqref="H10 H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selection activeCell="C2" sqref="C2:I17"/>
    </sheetView>
  </sheetViews>
  <sheetFormatPr defaultRowHeight="15.75"/>
  <cols>
    <col min="1" max="2" width="7.28515625" style="2" customWidth="1"/>
    <col min="3" max="3" width="9.140625" style="2"/>
    <col min="4" max="4" width="9.5703125" style="2" customWidth="1"/>
    <col min="5" max="5" width="11.5703125" style="2" customWidth="1"/>
    <col min="6" max="7" width="11" style="2" customWidth="1"/>
    <col min="8" max="8" width="8.5703125" style="2" customWidth="1"/>
    <col min="9" max="11" width="9.140625" style="2"/>
    <col min="12" max="12" width="9.140625" style="2" customWidth="1"/>
    <col min="13" max="16384" width="9.140625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>
      <c r="A2" s="1"/>
      <c r="B2" s="1"/>
      <c r="C2" s="1"/>
      <c r="D2" s="124" t="s">
        <v>13</v>
      </c>
      <c r="E2" s="124"/>
      <c r="F2" s="124"/>
      <c r="G2" s="124"/>
      <c r="H2" s="124"/>
      <c r="I2" s="124"/>
      <c r="J2" s="3"/>
      <c r="K2" s="3"/>
      <c r="L2" s="1"/>
      <c r="M2" s="1"/>
      <c r="N2" s="1"/>
      <c r="O2" s="1"/>
      <c r="P2" s="1"/>
    </row>
    <row r="3" spans="1:17">
      <c r="A3" s="1"/>
      <c r="B3" s="1"/>
      <c r="C3" s="1"/>
      <c r="D3" s="4"/>
      <c r="E3" s="4" t="s">
        <v>14</v>
      </c>
      <c r="F3" s="4"/>
      <c r="G3" s="4"/>
      <c r="H3" s="4" t="s">
        <v>15</v>
      </c>
      <c r="I3" s="5"/>
      <c r="J3" s="6"/>
      <c r="K3" s="6"/>
      <c r="L3" s="1"/>
      <c r="M3" s="1"/>
      <c r="N3" s="1"/>
      <c r="O3" s="1"/>
      <c r="P3" s="1"/>
    </row>
    <row r="4" spans="1:17" ht="18.75" customHeight="1">
      <c r="A4" s="1"/>
      <c r="B4" s="1"/>
      <c r="C4" s="1"/>
      <c r="D4" s="7"/>
      <c r="E4" s="6"/>
      <c r="F4" s="8"/>
      <c r="G4" s="6"/>
      <c r="H4" s="6"/>
      <c r="I4" s="8"/>
      <c r="J4" s="6"/>
      <c r="K4" s="6"/>
      <c r="L4" s="6"/>
      <c r="M4" s="1"/>
      <c r="N4" s="1"/>
      <c r="O4" s="1"/>
      <c r="P4" s="1"/>
    </row>
    <row r="5" spans="1:17" ht="27.75" customHeight="1">
      <c r="A5" s="1"/>
      <c r="B5" s="1"/>
      <c r="C5" s="125" t="s">
        <v>16</v>
      </c>
      <c r="D5" s="125"/>
      <c r="E5" s="9"/>
      <c r="F5" s="125" t="s">
        <v>17</v>
      </c>
      <c r="G5" s="125"/>
      <c r="H5" s="10"/>
      <c r="I5" s="11"/>
      <c r="J5" s="11"/>
      <c r="K5" s="12"/>
      <c r="L5" s="1"/>
      <c r="M5" s="1"/>
      <c r="N5" s="1"/>
      <c r="O5" s="1"/>
      <c r="P5" s="1"/>
    </row>
    <row r="6" spans="1:17" ht="15.75" customHeight="1">
      <c r="A6" s="1"/>
      <c r="B6" s="1"/>
      <c r="C6" s="1"/>
      <c r="D6" s="1"/>
      <c r="E6" s="1"/>
      <c r="F6" s="1"/>
      <c r="G6" s="1"/>
      <c r="H6" s="1"/>
      <c r="I6" s="6"/>
      <c r="J6" s="6"/>
      <c r="K6" s="1"/>
      <c r="L6" s="1"/>
      <c r="M6" s="1"/>
      <c r="N6" s="1"/>
      <c r="O6" s="1"/>
      <c r="P6" s="1"/>
    </row>
    <row r="7" spans="1:17" ht="15.75" customHeight="1">
      <c r="A7" s="1"/>
      <c r="B7" s="1"/>
      <c r="C7" s="126" t="s">
        <v>18</v>
      </c>
      <c r="D7" s="127"/>
      <c r="E7" s="1"/>
      <c r="F7" s="130" t="s">
        <v>63</v>
      </c>
      <c r="G7" s="131"/>
      <c r="H7" s="1"/>
      <c r="I7" s="13"/>
      <c r="J7" s="13"/>
      <c r="K7" s="1"/>
      <c r="L7" s="1"/>
      <c r="M7" s="1"/>
      <c r="N7" s="1"/>
      <c r="O7" s="1"/>
      <c r="P7" s="1"/>
    </row>
    <row r="8" spans="1:17">
      <c r="A8" s="1"/>
      <c r="B8" s="1"/>
      <c r="C8" s="128"/>
      <c r="D8" s="129"/>
      <c r="E8" s="1"/>
      <c r="F8" s="132"/>
      <c r="G8" s="133"/>
      <c r="H8" s="1"/>
      <c r="I8" s="13"/>
      <c r="J8" s="13"/>
      <c r="K8" s="1"/>
      <c r="L8" s="1"/>
      <c r="M8" s="1"/>
      <c r="N8" s="1"/>
      <c r="O8" s="1"/>
      <c r="P8" s="1"/>
    </row>
    <row r="9" spans="1:17">
      <c r="A9" s="1"/>
      <c r="B9" s="1"/>
      <c r="C9" s="134" t="s">
        <v>62</v>
      </c>
      <c r="D9" s="135"/>
      <c r="E9" s="1"/>
      <c r="F9" s="132"/>
      <c r="G9" s="133"/>
      <c r="H9" s="1"/>
      <c r="I9" s="13"/>
      <c r="J9" s="13"/>
      <c r="K9" s="1"/>
      <c r="L9" s="1"/>
      <c r="M9" s="1"/>
      <c r="N9" s="1"/>
      <c r="O9" s="1"/>
      <c r="P9" s="1"/>
    </row>
    <row r="10" spans="1:17">
      <c r="A10" s="1"/>
      <c r="B10" s="1"/>
      <c r="C10" s="134"/>
      <c r="D10" s="135"/>
      <c r="E10" s="1"/>
      <c r="F10" s="136" t="s">
        <v>19</v>
      </c>
      <c r="G10" s="137"/>
      <c r="H10" s="1"/>
      <c r="I10" s="14"/>
      <c r="J10" s="14"/>
      <c r="K10" s="1"/>
      <c r="L10" s="1"/>
      <c r="M10" s="1"/>
      <c r="N10" s="1"/>
      <c r="O10" s="1"/>
      <c r="P10" s="1"/>
    </row>
    <row r="11" spans="1:17" ht="7.5" customHeight="1">
      <c r="A11" s="1"/>
      <c r="B11" s="1"/>
      <c r="C11" s="134"/>
      <c r="D11" s="135"/>
      <c r="E11" s="1"/>
      <c r="F11" s="136"/>
      <c r="G11" s="137"/>
      <c r="H11" s="1"/>
      <c r="I11" s="14"/>
      <c r="J11" s="14"/>
      <c r="K11" s="1"/>
      <c r="L11" s="1"/>
      <c r="M11" s="1"/>
      <c r="N11" s="1"/>
      <c r="O11" s="1"/>
      <c r="P11" s="1"/>
    </row>
    <row r="12" spans="1:17" ht="15.75" hidden="1" customHeight="1">
      <c r="A12" s="1"/>
      <c r="B12" s="1"/>
      <c r="C12" s="15"/>
      <c r="D12" s="16"/>
      <c r="E12" s="1"/>
      <c r="F12" s="136"/>
      <c r="G12" s="137"/>
      <c r="H12" s="1"/>
      <c r="I12" s="14"/>
      <c r="J12" s="14"/>
      <c r="K12" s="1"/>
      <c r="L12" s="1"/>
      <c r="M12" s="1"/>
      <c r="N12" s="1"/>
      <c r="O12" s="1"/>
      <c r="P12" s="1"/>
    </row>
    <row r="13" spans="1:17" ht="12.75" customHeight="1">
      <c r="A13" s="1"/>
      <c r="B13" s="1"/>
      <c r="C13" s="17"/>
      <c r="D13" s="18"/>
      <c r="E13" s="1"/>
      <c r="F13" s="138"/>
      <c r="G13" s="139"/>
      <c r="H13" s="1"/>
      <c r="I13" s="14"/>
      <c r="J13" s="14"/>
      <c r="K13" s="1"/>
      <c r="L13" s="1"/>
      <c r="M13" s="1"/>
      <c r="N13" s="1"/>
      <c r="O13" s="1"/>
      <c r="P13" s="1"/>
    </row>
    <row r="14" spans="1:17" ht="8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7" ht="25.5" customHeight="1">
      <c r="A15" s="1"/>
      <c r="B15" s="1"/>
      <c r="C15" s="123" t="s">
        <v>65</v>
      </c>
      <c r="D15" s="123"/>
      <c r="E15" s="123"/>
      <c r="F15" s="123"/>
      <c r="G15" s="123"/>
      <c r="H15" s="123"/>
      <c r="I15" s="123"/>
      <c r="J15" s="19"/>
      <c r="K15" s="1"/>
      <c r="L15" s="1"/>
      <c r="M15" s="1"/>
      <c r="N15" s="1"/>
      <c r="O15" s="1"/>
      <c r="P15" s="1"/>
    </row>
    <row r="16" spans="1:17">
      <c r="A16" s="1"/>
      <c r="B16" s="1"/>
      <c r="C16" s="122" t="s">
        <v>67</v>
      </c>
      <c r="D16" s="122"/>
      <c r="E16" s="122"/>
      <c r="F16" s="122"/>
      <c r="G16" s="122"/>
      <c r="H16" s="122"/>
      <c r="I16" s="122"/>
      <c r="J16" s="1"/>
      <c r="K16" s="1"/>
      <c r="L16" s="1"/>
      <c r="M16" s="1"/>
      <c r="N16" s="1"/>
      <c r="O16" s="1"/>
      <c r="P16" s="1"/>
      <c r="Q16" s="1"/>
    </row>
    <row r="17" spans="1:17">
      <c r="A17" s="1"/>
      <c r="B17" s="1"/>
      <c r="C17" s="122"/>
      <c r="D17" s="122"/>
      <c r="E17" s="122"/>
      <c r="F17" s="122"/>
      <c r="G17" s="122"/>
      <c r="H17" s="122"/>
      <c r="I17" s="122"/>
      <c r="J17" s="1"/>
      <c r="K17" s="1"/>
      <c r="L17" s="1"/>
      <c r="M17" s="1"/>
      <c r="N17" s="1"/>
      <c r="O17" s="1"/>
      <c r="P17" s="1"/>
      <c r="Q17" s="1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7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</sheetData>
  <mergeCells count="9">
    <mergeCell ref="C16:I17"/>
    <mergeCell ref="C15:I15"/>
    <mergeCell ref="D2:I2"/>
    <mergeCell ref="C5:D5"/>
    <mergeCell ref="F5:G5"/>
    <mergeCell ref="C7:D8"/>
    <mergeCell ref="F7:G9"/>
    <mergeCell ref="C9:D11"/>
    <mergeCell ref="F10:G13"/>
  </mergeCells>
  <pageMargins left="0.7" right="0.7" top="0.75" bottom="0.75" header="0.3" footer="0.3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selection activeCell="C2" sqref="C2:I17"/>
    </sheetView>
  </sheetViews>
  <sheetFormatPr defaultRowHeight="15.75"/>
  <cols>
    <col min="1" max="2" width="7.28515625" style="2" customWidth="1"/>
    <col min="3" max="3" width="9.140625" style="2"/>
    <col min="4" max="4" width="9.5703125" style="2" customWidth="1"/>
    <col min="5" max="5" width="12.42578125" style="2" customWidth="1"/>
    <col min="6" max="7" width="10.7109375" style="2" customWidth="1"/>
    <col min="8" max="8" width="8.5703125" style="2" customWidth="1"/>
    <col min="9" max="12" width="9.140625" style="2"/>
    <col min="13" max="13" width="9.140625" style="2" customWidth="1"/>
    <col min="14" max="16384" width="9.140625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24" t="s">
        <v>13</v>
      </c>
      <c r="E2" s="124"/>
      <c r="F2" s="124"/>
      <c r="G2" s="124"/>
      <c r="H2" s="124"/>
      <c r="I2" s="124"/>
      <c r="J2" s="3"/>
      <c r="K2" s="3"/>
      <c r="L2" s="3"/>
      <c r="M2" s="1"/>
      <c r="N2" s="1"/>
      <c r="O2" s="1"/>
      <c r="P2" s="1"/>
      <c r="Q2" s="1"/>
    </row>
    <row r="3" spans="1:17">
      <c r="A3" s="1"/>
      <c r="B3" s="1"/>
      <c r="C3" s="1"/>
      <c r="D3" s="4"/>
      <c r="E3" s="4" t="s">
        <v>14</v>
      </c>
      <c r="F3" s="4"/>
      <c r="G3" s="4"/>
      <c r="H3" s="4" t="s">
        <v>15</v>
      </c>
      <c r="I3" s="5"/>
      <c r="J3" s="6"/>
      <c r="K3" s="20"/>
      <c r="L3" s="6"/>
      <c r="M3" s="1"/>
      <c r="N3" s="1"/>
      <c r="O3" s="1"/>
      <c r="P3" s="1"/>
      <c r="Q3" s="1"/>
    </row>
    <row r="4" spans="1:17" ht="18.75" customHeight="1">
      <c r="A4" s="1"/>
      <c r="B4" s="1"/>
      <c r="C4" s="1"/>
      <c r="D4" s="7"/>
      <c r="E4" s="6"/>
      <c r="F4" s="8"/>
      <c r="G4" s="6"/>
      <c r="H4" s="6"/>
      <c r="I4" s="8"/>
      <c r="J4" s="6"/>
      <c r="K4" s="6"/>
      <c r="L4" s="6"/>
      <c r="M4" s="6"/>
      <c r="N4" s="1"/>
      <c r="O4" s="1"/>
      <c r="P4" s="1"/>
      <c r="Q4" s="1"/>
    </row>
    <row r="5" spans="1:17" ht="27.75" customHeight="1">
      <c r="A5" s="1"/>
      <c r="B5" s="1"/>
      <c r="C5" s="125" t="s">
        <v>16</v>
      </c>
      <c r="D5" s="125"/>
      <c r="E5" s="9"/>
      <c r="F5" s="125" t="s">
        <v>17</v>
      </c>
      <c r="G5" s="125"/>
      <c r="H5" s="10"/>
      <c r="I5" s="11"/>
      <c r="J5" s="11"/>
      <c r="K5" s="12"/>
      <c r="L5" s="12"/>
      <c r="M5" s="1"/>
      <c r="N5" s="1"/>
      <c r="O5" s="1"/>
      <c r="P5" s="1"/>
      <c r="Q5" s="1"/>
    </row>
    <row r="6" spans="1:17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A7" s="1"/>
      <c r="B7" s="1"/>
      <c r="C7" s="126" t="s">
        <v>18</v>
      </c>
      <c r="D7" s="127"/>
      <c r="E7" s="1"/>
      <c r="F7" s="130" t="s">
        <v>64</v>
      </c>
      <c r="G7" s="131"/>
      <c r="H7" s="1"/>
      <c r="I7" s="13"/>
      <c r="J7" s="13"/>
      <c r="K7" s="1"/>
      <c r="L7" s="1"/>
      <c r="M7" s="1"/>
      <c r="N7" s="1"/>
      <c r="O7" s="1"/>
      <c r="P7" s="1"/>
      <c r="Q7" s="1"/>
    </row>
    <row r="8" spans="1:17">
      <c r="A8" s="1"/>
      <c r="B8" s="1"/>
      <c r="C8" s="128"/>
      <c r="D8" s="129"/>
      <c r="E8" s="1"/>
      <c r="F8" s="132"/>
      <c r="G8" s="133"/>
      <c r="H8" s="1"/>
      <c r="I8" s="13"/>
      <c r="J8" s="13"/>
      <c r="K8" s="1"/>
      <c r="L8" s="1"/>
      <c r="M8" s="1"/>
      <c r="N8" s="1"/>
      <c r="O8" s="1"/>
      <c r="P8" s="1"/>
      <c r="Q8" s="1"/>
    </row>
    <row r="9" spans="1:17">
      <c r="A9" s="1"/>
      <c r="B9" s="1"/>
      <c r="C9" s="134" t="s">
        <v>20</v>
      </c>
      <c r="D9" s="135"/>
      <c r="E9" s="1"/>
      <c r="F9" s="132"/>
      <c r="G9" s="133"/>
      <c r="H9" s="1"/>
      <c r="I9" s="13"/>
      <c r="J9" s="13"/>
      <c r="K9" s="1"/>
      <c r="L9" s="1"/>
      <c r="M9" s="1"/>
      <c r="N9" s="1"/>
      <c r="O9" s="1"/>
      <c r="P9" s="1"/>
      <c r="Q9" s="1"/>
    </row>
    <row r="10" spans="1:17">
      <c r="A10" s="1"/>
      <c r="B10" s="1"/>
      <c r="C10" s="134"/>
      <c r="D10" s="135"/>
      <c r="E10" s="1"/>
      <c r="F10" s="136" t="s">
        <v>21</v>
      </c>
      <c r="G10" s="137"/>
      <c r="H10" s="1"/>
      <c r="I10" s="14"/>
      <c r="J10" s="14"/>
      <c r="K10" s="1"/>
      <c r="L10" s="1"/>
      <c r="M10" s="1"/>
      <c r="N10" s="1"/>
      <c r="O10" s="1"/>
      <c r="P10" s="1"/>
      <c r="Q10" s="1"/>
    </row>
    <row r="11" spans="1:17" ht="7.5" customHeight="1">
      <c r="A11" s="1"/>
      <c r="B11" s="1"/>
      <c r="C11" s="134"/>
      <c r="D11" s="135"/>
      <c r="E11" s="1"/>
      <c r="F11" s="136"/>
      <c r="G11" s="137"/>
      <c r="H11" s="1"/>
      <c r="I11" s="14"/>
      <c r="J11" s="14"/>
      <c r="K11" s="1"/>
      <c r="L11" s="1"/>
      <c r="M11" s="1"/>
      <c r="N11" s="1"/>
      <c r="O11" s="1"/>
      <c r="P11" s="1"/>
      <c r="Q11" s="1"/>
    </row>
    <row r="12" spans="1:17" ht="15.75" hidden="1" customHeight="1">
      <c r="A12" s="1"/>
      <c r="B12" s="1"/>
      <c r="C12" s="15"/>
      <c r="D12" s="16"/>
      <c r="E12" s="1"/>
      <c r="F12" s="136"/>
      <c r="G12" s="137"/>
      <c r="H12" s="1"/>
      <c r="I12" s="14"/>
      <c r="J12" s="14"/>
      <c r="K12" s="1"/>
      <c r="L12" s="1"/>
      <c r="M12" s="1"/>
      <c r="N12" s="1"/>
      <c r="O12" s="1"/>
      <c r="P12" s="1"/>
      <c r="Q12" s="1"/>
    </row>
    <row r="13" spans="1:17" ht="12.75" customHeight="1">
      <c r="A13" s="1"/>
      <c r="B13" s="1"/>
      <c r="C13" s="17"/>
      <c r="D13" s="18"/>
      <c r="E13" s="1"/>
      <c r="F13" s="138"/>
      <c r="G13" s="139"/>
      <c r="H13" s="1"/>
      <c r="I13" s="14"/>
      <c r="J13" s="14"/>
      <c r="K13" s="1"/>
      <c r="L13" s="1"/>
      <c r="M13" s="1"/>
      <c r="N13" s="1"/>
      <c r="O13" s="1"/>
      <c r="P13" s="1"/>
      <c r="Q13" s="1"/>
    </row>
    <row r="14" spans="1:17" ht="8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6.25" customHeight="1">
      <c r="A15" s="1"/>
      <c r="B15" s="1"/>
      <c r="C15" s="140" t="s">
        <v>66</v>
      </c>
      <c r="D15" s="140"/>
      <c r="E15" s="140"/>
      <c r="F15" s="140"/>
      <c r="G15" s="140"/>
      <c r="H15" s="140"/>
      <c r="I15" s="140"/>
      <c r="J15" s="21"/>
      <c r="K15" s="21"/>
      <c r="L15" s="1"/>
      <c r="M15" s="1"/>
      <c r="N15" s="1"/>
      <c r="O15" s="1"/>
      <c r="P15" s="1"/>
      <c r="Q15" s="1"/>
    </row>
    <row r="16" spans="1:17">
      <c r="A16" s="1"/>
      <c r="B16" s="1"/>
      <c r="C16" s="122" t="s">
        <v>68</v>
      </c>
      <c r="D16" s="122"/>
      <c r="E16" s="122"/>
      <c r="F16" s="122"/>
      <c r="G16" s="122"/>
      <c r="H16" s="122"/>
      <c r="I16" s="122"/>
      <c r="J16" s="1"/>
      <c r="K16" s="1"/>
      <c r="L16" s="1"/>
      <c r="M16" s="1"/>
      <c r="N16" s="1"/>
      <c r="O16" s="1"/>
      <c r="P16" s="1"/>
      <c r="Q16" s="1"/>
    </row>
    <row r="17" spans="1:17">
      <c r="A17" s="1"/>
      <c r="B17" s="1"/>
      <c r="C17" s="122"/>
      <c r="D17" s="122"/>
      <c r="E17" s="122"/>
      <c r="F17" s="122"/>
      <c r="G17" s="122"/>
      <c r="H17" s="122"/>
      <c r="I17" s="122"/>
      <c r="J17" s="1"/>
      <c r="K17" s="1"/>
      <c r="L17" s="1"/>
      <c r="M17" s="1"/>
      <c r="N17" s="1"/>
      <c r="O17" s="1"/>
      <c r="P17" s="1"/>
      <c r="Q17" s="1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9">
    <mergeCell ref="C16:I17"/>
    <mergeCell ref="C15:I15"/>
    <mergeCell ref="D2:I2"/>
    <mergeCell ref="C5:D5"/>
    <mergeCell ref="F5:G5"/>
    <mergeCell ref="C7:D8"/>
    <mergeCell ref="F7:G9"/>
    <mergeCell ref="C9:D11"/>
    <mergeCell ref="F10:G13"/>
  </mergeCells>
  <pageMargins left="0.7" right="0.7" top="0.75" bottom="0.75" header="0.3" footer="0.3"/>
  <pageSetup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R44"/>
  <sheetViews>
    <sheetView workbookViewId="0">
      <selection activeCell="B25" sqref="B25"/>
    </sheetView>
  </sheetViews>
  <sheetFormatPr defaultRowHeight="15"/>
  <cols>
    <col min="1" max="1" width="9.140625" style="22"/>
    <col min="2" max="2" width="36" style="22" customWidth="1"/>
    <col min="3" max="3" width="14.28515625" style="22" customWidth="1"/>
    <col min="4" max="4" width="14" style="22" customWidth="1"/>
    <col min="5" max="5" width="13.28515625" style="22" customWidth="1"/>
    <col min="6" max="12" width="9.140625" style="22"/>
    <col min="13" max="13" width="11.5703125" style="22" bestFit="1" customWidth="1"/>
    <col min="14" max="14" width="12.85546875" style="22" customWidth="1"/>
    <col min="15" max="15" width="11.42578125" style="22" customWidth="1"/>
    <col min="16" max="16" width="13.140625" style="22" customWidth="1"/>
    <col min="17" max="17" width="9.140625" style="22"/>
    <col min="18" max="18" width="11.85546875" style="22" customWidth="1"/>
    <col min="19" max="16384" width="9.140625" style="22"/>
  </cols>
  <sheetData>
    <row r="3" spans="2:18" ht="15.75" thickBot="1">
      <c r="I3" s="22" t="s">
        <v>25</v>
      </c>
    </row>
    <row r="4" spans="2:18" ht="15.75">
      <c r="B4" s="143" t="s">
        <v>26</v>
      </c>
      <c r="C4" s="144"/>
      <c r="D4" s="144"/>
      <c r="E4" s="145"/>
      <c r="I4" s="58" t="s">
        <v>51</v>
      </c>
      <c r="J4" s="58"/>
      <c r="K4" s="58"/>
      <c r="L4" s="59"/>
      <c r="M4" s="78"/>
      <c r="N4" s="141" t="s">
        <v>48</v>
      </c>
      <c r="O4" s="78"/>
      <c r="P4" s="78"/>
    </row>
    <row r="5" spans="2:18" ht="15.75">
      <c r="B5" s="23"/>
      <c r="C5" s="146" t="s">
        <v>25</v>
      </c>
      <c r="D5" s="146"/>
      <c r="E5" s="147"/>
      <c r="I5" s="58" t="s">
        <v>52</v>
      </c>
      <c r="J5" s="58"/>
      <c r="K5" s="58"/>
      <c r="L5" s="60"/>
      <c r="M5" s="79" t="s">
        <v>47</v>
      </c>
      <c r="N5" s="142"/>
      <c r="O5" s="79" t="s">
        <v>49</v>
      </c>
      <c r="P5" s="79" t="s">
        <v>50</v>
      </c>
    </row>
    <row r="6" spans="2:18" ht="15.75">
      <c r="B6" s="24" t="s">
        <v>27</v>
      </c>
      <c r="C6" s="25" t="s">
        <v>33</v>
      </c>
      <c r="D6" s="26">
        <v>2019</v>
      </c>
      <c r="E6" s="27" t="s">
        <v>32</v>
      </c>
      <c r="I6" s="61"/>
      <c r="J6" s="61" t="s">
        <v>53</v>
      </c>
      <c r="K6" s="61"/>
      <c r="L6" s="62"/>
      <c r="M6" s="63">
        <v>203796</v>
      </c>
      <c r="N6" s="63">
        <v>126285</v>
      </c>
      <c r="O6" s="64">
        <f>M6-N6</f>
        <v>77511</v>
      </c>
      <c r="P6" s="49">
        <f>(M6-N6)/N6</f>
        <v>0.61377835847487827</v>
      </c>
    </row>
    <row r="7" spans="2:18" ht="15.75">
      <c r="B7" s="23" t="s">
        <v>22</v>
      </c>
      <c r="C7" s="28">
        <f>27563+55877-D7</f>
        <v>56320</v>
      </c>
      <c r="D7" s="29">
        <f>9185+17935</f>
        <v>27120</v>
      </c>
      <c r="E7" s="30">
        <f>C7+D7</f>
        <v>83440</v>
      </c>
      <c r="I7" s="65"/>
      <c r="J7" s="65" t="s">
        <v>54</v>
      </c>
      <c r="K7" s="65"/>
      <c r="L7" s="59"/>
      <c r="M7" s="66">
        <v>921064</v>
      </c>
      <c r="N7" s="66">
        <v>893501</v>
      </c>
      <c r="O7" s="64">
        <f>M7-N7</f>
        <v>27563</v>
      </c>
      <c r="P7" s="49">
        <f>(M7-N7)/N7</f>
        <v>3.0848314663329979E-2</v>
      </c>
    </row>
    <row r="8" spans="2:18" ht="15.75">
      <c r="B8" s="23" t="s">
        <v>23</v>
      </c>
      <c r="C8" s="28">
        <f>128943-D8</f>
        <v>100320</v>
      </c>
      <c r="D8" s="29">
        <f>28623</f>
        <v>28623</v>
      </c>
      <c r="E8" s="30">
        <f t="shared" ref="E8:E9" si="0">C8+D8</f>
        <v>128943</v>
      </c>
      <c r="I8" s="65"/>
      <c r="J8" s="65" t="s">
        <v>55</v>
      </c>
      <c r="K8" s="65"/>
      <c r="L8" s="59"/>
      <c r="M8" s="66">
        <v>513071</v>
      </c>
      <c r="N8" s="66">
        <v>457194</v>
      </c>
      <c r="O8" s="64">
        <f>M8-N8</f>
        <v>55877</v>
      </c>
      <c r="P8" s="49">
        <f>(M8-N8)/N8</f>
        <v>0.12221726444354038</v>
      </c>
    </row>
    <row r="9" spans="2:18" ht="15.75">
      <c r="B9" s="23" t="s">
        <v>24</v>
      </c>
      <c r="C9" s="31">
        <f>77511+33861-D9</f>
        <v>82243</v>
      </c>
      <c r="D9" s="32">
        <f>10536+18593</f>
        <v>29129</v>
      </c>
      <c r="E9" s="30">
        <f t="shared" si="0"/>
        <v>111372</v>
      </c>
      <c r="I9" s="65"/>
      <c r="J9" s="65" t="s">
        <v>23</v>
      </c>
      <c r="K9" s="65"/>
      <c r="L9" s="59"/>
      <c r="M9" s="66">
        <v>1158106</v>
      </c>
      <c r="N9" s="66">
        <v>1029163</v>
      </c>
      <c r="O9" s="64">
        <f>M9-N9</f>
        <v>128943</v>
      </c>
      <c r="P9" s="49">
        <f>(M9-N9)/N9</f>
        <v>0.12528919131371805</v>
      </c>
    </row>
    <row r="10" spans="2:18" ht="16.5" thickBot="1">
      <c r="B10" s="23" t="s">
        <v>31</v>
      </c>
      <c r="C10" s="33">
        <f>SUM(C7:C9)</f>
        <v>238883</v>
      </c>
      <c r="D10" s="34">
        <f>SUM(D7:D9)</f>
        <v>84872</v>
      </c>
      <c r="E10" s="35">
        <f>SUM(E7:E9)</f>
        <v>323755</v>
      </c>
      <c r="I10" s="65"/>
      <c r="J10" s="65" t="s">
        <v>56</v>
      </c>
      <c r="K10" s="65"/>
      <c r="L10" s="59"/>
      <c r="M10" s="67">
        <v>289889</v>
      </c>
      <c r="N10" s="67">
        <v>256028</v>
      </c>
      <c r="O10" s="68">
        <f>M10-N10</f>
        <v>33861</v>
      </c>
      <c r="P10" s="51">
        <f>(M10-N10)/N10</f>
        <v>0.13225506585217242</v>
      </c>
    </row>
    <row r="11" spans="2:18" ht="6.75" customHeight="1" thickTop="1">
      <c r="B11" s="23"/>
      <c r="C11" s="36"/>
      <c r="D11" s="36"/>
      <c r="E11" s="37"/>
      <c r="I11" s="65"/>
      <c r="J11" s="65"/>
      <c r="K11" s="65"/>
      <c r="L11" s="59"/>
      <c r="M11" s="83"/>
      <c r="N11" s="83"/>
      <c r="O11" s="84"/>
      <c r="P11" s="85"/>
    </row>
    <row r="12" spans="2:18" ht="15.75">
      <c r="B12" s="23"/>
      <c r="C12" s="146" t="s">
        <v>28</v>
      </c>
      <c r="D12" s="146"/>
      <c r="E12" s="147"/>
      <c r="I12" s="65"/>
      <c r="J12" s="65"/>
      <c r="K12" s="65" t="s">
        <v>39</v>
      </c>
      <c r="L12" s="59"/>
      <c r="M12" s="65">
        <f>SUM(M6:M10)</f>
        <v>3085926</v>
      </c>
      <c r="N12" s="65">
        <f>SUM(N6:N10)</f>
        <v>2762171</v>
      </c>
      <c r="O12" s="77">
        <f>M12-N12</f>
        <v>323755</v>
      </c>
      <c r="P12" s="49">
        <f>(M12-N12)/N12</f>
        <v>0.11721033925850355</v>
      </c>
    </row>
    <row r="13" spans="2:18" ht="15.75">
      <c r="B13" s="24" t="s">
        <v>27</v>
      </c>
      <c r="C13" s="25" t="s">
        <v>33</v>
      </c>
      <c r="D13" s="26">
        <v>2019</v>
      </c>
      <c r="E13" s="27" t="s">
        <v>32</v>
      </c>
      <c r="I13" s="65" t="s">
        <v>40</v>
      </c>
      <c r="J13" s="65"/>
      <c r="K13" s="65"/>
      <c r="L13" s="59"/>
      <c r="M13" s="66">
        <v>1009367</v>
      </c>
      <c r="N13" s="66">
        <v>907853</v>
      </c>
      <c r="O13" s="64">
        <f t="shared" ref="O13" si="1">M13-N13</f>
        <v>101514</v>
      </c>
      <c r="P13" s="49">
        <f>(M13-N13)/N13</f>
        <v>0.11181766211049586</v>
      </c>
    </row>
    <row r="14" spans="2:18" ht="15.75">
      <c r="B14" s="23" t="s">
        <v>23</v>
      </c>
      <c r="C14" s="28">
        <f>75140-D14</f>
        <v>60548</v>
      </c>
      <c r="D14" s="29">
        <v>14592</v>
      </c>
      <c r="E14" s="30">
        <f>C14+D14</f>
        <v>75140</v>
      </c>
      <c r="I14" s="65"/>
      <c r="J14" s="65" t="s">
        <v>57</v>
      </c>
      <c r="K14" s="65"/>
      <c r="L14" s="46"/>
      <c r="M14" s="65">
        <f>M12-M13</f>
        <v>2076559</v>
      </c>
      <c r="N14" s="65">
        <f>N12-N13</f>
        <v>1854318</v>
      </c>
      <c r="O14" s="65">
        <f>O12-O13</f>
        <v>222241</v>
      </c>
      <c r="P14" s="49">
        <f>(M14-N14)/N14</f>
        <v>0.11985053264866112</v>
      </c>
    </row>
    <row r="15" spans="2:18" ht="15.75">
      <c r="B15" s="23" t="s">
        <v>29</v>
      </c>
      <c r="C15" s="31">
        <f>9481+42707-D15</f>
        <v>40262</v>
      </c>
      <c r="D15" s="32">
        <v>11926</v>
      </c>
      <c r="E15" s="30">
        <f t="shared" ref="E15" si="2">C15+D15</f>
        <v>52188</v>
      </c>
      <c r="I15" s="69" t="s">
        <v>59</v>
      </c>
      <c r="J15" s="69"/>
      <c r="K15" s="69"/>
      <c r="L15" s="59"/>
      <c r="M15" s="67">
        <v>-412153</v>
      </c>
      <c r="N15" s="67">
        <v>-387933</v>
      </c>
      <c r="O15" s="68">
        <f>M15-N15</f>
        <v>-24220</v>
      </c>
      <c r="P15" s="51">
        <f>(M15-N15)/N15</f>
        <v>6.2433461448239774E-2</v>
      </c>
      <c r="R15" s="89" t="s">
        <v>61</v>
      </c>
    </row>
    <row r="16" spans="2:18" ht="16.5" thickBot="1">
      <c r="B16" s="23" t="s">
        <v>30</v>
      </c>
      <c r="C16" s="33">
        <f>SUM(C14:C15)</f>
        <v>100810</v>
      </c>
      <c r="D16" s="34">
        <f>SUM(D14:D15)</f>
        <v>26518</v>
      </c>
      <c r="E16" s="38">
        <f>SUM(E14:E15)</f>
        <v>127328</v>
      </c>
      <c r="I16" s="22" t="s">
        <v>60</v>
      </c>
      <c r="M16" s="76">
        <f>M14+M15</f>
        <v>1664406</v>
      </c>
      <c r="N16" s="76">
        <f>N14+N15</f>
        <v>1466385</v>
      </c>
      <c r="O16" s="86">
        <f>O14+O15</f>
        <v>198021</v>
      </c>
      <c r="R16" s="88">
        <f>O16-D10+1576+2053+9188</f>
        <v>125966</v>
      </c>
    </row>
    <row r="17" spans="2:16" ht="6.75" customHeight="1" thickTop="1" thickBot="1">
      <c r="B17" s="39"/>
      <c r="C17" s="40"/>
      <c r="D17" s="41"/>
      <c r="E17" s="42"/>
    </row>
    <row r="18" spans="2:16" ht="16.5" thickBot="1">
      <c r="B18" s="43" t="s">
        <v>34</v>
      </c>
      <c r="C18" s="40"/>
      <c r="D18" s="40"/>
      <c r="E18" s="42"/>
      <c r="I18" s="65" t="s">
        <v>45</v>
      </c>
      <c r="J18" s="65"/>
      <c r="K18" s="65"/>
      <c r="L18" s="46"/>
      <c r="M18" s="66">
        <v>-2722</v>
      </c>
      <c r="N18" s="66">
        <v>-778</v>
      </c>
      <c r="O18" s="64">
        <f>M18-N18</f>
        <v>-1944</v>
      </c>
      <c r="P18" s="49">
        <f t="shared" ref="P18:P19" si="3">(M18-N18)/N18</f>
        <v>2.498714652956298</v>
      </c>
    </row>
    <row r="19" spans="2:16" ht="15.75">
      <c r="B19" s="2"/>
      <c r="C19" s="2"/>
      <c r="D19" s="2"/>
      <c r="I19" s="65" t="s">
        <v>58</v>
      </c>
      <c r="J19" s="65"/>
      <c r="K19" s="65"/>
      <c r="L19" s="46"/>
      <c r="M19" s="67">
        <v>46614</v>
      </c>
      <c r="N19" s="67">
        <v>57523</v>
      </c>
      <c r="O19" s="68">
        <f>M19-N19</f>
        <v>-10909</v>
      </c>
      <c r="P19" s="51">
        <f t="shared" si="3"/>
        <v>-0.18964588077812353</v>
      </c>
    </row>
    <row r="20" spans="2:16" ht="15.75">
      <c r="B20" s="2"/>
      <c r="C20" s="2"/>
      <c r="D20" s="2"/>
      <c r="I20" s="65"/>
      <c r="J20" s="65"/>
      <c r="K20" s="65"/>
      <c r="L20" s="59"/>
      <c r="M20" s="65"/>
      <c r="N20" s="65"/>
      <c r="O20" s="46"/>
      <c r="P20" s="46"/>
    </row>
    <row r="21" spans="2:16" ht="16.5" thickBot="1">
      <c r="B21" s="2"/>
      <c r="C21" s="2"/>
      <c r="D21" s="2"/>
      <c r="I21" s="61" t="s">
        <v>46</v>
      </c>
      <c r="J21" s="61"/>
      <c r="K21" s="61"/>
      <c r="L21" s="70"/>
      <c r="M21" s="71">
        <f>M16+M18+M19</f>
        <v>1708298</v>
      </c>
      <c r="N21" s="71">
        <f>N16+N18+N19</f>
        <v>1523130</v>
      </c>
      <c r="O21" s="72">
        <f>M21-N21</f>
        <v>185168</v>
      </c>
      <c r="P21" s="57">
        <f>(M21-N21)/N21</f>
        <v>0.1215707129398016</v>
      </c>
    </row>
    <row r="22" spans="2:16" ht="15.75" thickTop="1"/>
    <row r="23" spans="2:16">
      <c r="M23" s="78"/>
      <c r="N23" s="141" t="s">
        <v>48</v>
      </c>
      <c r="O23" s="78"/>
      <c r="P23" s="78"/>
    </row>
    <row r="24" spans="2:16">
      <c r="I24" s="22" t="s">
        <v>28</v>
      </c>
      <c r="M24" s="79" t="s">
        <v>47</v>
      </c>
      <c r="N24" s="142"/>
      <c r="O24" s="79" t="s">
        <v>49</v>
      </c>
      <c r="P24" s="79" t="s">
        <v>50</v>
      </c>
    </row>
    <row r="25" spans="2:16">
      <c r="I25" s="44" t="s">
        <v>35</v>
      </c>
      <c r="J25" s="44"/>
      <c r="K25" s="44"/>
      <c r="L25" s="44"/>
      <c r="M25" s="45"/>
      <c r="N25" s="45"/>
      <c r="O25" s="45"/>
      <c r="P25" s="46"/>
    </row>
    <row r="26" spans="2:16">
      <c r="I26" s="47"/>
      <c r="J26" s="47" t="s">
        <v>36</v>
      </c>
      <c r="K26" s="47"/>
      <c r="L26" s="47"/>
      <c r="M26" s="80">
        <v>29042</v>
      </c>
      <c r="N26" s="80">
        <v>19561</v>
      </c>
      <c r="O26" s="80">
        <f>M26-N26</f>
        <v>9481</v>
      </c>
      <c r="P26" s="49">
        <f>(M26-N26)/N26</f>
        <v>0.48468892183426204</v>
      </c>
    </row>
    <row r="27" spans="2:16">
      <c r="I27" s="47"/>
      <c r="J27" s="47" t="s">
        <v>37</v>
      </c>
      <c r="K27" s="47"/>
      <c r="L27" s="47"/>
      <c r="M27" s="47">
        <v>494596</v>
      </c>
      <c r="N27" s="47">
        <v>419456</v>
      </c>
      <c r="O27" s="47">
        <f t="shared" ref="O27" si="4">M27-N27</f>
        <v>75140</v>
      </c>
      <c r="P27" s="49">
        <f>(M27-N27)/N27</f>
        <v>0.17913678669514801</v>
      </c>
    </row>
    <row r="28" spans="2:16">
      <c r="I28" s="47"/>
      <c r="J28" s="47" t="s">
        <v>38</v>
      </c>
      <c r="K28" s="47"/>
      <c r="L28" s="47"/>
      <c r="M28" s="50">
        <v>138914</v>
      </c>
      <c r="N28" s="50">
        <v>96207</v>
      </c>
      <c r="O28" s="50">
        <f>M28-N28</f>
        <v>42707</v>
      </c>
      <c r="P28" s="51">
        <f>(M28-N28)/N28</f>
        <v>0.44390740798486594</v>
      </c>
    </row>
    <row r="29" spans="2:16">
      <c r="I29" s="47"/>
      <c r="J29" s="47"/>
      <c r="K29" s="47"/>
      <c r="L29" s="73" t="s">
        <v>39</v>
      </c>
      <c r="M29" s="81">
        <f>SUM(M26:M28)</f>
        <v>662552</v>
      </c>
      <c r="N29" s="81">
        <f>SUM(N26:N28)</f>
        <v>535224</v>
      </c>
      <c r="O29" s="82">
        <f>SUM(O26:O28)</f>
        <v>127328</v>
      </c>
      <c r="P29" s="49">
        <f>(M29-N29)/N29</f>
        <v>0.23789665635322782</v>
      </c>
    </row>
    <row r="30" spans="2:16">
      <c r="I30" s="47" t="s">
        <v>40</v>
      </c>
      <c r="J30" s="47"/>
      <c r="K30" s="47"/>
      <c r="L30" s="47"/>
      <c r="M30" s="47"/>
      <c r="N30" s="47"/>
      <c r="O30" s="47"/>
      <c r="P30" s="46"/>
    </row>
    <row r="31" spans="2:16">
      <c r="I31" s="47"/>
      <c r="J31" s="47" t="s">
        <v>36</v>
      </c>
      <c r="K31" s="47"/>
      <c r="L31" s="47"/>
      <c r="M31" s="47">
        <v>11482</v>
      </c>
      <c r="N31" s="47">
        <v>10480</v>
      </c>
      <c r="O31" s="48">
        <f>M31-N31</f>
        <v>1002</v>
      </c>
      <c r="P31" s="49">
        <f t="shared" ref="P31:P39" si="5">(M31-N31)/N31</f>
        <v>9.5610687022900764E-2</v>
      </c>
    </row>
    <row r="32" spans="2:16">
      <c r="I32" s="47"/>
      <c r="J32" s="47"/>
      <c r="K32" s="47"/>
      <c r="L32" s="47"/>
      <c r="M32" s="47"/>
      <c r="N32" s="47"/>
      <c r="O32" s="48"/>
      <c r="P32" s="49"/>
    </row>
    <row r="33" spans="9:18">
      <c r="I33" s="47"/>
      <c r="J33" s="47" t="s">
        <v>37</v>
      </c>
      <c r="K33" s="47"/>
      <c r="L33" s="47"/>
      <c r="M33" s="47">
        <v>148333</v>
      </c>
      <c r="N33" s="47">
        <v>132932</v>
      </c>
      <c r="O33" s="47">
        <f t="shared" ref="O33" si="6">M33-N33</f>
        <v>15401</v>
      </c>
      <c r="P33" s="49">
        <f t="shared" si="5"/>
        <v>0.11585622724400445</v>
      </c>
    </row>
    <row r="34" spans="9:18">
      <c r="I34" s="47"/>
      <c r="J34" s="47" t="s">
        <v>38</v>
      </c>
      <c r="K34" s="47"/>
      <c r="L34" s="47"/>
      <c r="M34" s="47">
        <v>35189</v>
      </c>
      <c r="N34" s="47">
        <v>25360</v>
      </c>
      <c r="O34" s="50">
        <f>M34-N34</f>
        <v>9829</v>
      </c>
      <c r="P34" s="51">
        <f t="shared" si="5"/>
        <v>0.38757886435331229</v>
      </c>
    </row>
    <row r="35" spans="9:18">
      <c r="I35" s="47"/>
      <c r="J35" s="47"/>
      <c r="K35" s="47"/>
      <c r="L35" s="74" t="s">
        <v>41</v>
      </c>
      <c r="M35" s="52">
        <f>SUM(M31:M34)</f>
        <v>195004</v>
      </c>
      <c r="N35" s="52">
        <f>SUM(N31:N34)</f>
        <v>168772</v>
      </c>
      <c r="O35" s="47">
        <f>SUM(O31:O34)</f>
        <v>26232</v>
      </c>
      <c r="P35" s="49">
        <f t="shared" si="5"/>
        <v>0.15542862560140308</v>
      </c>
    </row>
    <row r="36" spans="9:18">
      <c r="I36" s="53" t="s">
        <v>42</v>
      </c>
      <c r="J36" s="53"/>
      <c r="K36" s="53"/>
      <c r="L36" s="53"/>
      <c r="M36" s="50">
        <v>-89888</v>
      </c>
      <c r="N36" s="50">
        <v>-80351</v>
      </c>
      <c r="O36" s="75">
        <f>M36-N36</f>
        <v>-9537</v>
      </c>
      <c r="P36" s="49">
        <f t="shared" si="5"/>
        <v>0.11869173999079041</v>
      </c>
      <c r="R36" s="89" t="s">
        <v>61</v>
      </c>
    </row>
    <row r="37" spans="9:18">
      <c r="I37" s="53"/>
      <c r="J37" s="53"/>
      <c r="K37" s="53"/>
      <c r="L37" s="53"/>
      <c r="M37" s="53">
        <f>M29-M35+M36</f>
        <v>377660</v>
      </c>
      <c r="N37" s="53">
        <f>N29-N35+N36</f>
        <v>286101</v>
      </c>
      <c r="O37" s="87">
        <f>O29-O35+O36</f>
        <v>91559</v>
      </c>
      <c r="P37" s="49"/>
      <c r="R37" s="88">
        <f>O37-D16+653+607</f>
        <v>66301</v>
      </c>
    </row>
    <row r="38" spans="9:18">
      <c r="I38" s="53"/>
      <c r="J38" s="53"/>
      <c r="K38" s="53"/>
      <c r="L38" s="53"/>
      <c r="M38" s="53"/>
      <c r="N38" s="53"/>
      <c r="O38" s="48"/>
      <c r="P38" s="49"/>
    </row>
    <row r="39" spans="9:18">
      <c r="I39" s="47" t="s">
        <v>43</v>
      </c>
      <c r="J39" s="47"/>
      <c r="K39" s="47"/>
      <c r="L39" s="47"/>
      <c r="M39" s="47">
        <v>8355</v>
      </c>
      <c r="N39" s="47">
        <v>9116</v>
      </c>
      <c r="O39" s="47">
        <f t="shared" ref="O39" si="7">M39-N39</f>
        <v>-761</v>
      </c>
      <c r="P39" s="49">
        <f t="shared" si="5"/>
        <v>-8.3479596314172885E-2</v>
      </c>
    </row>
    <row r="40" spans="9:18">
      <c r="I40" s="47"/>
      <c r="J40" s="47"/>
      <c r="K40" s="47"/>
      <c r="L40" s="47"/>
      <c r="M40" s="47"/>
      <c r="N40" s="47"/>
      <c r="O40" s="47"/>
      <c r="P40" s="49"/>
    </row>
    <row r="41" spans="9:18">
      <c r="I41" s="47" t="s">
        <v>44</v>
      </c>
      <c r="J41" s="47"/>
      <c r="K41" s="47"/>
      <c r="L41" s="47"/>
      <c r="M41" s="47">
        <v>7549</v>
      </c>
      <c r="N41" s="47">
        <v>13657</v>
      </c>
      <c r="O41" s="48">
        <f>M41-N41</f>
        <v>-6108</v>
      </c>
      <c r="P41" s="49"/>
    </row>
    <row r="42" spans="9:18">
      <c r="I42" s="47" t="s">
        <v>45</v>
      </c>
      <c r="J42" s="47"/>
      <c r="K42" s="47"/>
      <c r="L42" s="47"/>
      <c r="M42" s="50">
        <v>5426</v>
      </c>
      <c r="N42" s="50">
        <v>1225</v>
      </c>
      <c r="O42" s="50">
        <f>M42-N42</f>
        <v>4201</v>
      </c>
      <c r="P42" s="51">
        <f>(M42-N42)/N42</f>
        <v>3.4293877551020406</v>
      </c>
    </row>
    <row r="43" spans="9:18" ht="15.75" thickBot="1">
      <c r="I43" s="54" t="s">
        <v>46</v>
      </c>
      <c r="J43" s="54"/>
      <c r="K43" s="54"/>
      <c r="L43" s="54"/>
      <c r="M43" s="55">
        <f>M29-M35+M36+M39+M41+M42</f>
        <v>398990</v>
      </c>
      <c r="N43" s="55">
        <f>N29-N35+N36+N39+N41+N42</f>
        <v>310099</v>
      </c>
      <c r="O43" s="56">
        <f>M43-N43</f>
        <v>88891</v>
      </c>
      <c r="P43" s="57">
        <f>(M43-N43)/N43</f>
        <v>0.28665361707067744</v>
      </c>
    </row>
    <row r="44" spans="9:18" ht="15.75" thickTop="1"/>
  </sheetData>
  <mergeCells count="5">
    <mergeCell ref="N23:N24"/>
    <mergeCell ref="N4:N5"/>
    <mergeCell ref="B4:E4"/>
    <mergeCell ref="C5:E5"/>
    <mergeCell ref="C12:E12"/>
  </mergeCells>
  <pageMargins left="0.7" right="0.7" top="0.75" bottom="0.75" header="0.3" footer="0.3"/>
  <pageSetup orientation="portrait" r:id="rId1"/>
  <ignoredErrors>
    <ignoredError sqref="D16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F90D2D-13F8-4D5F-9176-584717A94399}"/>
</file>

<file path=customXml/itemProps2.xml><?xml version="1.0" encoding="utf-8"?>
<ds:datastoreItem xmlns:ds="http://schemas.openxmlformats.org/officeDocument/2006/customXml" ds:itemID="{80670626-060B-4AE8-A924-A9FBBA52AE95}"/>
</file>

<file path=customXml/itemProps3.xml><?xml version="1.0" encoding="utf-8"?>
<ds:datastoreItem xmlns:ds="http://schemas.openxmlformats.org/officeDocument/2006/customXml" ds:itemID="{145405DF-E9BC-4DD9-A5CC-97F2CF50C712}"/>
</file>

<file path=customXml/itemProps4.xml><?xml version="1.0" encoding="utf-8"?>
<ds:datastoreItem xmlns:ds="http://schemas.openxmlformats.org/officeDocument/2006/customXml" ds:itemID="{429B2780-B92C-4328-BB7C-40CD67064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Three-Year Table</vt:lpstr>
      <vt:lpstr>Electric (2)</vt:lpstr>
      <vt:lpstr>Natural Gas (2)</vt:lpstr>
      <vt:lpstr>Gross and Net Plant Additons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Andrews, Liz</cp:lastModifiedBy>
  <cp:lastPrinted>2017-05-19T18:58:25Z</cp:lastPrinted>
  <dcterms:created xsi:type="dcterms:W3CDTF">2017-04-28T15:53:38Z</dcterms:created>
  <dcterms:modified xsi:type="dcterms:W3CDTF">2019-04-22T16:31:39Z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